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 checkCompatibility="1"/>
  <bookViews>
    <workbookView xWindow="0" yWindow="0" windowWidth="14370" windowHeight="12120" firstSheet="2" activeTab="3"/>
  </bookViews>
  <sheets>
    <sheet name="smic net" sheetId="7" state="hidden" r:id="rId1"/>
    <sheet name="récap RECOUV 2 enfants v0" sheetId="130" state="hidden" r:id="rId2"/>
    <sheet name="Données 2020" sheetId="6" r:id="rId3"/>
    <sheet name="cas type" sheetId="115" r:id="rId4"/>
  </sheets>
  <definedNames>
    <definedName name="ab">'Données 2020'!$B$51</definedName>
    <definedName name="ab_plaf1_couple_biact_ou_iso_1_enf">'Données 2020'!$F$52</definedName>
    <definedName name="ab_plaf1_couple_biact_ou_iso_2_enf">'Données 2020'!$G$52</definedName>
    <definedName name="ab_plaf1_couple_monact_2_enf">'Données 2020'!$E$52</definedName>
    <definedName name="ab_plaf1_couple_monoact_1_enf">'Données 2020'!$D$52</definedName>
    <definedName name="ab_plaf1_sup_enf">'Données 2020'!$H$52</definedName>
    <definedName name="ab_plaf2_couple_biact_ou_iso_1_enf">'Données 2020'!$F$51</definedName>
    <definedName name="ab_plaf2_couple_biact_ou_iso_2_enf">'Données 2020'!$G$51</definedName>
    <definedName name="ab_plaf2_couple_monact_2_enf">'Données 2020'!$E$51</definedName>
    <definedName name="ab_plaf2_couple_monoact_1_enf">'Données 2020'!$D$51</definedName>
    <definedName name="ab_plaf2_sup_enf">'Données 2020'!$H$51</definedName>
    <definedName name="ab_réduit">'Données 2020'!$B$52</definedName>
    <definedName name="af_1">'Données 2020'!$B$23</definedName>
    <definedName name="af_2">'Données 2020'!$B$24</definedName>
    <definedName name="af_3">'Données 2020'!$B$25</definedName>
    <definedName name="af_4">'Données 2020'!$B$26</definedName>
    <definedName name="af_5">'Données 2020'!$B$27</definedName>
    <definedName name="af_6">'Données 2020'!$B$28</definedName>
    <definedName name="af_forfait">'Données 2020'!$B$31</definedName>
    <definedName name="af_majo_âge">'Données 2020'!$B$30</definedName>
    <definedName name="af_plaf_suppl_enf">'Données 2020'!$F$23</definedName>
    <definedName name="af_plaf1">'Données 2020'!$D$23</definedName>
    <definedName name="af_plaf2">'Données 2020'!$E$23</definedName>
    <definedName name="al_forf_charges_0_pac">'Données 2020'!$G$110</definedName>
    <definedName name="al_forf_charges_1_pac">'Données 2020'!$G$111</definedName>
    <definedName name="al_forf_charges_sup_pac">'Données 2020'!$G$112</definedName>
    <definedName name="al_loy_plaf_1_pac_z1">'Données 2020'!$G$108</definedName>
    <definedName name="al_loy_plaf_1_pac_z2">'Données 2020'!$H$108</definedName>
    <definedName name="al_loy_plaf_1_pac_z3">'Données 2020'!$I$108</definedName>
    <definedName name="al_loy_plaf_c0_z1">'Données 2020'!$G$107</definedName>
    <definedName name="al_loy_plaf_C0_z2">'Données 2020'!$H$107</definedName>
    <definedName name="al_loy_plaf_C0_z3">'Données 2020'!$I$107</definedName>
    <definedName name="al_loy_plaf_I0_z1">'Données 2020'!$G$106</definedName>
    <definedName name="al_loy_plaf_I0_z2">'Données 2020'!$H$106</definedName>
    <definedName name="al_loy_plaf_I0_z3">'Données 2020'!$I$106</definedName>
    <definedName name="al_loy_plaf_sup_pac_z1">'Données 2020'!$G$109</definedName>
    <definedName name="al_loy_plaf_sup_pac_z2">'Données 2020'!$H$109</definedName>
    <definedName name="al_loy_plaf_sup_pac_z3">'Données 2020'!$I$109</definedName>
    <definedName name="al_p0">'Données 2020'!$G$122</definedName>
    <definedName name="al_p0_taux">'Données 2020'!$G$123</definedName>
    <definedName name="al_R0_1pac">'Données 2020'!$H$115</definedName>
    <definedName name="al_R0_2pac">'Données 2020'!$H$116</definedName>
    <definedName name="al_R0_3pac">'Données 2020'!$H$117</definedName>
    <definedName name="al_R0_4pac">'Données 2020'!$H$118</definedName>
    <definedName name="al_R0_5pac">'Données 2020'!$H$119</definedName>
    <definedName name="al_R0_6pac">'Données 2020'!$H$120</definedName>
    <definedName name="al_R0_C0">'Données 2020'!$H$114</definedName>
    <definedName name="al_R0_I0">'Données 2020'!$H$113</definedName>
    <definedName name="al_R0_suppac">'Données 2020'!$H$121</definedName>
    <definedName name="al_reduc">'Données 2020'!$H$140</definedName>
    <definedName name="al_seuil_versement">'Données 2020'!$H$141</definedName>
    <definedName name="al_seuil1_deg_1_pac_z1">'Données 2020'!$G$134</definedName>
    <definedName name="al_seuil1_deg_1_pac_z2">'Données 2020'!$H$134</definedName>
    <definedName name="al_seuil1_deg_1_pac_z3">'Données 2020'!$I$134</definedName>
    <definedName name="al_seuil1_deg_C0_z1">'Données 2020'!$G$133</definedName>
    <definedName name="al_seuil1_deg_C0_z2">'Données 2020'!$H$133</definedName>
    <definedName name="al_seuil1_deg_C0_z3">'Données 2020'!$I$133</definedName>
    <definedName name="al_seuil1_deg_I0_z1">'Données 2020'!$G$132</definedName>
    <definedName name="al_seuil1_deg_I0_z2">'Données 2020'!$H$132</definedName>
    <definedName name="al_seuil1_deg_I0_z3">'Données 2020'!$I$132</definedName>
    <definedName name="al_seuil1_deg_sup_pac_z1">'Données 2020'!$G$135</definedName>
    <definedName name="al_seuil1_deg_sup_pac_z2">'Données 2020'!$H$135</definedName>
    <definedName name="al_seuil1_deg_sup_pac_z3">'Données 2020'!$I$135</definedName>
    <definedName name="al_seuil1_deg_z1">'Données 2020'!$G$132</definedName>
    <definedName name="al_seuil1_deg_z2">'Données 2020'!$H$132</definedName>
    <definedName name="al_seuil1_deg_z3">'Données 2020'!$I$132</definedName>
    <definedName name="al_seuil2_deg_1_pac_z1">'Données 2020'!$G$138</definedName>
    <definedName name="al_seuil2_deg_1_pac_z2">'Données 2020'!$H$138</definedName>
    <definedName name="al_seuil2_deg_1_pac_z3">'Données 2020'!$I$138</definedName>
    <definedName name="al_seuil2_deg_C0_z1">'Données 2020'!$G$137</definedName>
    <definedName name="al_seuil2_deg_C0_z2">'Données 2020'!$H$137</definedName>
    <definedName name="al_seuil2_deg_C0_z3">'Données 2020'!$I$137</definedName>
    <definedName name="al_seuil2_deg_I0_z1">'Données 2020'!$G$136</definedName>
    <definedName name="al_seuil2_deg_I0_z2">'Données 2020'!$H$136</definedName>
    <definedName name="al_seuil2_deg_I0_z3">'Données 2020'!$I$136</definedName>
    <definedName name="al_seuil2_deg_sup_pac_z1">'Données 2020'!$G$139</definedName>
    <definedName name="al_seuil2_deg_sup_pac_z2">'Données 2020'!$H$139</definedName>
    <definedName name="al_seuil2_deg_sup_pac_z3">'Données 2020'!$I$139</definedName>
    <definedName name="al_seuil2_deg_z1">'Données 2020'!$G$136</definedName>
    <definedName name="al_seuil2_deg_z2">'Données 2020'!$H$136</definedName>
    <definedName name="al_seuil2_deg_z3">'Données 2020'!$I$136</definedName>
    <definedName name="al_taux1_deg_z1">'Données 2020'!$D$132</definedName>
    <definedName name="al_taux1_deg_z2">'Données 2020'!$E$132</definedName>
    <definedName name="al_taux1_deg_z3">'Données 2020'!$F$132</definedName>
    <definedName name="al_taux2_deg_z1">'Données 2020'!$D$136</definedName>
    <definedName name="al_taux2_deg_z2">'Données 2020'!$E$136</definedName>
    <definedName name="al_taux2_deg_z3">'Données 2020'!$F$136</definedName>
    <definedName name="al_tf_1pac">'Données 2020'!$G$126</definedName>
    <definedName name="al_tf_2pac">'Données 2020'!$G$127</definedName>
    <definedName name="al_tf_3pac">'Données 2020'!$G$128</definedName>
    <definedName name="al_tf_4pac">'Données 2020'!$G$129</definedName>
    <definedName name="al_tf_C0">'Données 2020'!$G$125</definedName>
    <definedName name="al_tf_I0">'Données 2020'!$G$124</definedName>
    <definedName name="al_tf_suppac">'Données 2020'!$G$130</definedName>
    <definedName name="al_tl_z1">'Données 2020'!$G$131</definedName>
    <definedName name="al_tl_z2">'Données 2020'!$H$131</definedName>
    <definedName name="al_tl_z3">'Données 2020'!$I$131</definedName>
    <definedName name="ars_11_14">'Données 2020'!$B$46</definedName>
    <definedName name="ars_15_18">'Données 2020'!$B$47</definedName>
    <definedName name="ars_6_10">'Données 2020'!$B$45</definedName>
    <definedName name="ars_plaf_1_enf">'Données 2020'!$D$45</definedName>
    <definedName name="ars_plaf_sup_enf">'Données 2020'!$E$45</definedName>
    <definedName name="asf">'Données 2020'!$B$35</definedName>
    <definedName name="ASF_à_déduire_du_RSA">'Données 2020'!$B$36</definedName>
    <definedName name="assiette_csgcrds">'Données 2020'!$F$12</definedName>
    <definedName name="assmat_cout_brut_total">'Données 2020'!$B$192</definedName>
    <definedName name="assmat_nb_heures_par_jour">'Données 2020'!$B$190</definedName>
    <definedName name="assmat_nb_jour">'Données 2020'!$B$189</definedName>
    <definedName name="bmaf">'Données 2020'!$B$20</definedName>
    <definedName name="bmaf_n_2">'Données 2020'!$G$142</definedName>
    <definedName name="ceee">#REF!</definedName>
    <definedName name="ceee_abat">'Données 2020'!$C$230</definedName>
    <definedName name="ceee_tx1">'Données 2020'!$D$234</definedName>
    <definedName name="ceee_tx2">'Données 2020'!$D$235</definedName>
    <definedName name="ceee_tx3">'Données 2020'!$D$236</definedName>
    <definedName name="cf_base">'Données 2020'!$B$40</definedName>
    <definedName name="cf_majoration">'Données 2020'!$B$41</definedName>
    <definedName name="cf_plaf1_couple_biact_ou_iso_3_enf">'Données 2020'!$E$41</definedName>
    <definedName name="cf_plaf1_couple_monoact_3_enf">'Données 2020'!$D$41</definedName>
    <definedName name="cf_plaf1_sup_enf">'Données 2020'!$F$41</definedName>
    <definedName name="cf_plaf2_couple_biact_ou_iso_3_enf">'Données 2020'!$E$40</definedName>
    <definedName name="cf_plaf2_couple_monoact_3_enf">'Données 2020'!$D$40</definedName>
    <definedName name="cf_plaf2_sup_enf">'Données 2020'!$F$40</definedName>
    <definedName name="cf_seuil_act">'Données 2020'!$G$40</definedName>
    <definedName name="clca_tp">'Données 2020'!$B$56</definedName>
    <definedName name="clca_tr_1">'Données 2020'!$B$57</definedName>
    <definedName name="clca_tr_2">'Données 2020'!$B$58</definedName>
    <definedName name="cmg_cotis_assmat">'Données 2020'!$B$195</definedName>
    <definedName name="cmg_cotis_gdom">'Données 2020'!$B$204</definedName>
    <definedName name="cmg_cout_net_assmat">'Données 2020'!$B$193</definedName>
    <definedName name="cmg_cout_net_gdom">'Données 2020'!$B$202</definedName>
    <definedName name="cmg_inter">'Données 2020'!$B$63</definedName>
    <definedName name="cmg_majo_plaf_isolé">'Données 2020'!$H$62</definedName>
    <definedName name="cmg_max">'Données 2020'!$B$62</definedName>
    <definedName name="cmg_max_pccs_gdom">'Données 2020'!$B$66</definedName>
    <definedName name="cmg_min">'Données 2020'!$B$64</definedName>
    <definedName name="cmg_part_max_pcsn">'Données 2020'!$B$65</definedName>
    <definedName name="cmg_plaf_1_pct_plaf_inter">'Données 2020'!$G$62</definedName>
    <definedName name="cmg_plaf_inter_1_enf">'Données 2020'!$D$62</definedName>
    <definedName name="cmg_plaf_inter_2_enf">'Données 2020'!$E$62</definedName>
    <definedName name="cmg_plaf_inter_sup_enf">'Données 2020'!$F$62</definedName>
    <definedName name="Coef_n_1">'Données 2020'!$B$16</definedName>
    <definedName name="Coef_n_2">'Données 2020'!$B$15</definedName>
    <definedName name="crds">'Données 2020'!$F$16</definedName>
    <definedName name="creche_coef_1_enf">'Données 2020'!$C$210</definedName>
    <definedName name="creche_coef_2_enf">'Données 2020'!$C$211</definedName>
    <definedName name="creche_coef_3_enf">'Données 2020'!$C$212</definedName>
    <definedName name="creche_coef_4_enf">'Données 2020'!$C$213</definedName>
    <definedName name="creche_plafond_ressources">'Données 2020'!$B$219</definedName>
    <definedName name="creche_plancher_ressource">'Données 2020'!$B$218</definedName>
    <definedName name="evol_ipc_2013_2015">'Données 2020'!$B$8</definedName>
    <definedName name="evol_ipc_2014_2015">'Données 2020'!$B$7</definedName>
    <definedName name="evol_smic">'Données 2020'!$B$4</definedName>
    <definedName name="evol_smic_n_moins_1_n">'Données 2020'!$B$12</definedName>
    <definedName name="evol_smic_n_moins_2_n">'Données 2020'!$B$13</definedName>
    <definedName name="gdom_cout_brut_total">'Données 2020'!$B$205</definedName>
    <definedName name="IPC2020_2020">'Données 2020'!$E$7</definedName>
    <definedName name="irpp_cout_net_assmat">'Données 2020'!$B$194</definedName>
    <definedName name="irpp_max_avqf_couple">'Données 2020'!$G$163</definedName>
    <definedName name="irpp_max_avqf_iso">'Données 2020'!$G$162</definedName>
    <definedName name="irpp_max_fg_assmat">'Données 2020'!$G$171</definedName>
    <definedName name="irpp_max_fg_gdom">'Données 2020'!$G$175</definedName>
    <definedName name="irpp_max_reduc_fp">'Données 2020'!$G$160</definedName>
    <definedName name="irpp_min_reduc_fp">'Données 2020'!$G$161</definedName>
    <definedName name="irpp_part_fg_assmat">'Données 2020'!$G$170</definedName>
    <definedName name="irpp_part_fg_gdom">'Données 2020'!$G$172</definedName>
    <definedName name="irpp_plaf_decote">'Données 2020'!$G$165</definedName>
    <definedName name="irpp_plaf_decote_couple">'Données 2020'!$G$166</definedName>
    <definedName name="irpp_reduc_coll">'Données 2020'!$G$167</definedName>
    <definedName name="irpp_reduc_es">'Données 2020'!$G$169</definedName>
    <definedName name="irpp_reduc_lyc">'Données 2020'!$G$168</definedName>
    <definedName name="irpp_reduc1">'Données 2020'!$G$155</definedName>
    <definedName name="irpp_reduc2">'Données 2020'!$G$156</definedName>
    <definedName name="irpp_reduc3">'Données 2020'!$G$157</definedName>
    <definedName name="irpp_reduc4">'Données 2020'!$G$158</definedName>
    <definedName name="irpp_seuil1">'Données 2020'!$G$147</definedName>
    <definedName name="irpp_seuil1_cont_excep">'Données 2020'!$G$176</definedName>
    <definedName name="irpp_seuil1_fg_gdom">'Données 2020'!$G$173</definedName>
    <definedName name="irpp_seuil2">'Données 2020'!$G$148</definedName>
    <definedName name="irpp_seuil2_cont_excep">'Données 2020'!$G$177</definedName>
    <definedName name="irpp_seuil3">'Données 2020'!$G$149</definedName>
    <definedName name="irpp_seuil4">'Données 2020'!$G$150</definedName>
    <definedName name="irpp_supp_enf_seuil_fg_gdom">'Données 2020'!$G$174</definedName>
    <definedName name="irpp_taux_decote">'Données 2020'!$G$164</definedName>
    <definedName name="irpp_taux_reduc_fp">'Données 2020'!$G$159</definedName>
    <definedName name="irpp_taux1">'Données 2020'!$G$151</definedName>
    <definedName name="irpp_taux1_cont_excep">'Données 2020'!$G$178</definedName>
    <definedName name="irpp_taux2">'Données 2020'!$G$152</definedName>
    <definedName name="irpp_taux2_cont_excep">'Données 2020'!$G$179</definedName>
    <definedName name="irpp_taux3">'Données 2020'!$G$153</definedName>
    <definedName name="irpp_taux4">'Données 2020'!$G$154</definedName>
    <definedName name="pa_coeff_calcul_bonus">'Données 2020'!$B$100</definedName>
    <definedName name="pa_fl1">'Données 2020'!$B$85</definedName>
    <definedName name="pa_fl2">'Données 2020'!$B$86</definedName>
    <definedName name="pa_fl3">'Données 2020'!$B$87</definedName>
    <definedName name="pa_forf_c0">'Données 2020'!$C$90</definedName>
    <definedName name="pa_forf_c1">'Données 2020'!$C$91</definedName>
    <definedName name="pa_forf_c2">'Données 2020'!$C$92</definedName>
    <definedName name="pa_forf_I0">'Données 2020'!$B$90</definedName>
    <definedName name="pa_forf_I1">'Données 2020'!$B$91</definedName>
    <definedName name="pa_forf_I2">'Données 2020'!$B$92</definedName>
    <definedName name="pa_forfm_I0">'Données 2020'!$D$90</definedName>
    <definedName name="pa_forfm_I1">'Données 2020'!$D$91</definedName>
    <definedName name="pa_forfm_I2">'Données 2020'!$D$92</definedName>
    <definedName name="pa_forfm_supenf">'Données 2020'!$D$93</definedName>
    <definedName name="pa_max_BPA">'Données 2020'!$B$99</definedName>
    <definedName name="pa_seuil_versement">'Données 2020'!$B$101</definedName>
    <definedName name="pa_seuil1_BPA">'Données 2020'!$B$97</definedName>
    <definedName name="pa_seuil2_BPA">'Données 2020'!$B$98</definedName>
    <definedName name="pa_sup_enf">'Données 2020'!$B$93</definedName>
    <definedName name="pa_taux_rev_act">'Données 2020'!$B$94</definedName>
    <definedName name="part_ceee_déduite">#REF!</definedName>
    <definedName name="rsa_C0">'Données 2020'!$C$77</definedName>
    <definedName name="rsa_C1">'Données 2020'!$C$78</definedName>
    <definedName name="rsa_C2">'Données 2020'!$C$79</definedName>
    <definedName name="rsa_fl_1">'Données 2020'!$B$71</definedName>
    <definedName name="rsa_fl_2">'Données 2020'!$B$72</definedName>
    <definedName name="rsa_fl_3">'Données 2020'!$B$73</definedName>
    <definedName name="rsa_I0">'Données 2020'!$B$77</definedName>
    <definedName name="rsa_I0_n_2">'Données 2020'!$G$143</definedName>
    <definedName name="rsa_I1">'Données 2020'!$B$78</definedName>
    <definedName name="rsa_I2">'Données 2020'!$B$79</definedName>
    <definedName name="rsa_seuil_versement">'Données 2020'!$B$82</definedName>
    <definedName name="rsa_sup_enf">'Données 2020'!$B$80</definedName>
    <definedName name="rsam_I0">'Données 2020'!$D$77</definedName>
    <definedName name="rsam_I1">'Données 2020'!$D$78</definedName>
    <definedName name="rsam_I2">'Données 2020'!$D$79</definedName>
    <definedName name="rsam_sup_enf">'Données 2020'!$D$80</definedName>
    <definedName name="smic">'Données 2020'!$B$3</definedName>
    <definedName name="smic_h">'Données 2020'!$B$5</definedName>
    <definedName name="taux_CRDS">'Données 2020'!$F$16</definedName>
    <definedName name="taux_pat">'Données 2020'!$F$186</definedName>
    <definedName name="taux_sal">'Données 2020'!$E$186</definedName>
    <definedName name="tx_cotsal">'Données 2020'!$F$15</definedName>
    <definedName name="tx_csgded">'Données 2020'!$F$13</definedName>
    <definedName name="tx_csgimp">'Données 2020'!$F$14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2" i="115" l="1"/>
  <c r="C36" i="115"/>
  <c r="F139" i="6" l="1"/>
  <c r="E139" i="6"/>
  <c r="D139" i="6"/>
  <c r="F138" i="6"/>
  <c r="E138" i="6"/>
  <c r="D138" i="6"/>
  <c r="F137" i="6"/>
  <c r="E137" i="6"/>
  <c r="D137" i="6"/>
  <c r="F136" i="6"/>
  <c r="E136" i="6"/>
  <c r="D136" i="6"/>
  <c r="F135" i="6"/>
  <c r="E135" i="6"/>
  <c r="D135" i="6"/>
  <c r="F134" i="6"/>
  <c r="E134" i="6"/>
  <c r="D134" i="6"/>
  <c r="F133" i="6"/>
  <c r="E133" i="6"/>
  <c r="D133" i="6"/>
  <c r="F132" i="6"/>
  <c r="E132" i="6"/>
  <c r="D132" i="6"/>
  <c r="C17" i="130" l="1"/>
  <c r="C15" i="130"/>
  <c r="C13" i="130"/>
  <c r="C11" i="130"/>
  <c r="C9" i="130"/>
  <c r="C7" i="130"/>
  <c r="C5" i="130"/>
  <c r="D93" i="6" l="1"/>
  <c r="D90" i="6"/>
  <c r="D91" i="6" s="1"/>
  <c r="D92" i="6" s="1"/>
  <c r="D80" i="6"/>
  <c r="D77" i="6"/>
  <c r="D78" i="6" s="1"/>
  <c r="D79" i="6" s="1"/>
  <c r="B51" i="6"/>
  <c r="B52" i="6" s="1"/>
  <c r="C230" i="6" l="1"/>
  <c r="C244" i="6"/>
  <c r="B203" i="6" l="1"/>
  <c r="B193" i="6" l="1"/>
  <c r="C213" i="6"/>
  <c r="C212" i="6"/>
  <c r="C211" i="6"/>
  <c r="C210" i="6"/>
  <c r="B194" i="6"/>
  <c r="C216" i="6"/>
  <c r="C215" i="6"/>
  <c r="B202" i="6"/>
  <c r="B191" i="6"/>
  <c r="B192" i="6" s="1"/>
  <c r="F186" i="6"/>
  <c r="E186" i="6"/>
  <c r="C102" i="115" l="1"/>
  <c r="C109" i="115"/>
  <c r="C103" i="115"/>
  <c r="C108" i="115"/>
  <c r="C107" i="115"/>
  <c r="C45" i="115" l="1"/>
  <c r="B64" i="6"/>
  <c r="B63" i="6"/>
  <c r="B62" i="6"/>
  <c r="B58" i="6"/>
  <c r="B57" i="6"/>
  <c r="B56" i="6"/>
  <c r="L154" i="6" l="1"/>
  <c r="C25" i="115"/>
  <c r="C151" i="115" l="1"/>
  <c r="C71" i="115"/>
  <c r="C70" i="115"/>
  <c r="C69" i="115"/>
  <c r="C68" i="115"/>
  <c r="C67" i="115"/>
  <c r="C66" i="115"/>
  <c r="C65" i="115"/>
  <c r="C64" i="115"/>
  <c r="C29" i="115"/>
  <c r="C10" i="115"/>
  <c r="C63" i="115" s="1"/>
  <c r="C113" i="115" l="1"/>
  <c r="C168" i="115"/>
  <c r="C97" i="115"/>
  <c r="C98" i="115"/>
  <c r="C55" i="115"/>
  <c r="C28" i="115"/>
  <c r="C144" i="115"/>
  <c r="C150" i="115"/>
  <c r="C159" i="115" s="1"/>
  <c r="C88" i="115"/>
  <c r="C166" i="115"/>
  <c r="C126" i="115"/>
  <c r="C122" i="115"/>
  <c r="C124" i="115"/>
  <c r="C121" i="115"/>
  <c r="C120" i="115" s="1"/>
  <c r="C123" i="115" l="1"/>
  <c r="C125" i="115" l="1"/>
  <c r="B99" i="6" l="1"/>
  <c r="B85" i="6"/>
  <c r="E93" i="6"/>
  <c r="E90" i="6"/>
  <c r="B93" i="6"/>
  <c r="C90" i="6"/>
  <c r="B91" i="6"/>
  <c r="B92" i="6" l="1"/>
  <c r="C91" i="6"/>
  <c r="E92" i="6"/>
  <c r="B86" i="6"/>
  <c r="B71" i="6"/>
  <c r="C80" i="6"/>
  <c r="B80" i="6"/>
  <c r="E80" i="6" s="1"/>
  <c r="C77" i="6"/>
  <c r="B78" i="6"/>
  <c r="E78" i="6" l="1"/>
  <c r="B79" i="6"/>
  <c r="C92" i="6"/>
  <c r="B87" i="6"/>
  <c r="C78" i="6"/>
  <c r="E91" i="6"/>
  <c r="B72" i="6"/>
  <c r="E79" i="6" l="1"/>
  <c r="C141" i="115"/>
  <c r="B73" i="6"/>
  <c r="C79" i="6"/>
  <c r="B35" i="6"/>
  <c r="C135" i="115" l="1"/>
  <c r="C40" i="115"/>
  <c r="D13" i="130" l="1"/>
  <c r="D11" i="130"/>
  <c r="D4" i="130"/>
  <c r="D9" i="130"/>
  <c r="D15" i="130"/>
  <c r="D12" i="130"/>
  <c r="D7" i="130"/>
  <c r="D17" i="130"/>
  <c r="D8" i="130"/>
  <c r="D14" i="130"/>
  <c r="D10" i="130"/>
  <c r="D6" i="130"/>
  <c r="D5" i="130"/>
  <c r="D16" i="130"/>
  <c r="B24" i="6"/>
  <c r="B97" i="6" l="1"/>
  <c r="C143" i="115" l="1"/>
  <c r="C145" i="115" s="1"/>
  <c r="I131" i="6"/>
  <c r="H131" i="6"/>
  <c r="G131" i="6"/>
  <c r="C99" i="115" l="1"/>
  <c r="C43" i="115" s="1"/>
  <c r="C127" i="115"/>
  <c r="K13" i="7"/>
  <c r="G155" i="6"/>
  <c r="G156" i="6" s="1"/>
  <c r="G157" i="6" s="1"/>
  <c r="G158" i="6" s="1"/>
  <c r="B36" i="6" l="1"/>
  <c r="B42" i="6"/>
  <c r="B30" i="6"/>
  <c r="C75" i="115" l="1"/>
  <c r="C93" i="6"/>
  <c r="B13" i="6" l="1"/>
  <c r="B15" i="6" s="1"/>
  <c r="B40" i="6"/>
  <c r="B41" i="6" s="1"/>
  <c r="B4" i="6"/>
  <c r="B12" i="6" s="1"/>
  <c r="B16" i="6" s="1"/>
  <c r="B31" i="6"/>
  <c r="B45" i="6"/>
  <c r="B46" i="6"/>
  <c r="B47" i="6"/>
  <c r="B25" i="6"/>
  <c r="B27" i="6"/>
  <c r="B28" i="6" s="1"/>
  <c r="B26" i="6"/>
  <c r="K37" i="7"/>
  <c r="K25" i="7"/>
  <c r="C74" i="115" l="1"/>
  <c r="G53" i="6"/>
  <c r="F54" i="6"/>
  <c r="D54" i="6"/>
  <c r="F53" i="6"/>
  <c r="E54" i="6"/>
  <c r="E53" i="6"/>
  <c r="G54" i="6"/>
  <c r="D53" i="6"/>
  <c r="C152" i="115"/>
  <c r="C153" i="115" s="1"/>
  <c r="C116" i="115"/>
  <c r="C44" i="115"/>
  <c r="C89" i="115"/>
  <c r="C90" i="115" s="1"/>
  <c r="C41" i="115" s="1"/>
  <c r="C76" i="115"/>
  <c r="C119" i="115"/>
  <c r="C128" i="115" s="1"/>
  <c r="C83" i="115"/>
  <c r="C84" i="115" s="1"/>
  <c r="C93" i="115"/>
  <c r="C82" i="115"/>
  <c r="C85" i="115" s="1"/>
  <c r="C39" i="115" s="1"/>
  <c r="C77" i="115"/>
  <c r="C94" i="115"/>
  <c r="C78" i="115"/>
  <c r="C110" i="115" l="1"/>
  <c r="C169" i="115" s="1"/>
  <c r="C104" i="115"/>
  <c r="C167" i="115" s="1"/>
  <c r="C38" i="115"/>
  <c r="C129" i="115"/>
  <c r="C130" i="115" s="1"/>
  <c r="C42" i="115"/>
  <c r="C137" i="115" s="1"/>
  <c r="C146" i="115" s="1"/>
  <c r="C79" i="115"/>
  <c r="C37" i="115" s="1"/>
  <c r="C171" i="115"/>
  <c r="C155" i="115"/>
  <c r="C158" i="115" s="1"/>
  <c r="C154" i="115"/>
  <c r="C157" i="115" s="1"/>
  <c r="C57" i="115" l="1"/>
  <c r="C131" i="115"/>
  <c r="C132" i="115"/>
  <c r="C46" i="115"/>
  <c r="C160" i="115"/>
  <c r="C161" i="115" s="1"/>
  <c r="F4" i="130" l="1"/>
  <c r="F14" i="130"/>
  <c r="E14" i="130"/>
  <c r="F6" i="130"/>
  <c r="F12" i="130"/>
  <c r="E10" i="130"/>
  <c r="E15" i="130"/>
  <c r="E11" i="130"/>
  <c r="E7" i="130"/>
  <c r="E12" i="130"/>
  <c r="F17" i="130"/>
  <c r="E4" i="130"/>
  <c r="E9" i="130"/>
  <c r="F15" i="130"/>
  <c r="F8" i="130"/>
  <c r="F16" i="130"/>
  <c r="E13" i="130"/>
  <c r="E17" i="130"/>
  <c r="F7" i="130"/>
  <c r="F11" i="130"/>
  <c r="F10" i="130"/>
  <c r="E16" i="130"/>
  <c r="F9" i="130"/>
  <c r="F5" i="130"/>
  <c r="F13" i="130"/>
  <c r="E8" i="130"/>
  <c r="E6" i="130"/>
  <c r="E5" i="130"/>
  <c r="G5" i="130"/>
  <c r="G4" i="130"/>
  <c r="G17" i="130"/>
  <c r="G7" i="130"/>
  <c r="G11" i="130"/>
  <c r="G13" i="130"/>
  <c r="C142" i="115"/>
  <c r="C136" i="115"/>
  <c r="C138" i="115" s="1"/>
  <c r="C47" i="115"/>
  <c r="C163" i="115"/>
  <c r="C164" i="115" s="1"/>
  <c r="G14" i="130" l="1"/>
  <c r="G16" i="130"/>
  <c r="G8" i="130"/>
  <c r="G12" i="130"/>
  <c r="G15" i="130"/>
  <c r="H11" i="130"/>
  <c r="I11" i="130" s="1"/>
  <c r="H12" i="130"/>
  <c r="H16" i="130"/>
  <c r="H5" i="130"/>
  <c r="I5" i="130" s="1"/>
  <c r="H4" i="130"/>
  <c r="I4" i="130" s="1"/>
  <c r="H10" i="130"/>
  <c r="H14" i="130"/>
  <c r="H8" i="130"/>
  <c r="H15" i="130"/>
  <c r="H17" i="130"/>
  <c r="I17" i="130" s="1"/>
  <c r="H7" i="130"/>
  <c r="I7" i="130" s="1"/>
  <c r="H9" i="130"/>
  <c r="G9" i="130"/>
  <c r="H13" i="130"/>
  <c r="I13" i="130" s="1"/>
  <c r="H6" i="130"/>
  <c r="G6" i="130"/>
  <c r="G10" i="130"/>
  <c r="C147" i="115"/>
  <c r="C48" i="115"/>
  <c r="C165" i="115"/>
  <c r="I14" i="130" l="1"/>
  <c r="I12" i="130"/>
  <c r="C34" i="130" s="1"/>
  <c r="D34" i="130" s="1"/>
  <c r="E34" i="130" s="1"/>
  <c r="F34" i="130" s="1"/>
  <c r="I16" i="130"/>
  <c r="C38" i="130" s="1"/>
  <c r="D38" i="130" s="1"/>
  <c r="E38" i="130" s="1"/>
  <c r="F38" i="130" s="1"/>
  <c r="I10" i="130"/>
  <c r="C32" i="130" s="1"/>
  <c r="D32" i="130" s="1"/>
  <c r="E32" i="130" s="1"/>
  <c r="F32" i="130" s="1"/>
  <c r="I15" i="130"/>
  <c r="I6" i="130"/>
  <c r="C28" i="130" s="1"/>
  <c r="D28" i="130" s="1"/>
  <c r="E28" i="130" s="1"/>
  <c r="F28" i="130" s="1"/>
  <c r="I8" i="130"/>
  <c r="I9" i="130"/>
  <c r="C26" i="130"/>
  <c r="D26" i="130" s="1"/>
  <c r="E26" i="130" s="1"/>
  <c r="F26" i="130" s="1"/>
  <c r="C170" i="115"/>
  <c r="C172" i="115" s="1"/>
  <c r="C51" i="115" s="1"/>
  <c r="C49" i="115"/>
  <c r="C50" i="115" l="1"/>
  <c r="C36" i="130"/>
  <c r="D36" i="130" s="1"/>
  <c r="E36" i="130" s="1"/>
  <c r="F36" i="130" s="1"/>
  <c r="C30" i="130"/>
  <c r="D30" i="130" s="1"/>
  <c r="E30" i="130" s="1"/>
  <c r="F30" i="130" s="1"/>
  <c r="C56" i="115" l="1"/>
  <c r="C58" i="115"/>
  <c r="C59" i="115" s="1"/>
</calcChain>
</file>

<file path=xl/sharedStrings.xml><?xml version="1.0" encoding="utf-8"?>
<sst xmlns="http://schemas.openxmlformats.org/spreadsheetml/2006/main" count="981" uniqueCount="417">
  <si>
    <t>RSA forfaitaire</t>
  </si>
  <si>
    <t>Allocations familiales</t>
  </si>
  <si>
    <t>Allocation de soutien familial</t>
  </si>
  <si>
    <t>Avant décote</t>
  </si>
  <si>
    <t>Impôt avant plafonnement de l'AVQF</t>
  </si>
  <si>
    <t>Impôt sans enfants à charge</t>
  </si>
  <si>
    <t>plafond QF</t>
  </si>
  <si>
    <t>Impôt après plafonnement de l'AVQF</t>
  </si>
  <si>
    <t>décote</t>
  </si>
  <si>
    <t>Nombre de parts fiscales</t>
  </si>
  <si>
    <t>isolé</t>
  </si>
  <si>
    <t>couple</t>
  </si>
  <si>
    <t>C</t>
  </si>
  <si>
    <t xml:space="preserve">pour une personne seule </t>
  </si>
  <si>
    <t>pour 2 personnes</t>
  </si>
  <si>
    <t xml:space="preserve">pour 3 personnes ou plus </t>
  </si>
  <si>
    <t> Nombre d'enfants</t>
  </si>
  <si>
    <t>Par enfant en plus</t>
  </si>
  <si>
    <t>PF : Montant de la base mensuelle de calcul des AF (BMAF) de N-2</t>
  </si>
  <si>
    <t>Montant du loyer plafond pour les isolés sans pàc en zone 2</t>
  </si>
  <si>
    <t>Montant du loyer plafond pour les couples sans pàc en zone 2</t>
  </si>
  <si>
    <t>Montant du loyer plafond pour les familles une pàc en zone 2</t>
  </si>
  <si>
    <t>Montant du loyer plafond pour les familles supp pàc en zone 2</t>
  </si>
  <si>
    <t>Forfait de charges pour les familles sans personne à charge</t>
  </si>
  <si>
    <t>Forfait de charges pour les familles avec une personne à charge</t>
  </si>
  <si>
    <t>Forfait de charges pour les familles par personne à charge après une</t>
  </si>
  <si>
    <t>Montant de PL mensuel minimum pour donner lieu à versement</t>
  </si>
  <si>
    <t>Situation maritale</t>
  </si>
  <si>
    <t>montant</t>
  </si>
  <si>
    <t>majoré</t>
  </si>
  <si>
    <t>Seuil de la première tranche du barème</t>
  </si>
  <si>
    <t>Seuil de la deuxième tranche du barème</t>
  </si>
  <si>
    <t>Seuil de la troisième tranche du barème</t>
  </si>
  <si>
    <t>Seuil de la quatrième tranche du barème</t>
  </si>
  <si>
    <t>Taux de la première tranche du barème (en %)</t>
  </si>
  <si>
    <t>Taux de la deuxième tranche du barème (en %)</t>
  </si>
  <si>
    <t>Taux de la troisième tranche du barème (en %)</t>
  </si>
  <si>
    <t>Taux de la quatrième tranche du barème (en %)</t>
  </si>
  <si>
    <t>Maximum de la déduction au titre des frais professionnels</t>
  </si>
  <si>
    <t>Minimum de la déduction au titre des frais professionnels</t>
  </si>
  <si>
    <t>Plafond de l'avantage apporté par le quotient familial pour un parent isolé</t>
  </si>
  <si>
    <t>Plafond de la décote</t>
  </si>
  <si>
    <t>Déduction deuxième tranche</t>
  </si>
  <si>
    <t>Déduction troisième tranche</t>
  </si>
  <si>
    <t>Déduction quatrième tranche</t>
  </si>
  <si>
    <t>Déduction première tranche</t>
  </si>
  <si>
    <t>AIDES AU LOGEMENT</t>
  </si>
  <si>
    <t>Barème aides au logement</t>
  </si>
  <si>
    <t>Supplément par enfant</t>
  </si>
  <si>
    <t>nombre d'enfants &lt; 3 ans</t>
  </si>
  <si>
    <t>AB de la PAJE</t>
  </si>
  <si>
    <t>plafond isolé ou couple biactif 3 enf</t>
  </si>
  <si>
    <t>plafond couple monoactif 3 enf</t>
  </si>
  <si>
    <t>plafond couple monoactif 2 enf</t>
  </si>
  <si>
    <t>plafond couple monoactif 
1 enf</t>
  </si>
  <si>
    <t>plafond isoléou couple biactif  1 enf</t>
  </si>
  <si>
    <t>plafond isolé ou couple biactif 2 enf</t>
  </si>
  <si>
    <t>seuil activité</t>
  </si>
  <si>
    <t>Coefficient calcul ressources n-2</t>
  </si>
  <si>
    <t>Coefficient revenu imposable n-1</t>
  </si>
  <si>
    <t>Nombre de parts fiscales sans enfant à charge</t>
  </si>
  <si>
    <t>(isolé / couple)</t>
  </si>
  <si>
    <t>Impôt sur le revenu/12  (sur revenus stables n-1)</t>
  </si>
  <si>
    <t>Zone 2</t>
  </si>
  <si>
    <t>Zone 3</t>
  </si>
  <si>
    <t>Zone1</t>
  </si>
  <si>
    <t>(1 / 2 / 3)</t>
  </si>
  <si>
    <t xml:space="preserve">Zone pour les aides au logement </t>
  </si>
  <si>
    <t>ARS 11-14 ans</t>
  </si>
  <si>
    <t>plafond  
1 enf</t>
  </si>
  <si>
    <t>Plafond ARS</t>
  </si>
  <si>
    <t>(soit un nombre, soit sous la forme =x*smic)</t>
  </si>
  <si>
    <t>ARS/12</t>
  </si>
  <si>
    <t>Niveau de vie</t>
  </si>
  <si>
    <t>Aides au logement</t>
  </si>
  <si>
    <t>droit ASF</t>
  </si>
  <si>
    <t>(0 ou 1)</t>
  </si>
  <si>
    <t>ARS 6-10 ans</t>
  </si>
  <si>
    <t>ARS 15-18 ans</t>
  </si>
  <si>
    <t>INSEE</t>
  </si>
  <si>
    <t>Taux appliqué à la somme loyer plus charge afin de calculer la participation personnelle</t>
  </si>
  <si>
    <t>Participation personnelle minimale forfaitaire notée p0</t>
  </si>
  <si>
    <t>Taux de la déduction au titre des frais professionnels</t>
  </si>
  <si>
    <t>Plafond de l'avantage apporté par le quotient familial pour un couple</t>
  </si>
  <si>
    <t>Coefficient de calcul de la décote</t>
  </si>
  <si>
    <t>ARS total</t>
  </si>
  <si>
    <t>ARS total max</t>
  </si>
  <si>
    <t>Forfait logement</t>
  </si>
  <si>
    <t>RSA</t>
  </si>
  <si>
    <t>CF</t>
  </si>
  <si>
    <t>ARS</t>
  </si>
  <si>
    <t>AB</t>
  </si>
  <si>
    <t>majoration RSA (y compris grossesse)</t>
  </si>
  <si>
    <t>coefficient drevenus d'activité pour le revenu garanti</t>
  </si>
  <si>
    <t>AF hors majo</t>
  </si>
  <si>
    <t>majoration AF</t>
  </si>
  <si>
    <t>revenu d'activité</t>
  </si>
  <si>
    <t>revenu net imposable</t>
  </si>
  <si>
    <t>Revenu  n-1 déclaré</t>
  </si>
  <si>
    <t>quotient familial</t>
  </si>
  <si>
    <t>quotient familial sans enfant à charge</t>
  </si>
  <si>
    <t>réduction d'impôt pour enfant à charge au collège</t>
  </si>
  <si>
    <t>réduction d'impôt pour enfant à charge au lycée</t>
  </si>
  <si>
    <t>réduction d'impôt pour enfant à charge étudiant du supérieur</t>
  </si>
  <si>
    <t>âge premier enfant</t>
  </si>
  <si>
    <t>âge deuxième enfant</t>
  </si>
  <si>
    <t>âge troisième enfant</t>
  </si>
  <si>
    <t>âge quatrième enfant</t>
  </si>
  <si>
    <t>âge cinquième enfant</t>
  </si>
  <si>
    <t>âge sixième enfant</t>
  </si>
  <si>
    <t xml:space="preserve">écrire -1 si n'existe pas dans la famille </t>
  </si>
  <si>
    <t>Avantage du QF plafonné</t>
  </si>
  <si>
    <t>Forfait RSA  : Montant pour un isolé sans enfant de N-2</t>
  </si>
  <si>
    <t>Impôt avant réductions et crédits d'impôt</t>
  </si>
  <si>
    <t>Réduction pour enfants poursuivant des études secondaires ou supérieures</t>
  </si>
  <si>
    <t>nombre d'enfants à charge pour l'impôt (moins de 18 ans ou étudiant de moins de 25 ans)</t>
  </si>
  <si>
    <t>nombre d'enfants PF (moins de 20 ans)</t>
  </si>
  <si>
    <t>nombre d'enfants RSA (moins de 25 ans)</t>
  </si>
  <si>
    <t>nombre d'enfants 14-20 ans (pour majo AF)</t>
  </si>
  <si>
    <t>Impôt après réductions et crédits d'impôt</t>
  </si>
  <si>
    <t>BMAF (base menseulle de calcul des PF)</t>
  </si>
  <si>
    <t>majoration AF &gt;14 ans sauf aîné famille de 2)</t>
  </si>
  <si>
    <t>Montant</t>
  </si>
  <si>
    <t>Rsa socle avant seuil versement</t>
  </si>
  <si>
    <t xml:space="preserve">Montant </t>
  </si>
  <si>
    <t>majoration</t>
  </si>
  <si>
    <t>Montant réduit</t>
  </si>
  <si>
    <t>Plafond 1 CF</t>
  </si>
  <si>
    <t>Plafond 2 CF</t>
  </si>
  <si>
    <t>Plafond 2 AB</t>
  </si>
  <si>
    <t>Plafond 1 AB</t>
  </si>
  <si>
    <t>forfait AF</t>
  </si>
  <si>
    <t>Forfait AF</t>
  </si>
  <si>
    <t>plafond 1 AF pour 2 enfants</t>
  </si>
  <si>
    <t>supplément plafond AF par enfant</t>
  </si>
  <si>
    <t>AF avant modulation</t>
  </si>
  <si>
    <t xml:space="preserve">plafond1 </t>
  </si>
  <si>
    <t>plafond2</t>
  </si>
  <si>
    <t>nombre d'enfants CF et  PL (moins de 21 ans)</t>
  </si>
  <si>
    <t>Cf de base</t>
  </si>
  <si>
    <t>complément CF</t>
  </si>
  <si>
    <t>Autres revenus hors  pensions alimentaires (allocations chômage, retraites)</t>
  </si>
  <si>
    <t>ASF à déduire du RSA</t>
  </si>
  <si>
    <t>Complément familial avant majoration</t>
  </si>
  <si>
    <t>Majoration du complément familial</t>
  </si>
  <si>
    <t>nombre d'enfant au collège</t>
  </si>
  <si>
    <t>nombre d'enfant au lycée</t>
  </si>
  <si>
    <t>plafond décote couple</t>
  </si>
  <si>
    <t>complément dégressif</t>
  </si>
  <si>
    <t>Total prestations familiales (hors CMG)</t>
  </si>
  <si>
    <t>Bonus indiv théorique</t>
  </si>
  <si>
    <t>Prime d'activité</t>
  </si>
  <si>
    <t>Prime d'activité avant seuil versement</t>
  </si>
  <si>
    <t>INSEE : Montant mensuel net du smic pour 35 heures de travail par semaine (151,67 h/mois) après déduction de la CSG et CRDS    -       http://www.insee.fr/fr/bases-de-donnees/bsweb/serie.asp?idbank=000879878</t>
  </si>
  <si>
    <t>INSEE : Indice des prix à la consommation - Secteurs conjoncturels (mensuel, ensemble des ménages, métropole + DOM, base 1998) - Ensemble hors tabac         -       http://www.bdm.insee.fr/bdm2/affichageSeries.action?idbank=000641194&amp;request_locale=fr</t>
  </si>
  <si>
    <t>Prestations légales Caf 2016 (circulaire DSS du 15 mars 2016)</t>
  </si>
  <si>
    <t>Pensions alimentaires versées</t>
  </si>
  <si>
    <t>Prime d'activité - calcul du bonus</t>
  </si>
  <si>
    <t>seuil bonus max</t>
  </si>
  <si>
    <t>montant bonus max</t>
  </si>
  <si>
    <t>Année</t>
  </si>
  <si>
    <t>Mois</t>
  </si>
  <si>
    <t>Valeur</t>
  </si>
  <si>
    <t>Décembre</t>
  </si>
  <si>
    <t>Novembre</t>
  </si>
  <si>
    <t>Octobre</t>
  </si>
  <si>
    <t>Septembre</t>
  </si>
  <si>
    <t>Août</t>
  </si>
  <si>
    <t>Juillet</t>
  </si>
  <si>
    <t>Juin</t>
  </si>
  <si>
    <t>Mai</t>
  </si>
  <si>
    <t>Avril</t>
  </si>
  <si>
    <t>Mars</t>
  </si>
  <si>
    <t>Février</t>
  </si>
  <si>
    <t>Janvier</t>
  </si>
  <si>
    <t>Parution au J.O.</t>
  </si>
  <si>
    <t>Smic net mensuel pour 151,67 heures</t>
  </si>
  <si>
    <t>IPC ensemble des ménages hors tabac</t>
  </si>
  <si>
    <t>Allocations familiales après crds (hors forfait)</t>
  </si>
  <si>
    <t>Complément familial après crds</t>
  </si>
  <si>
    <t>ASF après CRDS</t>
  </si>
  <si>
    <t>Allocation de rentrée scolaire après crds</t>
  </si>
  <si>
    <t>AB de la PAJE après CRDS</t>
  </si>
  <si>
    <t>Montant maximum du RSA</t>
  </si>
  <si>
    <t>Décote et réduction sous condition de revenus</t>
  </si>
  <si>
    <t>Impôt après décote</t>
  </si>
  <si>
    <t>plafond 2 AF pour 2 enfants</t>
  </si>
  <si>
    <t>nombre d'enfants &gt;=14 ans (pour calcul niveau de vie)</t>
  </si>
  <si>
    <t>Montant du forfait pour la PA</t>
  </si>
  <si>
    <t>Forfait logement pour la PA</t>
  </si>
  <si>
    <t>FL pour la prime d'activité</t>
  </si>
  <si>
    <t>décret du 27mai 2014</t>
  </si>
  <si>
    <t>CF à déduire du rsa</t>
  </si>
  <si>
    <t>enfant né après le 1er avril 2018</t>
  </si>
  <si>
    <t>- Si vous avez recours à une association ou une entreprise habilitée qui emploie un assistant maternel ou une personne à domicile, vous pouvez bénéficier de ce complément de libre choix du mode de garde si l’enfant est gardé au moins 16 heures dans le mois.</t>
  </si>
  <si>
    <t>- Si vous avez recours à une micro-crèche vous pouvez bénéficier de ce complément de libre choix du mode de garde si l’enfant est gardé au moins 16 heures dans le mois et si, à compter du 1er septembre 2016, la tarification horaire pratiquée n’est pas supérieure à 10 euros par enfant gardé.</t>
  </si>
  <si>
    <t>En cas d’emploi direct d’un assistant maternel ou d’une garde d’enfant à domicile,votre Caf prend en charge</t>
  </si>
  <si>
    <t>1 173,60</t>
  </si>
  <si>
    <t>5/16/2018</t>
  </si>
  <si>
    <t>4/13/2018</t>
  </si>
  <si>
    <t>3/16/2018</t>
  </si>
  <si>
    <t>2/23/2018</t>
  </si>
  <si>
    <t>1/13/2018</t>
  </si>
  <si>
    <t>12/15/2017</t>
  </si>
  <si>
    <t xml:space="preserve">Seuil 1 de la contribution exceptionnelle sur les hauts revenus </t>
  </si>
  <si>
    <t xml:space="preserve">Seuil 2 de la contribution exceptionnelle sur les hauts revenus </t>
  </si>
  <si>
    <t>Taux 1 de la contribution exceptionnelle sur les hauts revenus</t>
  </si>
  <si>
    <t>Taux 2 de la contribution exceptionnelle sur les hauts revenus</t>
  </si>
  <si>
    <t>IMPOT SUR LE REVENU</t>
  </si>
  <si>
    <t>contribution exceptionnelle sur les hauts revenus</t>
  </si>
  <si>
    <t xml:space="preserve"> en € mensuels</t>
  </si>
  <si>
    <t>Loyer plafonné L</t>
  </si>
  <si>
    <t>Loyer</t>
  </si>
  <si>
    <t>Loyer pour les aides au logement ("plaf" si = au loyer plafond)</t>
  </si>
  <si>
    <t>L+C</t>
  </si>
  <si>
    <t>R0 personne seule</t>
  </si>
  <si>
    <t>R0 Couple sans PAC</t>
  </si>
  <si>
    <t>R0 1 pac</t>
  </si>
  <si>
    <t>R0 2 Pac</t>
  </si>
  <si>
    <t>R0 3 pac</t>
  </si>
  <si>
    <t>R0 4 pac</t>
  </si>
  <si>
    <t>R0 5 Pac</t>
  </si>
  <si>
    <t>R0 6 pac</t>
  </si>
  <si>
    <t>R0 par pac sup</t>
  </si>
  <si>
    <t>Taux de participation Tf pour les isolés sans personne à charge</t>
  </si>
  <si>
    <t>Taux de participation Tf pour les couples sans personne à charge</t>
  </si>
  <si>
    <t>Taux de participation Tf pour les familles avec une personne à charge</t>
  </si>
  <si>
    <t>Taux de participation Tf pour les familles avec deux personnes à charge</t>
  </si>
  <si>
    <t>Taux de participation Tf pour les familles avec trois personnes à charge</t>
  </si>
  <si>
    <t>Taux de participation Tf pour les familles avec quatre personnes à charge</t>
  </si>
  <si>
    <t>Taux de participation Tf diminution du taux par personne à charge après quatre</t>
  </si>
  <si>
    <t>taux de participation famille TF</t>
  </si>
  <si>
    <t>taux de participation lié au loyer TL</t>
  </si>
  <si>
    <t>participation personnelle</t>
  </si>
  <si>
    <t>participation minimale</t>
  </si>
  <si>
    <t>Base ressources</t>
  </si>
  <si>
    <t>smic horaire (pour PA)</t>
  </si>
  <si>
    <t>seuil déclenchement bonus (nb de smic_h)</t>
  </si>
  <si>
    <t>Salaire Adulte 1</t>
  </si>
  <si>
    <t>Salaire Adulte 2</t>
  </si>
  <si>
    <t>Evolution du smic entre 2019 et 2020</t>
  </si>
  <si>
    <t>smic net 1 er janvier 2018</t>
  </si>
  <si>
    <t>smic net 1 er janvier 2019</t>
  </si>
  <si>
    <t>smic net 1 er janvier 2020</t>
  </si>
  <si>
    <t>Evolution jan 2019 - janv 2020</t>
  </si>
  <si>
    <t>Evolution janv 2018 - janv 2019</t>
  </si>
  <si>
    <t>taux cotisation employé</t>
  </si>
  <si>
    <t>taux csg imposable</t>
  </si>
  <si>
    <t>taux csg déductible</t>
  </si>
  <si>
    <t>ratio assiette csg et crds</t>
  </si>
  <si>
    <t>taux crds</t>
  </si>
  <si>
    <t>1er avril 2019</t>
  </si>
  <si>
    <t>seuil de versement</t>
  </si>
  <si>
    <t>Taux complémentaire Tl au loyer plafond</t>
  </si>
  <si>
    <t>seuil 1 dégressivité personne seule</t>
  </si>
  <si>
    <t>seuil 1 dégressivité couple</t>
  </si>
  <si>
    <t>seuil 1 dégressivité 1 pàc</t>
  </si>
  <si>
    <t>seuil 1 dégressivité supplément par pàc supplémentaire</t>
  </si>
  <si>
    <t>seuil 2 dégressivité personne seule</t>
  </si>
  <si>
    <t>seuil 2 dégressivité couple</t>
  </si>
  <si>
    <t>seuil 2 dégressivité supplément par pàc supplémentaire</t>
  </si>
  <si>
    <t>seuil 2 dégressivité 1 pàc</t>
  </si>
  <si>
    <t>réduction forfaitaire al</t>
  </si>
  <si>
    <t>évolution (n-1)/n pour calcul impôt</t>
  </si>
  <si>
    <t>évolution (n-2)/n pour calcul PL et conditions de ressources</t>
  </si>
  <si>
    <r>
      <rPr>
        <b/>
        <sz val="12"/>
        <rFont val="Arial"/>
        <family val="2"/>
      </rPr>
      <t xml:space="preserve">Barème IRPP 2020 </t>
    </r>
    <r>
      <rPr>
        <sz val="12"/>
        <rFont val="Arial"/>
        <family val="2"/>
      </rPr>
      <t>sur revenus 2019</t>
    </r>
  </si>
  <si>
    <t>IPC 2020-2020</t>
  </si>
  <si>
    <t>Montant de l'impôt sur le revenu</t>
  </si>
  <si>
    <t>Prestations familiales à déduire (avant CRDS)</t>
  </si>
  <si>
    <t>nombre d'unités de consommation</t>
  </si>
  <si>
    <t>AL avant dégressivité liée au loyer (AL0)</t>
  </si>
  <si>
    <t>aide après degressivité (AL1)</t>
  </si>
  <si>
    <t>aide après réduction de 5€ (AL3)</t>
  </si>
  <si>
    <t>AL après troncature seuil de versement et CDRS (AL3)</t>
  </si>
  <si>
    <t>montant forfaitaire pour la prime d'activité</t>
  </si>
  <si>
    <t>Forfait logement du RSA</t>
  </si>
  <si>
    <t>Revenu garanti : forfait PA+0,61*revenu d'activité+bonus théorique</t>
  </si>
  <si>
    <t>seuil de revenu avant dégressivité liée au revenu (R0)</t>
  </si>
  <si>
    <t>PREPARE après CRDS</t>
  </si>
  <si>
    <t>PREPARE taux plein (sans emploi)</t>
  </si>
  <si>
    <t>PREPARE taux réduit 1 (emploi à moins de 50%)</t>
  </si>
  <si>
    <t>PREPARE taux réduit 2 (emploi à 50%-80%)</t>
  </si>
  <si>
    <t>CMG de la PAJE après CRDS</t>
  </si>
  <si>
    <t>seuil intermédiaire 1 enfant</t>
  </si>
  <si>
    <t>seuil intermédiaire 2 enfants</t>
  </si>
  <si>
    <t>seuil intermédiaire  supplément par enfant</t>
  </si>
  <si>
    <t>premier seuil /seuil intermédiaire</t>
  </si>
  <si>
    <t>majo_plafond_isolé</t>
  </si>
  <si>
    <t>Conditions d’attribution</t>
  </si>
  <si>
    <t>tranche1</t>
  </si>
  <si>
    <t>tranche 2</t>
  </si>
  <si>
    <t>- Vous remplissez les conditions générales pour bénéficier des prestations familiales.</t>
  </si>
  <si>
    <t>tranche 3</t>
  </si>
  <si>
    <t>prise en charge max du salaire net</t>
  </si>
  <si>
    <t>- Vous devez avoir une activité professionnelle.</t>
  </si>
  <si>
    <t>prise en charge max des cotisations (pour garde à domicile)</t>
  </si>
  <si>
    <t>- Si vous avez recours à un assistant maternel, il doit être agréée par les services de la protection maternelle et infantile. Son salaire brut ne doit pas dépasser 49,40 € au 1er janvier 2018 par jour et par enfant gardé.</t>
  </si>
  <si>
    <t>durée garde par Assistante maternelle (en % d'un temps plein)</t>
  </si>
  <si>
    <t>150% si un enfant à plein temps et un à mi temps</t>
  </si>
  <si>
    <t>durée garde à domicile (en % d'un temps plein)</t>
  </si>
  <si>
    <t>durée garde à partagée (en % d'un temps plein)</t>
  </si>
  <si>
    <t>durée de la garde en crèche</t>
  </si>
  <si>
    <t>quotité PREPARE Adulte 1 (% temps de travail 0%-50%-80%)</t>
  </si>
  <si>
    <t>(0 / 1)</t>
  </si>
  <si>
    <t>PREPARE</t>
  </si>
  <si>
    <t>CMG PCSN  (pas incluse dans le revenu disponible)</t>
  </si>
  <si>
    <t>CMG PCCS (pas incluse dans le revenu disponible)</t>
  </si>
  <si>
    <t>PREPARE Adulte 1</t>
  </si>
  <si>
    <t>PREPARE Adulte 2 (avant règle cumul)</t>
  </si>
  <si>
    <t>PREPARE foyer</t>
  </si>
  <si>
    <t>Garde par une assistante maternelle</t>
  </si>
  <si>
    <t>Coût net de la garde par une assistante maternelle</t>
  </si>
  <si>
    <t>cotisations prises en charge par la Caf</t>
  </si>
  <si>
    <t>coût net mensuel pour impôt</t>
  </si>
  <si>
    <t>Garde à domicile</t>
  </si>
  <si>
    <t>Coût brut de la garde à domicile</t>
  </si>
  <si>
    <t>Salaire net garde à domicile</t>
  </si>
  <si>
    <t>Infos complémentaires garde d'enfant</t>
  </si>
  <si>
    <t>Garde par une assistante maternelle (18j, 9h/j)</t>
  </si>
  <si>
    <t>salaire net horaire (yc 10% de congés payés)</t>
  </si>
  <si>
    <t>Part salariale</t>
  </si>
  <si>
    <t>Part patronale</t>
  </si>
  <si>
    <t>indemnité d'entretien/jour</t>
  </si>
  <si>
    <t>indemnité d'entretien/jour forfaitaire pour le crédit d'impôt</t>
  </si>
  <si>
    <t>Indemnité de repas</t>
  </si>
  <si>
    <t>nombre de jours par mois</t>
  </si>
  <si>
    <t>nombre d'heures par jour</t>
  </si>
  <si>
    <t>indeminté repas temps plein</t>
  </si>
  <si>
    <t>coût mensuel brut total pour une garde à temps plein</t>
  </si>
  <si>
    <t>coût net mensuel pris en compte pour le CMG (garde à temps plein)</t>
  </si>
  <si>
    <t>coût net mensuel pris en compte pour le crédit d'impôt (garde à temps plein)</t>
  </si>
  <si>
    <t>cotisation salariales (garde à temps plein)</t>
  </si>
  <si>
    <t>Garde à domicile (18j , 9h par jour dont 1h de présence payée 2/3)</t>
  </si>
  <si>
    <t>salaire net horaire</t>
  </si>
  <si>
    <t>nombre d'heures par jour de travail effectif</t>
  </si>
  <si>
    <t>nombre d'heures par jour de présence responsable</t>
  </si>
  <si>
    <t>coût mensuel net pour une garde à temps plein</t>
  </si>
  <si>
    <t>cotisations pour une garde à temps plein</t>
  </si>
  <si>
    <t>coût mensuel brut pour une garde à temps plein</t>
  </si>
  <si>
    <t>Crèche</t>
  </si>
  <si>
    <t>Coût de la crèche / nb eàc</t>
  </si>
  <si>
    <t>Coef horaire</t>
  </si>
  <si>
    <t>Coeff à multier au revenu imposable n-1 (mensuel !) pour calculer le coût annuel de la crèche pour un temps plein 
(Nb d'heure hebdo x 45 semaines x Tarif Horaire)</t>
  </si>
  <si>
    <t>4 à 6 enfants</t>
  </si>
  <si>
    <t>Nombre d'heures par jour de garde pour un temps plein</t>
  </si>
  <si>
    <t>Nombre de jours de garde par semaine pour un temps plein</t>
  </si>
  <si>
    <t>Nombre de semaines de garde pour un temps plein</t>
  </si>
  <si>
    <t>plancher de ressources</t>
  </si>
  <si>
    <t>plafond de ressources</t>
  </si>
  <si>
    <t>Calcul du tarif mensuel payé par la famille ou participation familiale pour l'accueil régulier :</t>
  </si>
  <si>
    <t>Le calcul résulte du contrat d'accueil qui prévoit les jours, les horaires d'accueil de l'enfant sur une base annuelle.</t>
  </si>
  <si>
    <t>Le prix mensuel est forfaitisé sur 11 mois. Il donne lieu à une facturation mensuelle reçue par la famille à son domicile.</t>
  </si>
  <si>
    <t>Forfait mensuel =  Nb d'heure hebdo x 45 semaines x Tarif Horaire / 11 mois</t>
  </si>
  <si>
    <t>Les 45 semaines représentent 52 semaines par an déduction faites des 6 semaines de congés payés et d'1 semaine de jours fériés.</t>
  </si>
  <si>
    <t>quotité PREPARE Adulte 2 (100% si travaille à temps plein)</t>
  </si>
  <si>
    <t>salaire total en part du smic (calcul automatique)</t>
  </si>
  <si>
    <t>plafond intermédiaire</t>
  </si>
  <si>
    <t>Coût mensuel de la garde (étalé sur 12 mois)</t>
  </si>
  <si>
    <t>Plafond CMG</t>
  </si>
  <si>
    <t>Prestations familiales à déduire (après CRDS)</t>
  </si>
  <si>
    <t>Crédit d'impôt garde par crèche ou assmat</t>
  </si>
  <si>
    <t>plafond frais de garde à domicile</t>
  </si>
  <si>
    <t>Crédit d'impôt pour frais de garde</t>
  </si>
  <si>
    <t>part des frais de garde par une assistante maternelle prise en compte pour le crédit d'impôt</t>
  </si>
  <si>
    <t>maximum des  frais de garde par une assistante maternelle pris en comptes pour le crédit d'impôt</t>
  </si>
  <si>
    <t>part des frais de garde par une garde à domicile prise en compte pour le crédit d'impôt</t>
  </si>
  <si>
    <t>seuil 1 pour calcul plafond de dépenses</t>
  </si>
  <si>
    <t>supplément par enfant du plafond de dépense</t>
  </si>
  <si>
    <t>maximum des  frais de garde par une garde à domicile pris en comptes pour loe crédit d'impôt</t>
  </si>
  <si>
    <t>impôt après plaf AVQF</t>
  </si>
  <si>
    <t>exonération de cotisations</t>
  </si>
  <si>
    <t>montant (avant revalo covid)</t>
  </si>
  <si>
    <t>Barèmes pensions alimentaires</t>
  </si>
  <si>
    <t>TABLE DE REFERENCE 2013 POUR FIXER LES PENSIONS ALIMENTAIRES</t>
  </si>
  <si>
    <t>taux</t>
  </si>
  <si>
    <t>Enf</t>
  </si>
  <si>
    <t>classique</t>
  </si>
  <si>
    <t>réduit</t>
  </si>
  <si>
    <t>alterné</t>
  </si>
  <si>
    <t>TABLE DE REFERENCE 2018 POUR FIXER LES PENSIONS ALIMENTAIRES</t>
  </si>
  <si>
    <t>reste à vivre minimum</t>
  </si>
  <si>
    <t>Abattement</t>
  </si>
  <si>
    <t>CEEE</t>
  </si>
  <si>
    <t>RSA+PA</t>
  </si>
  <si>
    <t>AL</t>
  </si>
  <si>
    <t>IR</t>
  </si>
  <si>
    <t>total net</t>
  </si>
  <si>
    <t>variation TSF net</t>
  </si>
  <si>
    <t>ceee par enfant</t>
  </si>
  <si>
    <t>Pension nette reçue</t>
  </si>
  <si>
    <t>montant gelé</t>
  </si>
  <si>
    <t>1er avril 2020</t>
  </si>
  <si>
    <t>ASF recouvrable</t>
  </si>
  <si>
    <t>CEEE recouvrée</t>
  </si>
  <si>
    <t xml:space="preserve">                                          </t>
  </si>
  <si>
    <t>Effet net de la CEEE sur le revenu disponible (en % de son montant)</t>
  </si>
  <si>
    <t>ASF</t>
  </si>
  <si>
    <t>autres PF</t>
  </si>
  <si>
    <t>Taux marginal effectif de prélèvement sur la CEEE recouvrée</t>
  </si>
  <si>
    <t>plaf</t>
  </si>
  <si>
    <t>Quotité travail Adulte 1 (calcul automatique sauf souhait contraire)</t>
  </si>
  <si>
    <t>Quotité travail Adulte 2 (calcul automatique sauf souhait contraire)</t>
  </si>
  <si>
    <r>
      <t xml:space="preserve">CASES BLEUES A RENSEIGNER (sauf texte rouge) - </t>
    </r>
    <r>
      <rPr>
        <sz val="10"/>
        <rFont val="Arial"/>
        <family val="2"/>
      </rPr>
      <t>maximum 6 enfants</t>
    </r>
  </si>
  <si>
    <t>Revenus primaires  mensuels</t>
  </si>
  <si>
    <t>Total Prestations (hors CMG)</t>
  </si>
  <si>
    <t>Total revenu disponible (hors CMG)</t>
  </si>
  <si>
    <t>RSA versé</t>
  </si>
  <si>
    <t>Prime d'activité versée</t>
  </si>
  <si>
    <t>RESULTATS PRINCIPAUX</t>
  </si>
  <si>
    <t>RESULTATS COMPLEMENTAIRES</t>
  </si>
  <si>
    <t>Coût net de la garde</t>
  </si>
  <si>
    <t>Revenu disponible net du coût de la garde</t>
  </si>
  <si>
    <t>Niveau de vie net du coût de la garde</t>
  </si>
  <si>
    <t>Calculs intermédiaires (peuvent être démasqués)</t>
  </si>
  <si>
    <t>Nombre d'enfants par âge</t>
  </si>
  <si>
    <t>nombre d'enfants âgés de 18 ans ou plus étudiants du supérieur pour impôt : calcul automatique sauf souhait contraire</t>
  </si>
  <si>
    <t>Pensions alimentaires reçues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</si>
</sst>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#,##0\ &quot;€&quot;"/>
    <numFmt numFmtId="166" formatCode="0.000"/>
    <numFmt numFmtId="167" formatCode="#,##0.00\ &quot;€&quot;"/>
    <numFmt numFmtId="168" formatCode="0.0%"/>
    <numFmt numFmtId="169" formatCode="#,##0.0"/>
    <numFmt numFmtId="170" formatCode="0.0000"/>
    <numFmt numFmtId="171" formatCode="#,##0.000"/>
    <numFmt numFmtId="172" formatCode="_-* #,##0.0000\ _€_-;\-* #,##0.0000\ _€_-;_-* &quot;-&quot;??\ _€_-;_-@_-"/>
    <numFmt numFmtId="173" formatCode="#,##0.0000\ &quot;€&quot;"/>
    <numFmt numFmtId="174" formatCode="_-* #,##0\ _€_-;\-* #,##0\ _€_-;_-* &quot;-&quot;??\ _€_-;_-@_-"/>
    <numFmt numFmtId="175" formatCode="0.00000"/>
    <numFmt numFmtId="176" formatCode="#,##0.0\ &quot;€&quot;"/>
    <numFmt numFmtId="177" formatCode="_-* #,##0\ _€_-;\-* #,##0\ _€_-;_-* &quot;-&quot;??\ _€_-;_-@"/>
    <numFmt numFmtId="178" formatCode="0.000%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2"/>
      <name val="Century Gothic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2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2"/>
      <color theme="3" tint="0.59999389629810485"/>
      <name val="Arial"/>
      <family val="2"/>
    </font>
    <font>
      <sz val="10"/>
      <color rgb="FF000000"/>
      <name val="Arial"/>
      <family val="2"/>
    </font>
    <font>
      <sz val="12"/>
      <name val="Arial"/>
      <family val="2"/>
    </font>
    <font>
      <sz val="11"/>
      <name val="Arial"/>
      <family val="2"/>
    </font>
    <font>
      <u/>
      <sz val="9"/>
      <color theme="10"/>
      <name val="Arial"/>
      <family val="2"/>
    </font>
    <font>
      <sz val="11"/>
      <color rgb="FFFF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name val="Century Gothic"/>
      <family val="2"/>
    </font>
    <font>
      <sz val="8"/>
      <name val="Century Gothic"/>
      <family val="2"/>
    </font>
    <font>
      <sz val="6"/>
      <name val="Arial"/>
      <family val="2"/>
    </font>
    <font>
      <sz val="8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66FFFF"/>
        <bgColor rgb="FF66FFFF"/>
      </patternFill>
    </fill>
    <fill>
      <patternFill patternType="solid">
        <fgColor rgb="FF66FFFF"/>
        <bgColor rgb="FFD8D8D8"/>
      </patternFill>
    </fill>
    <fill>
      <patternFill patternType="solid">
        <fgColor rgb="FF00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7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62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0" borderId="0" applyNumberFormat="0" applyFill="0" applyBorder="0" applyAlignment="0" applyProtection="0"/>
    <xf numFmtId="0" fontId="11" fillId="20" borderId="1" applyNumberFormat="0" applyAlignment="0" applyProtection="0"/>
    <xf numFmtId="0" fontId="12" fillId="0" borderId="2" applyNumberFormat="0" applyFill="0" applyAlignment="0" applyProtection="0"/>
    <xf numFmtId="0" fontId="3" fillId="21" borderId="3" applyNumberFormat="0" applyFont="0" applyAlignment="0" applyProtection="0"/>
    <xf numFmtId="0" fontId="13" fillId="7" borderId="1" applyNumberFormat="0" applyAlignment="0" applyProtection="0"/>
    <xf numFmtId="44" fontId="3" fillId="0" borderId="0" applyFont="0" applyFill="0" applyBorder="0" applyAlignment="0" applyProtection="0"/>
    <xf numFmtId="0" fontId="14" fillId="3" borderId="0" applyNumberFormat="0" applyBorder="0" applyAlignment="0" applyProtection="0"/>
    <xf numFmtId="43" fontId="3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5" fillId="22" borderId="0" applyNumberFormat="0" applyBorder="0" applyAlignment="0" applyProtection="0"/>
    <xf numFmtId="0" fontId="7" fillId="0" borderId="0"/>
    <xf numFmtId="0" fontId="7" fillId="0" borderId="0"/>
    <xf numFmtId="9" fontId="3" fillId="0" borderId="0" applyFont="0" applyFill="0" applyBorder="0" applyAlignment="0" applyProtection="0"/>
    <xf numFmtId="0" fontId="16" fillId="4" borderId="0" applyNumberFormat="0" applyBorder="0" applyAlignment="0" applyProtection="0"/>
    <xf numFmtId="0" fontId="17" fillId="20" borderId="4" applyNumberFormat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 applyNumberFormat="0" applyFill="0" applyAlignment="0" applyProtection="0"/>
    <xf numFmtId="0" fontId="24" fillId="23" borderId="9" applyNumberFormat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1" fillId="28" borderId="0">
      <alignment horizontal="center" vertical="center" wrapText="1"/>
    </xf>
    <xf numFmtId="0" fontId="33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6" fillId="0" borderId="0" applyNumberFormat="0" applyFill="0" applyBorder="0" applyAlignment="0" applyProtection="0">
      <alignment vertical="top"/>
      <protection locked="0"/>
    </xf>
    <xf numFmtId="0" fontId="39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11">
    <xf numFmtId="0" fontId="0" fillId="0" borderId="0" xfId="0"/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4" fillId="0" borderId="0" xfId="0" applyFont="1" applyFill="1" applyBorder="1"/>
    <xf numFmtId="3" fontId="0" fillId="0" borderId="0" xfId="0" applyNumberFormat="1" applyFill="1" applyBorder="1" applyAlignment="1"/>
    <xf numFmtId="0" fontId="0" fillId="0" borderId="0" xfId="0" applyFill="1"/>
    <xf numFmtId="0" fontId="5" fillId="24" borderId="11" xfId="0" applyFont="1" applyFill="1" applyBorder="1"/>
    <xf numFmtId="0" fontId="5" fillId="24" borderId="12" xfId="0" applyFont="1" applyFill="1" applyBorder="1"/>
    <xf numFmtId="0" fontId="5" fillId="24" borderId="16" xfId="0" applyFont="1" applyFill="1" applyBorder="1"/>
    <xf numFmtId="171" fontId="0" fillId="0" borderId="0" xfId="0" applyNumberFormat="1" applyBorder="1" applyAlignment="1"/>
    <xf numFmtId="0" fontId="5" fillId="0" borderId="0" xfId="0" applyFont="1" applyFill="1" applyBorder="1"/>
    <xf numFmtId="1" fontId="5" fillId="0" borderId="0" xfId="0" applyNumberFormat="1" applyFont="1" applyBorder="1"/>
    <xf numFmtId="0" fontId="5" fillId="0" borderId="0" xfId="0" applyFont="1" applyBorder="1"/>
    <xf numFmtId="3" fontId="0" fillId="0" borderId="0" xfId="0" applyNumberFormat="1" applyBorder="1" applyAlignment="1"/>
    <xf numFmtId="3" fontId="0" fillId="0" borderId="0" xfId="32" applyNumberFormat="1" applyFont="1" applyBorder="1" applyAlignment="1"/>
    <xf numFmtId="0" fontId="4" fillId="0" borderId="0" xfId="0" applyFont="1" applyBorder="1"/>
    <xf numFmtId="0" fontId="5" fillId="24" borderId="10" xfId="0" applyFont="1" applyFill="1" applyBorder="1"/>
    <xf numFmtId="0" fontId="26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left" vertical="center"/>
    </xf>
    <xf numFmtId="1" fontId="5" fillId="0" borderId="0" xfId="0" applyNumberFormat="1" applyFont="1" applyFill="1" applyBorder="1"/>
    <xf numFmtId="0" fontId="27" fillId="25" borderId="0" xfId="0" applyFont="1" applyFill="1" applyAlignment="1">
      <alignment wrapText="1"/>
    </xf>
    <xf numFmtId="0" fontId="3" fillId="0" borderId="0" xfId="0" applyFont="1"/>
    <xf numFmtId="0" fontId="3" fillId="0" borderId="0" xfId="0" applyFont="1" applyFill="1" applyBorder="1"/>
    <xf numFmtId="0" fontId="27" fillId="0" borderId="0" xfId="0" applyFont="1"/>
    <xf numFmtId="0" fontId="27" fillId="0" borderId="0" xfId="0" applyFont="1" applyFill="1" applyAlignment="1">
      <alignment horizontal="center" vertical="center"/>
    </xf>
    <xf numFmtId="0" fontId="3" fillId="24" borderId="10" xfId="0" applyFont="1" applyFill="1" applyBorder="1" applyAlignment="1">
      <alignment wrapText="1"/>
    </xf>
    <xf numFmtId="0" fontId="0" fillId="0" borderId="0" xfId="0"/>
    <xf numFmtId="0" fontId="0" fillId="0" borderId="0" xfId="0"/>
    <xf numFmtId="0" fontId="29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" fontId="0" fillId="0" borderId="0" xfId="0" applyNumberFormat="1" applyAlignment="1">
      <alignment vertical="center" wrapText="1"/>
    </xf>
    <xf numFmtId="0" fontId="27" fillId="0" borderId="0" xfId="0" applyFont="1" applyFill="1" applyAlignment="1">
      <alignment horizontal="left" vertical="center"/>
    </xf>
    <xf numFmtId="0" fontId="27" fillId="25" borderId="0" xfId="0" applyFont="1" applyFill="1" applyAlignment="1">
      <alignment horizontal="left" vertical="center"/>
    </xf>
    <xf numFmtId="0" fontId="27" fillId="25" borderId="0" xfId="0" applyFont="1" applyFill="1" applyAlignment="1">
      <alignment horizontal="center" vertical="center"/>
    </xf>
    <xf numFmtId="0" fontId="27" fillId="0" borderId="14" xfId="0" applyFont="1" applyFill="1" applyBorder="1" applyAlignment="1">
      <alignment horizontal="left" vertical="center"/>
    </xf>
    <xf numFmtId="170" fontId="27" fillId="0" borderId="0" xfId="0" applyNumberFormat="1" applyFont="1" applyFill="1" applyAlignment="1">
      <alignment horizontal="center" vertical="center"/>
    </xf>
    <xf numFmtId="0" fontId="27" fillId="0" borderId="13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left" vertical="center"/>
    </xf>
    <xf numFmtId="10" fontId="30" fillId="0" borderId="0" xfId="37" applyNumberFormat="1" applyFont="1" applyFill="1" applyAlignment="1">
      <alignment horizontal="left" vertical="center"/>
    </xf>
    <xf numFmtId="0" fontId="27" fillId="0" borderId="17" xfId="0" applyFont="1" applyFill="1" applyBorder="1" applyAlignment="1">
      <alignment horizontal="left" vertical="center"/>
    </xf>
    <xf numFmtId="0" fontId="27" fillId="0" borderId="0" xfId="0" applyNumberFormat="1" applyFont="1" applyFill="1" applyAlignment="1">
      <alignment horizontal="center" vertical="center"/>
    </xf>
    <xf numFmtId="0" fontId="27" fillId="0" borderId="33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4" fontId="27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left" vertical="center" wrapText="1"/>
    </xf>
    <xf numFmtId="0" fontId="27" fillId="25" borderId="0" xfId="0" applyFont="1" applyFill="1" applyBorder="1" applyAlignment="1">
      <alignment horizontal="left" vertical="center" wrapText="1"/>
    </xf>
    <xf numFmtId="0" fontId="27" fillId="25" borderId="0" xfId="0" applyFont="1" applyFill="1" applyBorder="1" applyAlignment="1">
      <alignment horizontal="center" vertical="center"/>
    </xf>
    <xf numFmtId="4" fontId="27" fillId="25" borderId="0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166" fontId="27" fillId="0" borderId="0" xfId="0" applyNumberFormat="1" applyFont="1" applyFill="1" applyBorder="1" applyAlignment="1">
      <alignment horizontal="center"/>
    </xf>
    <xf numFmtId="0" fontId="28" fillId="0" borderId="0" xfId="0" applyFont="1" applyFill="1" applyAlignment="1">
      <alignment vertical="center"/>
    </xf>
    <xf numFmtId="0" fontId="27" fillId="0" borderId="0" xfId="0" applyFont="1" applyFill="1" applyBorder="1" applyAlignment="1">
      <alignment horizontal="center" vertical="center" wrapText="1"/>
    </xf>
    <xf numFmtId="0" fontId="27" fillId="0" borderId="11" xfId="0" applyFont="1" applyFill="1" applyBorder="1" applyAlignment="1">
      <alignment horizontal="left" vertical="center"/>
    </xf>
    <xf numFmtId="1" fontId="27" fillId="0" borderId="0" xfId="0" applyNumberFormat="1" applyFont="1" applyFill="1" applyBorder="1" applyAlignment="1">
      <alignment horizontal="center" vertical="center"/>
    </xf>
    <xf numFmtId="166" fontId="27" fillId="0" borderId="0" xfId="0" applyNumberFormat="1" applyFont="1" applyFill="1" applyBorder="1" applyAlignment="1">
      <alignment horizontal="center" vertical="center"/>
    </xf>
    <xf numFmtId="0" fontId="27" fillId="0" borderId="45" xfId="0" applyFont="1" applyFill="1" applyBorder="1" applyAlignment="1">
      <alignment horizontal="left" vertical="center"/>
    </xf>
    <xf numFmtId="165" fontId="27" fillId="0" borderId="0" xfId="0" applyNumberFormat="1" applyFont="1" applyFill="1" applyBorder="1" applyAlignment="1">
      <alignment horizontal="center" vertical="center"/>
    </xf>
    <xf numFmtId="0" fontId="27" fillId="0" borderId="10" xfId="0" applyFont="1" applyFill="1" applyBorder="1" applyAlignment="1">
      <alignment horizontal="left" vertical="center"/>
    </xf>
    <xf numFmtId="167" fontId="27" fillId="0" borderId="0" xfId="0" applyNumberFormat="1" applyFont="1" applyFill="1" applyBorder="1" applyAlignment="1">
      <alignment horizontal="center" vertical="center"/>
    </xf>
    <xf numFmtId="0" fontId="27" fillId="0" borderId="0" xfId="35" applyFont="1" applyFill="1" applyBorder="1" applyAlignment="1">
      <alignment horizontal="left" vertical="center"/>
    </xf>
    <xf numFmtId="0" fontId="27" fillId="0" borderId="17" xfId="0" applyFont="1" applyFill="1" applyBorder="1" applyAlignment="1">
      <alignment horizontal="left" vertical="center" wrapText="1"/>
    </xf>
    <xf numFmtId="9" fontId="27" fillId="0" borderId="0" xfId="37" applyFont="1" applyFill="1" applyBorder="1" applyAlignment="1">
      <alignment horizontal="center" vertical="center"/>
    </xf>
    <xf numFmtId="0" fontId="28" fillId="0" borderId="0" xfId="35" applyFont="1" applyFill="1" applyBorder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165" fontId="27" fillId="27" borderId="17" xfId="0" applyNumberFormat="1" applyFont="1" applyFill="1" applyBorder="1" applyAlignment="1">
      <alignment horizontal="center" vertical="center"/>
    </xf>
    <xf numFmtId="167" fontId="27" fillId="0" borderId="0" xfId="0" applyNumberFormat="1" applyFont="1" applyFill="1" applyBorder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0" fontId="27" fillId="0" borderId="12" xfId="0" applyFont="1" applyFill="1" applyBorder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30" fillId="0" borderId="0" xfId="0" applyFont="1" applyFill="1" applyAlignment="1">
      <alignment horizontal="left" vertical="center"/>
    </xf>
    <xf numFmtId="0" fontId="27" fillId="0" borderId="21" xfId="0" applyFont="1" applyFill="1" applyBorder="1" applyAlignment="1">
      <alignment horizontal="left" vertical="center" wrapText="1"/>
    </xf>
    <xf numFmtId="168" fontId="27" fillId="0" borderId="0" xfId="37" applyNumberFormat="1" applyFont="1" applyFill="1" applyAlignment="1">
      <alignment horizontal="center" vertical="center"/>
    </xf>
    <xf numFmtId="0" fontId="27" fillId="0" borderId="22" xfId="0" applyFont="1" applyFill="1" applyBorder="1" applyAlignment="1">
      <alignment horizontal="left" vertical="center" wrapText="1"/>
    </xf>
    <xf numFmtId="0" fontId="27" fillId="0" borderId="23" xfId="0" applyFont="1" applyFill="1" applyBorder="1" applyAlignment="1">
      <alignment horizontal="left" vertical="center" wrapText="1"/>
    </xf>
    <xf numFmtId="0" fontId="27" fillId="0" borderId="24" xfId="0" applyFont="1" applyFill="1" applyBorder="1" applyAlignment="1">
      <alignment horizontal="left" vertical="center" wrapText="1"/>
    </xf>
    <xf numFmtId="167" fontId="27" fillId="0" borderId="24" xfId="0" applyNumberFormat="1" applyFont="1" applyFill="1" applyBorder="1" applyAlignment="1">
      <alignment horizontal="center" vertical="center" wrapText="1"/>
    </xf>
    <xf numFmtId="9" fontId="27" fillId="0" borderId="0" xfId="37" applyFont="1" applyFill="1" applyAlignment="1">
      <alignment horizontal="center" vertical="center"/>
    </xf>
    <xf numFmtId="0" fontId="27" fillId="0" borderId="34" xfId="0" applyFont="1" applyFill="1" applyBorder="1" applyAlignment="1">
      <alignment horizontal="center" vertical="center" wrapText="1"/>
    </xf>
    <xf numFmtId="0" fontId="27" fillId="0" borderId="35" xfId="0" applyFont="1" applyFill="1" applyBorder="1" applyAlignment="1">
      <alignment horizontal="center" vertical="center" wrapText="1"/>
    </xf>
    <xf numFmtId="0" fontId="27" fillId="0" borderId="36" xfId="0" applyFont="1" applyFill="1" applyBorder="1" applyAlignment="1">
      <alignment horizontal="center" vertical="center" wrapText="1"/>
    </xf>
    <xf numFmtId="8" fontId="27" fillId="0" borderId="0" xfId="0" applyNumberFormat="1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left" vertical="center" wrapText="1"/>
    </xf>
    <xf numFmtId="167" fontId="27" fillId="0" borderId="0" xfId="0" applyNumberFormat="1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left" vertical="center" wrapText="1"/>
    </xf>
    <xf numFmtId="0" fontId="27" fillId="0" borderId="20" xfId="0" applyFont="1" applyFill="1" applyBorder="1" applyAlignment="1">
      <alignment horizontal="left" vertical="center" wrapText="1"/>
    </xf>
    <xf numFmtId="0" fontId="27" fillId="0" borderId="37" xfId="0" applyFont="1" applyFill="1" applyBorder="1" applyAlignment="1">
      <alignment horizontal="left" vertical="center" wrapText="1"/>
    </xf>
    <xf numFmtId="0" fontId="28" fillId="25" borderId="0" xfId="0" applyFont="1" applyFill="1" applyAlignment="1">
      <alignment horizontal="left" vertical="center"/>
    </xf>
    <xf numFmtId="0" fontId="27" fillId="27" borderId="0" xfId="0" applyFont="1" applyFill="1" applyAlignment="1">
      <alignment horizontal="left" vertical="center"/>
    </xf>
    <xf numFmtId="0" fontId="27" fillId="27" borderId="0" xfId="0" applyFont="1" applyFill="1" applyAlignment="1">
      <alignment horizontal="center" vertical="center"/>
    </xf>
    <xf numFmtId="0" fontId="27" fillId="0" borderId="11" xfId="35" applyFont="1" applyFill="1" applyBorder="1" applyAlignment="1">
      <alignment horizontal="left" vertical="center"/>
    </xf>
    <xf numFmtId="3" fontId="27" fillId="0" borderId="26" xfId="0" applyNumberFormat="1" applyFont="1" applyBorder="1" applyAlignment="1">
      <alignment horizontal="left"/>
    </xf>
    <xf numFmtId="0" fontId="27" fillId="0" borderId="26" xfId="0" applyFont="1" applyBorder="1" applyAlignment="1">
      <alignment horizontal="left"/>
    </xf>
    <xf numFmtId="0" fontId="27" fillId="0" borderId="27" xfId="0" applyFont="1" applyBorder="1" applyAlignment="1">
      <alignment horizontal="left"/>
    </xf>
    <xf numFmtId="175" fontId="27" fillId="0" borderId="0" xfId="0" applyNumberFormat="1" applyFont="1" applyFill="1" applyAlignment="1">
      <alignment horizontal="center" vertical="center"/>
    </xf>
    <xf numFmtId="0" fontId="27" fillId="0" borderId="12" xfId="35" applyFont="1" applyFill="1" applyBorder="1" applyAlignment="1">
      <alignment horizontal="left" vertical="center"/>
    </xf>
    <xf numFmtId="3" fontId="27" fillId="0" borderId="0" xfId="0" applyNumberFormat="1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7" fillId="0" borderId="28" xfId="0" applyFont="1" applyBorder="1" applyAlignment="1">
      <alignment horizontal="left"/>
    </xf>
    <xf numFmtId="0" fontId="27" fillId="0" borderId="16" xfId="35" applyFont="1" applyFill="1" applyBorder="1" applyAlignment="1">
      <alignment horizontal="left" vertical="center"/>
    </xf>
    <xf numFmtId="3" fontId="27" fillId="0" borderId="29" xfId="0" applyNumberFormat="1" applyFont="1" applyBorder="1" applyAlignment="1">
      <alignment horizontal="left"/>
    </xf>
    <xf numFmtId="0" fontId="27" fillId="0" borderId="29" xfId="0" applyFont="1" applyBorder="1" applyAlignment="1">
      <alignment horizontal="left"/>
    </xf>
    <xf numFmtId="0" fontId="27" fillId="0" borderId="30" xfId="0" applyFont="1" applyBorder="1" applyAlignment="1">
      <alignment horizontal="left"/>
    </xf>
    <xf numFmtId="0" fontId="27" fillId="0" borderId="21" xfId="35" applyFont="1" applyFill="1" applyBorder="1" applyAlignment="1">
      <alignment horizontal="left" vertical="center"/>
    </xf>
    <xf numFmtId="3" fontId="27" fillId="0" borderId="31" xfId="0" applyNumberFormat="1" applyFont="1" applyBorder="1" applyAlignment="1">
      <alignment horizontal="left"/>
    </xf>
    <xf numFmtId="0" fontId="27" fillId="0" borderId="31" xfId="0" applyFont="1" applyBorder="1" applyAlignment="1">
      <alignment horizontal="left"/>
    </xf>
    <xf numFmtId="0" fontId="27" fillId="0" borderId="32" xfId="0" applyFont="1" applyBorder="1" applyAlignment="1">
      <alignment horizontal="left"/>
    </xf>
    <xf numFmtId="0" fontId="27" fillId="0" borderId="17" xfId="0" applyFont="1" applyBorder="1" applyAlignment="1">
      <alignment horizontal="left"/>
    </xf>
    <xf numFmtId="0" fontId="27" fillId="0" borderId="10" xfId="0" applyFont="1" applyFill="1" applyBorder="1" applyAlignment="1">
      <alignment horizontal="left"/>
    </xf>
    <xf numFmtId="0" fontId="27" fillId="0" borderId="25" xfId="0" applyFont="1" applyBorder="1"/>
    <xf numFmtId="0" fontId="27" fillId="0" borderId="17" xfId="0" applyFont="1" applyBorder="1"/>
    <xf numFmtId="0" fontId="27" fillId="0" borderId="11" xfId="0" applyFont="1" applyBorder="1" applyAlignment="1">
      <alignment horizontal="left"/>
    </xf>
    <xf numFmtId="0" fontId="27" fillId="0" borderId="26" xfId="0" applyFont="1" applyFill="1" applyBorder="1" applyAlignment="1">
      <alignment horizontal="center" vertical="center"/>
    </xf>
    <xf numFmtId="174" fontId="27" fillId="0" borderId="0" xfId="32" applyNumberFormat="1" applyFont="1" applyFill="1" applyAlignment="1">
      <alignment horizontal="center" vertical="center"/>
    </xf>
    <xf numFmtId="0" fontId="27" fillId="0" borderId="12" xfId="0" applyFont="1" applyBorder="1" applyAlignment="1">
      <alignment horizontal="left"/>
    </xf>
    <xf numFmtId="0" fontId="27" fillId="26" borderId="0" xfId="0" applyFont="1" applyFill="1" applyAlignment="1">
      <alignment horizontal="center" vertical="center"/>
    </xf>
    <xf numFmtId="174" fontId="27" fillId="0" borderId="0" xfId="0" applyNumberFormat="1" applyFont="1" applyFill="1" applyAlignment="1">
      <alignment horizontal="center" vertical="center"/>
    </xf>
    <xf numFmtId="6" fontId="27" fillId="0" borderId="0" xfId="0" applyNumberFormat="1" applyFont="1" applyFill="1" applyAlignment="1">
      <alignment horizontal="center" vertical="center"/>
    </xf>
    <xf numFmtId="0" fontId="27" fillId="0" borderId="0" xfId="0" applyFont="1" applyAlignment="1">
      <alignment wrapText="1"/>
    </xf>
    <xf numFmtId="4" fontId="27" fillId="0" borderId="0" xfId="0" applyNumberFormat="1" applyFont="1" applyAlignment="1">
      <alignment wrapText="1"/>
    </xf>
    <xf numFmtId="0" fontId="4" fillId="0" borderId="0" xfId="0" applyFont="1" applyFill="1"/>
    <xf numFmtId="0" fontId="3" fillId="24" borderId="10" xfId="0" applyFont="1" applyFill="1" applyBorder="1"/>
    <xf numFmtId="0" fontId="4" fillId="0" borderId="26" xfId="0" applyFont="1" applyFill="1" applyBorder="1"/>
    <xf numFmtId="0" fontId="5" fillId="0" borderId="14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3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169" fontId="0" fillId="0" borderId="15" xfId="0" applyNumberFormat="1" applyFill="1" applyBorder="1" applyAlignment="1">
      <alignment horizontal="center"/>
    </xf>
    <xf numFmtId="169" fontId="5" fillId="0" borderId="15" xfId="0" applyNumberFormat="1" applyFont="1" applyFill="1" applyBorder="1" applyAlignment="1">
      <alignment horizontal="center"/>
    </xf>
    <xf numFmtId="169" fontId="4" fillId="0" borderId="15" xfId="0" applyNumberFormat="1" applyFont="1" applyFill="1" applyBorder="1" applyAlignment="1">
      <alignment horizontal="center"/>
    </xf>
    <xf numFmtId="169" fontId="0" fillId="0" borderId="15" xfId="32" applyNumberFormat="1" applyFont="1" applyFill="1" applyBorder="1" applyAlignment="1">
      <alignment horizontal="center"/>
    </xf>
    <xf numFmtId="169" fontId="0" fillId="0" borderId="13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9" fontId="0" fillId="0" borderId="0" xfId="0" applyNumberFormat="1" applyFill="1"/>
    <xf numFmtId="0" fontId="3" fillId="0" borderId="0" xfId="0" applyFont="1" applyAlignment="1">
      <alignment horizontal="right" vertical="center" wrapText="1"/>
    </xf>
    <xf numFmtId="8" fontId="3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indent="1"/>
    </xf>
    <xf numFmtId="1" fontId="5" fillId="25" borderId="0" xfId="0" applyNumberFormat="1" applyFont="1" applyFill="1" applyBorder="1"/>
    <xf numFmtId="169" fontId="5" fillId="25" borderId="15" xfId="0" applyNumberFormat="1" applyFont="1" applyFill="1" applyBorder="1" applyAlignment="1">
      <alignment horizontal="center"/>
    </xf>
    <xf numFmtId="0" fontId="27" fillId="0" borderId="0" xfId="0" applyFont="1"/>
    <xf numFmtId="2" fontId="32" fillId="0" borderId="0" xfId="0" applyNumberFormat="1" applyFont="1" applyFill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/>
    </xf>
    <xf numFmtId="0" fontId="27" fillId="26" borderId="0" xfId="0" applyFont="1" applyFill="1" applyBorder="1" applyAlignment="1">
      <alignment horizontal="left" vertical="center" wrapText="1"/>
    </xf>
    <xf numFmtId="167" fontId="27" fillId="26" borderId="0" xfId="0" applyNumberFormat="1" applyFont="1" applyFill="1" applyBorder="1" applyAlignment="1">
      <alignment horizontal="center" vertical="center"/>
    </xf>
    <xf numFmtId="165" fontId="27" fillId="26" borderId="0" xfId="0" applyNumberFormat="1" applyFont="1" applyFill="1" applyBorder="1" applyAlignment="1">
      <alignment horizontal="center"/>
    </xf>
    <xf numFmtId="165" fontId="27" fillId="26" borderId="0" xfId="0" applyNumberFormat="1" applyFont="1" applyFill="1" applyBorder="1" applyAlignment="1">
      <alignment horizontal="center" vertical="center"/>
    </xf>
    <xf numFmtId="0" fontId="27" fillId="26" borderId="0" xfId="0" applyFont="1" applyFill="1" applyBorder="1" applyAlignment="1">
      <alignment horizontal="center" vertical="center"/>
    </xf>
    <xf numFmtId="0" fontId="3" fillId="24" borderId="11" xfId="0" applyFont="1" applyFill="1" applyBorder="1"/>
    <xf numFmtId="1" fontId="4" fillId="0" borderId="0" xfId="0" applyNumberFormat="1" applyFont="1" applyFill="1" applyBorder="1"/>
    <xf numFmtId="0" fontId="4" fillId="0" borderId="0" xfId="0" applyFont="1"/>
    <xf numFmtId="0" fontId="3" fillId="0" borderId="49" xfId="0" applyFont="1" applyBorder="1" applyAlignment="1">
      <alignment horizontal="right" vertical="center" wrapText="1"/>
    </xf>
    <xf numFmtId="0" fontId="3" fillId="0" borderId="49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29" fillId="0" borderId="0" xfId="0" applyFont="1" applyAlignment="1">
      <alignment horizontal="right" vertical="center" wrapText="1"/>
    </xf>
    <xf numFmtId="0" fontId="3" fillId="0" borderId="0" xfId="0" applyFont="1" applyAlignment="1">
      <alignment horizontal="right"/>
    </xf>
    <xf numFmtId="14" fontId="0" fillId="0" borderId="0" xfId="0" applyNumberFormat="1" applyAlignment="1">
      <alignment horizontal="right" vertical="center" wrapText="1"/>
    </xf>
    <xf numFmtId="0" fontId="34" fillId="0" borderId="0" xfId="53" applyFont="1" applyAlignment="1">
      <alignment horizontal="center" vertical="center"/>
    </xf>
    <xf numFmtId="0" fontId="34" fillId="0" borderId="0" xfId="53" applyFont="1" applyAlignment="1">
      <alignment horizontal="left"/>
    </xf>
    <xf numFmtId="0" fontId="34" fillId="0" borderId="12" xfId="53" applyFont="1" applyBorder="1" applyAlignment="1">
      <alignment horizontal="left"/>
    </xf>
    <xf numFmtId="0" fontId="34" fillId="0" borderId="0" xfId="53" applyFont="1" applyBorder="1" applyAlignment="1">
      <alignment horizontal="center" vertical="center"/>
    </xf>
    <xf numFmtId="0" fontId="34" fillId="0" borderId="16" xfId="53" applyFont="1" applyBorder="1" applyAlignment="1">
      <alignment horizontal="left"/>
    </xf>
    <xf numFmtId="0" fontId="34" fillId="0" borderId="29" xfId="53" applyFont="1" applyBorder="1" applyAlignment="1">
      <alignment horizontal="center" vertical="center"/>
    </xf>
    <xf numFmtId="0" fontId="34" fillId="0" borderId="28" xfId="53" applyFont="1" applyBorder="1" applyAlignment="1">
      <alignment horizontal="center" vertical="center"/>
    </xf>
    <xf numFmtId="0" fontId="34" fillId="0" borderId="30" xfId="53" applyFont="1" applyBorder="1" applyAlignment="1">
      <alignment horizontal="center" vertical="center"/>
    </xf>
    <xf numFmtId="9" fontId="34" fillId="0" borderId="0" xfId="53" applyNumberFormat="1" applyFont="1" applyFill="1" applyBorder="1"/>
    <xf numFmtId="0" fontId="30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 wrapText="1"/>
    </xf>
    <xf numFmtId="173" fontId="27" fillId="0" borderId="0" xfId="0" applyNumberFormat="1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/>
    </xf>
    <xf numFmtId="2" fontId="35" fillId="27" borderId="11" xfId="0" applyNumberFormat="1" applyFont="1" applyFill="1" applyBorder="1" applyAlignment="1">
      <alignment horizontal="center" vertical="center"/>
    </xf>
    <xf numFmtId="2" fontId="35" fillId="27" borderId="27" xfId="0" applyNumberFormat="1" applyFont="1" applyFill="1" applyBorder="1" applyAlignment="1">
      <alignment horizontal="center" vertical="center"/>
    </xf>
    <xf numFmtId="2" fontId="35" fillId="27" borderId="12" xfId="0" applyNumberFormat="1" applyFont="1" applyFill="1" applyBorder="1" applyAlignment="1">
      <alignment horizontal="center" vertical="center"/>
    </xf>
    <xf numFmtId="2" fontId="35" fillId="27" borderId="28" xfId="0" applyNumberFormat="1" applyFont="1" applyFill="1" applyBorder="1" applyAlignment="1">
      <alignment horizontal="center" vertical="center"/>
    </xf>
    <xf numFmtId="2" fontId="35" fillId="27" borderId="16" xfId="0" applyNumberFormat="1" applyFont="1" applyFill="1" applyBorder="1" applyAlignment="1">
      <alignment horizontal="center" vertical="center"/>
    </xf>
    <xf numFmtId="2" fontId="35" fillId="27" borderId="30" xfId="0" applyNumberFormat="1" applyFont="1" applyFill="1" applyBorder="1" applyAlignment="1">
      <alignment horizontal="center" vertical="center"/>
    </xf>
    <xf numFmtId="4" fontId="0" fillId="0" borderId="15" xfId="0" applyNumberFormat="1" applyFill="1" applyBorder="1" applyAlignment="1">
      <alignment horizontal="center"/>
    </xf>
    <xf numFmtId="10" fontId="0" fillId="0" borderId="15" xfId="37" applyNumberFormat="1" applyFont="1" applyFill="1" applyBorder="1" applyAlignment="1">
      <alignment horizontal="center"/>
    </xf>
    <xf numFmtId="2" fontId="0" fillId="0" borderId="15" xfId="37" applyNumberFormat="1" applyFont="1" applyFill="1" applyBorder="1" applyAlignment="1">
      <alignment horizontal="center"/>
    </xf>
    <xf numFmtId="9" fontId="0" fillId="0" borderId="0" xfId="37" applyFont="1"/>
    <xf numFmtId="9" fontId="0" fillId="0" borderId="0" xfId="37" applyFont="1" applyFill="1"/>
    <xf numFmtId="1" fontId="5" fillId="0" borderId="17" xfId="0" applyNumberFormat="1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9" fontId="0" fillId="0" borderId="42" xfId="37" applyFont="1" applyFill="1" applyBorder="1" applyAlignment="1">
      <alignment horizontal="center" vertical="center" wrapText="1"/>
    </xf>
    <xf numFmtId="0" fontId="3" fillId="24" borderId="12" xfId="0" applyFont="1" applyFill="1" applyBorder="1"/>
    <xf numFmtId="167" fontId="30" fillId="27" borderId="14" xfId="36" applyNumberFormat="1" applyFont="1" applyFill="1" applyBorder="1" applyAlignment="1">
      <alignment horizontal="center" vertical="center"/>
    </xf>
    <xf numFmtId="2" fontId="30" fillId="27" borderId="14" xfId="0" applyNumberFormat="1" applyFont="1" applyFill="1" applyBorder="1" applyAlignment="1">
      <alignment horizontal="center" vertical="center"/>
    </xf>
    <xf numFmtId="166" fontId="30" fillId="27" borderId="48" xfId="0" applyNumberFormat="1" applyFont="1" applyFill="1" applyBorder="1" applyAlignment="1">
      <alignment horizontal="center"/>
    </xf>
    <xf numFmtId="2" fontId="30" fillId="27" borderId="13" xfId="0" applyNumberFormat="1" applyFont="1" applyFill="1" applyBorder="1" applyAlignment="1">
      <alignment horizontal="center" vertical="center"/>
    </xf>
    <xf numFmtId="170" fontId="30" fillId="27" borderId="14" xfId="0" applyNumberFormat="1" applyFont="1" applyFill="1" applyBorder="1" applyAlignment="1">
      <alignment horizontal="center" vertical="center"/>
    </xf>
    <xf numFmtId="170" fontId="30" fillId="27" borderId="48" xfId="0" applyNumberFormat="1" applyFont="1" applyFill="1" applyBorder="1" applyAlignment="1">
      <alignment horizontal="center"/>
    </xf>
    <xf numFmtId="172" fontId="30" fillId="0" borderId="0" xfId="32" applyNumberFormat="1" applyFont="1" applyFill="1" applyBorder="1" applyAlignment="1">
      <alignment horizontal="center" vertical="center"/>
    </xf>
    <xf numFmtId="166" fontId="30" fillId="27" borderId="34" xfId="0" applyNumberFormat="1" applyFont="1" applyFill="1" applyBorder="1" applyAlignment="1">
      <alignment horizontal="center"/>
    </xf>
    <xf numFmtId="170" fontId="30" fillId="27" borderId="17" xfId="0" applyNumberFormat="1" applyFont="1" applyFill="1" applyBorder="1" applyAlignment="1">
      <alignment horizontal="center" vertical="center"/>
    </xf>
    <xf numFmtId="2" fontId="27" fillId="0" borderId="34" xfId="0" applyNumberFormat="1" applyFont="1" applyFill="1" applyBorder="1" applyAlignment="1">
      <alignment horizontal="center"/>
    </xf>
    <xf numFmtId="0" fontId="30" fillId="27" borderId="33" xfId="0" applyFont="1" applyFill="1" applyBorder="1" applyAlignment="1">
      <alignment horizontal="center" vertical="center"/>
    </xf>
    <xf numFmtId="0" fontId="30" fillId="27" borderId="17" xfId="0" applyFont="1" applyFill="1" applyBorder="1" applyAlignment="1">
      <alignment horizontal="center" vertical="center"/>
    </xf>
    <xf numFmtId="2" fontId="30" fillId="27" borderId="34" xfId="0" applyNumberFormat="1" applyFont="1" applyFill="1" applyBorder="1" applyAlignment="1">
      <alignment horizontal="center"/>
    </xf>
    <xf numFmtId="167" fontId="30" fillId="27" borderId="17" xfId="0" applyNumberFormat="1" applyFont="1" applyFill="1" applyBorder="1" applyAlignment="1">
      <alignment horizontal="center"/>
    </xf>
    <xf numFmtId="167" fontId="30" fillId="27" borderId="17" xfId="0" applyNumberFormat="1" applyFont="1" applyFill="1" applyBorder="1" applyAlignment="1">
      <alignment horizontal="center" vertical="center"/>
    </xf>
    <xf numFmtId="10" fontId="27" fillId="0" borderId="0" xfId="37" applyNumberFormat="1" applyFont="1" applyFill="1" applyBorder="1" applyAlignment="1">
      <alignment horizontal="center"/>
    </xf>
    <xf numFmtId="167" fontId="30" fillId="27" borderId="19" xfId="0" applyNumberFormat="1" applyFont="1" applyFill="1" applyBorder="1" applyAlignment="1">
      <alignment horizontal="center" vertical="center" wrapText="1"/>
    </xf>
    <xf numFmtId="167" fontId="30" fillId="27" borderId="20" xfId="0" applyNumberFormat="1" applyFont="1" applyFill="1" applyBorder="1" applyAlignment="1">
      <alignment horizontal="center" vertical="center" wrapText="1"/>
    </xf>
    <xf numFmtId="167" fontId="30" fillId="27" borderId="37" xfId="0" applyNumberFormat="1" applyFont="1" applyFill="1" applyBorder="1" applyAlignment="1">
      <alignment horizontal="center" vertical="center" wrapText="1"/>
    </xf>
    <xf numFmtId="167" fontId="30" fillId="27" borderId="38" xfId="0" applyNumberFormat="1" applyFont="1" applyFill="1" applyBorder="1" applyAlignment="1">
      <alignment horizontal="center" vertical="center" wrapText="1"/>
    </xf>
    <xf numFmtId="167" fontId="30" fillId="27" borderId="40" xfId="0" applyNumberFormat="1" applyFont="1" applyFill="1" applyBorder="1" applyAlignment="1">
      <alignment horizontal="center" vertical="center" wrapText="1"/>
    </xf>
    <xf numFmtId="167" fontId="30" fillId="27" borderId="18" xfId="0" applyNumberFormat="1" applyFont="1" applyFill="1" applyBorder="1" applyAlignment="1">
      <alignment horizontal="center" vertical="center" wrapText="1"/>
    </xf>
    <xf numFmtId="167" fontId="30" fillId="27" borderId="42" xfId="0" applyNumberFormat="1" applyFont="1" applyFill="1" applyBorder="1" applyAlignment="1">
      <alignment horizontal="center" vertical="center" wrapText="1"/>
    </xf>
    <xf numFmtId="167" fontId="30" fillId="27" borderId="43" xfId="0" applyNumberFormat="1" applyFont="1" applyFill="1" applyBorder="1" applyAlignment="1">
      <alignment horizontal="center" vertical="center" wrapText="1"/>
    </xf>
    <xf numFmtId="167" fontId="30" fillId="27" borderId="39" xfId="0" applyNumberFormat="1" applyFont="1" applyFill="1" applyBorder="1" applyAlignment="1">
      <alignment horizontal="center" vertical="center" wrapText="1"/>
    </xf>
    <xf numFmtId="167" fontId="30" fillId="27" borderId="41" xfId="0" applyNumberFormat="1" applyFont="1" applyFill="1" applyBorder="1" applyAlignment="1">
      <alignment horizontal="center" vertical="center" wrapText="1"/>
    </xf>
    <xf numFmtId="167" fontId="30" fillId="27" borderId="44" xfId="0" applyNumberFormat="1" applyFont="1" applyFill="1" applyBorder="1" applyAlignment="1">
      <alignment horizontal="center" vertical="center" wrapText="1"/>
    </xf>
    <xf numFmtId="9" fontId="30" fillId="27" borderId="42" xfId="37" applyFont="1" applyFill="1" applyBorder="1" applyAlignment="1">
      <alignment horizontal="center" vertical="center" wrapText="1"/>
    </xf>
    <xf numFmtId="2" fontId="30" fillId="27" borderId="19" xfId="37" applyNumberFormat="1" applyFont="1" applyFill="1" applyBorder="1" applyAlignment="1">
      <alignment horizontal="center" vertical="center" wrapText="1"/>
    </xf>
    <xf numFmtId="2" fontId="30" fillId="27" borderId="20" xfId="37" applyNumberFormat="1" applyFont="1" applyFill="1" applyBorder="1" applyAlignment="1">
      <alignment horizontal="center" vertical="center" wrapText="1"/>
    </xf>
    <xf numFmtId="165" fontId="30" fillId="27" borderId="17" xfId="0" applyNumberFormat="1" applyFont="1" applyFill="1" applyBorder="1" applyAlignment="1">
      <alignment horizontal="center" vertical="center"/>
    </xf>
    <xf numFmtId="167" fontId="30" fillId="0" borderId="0" xfId="0" applyNumberFormat="1" applyFont="1" applyFill="1" applyBorder="1" applyAlignment="1">
      <alignment horizontal="center" vertical="center" wrapText="1"/>
    </xf>
    <xf numFmtId="177" fontId="30" fillId="29" borderId="50" xfId="53" applyNumberFormat="1" applyFont="1" applyFill="1" applyBorder="1"/>
    <xf numFmtId="177" fontId="30" fillId="29" borderId="51" xfId="53" applyNumberFormat="1" applyFont="1" applyFill="1" applyBorder="1"/>
    <xf numFmtId="9" fontId="30" fillId="29" borderId="51" xfId="53" applyNumberFormat="1" applyFont="1" applyFill="1" applyBorder="1"/>
    <xf numFmtId="43" fontId="30" fillId="27" borderId="15" xfId="32" applyNumberFormat="1" applyFont="1" applyFill="1" applyBorder="1" applyAlignment="1">
      <alignment horizontal="center"/>
    </xf>
    <xf numFmtId="0" fontId="30" fillId="29" borderId="51" xfId="53" applyFont="1" applyFill="1" applyBorder="1"/>
    <xf numFmtId="174" fontId="30" fillId="0" borderId="0" xfId="32" applyNumberFormat="1" applyFont="1" applyFill="1" applyAlignment="1">
      <alignment horizontal="left" vertical="center"/>
    </xf>
    <xf numFmtId="4" fontId="30" fillId="27" borderId="14" xfId="0" applyNumberFormat="1" applyFont="1" applyFill="1" applyBorder="1" applyAlignment="1">
      <alignment horizontal="center"/>
    </xf>
    <xf numFmtId="4" fontId="30" fillId="27" borderId="15" xfId="0" applyNumberFormat="1" applyFont="1" applyFill="1" applyBorder="1" applyAlignment="1">
      <alignment horizontal="center"/>
    </xf>
    <xf numFmtId="4" fontId="30" fillId="27" borderId="13" xfId="0" applyNumberFormat="1" applyFont="1" applyFill="1" applyBorder="1" applyAlignment="1">
      <alignment horizontal="center"/>
    </xf>
    <xf numFmtId="2" fontId="37" fillId="27" borderId="26" xfId="0" applyNumberFormat="1" applyFont="1" applyFill="1" applyBorder="1" applyAlignment="1">
      <alignment horizontal="center" vertical="center"/>
    </xf>
    <xf numFmtId="2" fontId="37" fillId="27" borderId="0" xfId="0" applyNumberFormat="1" applyFont="1" applyFill="1" applyBorder="1" applyAlignment="1">
      <alignment horizontal="center" vertical="center"/>
    </xf>
    <xf numFmtId="2" fontId="37" fillId="27" borderId="29" xfId="0" applyNumberFormat="1" applyFont="1" applyFill="1" applyBorder="1" applyAlignment="1">
      <alignment horizontal="center" vertical="center"/>
    </xf>
    <xf numFmtId="0" fontId="30" fillId="30" borderId="51" xfId="53" applyFont="1" applyFill="1" applyBorder="1"/>
    <xf numFmtId="10" fontId="30" fillId="30" borderId="51" xfId="53" applyNumberFormat="1" applyFont="1" applyFill="1" applyBorder="1"/>
    <xf numFmtId="0" fontId="30" fillId="29" borderId="15" xfId="53" applyFont="1" applyFill="1" applyBorder="1"/>
    <xf numFmtId="9" fontId="30" fillId="29" borderId="15" xfId="53" applyNumberFormat="1" applyFont="1" applyFill="1" applyBorder="1"/>
    <xf numFmtId="9" fontId="30" fillId="29" borderId="13" xfId="53" applyNumberFormat="1" applyFont="1" applyFill="1" applyBorder="1"/>
    <xf numFmtId="178" fontId="30" fillId="27" borderId="14" xfId="37" applyNumberFormat="1" applyFont="1" applyFill="1" applyBorder="1" applyAlignment="1">
      <alignment horizontal="center"/>
    </xf>
    <xf numFmtId="43" fontId="30" fillId="27" borderId="14" xfId="32" applyNumberFormat="1" applyFont="1" applyFill="1" applyBorder="1" applyAlignment="1">
      <alignment horizontal="center"/>
    </xf>
    <xf numFmtId="43" fontId="30" fillId="27" borderId="26" xfId="32" applyNumberFormat="1" applyFont="1" applyFill="1" applyBorder="1" applyAlignment="1">
      <alignment horizontal="center"/>
    </xf>
    <xf numFmtId="43" fontId="30" fillId="27" borderId="0" xfId="32" applyNumberFormat="1" applyFont="1" applyFill="1" applyBorder="1" applyAlignment="1">
      <alignment horizontal="center"/>
    </xf>
    <xf numFmtId="43" fontId="30" fillId="27" borderId="13" xfId="32" applyNumberFormat="1" applyFont="1" applyFill="1" applyBorder="1" applyAlignment="1">
      <alignment horizontal="center"/>
    </xf>
    <xf numFmtId="43" fontId="30" fillId="27" borderId="29" xfId="32" applyNumberFormat="1" applyFont="1" applyFill="1" applyBorder="1" applyAlignment="1">
      <alignment horizontal="center"/>
    </xf>
    <xf numFmtId="43" fontId="30" fillId="27" borderId="10" xfId="32" applyNumberFormat="1" applyFont="1" applyFill="1" applyBorder="1" applyAlignment="1">
      <alignment horizontal="center"/>
    </xf>
    <xf numFmtId="43" fontId="30" fillId="27" borderId="25" xfId="32" applyNumberFormat="1" applyFont="1" applyFill="1" applyBorder="1" applyAlignment="1">
      <alignment horizontal="center"/>
    </xf>
    <xf numFmtId="43" fontId="30" fillId="27" borderId="47" xfId="32" applyNumberFormat="1" applyFont="1" applyFill="1" applyBorder="1" applyAlignment="1">
      <alignment horizontal="center"/>
    </xf>
    <xf numFmtId="169" fontId="0" fillId="0" borderId="14" xfId="0" applyNumberFormat="1" applyFill="1" applyBorder="1" applyAlignment="1">
      <alignment horizontal="center"/>
    </xf>
    <xf numFmtId="0" fontId="0" fillId="0" borderId="12" xfId="0" applyBorder="1"/>
    <xf numFmtId="0" fontId="5" fillId="0" borderId="12" xfId="0" applyFont="1" applyBorder="1"/>
    <xf numFmtId="0" fontId="5" fillId="0" borderId="12" xfId="0" applyFont="1" applyFill="1" applyBorder="1"/>
    <xf numFmtId="0" fontId="4" fillId="0" borderId="12" xfId="0" applyFont="1" applyBorder="1"/>
    <xf numFmtId="0" fontId="0" fillId="0" borderId="12" xfId="0" applyFont="1" applyFill="1" applyBorder="1"/>
    <xf numFmtId="0" fontId="0" fillId="0" borderId="12" xfId="0" applyFill="1" applyBorder="1"/>
    <xf numFmtId="3" fontId="0" fillId="0" borderId="29" xfId="0" applyNumberFormat="1" applyFill="1" applyBorder="1" applyAlignment="1"/>
    <xf numFmtId="178" fontId="0" fillId="0" borderId="15" xfId="37" applyNumberFormat="1" applyFont="1" applyFill="1" applyBorder="1" applyAlignment="1">
      <alignment horizontal="center"/>
    </xf>
    <xf numFmtId="0" fontId="3" fillId="0" borderId="16" xfId="0" applyFont="1" applyFill="1" applyBorder="1"/>
    <xf numFmtId="1" fontId="4" fillId="0" borderId="0" xfId="0" applyNumberFormat="1" applyFont="1" applyFill="1" applyBorder="1" applyAlignment="1">
      <alignment horizontal="center"/>
    </xf>
    <xf numFmtId="0" fontId="38" fillId="31" borderId="0" xfId="0" applyFont="1" applyFill="1"/>
    <xf numFmtId="0" fontId="5" fillId="0" borderId="11" xfId="0" applyFont="1" applyFill="1" applyBorder="1"/>
    <xf numFmtId="0" fontId="5" fillId="0" borderId="26" xfId="0" applyFont="1" applyFill="1" applyBorder="1"/>
    <xf numFmtId="0" fontId="3" fillId="0" borderId="12" xfId="0" applyFont="1" applyFill="1" applyBorder="1"/>
    <xf numFmtId="0" fontId="5" fillId="0" borderId="16" xfId="0" applyFont="1" applyFill="1" applyBorder="1"/>
    <xf numFmtId="0" fontId="5" fillId="0" borderId="29" xfId="0" applyFont="1" applyFill="1" applyBorder="1"/>
    <xf numFmtId="0" fontId="0" fillId="0" borderId="0" xfId="0" applyFill="1" applyBorder="1" applyAlignment="1">
      <alignment horizontal="center"/>
    </xf>
    <xf numFmtId="1" fontId="5" fillId="0" borderId="26" xfId="0" applyNumberFormat="1" applyFont="1" applyBorder="1"/>
    <xf numFmtId="1" fontId="5" fillId="0" borderId="29" xfId="0" applyNumberFormat="1" applyFont="1" applyBorder="1"/>
    <xf numFmtId="169" fontId="5" fillId="0" borderId="14" xfId="0" applyNumberFormat="1" applyFont="1" applyFill="1" applyBorder="1" applyAlignment="1">
      <alignment horizontal="center"/>
    </xf>
    <xf numFmtId="169" fontId="5" fillId="0" borderId="13" xfId="0" applyNumberFormat="1" applyFont="1" applyFill="1" applyBorder="1" applyAlignment="1">
      <alignment horizontal="center"/>
    </xf>
    <xf numFmtId="169" fontId="0" fillId="0" borderId="0" xfId="0" applyNumberFormat="1" applyFill="1" applyBorder="1" applyAlignment="1">
      <alignment horizontal="center"/>
    </xf>
    <xf numFmtId="0" fontId="4" fillId="0" borderId="11" xfId="0" applyFont="1" applyFill="1" applyBorder="1"/>
    <xf numFmtId="171" fontId="0" fillId="0" borderId="26" xfId="0" applyNumberFormat="1" applyBorder="1" applyAlignment="1"/>
    <xf numFmtId="0" fontId="4" fillId="0" borderId="12" xfId="0" applyFont="1" applyFill="1" applyBorder="1"/>
    <xf numFmtId="0" fontId="5" fillId="0" borderId="11" xfId="0" applyFont="1" applyBorder="1"/>
    <xf numFmtId="0" fontId="3" fillId="0" borderId="12" xfId="0" applyFont="1" applyBorder="1"/>
    <xf numFmtId="0" fontId="5" fillId="25" borderId="12" xfId="0" applyFont="1" applyFill="1" applyBorder="1"/>
    <xf numFmtId="0" fontId="3" fillId="25" borderId="16" xfId="0" applyFont="1" applyFill="1" applyBorder="1"/>
    <xf numFmtId="1" fontId="5" fillId="25" borderId="29" xfId="0" applyNumberFormat="1" applyFont="1" applyFill="1" applyBorder="1"/>
    <xf numFmtId="169" fontId="5" fillId="25" borderId="13" xfId="0" applyNumberFormat="1" applyFont="1" applyFill="1" applyBorder="1" applyAlignment="1">
      <alignment horizontal="center"/>
    </xf>
    <xf numFmtId="169" fontId="4" fillId="0" borderId="0" xfId="0" applyNumberFormat="1" applyFont="1" applyFill="1" applyBorder="1" applyAlignment="1">
      <alignment horizontal="center"/>
    </xf>
    <xf numFmtId="0" fontId="3" fillId="25" borderId="29" xfId="0" applyFont="1" applyFill="1" applyBorder="1"/>
    <xf numFmtId="169" fontId="4" fillId="25" borderId="13" xfId="0" applyNumberFormat="1" applyFont="1" applyFill="1" applyBorder="1" applyAlignment="1">
      <alignment horizontal="center"/>
    </xf>
    <xf numFmtId="0" fontId="5" fillId="25" borderId="16" xfId="0" applyFont="1" applyFill="1" applyBorder="1"/>
    <xf numFmtId="3" fontId="0" fillId="25" borderId="29" xfId="0" applyNumberFormat="1" applyFill="1" applyBorder="1" applyAlignment="1"/>
    <xf numFmtId="169" fontId="0" fillId="25" borderId="13" xfId="0" applyNumberFormat="1" applyFill="1" applyBorder="1" applyAlignment="1">
      <alignment horizontal="center"/>
    </xf>
    <xf numFmtId="0" fontId="0" fillId="0" borderId="11" xfId="0" applyBorder="1"/>
    <xf numFmtId="169" fontId="0" fillId="0" borderId="26" xfId="0" applyNumberFormat="1" applyBorder="1" applyAlignment="1"/>
    <xf numFmtId="0" fontId="4" fillId="25" borderId="0" xfId="0" applyFont="1" applyFill="1" applyBorder="1"/>
    <xf numFmtId="174" fontId="27" fillId="0" borderId="0" xfId="32" applyNumberFormat="1" applyFont="1" applyFill="1" applyAlignment="1">
      <alignment horizontal="left" vertical="center"/>
    </xf>
    <xf numFmtId="165" fontId="27" fillId="0" borderId="0" xfId="0" applyNumberFormat="1" applyFont="1" applyFill="1" applyAlignment="1">
      <alignment horizontal="center" vertical="center"/>
    </xf>
    <xf numFmtId="0" fontId="28" fillId="0" borderId="46" xfId="0" applyFont="1" applyFill="1" applyBorder="1" applyAlignment="1">
      <alignment horizontal="left" vertical="center"/>
    </xf>
    <xf numFmtId="0" fontId="27" fillId="0" borderId="18" xfId="0" applyFont="1" applyFill="1" applyBorder="1" applyAlignment="1">
      <alignment horizontal="center" vertical="center" wrapText="1"/>
    </xf>
    <xf numFmtId="0" fontId="27" fillId="0" borderId="19" xfId="0" applyFont="1" applyFill="1" applyBorder="1" applyAlignment="1">
      <alignment horizontal="left" vertical="center"/>
    </xf>
    <xf numFmtId="10" fontId="27" fillId="0" borderId="0" xfId="37" applyNumberFormat="1" applyFont="1" applyFill="1" applyAlignment="1">
      <alignment horizontal="center" vertical="center"/>
    </xf>
    <xf numFmtId="0" fontId="27" fillId="0" borderId="20" xfId="0" applyFont="1" applyFill="1" applyBorder="1" applyAlignment="1">
      <alignment horizontal="left" vertical="center"/>
    </xf>
    <xf numFmtId="0" fontId="28" fillId="0" borderId="14" xfId="0" applyFont="1" applyFill="1" applyBorder="1" applyAlignment="1">
      <alignment horizontal="left" vertical="center" wrapText="1"/>
    </xf>
    <xf numFmtId="0" fontId="27" fillId="0" borderId="0" xfId="0" applyFont="1" applyFill="1" applyAlignment="1">
      <alignment horizontal="center" vertical="center" wrapText="1"/>
    </xf>
    <xf numFmtId="0" fontId="27" fillId="0" borderId="18" xfId="0" applyFont="1" applyFill="1" applyBorder="1" applyAlignment="1">
      <alignment horizontal="left" vertical="center"/>
    </xf>
    <xf numFmtId="167" fontId="30" fillId="27" borderId="18" xfId="0" applyNumberFormat="1" applyFont="1" applyFill="1" applyBorder="1" applyAlignment="1">
      <alignment horizontal="center" vertical="center"/>
    </xf>
    <xf numFmtId="9" fontId="30" fillId="27" borderId="17" xfId="37" applyFont="1" applyFill="1" applyBorder="1" applyAlignment="1">
      <alignment horizontal="center" vertical="center"/>
    </xf>
    <xf numFmtId="43" fontId="27" fillId="0" borderId="0" xfId="32" applyFont="1" applyFill="1" applyBorder="1" applyAlignment="1">
      <alignment horizontal="center" vertical="center"/>
    </xf>
    <xf numFmtId="8" fontId="27" fillId="0" borderId="0" xfId="0" applyNumberFormat="1" applyFont="1" applyFill="1" applyAlignment="1">
      <alignment horizontal="center" vertical="center" wrapText="1"/>
    </xf>
    <xf numFmtId="0" fontId="39" fillId="0" borderId="0" xfId="58"/>
    <xf numFmtId="10" fontId="27" fillId="0" borderId="0" xfId="37" applyNumberFormat="1" applyFont="1" applyFill="1" applyBorder="1" applyAlignment="1">
      <alignment horizontal="center" vertical="center"/>
    </xf>
    <xf numFmtId="176" fontId="27" fillId="0" borderId="0" xfId="0" applyNumberFormat="1" applyFont="1" applyFill="1" applyBorder="1" applyAlignment="1">
      <alignment horizontal="center" vertical="center"/>
    </xf>
    <xf numFmtId="9" fontId="30" fillId="27" borderId="18" xfId="37" applyFont="1" applyFill="1" applyBorder="1" applyAlignment="1">
      <alignment horizontal="center" vertical="center"/>
    </xf>
    <xf numFmtId="3" fontId="2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9" fontId="3" fillId="24" borderId="12" xfId="37" applyFont="1" applyFill="1" applyBorder="1"/>
    <xf numFmtId="9" fontId="3" fillId="0" borderId="15" xfId="37" applyFont="1" applyFill="1" applyBorder="1" applyAlignment="1">
      <alignment horizontal="center"/>
    </xf>
    <xf numFmtId="0" fontId="3" fillId="24" borderId="16" xfId="0" applyFont="1" applyFill="1" applyBorder="1"/>
    <xf numFmtId="2" fontId="3" fillId="0" borderId="0" xfId="0" applyNumberFormat="1" applyFont="1" applyFill="1" applyBorder="1"/>
    <xf numFmtId="169" fontId="3" fillId="0" borderId="15" xfId="0" applyNumberFormat="1" applyFont="1" applyFill="1" applyBorder="1" applyAlignment="1">
      <alignment horizontal="center"/>
    </xf>
    <xf numFmtId="1" fontId="3" fillId="0" borderId="0" xfId="0" applyNumberFormat="1" applyFont="1" applyFill="1" applyBorder="1"/>
    <xf numFmtId="3" fontId="27" fillId="25" borderId="0" xfId="0" applyNumberFormat="1" applyFont="1" applyFill="1" applyBorder="1" applyAlignment="1">
      <alignment horizontal="center" vertical="center"/>
    </xf>
    <xf numFmtId="165" fontId="27" fillId="25" borderId="0" xfId="0" applyNumberFormat="1" applyFont="1" applyFill="1" applyBorder="1" applyAlignment="1">
      <alignment horizontal="center" vertical="center"/>
    </xf>
    <xf numFmtId="165" fontId="3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9" fontId="3" fillId="32" borderId="0" xfId="37" applyFont="1" applyFill="1" applyAlignment="1">
      <alignment horizontal="center" vertical="center"/>
    </xf>
    <xf numFmtId="8" fontId="30" fillId="0" borderId="0" xfId="0" applyNumberFormat="1" applyFont="1" applyFill="1" applyAlignment="1">
      <alignment horizontal="center" vertical="center"/>
    </xf>
    <xf numFmtId="6" fontId="30" fillId="0" borderId="0" xfId="0" applyNumberFormat="1" applyFont="1" applyFill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167" fontId="30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 wrapText="1"/>
    </xf>
    <xf numFmtId="0" fontId="27" fillId="0" borderId="14" xfId="0" applyFont="1" applyFill="1" applyBorder="1" applyAlignment="1">
      <alignment horizontal="left" vertical="center" wrapText="1"/>
    </xf>
    <xf numFmtId="8" fontId="30" fillId="0" borderId="0" xfId="0" applyNumberFormat="1" applyFont="1" applyFill="1" applyAlignment="1">
      <alignment horizontal="center" vertical="center" wrapText="1"/>
    </xf>
    <xf numFmtId="0" fontId="27" fillId="0" borderId="0" xfId="0" applyFont="1" applyFill="1" applyAlignment="1">
      <alignment vertical="center"/>
    </xf>
    <xf numFmtId="167" fontId="27" fillId="0" borderId="0" xfId="0" applyNumberFormat="1" applyFont="1" applyFill="1" applyAlignment="1">
      <alignment horizontal="center" vertical="center"/>
    </xf>
    <xf numFmtId="0" fontId="28" fillId="0" borderId="0" xfId="0" applyFont="1"/>
    <xf numFmtId="0" fontId="27" fillId="0" borderId="18" xfId="0" applyFont="1" applyFill="1" applyBorder="1" applyAlignment="1">
      <alignment horizontal="left" vertical="center" wrapText="1"/>
    </xf>
    <xf numFmtId="167" fontId="28" fillId="27" borderId="18" xfId="0" applyNumberFormat="1" applyFont="1" applyFill="1" applyBorder="1" applyAlignment="1">
      <alignment horizontal="center" vertical="center"/>
    </xf>
    <xf numFmtId="0" fontId="28" fillId="25" borderId="0" xfId="0" applyFont="1" applyFill="1" applyBorder="1" applyAlignment="1">
      <alignment horizontal="left" vertical="center"/>
    </xf>
    <xf numFmtId="3" fontId="30" fillId="25" borderId="0" xfId="0" applyNumberFormat="1" applyFont="1" applyFill="1" applyBorder="1" applyAlignment="1">
      <alignment horizontal="center" vertical="center"/>
    </xf>
    <xf numFmtId="167" fontId="28" fillId="0" borderId="0" xfId="0" applyNumberFormat="1" applyFont="1" applyFill="1" applyBorder="1" applyAlignment="1">
      <alignment horizontal="center" vertical="center"/>
    </xf>
    <xf numFmtId="9" fontId="3" fillId="0" borderId="13" xfId="0" applyNumberFormat="1" applyFont="1" applyFill="1" applyBorder="1" applyAlignment="1">
      <alignment horizontal="center"/>
    </xf>
    <xf numFmtId="9" fontId="3" fillId="0" borderId="15" xfId="0" applyNumberFormat="1" applyFont="1" applyFill="1" applyBorder="1" applyAlignment="1">
      <alignment horizontal="center"/>
    </xf>
    <xf numFmtId="9" fontId="3" fillId="24" borderId="11" xfId="37" applyFont="1" applyFill="1" applyBorder="1"/>
    <xf numFmtId="9" fontId="3" fillId="0" borderId="14" xfId="37" applyFont="1" applyFill="1" applyBorder="1" applyAlignment="1">
      <alignment horizontal="center"/>
    </xf>
    <xf numFmtId="9" fontId="3" fillId="24" borderId="16" xfId="37" applyFont="1" applyFill="1" applyBorder="1"/>
    <xf numFmtId="9" fontId="3" fillId="0" borderId="13" xfId="37" applyFont="1" applyFill="1" applyBorder="1" applyAlignment="1">
      <alignment horizontal="center"/>
    </xf>
    <xf numFmtId="9" fontId="40" fillId="0" borderId="0" xfId="37" applyFont="1" applyFill="1" applyBorder="1" applyAlignment="1">
      <alignment horizontal="center"/>
    </xf>
    <xf numFmtId="0" fontId="40" fillId="0" borderId="0" xfId="0" applyFont="1" applyFill="1" applyBorder="1"/>
    <xf numFmtId="0" fontId="3" fillId="0" borderId="0" xfId="0" applyFont="1" applyFill="1" applyBorder="1" applyAlignment="1">
      <alignment horizontal="center"/>
    </xf>
    <xf numFmtId="169" fontId="3" fillId="0" borderId="0" xfId="0" applyNumberFormat="1" applyFont="1" applyFill="1" applyBorder="1" applyAlignment="1">
      <alignment horizontal="center"/>
    </xf>
    <xf numFmtId="0" fontId="3" fillId="0" borderId="11" xfId="0" applyFont="1" applyFill="1" applyBorder="1"/>
    <xf numFmtId="1" fontId="3" fillId="0" borderId="26" xfId="0" applyNumberFormat="1" applyFont="1" applyFill="1" applyBorder="1"/>
    <xf numFmtId="1" fontId="3" fillId="0" borderId="29" xfId="0" applyNumberFormat="1" applyFont="1" applyFill="1" applyBorder="1"/>
    <xf numFmtId="169" fontId="3" fillId="0" borderId="14" xfId="0" applyNumberFormat="1" applyFont="1" applyFill="1" applyBorder="1" applyAlignment="1">
      <alignment horizontal="center"/>
    </xf>
    <xf numFmtId="169" fontId="3" fillId="0" borderId="13" xfId="0" applyNumberFormat="1" applyFont="1" applyFill="1" applyBorder="1" applyAlignment="1">
      <alignment horizontal="center"/>
    </xf>
    <xf numFmtId="2" fontId="3" fillId="0" borderId="26" xfId="0" applyNumberFormat="1" applyFont="1" applyFill="1" applyBorder="1"/>
    <xf numFmtId="2" fontId="3" fillId="0" borderId="29" xfId="0" applyNumberFormat="1" applyFont="1" applyFill="1" applyBorder="1"/>
    <xf numFmtId="3" fontId="0" fillId="0" borderId="26" xfId="0" applyNumberFormat="1" applyFill="1" applyBorder="1" applyAlignment="1"/>
    <xf numFmtId="1" fontId="4" fillId="0" borderId="29" xfId="0" applyNumberFormat="1" applyFont="1" applyFill="1" applyBorder="1"/>
    <xf numFmtId="169" fontId="4" fillId="0" borderId="13" xfId="0" applyNumberFormat="1" applyFont="1" applyFill="1" applyBorder="1" applyAlignment="1">
      <alignment horizontal="center"/>
    </xf>
    <xf numFmtId="0" fontId="3" fillId="0" borderId="10" xfId="0" applyFont="1" applyFill="1" applyBorder="1"/>
    <xf numFmtId="1" fontId="3" fillId="0" borderId="25" xfId="0" applyNumberFormat="1" applyFont="1" applyFill="1" applyBorder="1"/>
    <xf numFmtId="169" fontId="3" fillId="0" borderId="17" xfId="0" applyNumberFormat="1" applyFont="1" applyFill="1" applyBorder="1" applyAlignment="1">
      <alignment horizontal="center"/>
    </xf>
    <xf numFmtId="1" fontId="4" fillId="0" borderId="25" xfId="0" applyNumberFormat="1" applyFont="1" applyFill="1" applyBorder="1"/>
    <xf numFmtId="169" fontId="4" fillId="0" borderId="17" xfId="0" applyNumberFormat="1" applyFont="1" applyFill="1" applyBorder="1" applyAlignment="1">
      <alignment horizontal="center"/>
    </xf>
    <xf numFmtId="0" fontId="0" fillId="0" borderId="0" xfId="0" applyFont="1" applyFill="1" applyBorder="1"/>
    <xf numFmtId="0" fontId="41" fillId="0" borderId="0" xfId="0" applyFont="1" applyFill="1" applyAlignment="1">
      <alignment horizontal="center" vertical="center"/>
    </xf>
    <xf numFmtId="174" fontId="27" fillId="0" borderId="0" xfId="0" applyNumberFormat="1" applyFont="1"/>
    <xf numFmtId="0" fontId="41" fillId="0" borderId="0" xfId="0" applyFont="1" applyFill="1" applyAlignment="1">
      <alignment horizontal="left" vertical="center"/>
    </xf>
    <xf numFmtId="1" fontId="27" fillId="0" borderId="0" xfId="0" applyNumberFormat="1" applyFont="1" applyFill="1" applyAlignment="1">
      <alignment horizontal="center" vertical="center"/>
    </xf>
    <xf numFmtId="9" fontId="30" fillId="29" borderId="51" xfId="37" applyFont="1" applyFill="1" applyBorder="1"/>
    <xf numFmtId="4" fontId="30" fillId="27" borderId="18" xfId="0" applyNumberFormat="1" applyFont="1" applyFill="1" applyBorder="1" applyAlignment="1">
      <alignment horizontal="center" vertical="center"/>
    </xf>
    <xf numFmtId="171" fontId="30" fillId="27" borderId="18" xfId="0" applyNumberFormat="1" applyFont="1" applyFill="1" applyBorder="1" applyAlignment="1">
      <alignment horizontal="center" vertical="center"/>
    </xf>
    <xf numFmtId="167" fontId="41" fillId="27" borderId="18" xfId="0" applyNumberFormat="1" applyFont="1" applyFill="1" applyBorder="1" applyAlignment="1">
      <alignment horizontal="center" vertical="center"/>
    </xf>
    <xf numFmtId="10" fontId="30" fillId="27" borderId="18" xfId="37" applyNumberFormat="1" applyFont="1" applyFill="1" applyBorder="1" applyAlignment="1">
      <alignment horizontal="center" vertical="center"/>
    </xf>
    <xf numFmtId="10" fontId="30" fillId="27" borderId="54" xfId="37" applyNumberFormat="1" applyFont="1" applyFill="1" applyBorder="1" applyAlignment="1">
      <alignment horizontal="center" vertical="center"/>
    </xf>
    <xf numFmtId="10" fontId="30" fillId="27" borderId="52" xfId="37" applyNumberFormat="1" applyFont="1" applyFill="1" applyBorder="1" applyAlignment="1">
      <alignment horizontal="center" vertical="center"/>
    </xf>
    <xf numFmtId="10" fontId="30" fillId="27" borderId="53" xfId="37" applyNumberFormat="1" applyFont="1" applyFill="1" applyBorder="1" applyAlignment="1">
      <alignment horizontal="center" vertical="center"/>
    </xf>
    <xf numFmtId="173" fontId="30" fillId="27" borderId="0" xfId="0" applyNumberFormat="1" applyFont="1" applyFill="1" applyBorder="1" applyAlignment="1">
      <alignment horizontal="center" vertical="center"/>
    </xf>
    <xf numFmtId="3" fontId="30" fillId="27" borderId="0" xfId="0" applyNumberFormat="1" applyFont="1" applyFill="1" applyBorder="1" applyAlignment="1">
      <alignment horizontal="center" vertical="center"/>
    </xf>
    <xf numFmtId="0" fontId="30" fillId="27" borderId="0" xfId="0" applyFont="1" applyFill="1" applyAlignment="1">
      <alignment horizontal="center" vertical="center"/>
    </xf>
    <xf numFmtId="3" fontId="30" fillId="27" borderId="18" xfId="0" applyNumberFormat="1" applyFont="1" applyFill="1" applyBorder="1" applyAlignment="1">
      <alignment horizontal="center" vertical="center"/>
    </xf>
    <xf numFmtId="165" fontId="27" fillId="0" borderId="0" xfId="0" applyNumberFormat="1" applyFont="1" applyFill="1" applyBorder="1" applyAlignment="1">
      <alignment horizontal="left" vertical="center"/>
    </xf>
    <xf numFmtId="0" fontId="42" fillId="0" borderId="0" xfId="0" applyFont="1" applyFill="1" applyAlignment="1">
      <alignment horizontal="left" vertical="center"/>
    </xf>
    <xf numFmtId="0" fontId="4" fillId="0" borderId="0" xfId="48" applyFont="1"/>
    <xf numFmtId="0" fontId="43" fillId="0" borderId="0" xfId="48" applyFont="1" applyFill="1" applyAlignment="1">
      <alignment horizontal="left" vertical="center"/>
    </xf>
    <xf numFmtId="0" fontId="43" fillId="0" borderId="0" xfId="48" applyFont="1" applyFill="1" applyAlignment="1">
      <alignment horizontal="center" vertical="center"/>
    </xf>
    <xf numFmtId="0" fontId="3" fillId="0" borderId="0" xfId="48" applyFont="1"/>
    <xf numFmtId="0" fontId="26" fillId="0" borderId="0" xfId="48" applyFont="1" applyFill="1" applyAlignment="1">
      <alignment horizontal="left" vertical="center"/>
    </xf>
    <xf numFmtId="0" fontId="26" fillId="0" borderId="0" xfId="48" applyFont="1" applyFill="1" applyAlignment="1">
      <alignment horizontal="center" vertical="center"/>
    </xf>
    <xf numFmtId="0" fontId="44" fillId="0" borderId="0" xfId="48" applyFont="1"/>
    <xf numFmtId="0" fontId="3" fillId="0" borderId="0" xfId="48"/>
    <xf numFmtId="0" fontId="45" fillId="0" borderId="0" xfId="48" applyFont="1"/>
    <xf numFmtId="10" fontId="26" fillId="0" borderId="0" xfId="37" applyNumberFormat="1" applyFont="1" applyFill="1" applyAlignment="1">
      <alignment horizontal="center" vertical="center"/>
    </xf>
    <xf numFmtId="10" fontId="26" fillId="0" borderId="0" xfId="48" applyNumberFormat="1" applyFont="1" applyFill="1" applyAlignment="1">
      <alignment horizontal="center" vertical="center"/>
    </xf>
    <xf numFmtId="0" fontId="26" fillId="0" borderId="0" xfId="48" applyFont="1" applyFill="1" applyAlignment="1">
      <alignment horizontal="left" vertical="center" wrapText="1"/>
    </xf>
    <xf numFmtId="0" fontId="43" fillId="0" borderId="0" xfId="48" applyFont="1" applyFill="1" applyAlignment="1">
      <alignment horizontal="left" vertical="center" wrapText="1"/>
    </xf>
    <xf numFmtId="0" fontId="3" fillId="0" borderId="0" xfId="48" applyAlignment="1">
      <alignment wrapText="1"/>
    </xf>
    <xf numFmtId="0" fontId="26" fillId="0" borderId="0" xfId="0" applyFont="1" applyFill="1" applyAlignment="1">
      <alignment horizontal="center" vertical="center" wrapText="1"/>
    </xf>
    <xf numFmtId="9" fontId="0" fillId="0" borderId="0" xfId="0" applyNumberFormat="1"/>
    <xf numFmtId="1" fontId="0" fillId="0" borderId="26" xfId="0" applyNumberFormat="1" applyBorder="1" applyAlignment="1">
      <alignment vertical="center"/>
    </xf>
    <xf numFmtId="1" fontId="0" fillId="0" borderId="27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1" fontId="0" fillId="0" borderId="28" xfId="0" applyNumberFormat="1" applyBorder="1" applyAlignment="1">
      <alignment vertical="center"/>
    </xf>
    <xf numFmtId="1" fontId="0" fillId="0" borderId="29" xfId="0" applyNumberFormat="1" applyBorder="1" applyAlignment="1">
      <alignment vertical="center"/>
    </xf>
    <xf numFmtId="1" fontId="0" fillId="0" borderId="30" xfId="0" applyNumberFormat="1" applyBorder="1" applyAlignment="1">
      <alignment vertical="center"/>
    </xf>
    <xf numFmtId="1" fontId="0" fillId="0" borderId="0" xfId="0" applyNumberFormat="1"/>
    <xf numFmtId="1" fontId="0" fillId="0" borderId="14" xfId="0" applyNumberFormat="1" applyBorder="1"/>
    <xf numFmtId="1" fontId="0" fillId="0" borderId="13" xfId="0" applyNumberFormat="1" applyBorder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9" fontId="0" fillId="0" borderId="26" xfId="37" applyFont="1" applyBorder="1" applyAlignment="1">
      <alignment vertical="center"/>
    </xf>
    <xf numFmtId="9" fontId="0" fillId="0" borderId="0" xfId="37" applyFont="1" applyBorder="1" applyAlignment="1">
      <alignment vertical="center"/>
    </xf>
    <xf numFmtId="9" fontId="0" fillId="0" borderId="29" xfId="37" applyFont="1" applyBorder="1" applyAlignment="1">
      <alignment vertical="center"/>
    </xf>
    <xf numFmtId="0" fontId="3" fillId="0" borderId="0" xfId="0" applyFont="1" applyAlignment="1">
      <alignment wrapText="1"/>
    </xf>
    <xf numFmtId="165" fontId="30" fillId="27" borderId="13" xfId="0" applyNumberFormat="1" applyFont="1" applyFill="1" applyBorder="1" applyAlignment="1">
      <alignment horizontal="center" vertical="center"/>
    </xf>
    <xf numFmtId="165" fontId="27" fillId="0" borderId="18" xfId="0" applyNumberFormat="1" applyFont="1" applyFill="1" applyBorder="1" applyAlignment="1">
      <alignment horizontal="center" vertical="center" wrapText="1"/>
    </xf>
    <xf numFmtId="2" fontId="27" fillId="0" borderId="26" xfId="0" applyNumberFormat="1" applyFont="1" applyBorder="1" applyAlignment="1">
      <alignment horizontal="left"/>
    </xf>
    <xf numFmtId="2" fontId="27" fillId="0" borderId="0" xfId="0" applyNumberFormat="1" applyFont="1" applyBorder="1" applyAlignment="1">
      <alignment horizontal="left"/>
    </xf>
    <xf numFmtId="2" fontId="27" fillId="0" borderId="29" xfId="0" applyNumberFormat="1" applyFont="1" applyBorder="1" applyAlignment="1">
      <alignment horizontal="left"/>
    </xf>
    <xf numFmtId="0" fontId="40" fillId="0" borderId="17" xfId="0" applyFont="1" applyFill="1" applyBorder="1" applyAlignment="1">
      <alignment horizontal="center"/>
    </xf>
    <xf numFmtId="0" fontId="5" fillId="24" borderId="16" xfId="0" applyFont="1" applyFill="1" applyBorder="1" applyAlignment="1">
      <alignment vertical="center" wrapText="1"/>
    </xf>
    <xf numFmtId="1" fontId="5" fillId="0" borderId="13" xfId="0" applyNumberFormat="1" applyFont="1" applyFill="1" applyBorder="1" applyAlignment="1">
      <alignment horizontal="center"/>
    </xf>
    <xf numFmtId="0" fontId="40" fillId="0" borderId="11" xfId="0" applyFont="1" applyFill="1" applyBorder="1"/>
    <xf numFmtId="9" fontId="40" fillId="0" borderId="27" xfId="37" applyFont="1" applyFill="1" applyBorder="1" applyAlignment="1">
      <alignment horizontal="center"/>
    </xf>
    <xf numFmtId="0" fontId="40" fillId="0" borderId="16" xfId="0" applyFont="1" applyFill="1" applyBorder="1"/>
    <xf numFmtId="0" fontId="40" fillId="0" borderId="29" xfId="0" applyFont="1" applyFill="1" applyBorder="1"/>
    <xf numFmtId="9" fontId="40" fillId="0" borderId="30" xfId="37" applyFont="1" applyFill="1" applyBorder="1" applyAlignment="1">
      <alignment horizontal="center"/>
    </xf>
    <xf numFmtId="1" fontId="3" fillId="0" borderId="14" xfId="0" applyNumberFormat="1" applyFont="1" applyFill="1" applyBorder="1" applyAlignment="1">
      <alignment horizontal="center"/>
    </xf>
    <xf numFmtId="1" fontId="3" fillId="0" borderId="15" xfId="0" applyNumberFormat="1" applyFont="1" applyFill="1" applyBorder="1" applyAlignment="1">
      <alignment horizontal="center"/>
    </xf>
    <xf numFmtId="0" fontId="40" fillId="0" borderId="27" xfId="0" applyFont="1" applyFill="1" applyBorder="1"/>
    <xf numFmtId="0" fontId="40" fillId="0" borderId="30" xfId="0" applyFont="1" applyFill="1" applyBorder="1"/>
    <xf numFmtId="9" fontId="40" fillId="0" borderId="29" xfId="37" applyFont="1" applyFill="1" applyBorder="1" applyAlignment="1">
      <alignment horizontal="center"/>
    </xf>
    <xf numFmtId="0" fontId="38" fillId="0" borderId="0" xfId="0" applyFont="1" applyFill="1"/>
    <xf numFmtId="169" fontId="5" fillId="0" borderId="0" xfId="0" applyNumberFormat="1" applyFont="1" applyFill="1" applyBorder="1" applyAlignment="1">
      <alignment horizontal="center"/>
    </xf>
    <xf numFmtId="0" fontId="3" fillId="0" borderId="0" xfId="0" applyFont="1" applyFill="1" applyAlignment="1">
      <alignment horizontal="left" vertical="center"/>
    </xf>
    <xf numFmtId="0" fontId="40" fillId="24" borderId="10" xfId="0" applyFont="1" applyFill="1" applyBorder="1"/>
    <xf numFmtId="0" fontId="6" fillId="33" borderId="0" xfId="0" applyFont="1" applyFill="1"/>
    <xf numFmtId="0" fontId="4" fillId="33" borderId="0" xfId="0" applyFont="1" applyFill="1" applyBorder="1"/>
    <xf numFmtId="174" fontId="0" fillId="33" borderId="0" xfId="32" applyNumberFormat="1" applyFont="1" applyFill="1" applyAlignment="1">
      <alignment horizontal="center"/>
    </xf>
    <xf numFmtId="0" fontId="0" fillId="33" borderId="0" xfId="0" applyFill="1"/>
    <xf numFmtId="0" fontId="46" fillId="33" borderId="21" xfId="0" applyFont="1" applyFill="1" applyBorder="1"/>
    <xf numFmtId="1" fontId="46" fillId="33" borderId="59" xfId="0" applyNumberFormat="1" applyFont="1" applyFill="1" applyBorder="1"/>
    <xf numFmtId="1" fontId="46" fillId="33" borderId="39" xfId="0" applyNumberFormat="1" applyFont="1" applyFill="1" applyBorder="1" applyAlignment="1">
      <alignment horizontal="center"/>
    </xf>
    <xf numFmtId="0" fontId="5" fillId="33" borderId="60" xfId="0" applyFont="1" applyFill="1" applyBorder="1"/>
    <xf numFmtId="1" fontId="5" fillId="33" borderId="61" xfId="0" applyNumberFormat="1" applyFont="1" applyFill="1" applyBorder="1"/>
    <xf numFmtId="1" fontId="5" fillId="33" borderId="56" xfId="0" applyNumberFormat="1" applyFont="1" applyFill="1" applyBorder="1" applyAlignment="1">
      <alignment horizontal="center"/>
    </xf>
    <xf numFmtId="0" fontId="5" fillId="33" borderId="12" xfId="0" applyFont="1" applyFill="1" applyBorder="1"/>
    <xf numFmtId="1" fontId="5" fillId="33" borderId="62" xfId="0" applyNumberFormat="1" applyFont="1" applyFill="1" applyBorder="1"/>
    <xf numFmtId="1" fontId="5" fillId="33" borderId="57" xfId="0" applyNumberFormat="1" applyFont="1" applyFill="1" applyBorder="1" applyAlignment="1">
      <alignment horizontal="center"/>
    </xf>
    <xf numFmtId="0" fontId="3" fillId="33" borderId="12" xfId="0" applyFont="1" applyFill="1" applyBorder="1"/>
    <xf numFmtId="0" fontId="46" fillId="33" borderId="63" xfId="0" applyFont="1" applyFill="1" applyBorder="1"/>
    <xf numFmtId="1" fontId="46" fillId="33" borderId="64" xfId="0" applyNumberFormat="1" applyFont="1" applyFill="1" applyBorder="1"/>
    <xf numFmtId="1" fontId="46" fillId="33" borderId="58" xfId="0" applyNumberFormat="1" applyFont="1" applyFill="1" applyBorder="1" applyAlignment="1">
      <alignment horizontal="center"/>
    </xf>
    <xf numFmtId="0" fontId="46" fillId="33" borderId="22" xfId="0" applyFont="1" applyFill="1" applyBorder="1"/>
    <xf numFmtId="1" fontId="47" fillId="33" borderId="53" xfId="0" applyNumberFormat="1" applyFont="1" applyFill="1" applyBorder="1"/>
    <xf numFmtId="1" fontId="46" fillId="33" borderId="41" xfId="0" applyNumberFormat="1" applyFont="1" applyFill="1" applyBorder="1" applyAlignment="1">
      <alignment horizontal="center"/>
    </xf>
    <xf numFmtId="1" fontId="46" fillId="33" borderId="53" xfId="0" applyNumberFormat="1" applyFont="1" applyFill="1" applyBorder="1"/>
    <xf numFmtId="0" fontId="46" fillId="33" borderId="12" xfId="0" applyFont="1" applyFill="1" applyBorder="1"/>
    <xf numFmtId="1" fontId="46" fillId="33" borderId="62" xfId="0" applyNumberFormat="1" applyFont="1" applyFill="1" applyBorder="1"/>
    <xf numFmtId="1" fontId="46" fillId="33" borderId="57" xfId="0" applyNumberFormat="1" applyFont="1" applyFill="1" applyBorder="1" applyAlignment="1">
      <alignment horizontal="center"/>
    </xf>
    <xf numFmtId="0" fontId="46" fillId="33" borderId="23" xfId="0" applyFont="1" applyFill="1" applyBorder="1"/>
    <xf numFmtId="1" fontId="46" fillId="33" borderId="65" xfId="0" applyNumberFormat="1" applyFont="1" applyFill="1" applyBorder="1"/>
    <xf numFmtId="1" fontId="46" fillId="33" borderId="44" xfId="0" applyNumberFormat="1" applyFont="1" applyFill="1" applyBorder="1" applyAlignment="1">
      <alignment horizontal="center"/>
    </xf>
    <xf numFmtId="0" fontId="46" fillId="33" borderId="0" xfId="0" applyFont="1" applyFill="1" applyBorder="1"/>
    <xf numFmtId="1" fontId="46" fillId="33" borderId="0" xfId="0" applyNumberFormat="1" applyFont="1" applyFill="1" applyBorder="1"/>
    <xf numFmtId="1" fontId="46" fillId="33" borderId="0" xfId="0" applyNumberFormat="1" applyFont="1" applyFill="1" applyBorder="1" applyAlignment="1">
      <alignment horizontal="center"/>
    </xf>
    <xf numFmtId="0" fontId="0" fillId="33" borderId="0" xfId="0" applyFill="1" applyBorder="1"/>
    <xf numFmtId="0" fontId="3" fillId="33" borderId="11" xfId="0" applyFont="1" applyFill="1" applyBorder="1"/>
    <xf numFmtId="1" fontId="3" fillId="33" borderId="66" xfId="0" applyNumberFormat="1" applyFont="1" applyFill="1" applyBorder="1"/>
    <xf numFmtId="2" fontId="3" fillId="33" borderId="67" xfId="0" applyNumberFormat="1" applyFont="1" applyFill="1" applyBorder="1" applyAlignment="1">
      <alignment horizontal="center"/>
    </xf>
    <xf numFmtId="0" fontId="46" fillId="33" borderId="16" xfId="0" applyFont="1" applyFill="1" applyBorder="1"/>
    <xf numFmtId="1" fontId="46" fillId="33" borderId="68" xfId="0" applyNumberFormat="1" applyFont="1" applyFill="1" applyBorder="1"/>
    <xf numFmtId="1" fontId="46" fillId="33" borderId="69" xfId="0" applyNumberFormat="1" applyFont="1" applyFill="1" applyBorder="1" applyAlignment="1">
      <alignment horizontal="center"/>
    </xf>
    <xf numFmtId="1" fontId="3" fillId="33" borderId="26" xfId="0" applyNumberFormat="1" applyFont="1" applyFill="1" applyBorder="1"/>
    <xf numFmtId="1" fontId="3" fillId="33" borderId="67" xfId="0" applyNumberFormat="1" applyFont="1" applyFill="1" applyBorder="1" applyAlignment="1">
      <alignment horizontal="center"/>
    </xf>
    <xf numFmtId="1" fontId="3" fillId="33" borderId="0" xfId="0" applyNumberFormat="1" applyFont="1" applyFill="1" applyBorder="1"/>
    <xf numFmtId="1" fontId="3" fillId="33" borderId="57" xfId="0" applyNumberFormat="1" applyFont="1" applyFill="1" applyBorder="1" applyAlignment="1">
      <alignment horizontal="center"/>
    </xf>
    <xf numFmtId="1" fontId="46" fillId="33" borderId="29" xfId="0" applyNumberFormat="1" applyFont="1" applyFill="1" applyBorder="1"/>
    <xf numFmtId="9" fontId="0" fillId="0" borderId="11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4" fontId="30" fillId="27" borderId="17" xfId="0" applyNumberFormat="1" applyFont="1" applyFill="1" applyBorder="1" applyAlignment="1">
      <alignment horizontal="center"/>
    </xf>
    <xf numFmtId="4" fontId="30" fillId="27" borderId="13" xfId="0" applyNumberFormat="1" applyFont="1" applyFill="1" applyBorder="1" applyAlignment="1">
      <alignment horizontal="center"/>
    </xf>
    <xf numFmtId="10" fontId="30" fillId="27" borderId="12" xfId="37" applyNumberFormat="1" applyFont="1" applyFill="1" applyBorder="1" applyAlignment="1">
      <alignment horizontal="center"/>
    </xf>
    <xf numFmtId="10" fontId="30" fillId="27" borderId="0" xfId="37" applyNumberFormat="1" applyFont="1" applyFill="1" applyBorder="1" applyAlignment="1">
      <alignment horizontal="center"/>
    </xf>
    <xf numFmtId="10" fontId="30" fillId="27" borderId="28" xfId="37" applyNumberFormat="1" applyFont="1" applyFill="1" applyBorder="1" applyAlignment="1">
      <alignment horizontal="center"/>
    </xf>
    <xf numFmtId="0" fontId="27" fillId="0" borderId="11" xfId="0" applyFont="1" applyFill="1" applyBorder="1" applyAlignment="1">
      <alignment horizontal="center" vertical="center"/>
    </xf>
    <xf numFmtId="0" fontId="27" fillId="0" borderId="27" xfId="0" applyFont="1" applyFill="1" applyBorder="1" applyAlignment="1">
      <alignment horizontal="center" vertical="center"/>
    </xf>
    <xf numFmtId="0" fontId="27" fillId="0" borderId="16" xfId="0" applyFont="1" applyFill="1" applyBorder="1" applyAlignment="1">
      <alignment horizontal="center" vertical="center"/>
    </xf>
    <xf numFmtId="0" fontId="27" fillId="0" borderId="30" xfId="0" applyFont="1" applyFill="1" applyBorder="1" applyAlignment="1">
      <alignment horizontal="center" vertical="center"/>
    </xf>
    <xf numFmtId="4" fontId="30" fillId="27" borderId="11" xfId="0" applyNumberFormat="1" applyFont="1" applyFill="1" applyBorder="1" applyAlignment="1">
      <alignment horizontal="center"/>
    </xf>
    <xf numFmtId="4" fontId="30" fillId="27" borderId="26" xfId="0" applyNumberFormat="1" applyFont="1" applyFill="1" applyBorder="1" applyAlignment="1">
      <alignment horizontal="center"/>
    </xf>
    <xf numFmtId="4" fontId="30" fillId="27" borderId="27" xfId="0" applyNumberFormat="1" applyFont="1" applyFill="1" applyBorder="1" applyAlignment="1">
      <alignment horizontal="center"/>
    </xf>
    <xf numFmtId="4" fontId="30" fillId="27" borderId="12" xfId="0" applyNumberFormat="1" applyFont="1" applyFill="1" applyBorder="1" applyAlignment="1">
      <alignment horizontal="center"/>
    </xf>
    <xf numFmtId="4" fontId="30" fillId="27" borderId="0" xfId="0" applyNumberFormat="1" applyFont="1" applyFill="1" applyBorder="1" applyAlignment="1">
      <alignment horizontal="center"/>
    </xf>
    <xf numFmtId="4" fontId="30" fillId="27" borderId="28" xfId="0" applyNumberFormat="1" applyFont="1" applyFill="1" applyBorder="1" applyAlignment="1">
      <alignment horizontal="center"/>
    </xf>
    <xf numFmtId="4" fontId="30" fillId="27" borderId="16" xfId="0" applyNumberFormat="1" applyFont="1" applyFill="1" applyBorder="1" applyAlignment="1">
      <alignment horizontal="center"/>
    </xf>
    <xf numFmtId="4" fontId="30" fillId="27" borderId="29" xfId="0" applyNumberFormat="1" applyFont="1" applyFill="1" applyBorder="1" applyAlignment="1">
      <alignment horizontal="center"/>
    </xf>
    <xf numFmtId="4" fontId="30" fillId="27" borderId="30" xfId="0" applyNumberFormat="1" applyFont="1" applyFill="1" applyBorder="1" applyAlignment="1">
      <alignment horizontal="center"/>
    </xf>
    <xf numFmtId="0" fontId="27" fillId="0" borderId="10" xfId="0" applyFont="1" applyFill="1" applyBorder="1" applyAlignment="1">
      <alignment horizontal="left" vertical="center"/>
    </xf>
    <xf numFmtId="0" fontId="27" fillId="0" borderId="47" xfId="0" applyFont="1" applyFill="1" applyBorder="1" applyAlignment="1">
      <alignment horizontal="left" vertical="center"/>
    </xf>
    <xf numFmtId="168" fontId="30" fillId="27" borderId="10" xfId="37" applyNumberFormat="1" applyFont="1" applyFill="1" applyBorder="1" applyAlignment="1">
      <alignment horizontal="center"/>
    </xf>
    <xf numFmtId="168" fontId="30" fillId="27" borderId="25" xfId="37" applyNumberFormat="1" applyFont="1" applyFill="1" applyBorder="1" applyAlignment="1">
      <alignment horizontal="center"/>
    </xf>
    <xf numFmtId="168" fontId="30" fillId="27" borderId="47" xfId="37" applyNumberFormat="1" applyFont="1" applyFill="1" applyBorder="1" applyAlignment="1">
      <alignment horizontal="center"/>
    </xf>
    <xf numFmtId="10" fontId="30" fillId="27" borderId="11" xfId="37" applyNumberFormat="1" applyFont="1" applyFill="1" applyBorder="1" applyAlignment="1">
      <alignment horizontal="center"/>
    </xf>
    <xf numFmtId="10" fontId="30" fillId="27" borderId="26" xfId="37" applyNumberFormat="1" applyFont="1" applyFill="1" applyBorder="1" applyAlignment="1">
      <alignment horizontal="center"/>
    </xf>
    <xf numFmtId="10" fontId="30" fillId="27" borderId="27" xfId="37" applyNumberFormat="1" applyFont="1" applyFill="1" applyBorder="1" applyAlignment="1">
      <alignment horizontal="center"/>
    </xf>
    <xf numFmtId="10" fontId="30" fillId="27" borderId="16" xfId="37" applyNumberFormat="1" applyFont="1" applyFill="1" applyBorder="1" applyAlignment="1">
      <alignment horizontal="center"/>
    </xf>
    <xf numFmtId="10" fontId="30" fillId="27" borderId="29" xfId="37" applyNumberFormat="1" applyFont="1" applyFill="1" applyBorder="1" applyAlignment="1">
      <alignment horizontal="center"/>
    </xf>
    <xf numFmtId="10" fontId="30" fillId="27" borderId="30" xfId="37" applyNumberFormat="1" applyFont="1" applyFill="1" applyBorder="1" applyAlignment="1">
      <alignment horizontal="center"/>
    </xf>
    <xf numFmtId="0" fontId="27" fillId="0" borderId="22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27" fillId="0" borderId="53" xfId="0" applyFont="1" applyFill="1" applyBorder="1" applyAlignment="1">
      <alignment horizontal="center" vertical="center" wrapText="1"/>
    </xf>
    <xf numFmtId="0" fontId="30" fillId="27" borderId="54" xfId="0" applyFont="1" applyFill="1" applyBorder="1" applyAlignment="1">
      <alignment horizontal="left" vertical="center"/>
    </xf>
    <xf numFmtId="0" fontId="30" fillId="27" borderId="52" xfId="0" applyFont="1" applyFill="1" applyBorder="1" applyAlignment="1">
      <alignment horizontal="left" vertical="center"/>
    </xf>
    <xf numFmtId="0" fontId="30" fillId="27" borderId="53" xfId="0" applyFont="1" applyFill="1" applyBorder="1" applyAlignment="1">
      <alignment horizontal="left" vertical="center"/>
    </xf>
    <xf numFmtId="174" fontId="41" fillId="0" borderId="55" xfId="32" applyNumberFormat="1" applyFont="1" applyFill="1" applyBorder="1" applyAlignment="1">
      <alignment horizontal="center" vertical="center"/>
    </xf>
    <xf numFmtId="174" fontId="41" fillId="0" borderId="0" xfId="32" applyNumberFormat="1" applyFont="1" applyFill="1" applyAlignment="1">
      <alignment horizontal="center" vertical="center"/>
    </xf>
  </cellXfs>
  <cellStyles count="62">
    <cellStyle name="20 % - Accent1" xfId="1" builtinId="30" customBuiltin="1"/>
    <cellStyle name="20 % - Accent2" xfId="2" builtinId="34" customBuiltin="1"/>
    <cellStyle name="20 % - Accent3" xfId="3" builtinId="38" customBuiltin="1"/>
    <cellStyle name="20 % - Accent4" xfId="4" builtinId="42" customBuiltin="1"/>
    <cellStyle name="20 % - Accent5" xfId="5" builtinId="46" customBuiltin="1"/>
    <cellStyle name="20 % - Accent6" xfId="6" builtinId="50" customBuiltin="1"/>
    <cellStyle name="40 % - Accent1" xfId="7" builtinId="31" customBuiltin="1"/>
    <cellStyle name="40 % - Accent2" xfId="8" builtinId="35" customBuiltin="1"/>
    <cellStyle name="40 % - Accent3" xfId="9" builtinId="39" customBuiltin="1"/>
    <cellStyle name="40 % - Accent4" xfId="10" builtinId="43" customBuiltin="1"/>
    <cellStyle name="40 % - Accent5" xfId="11" builtinId="47" customBuiltin="1"/>
    <cellStyle name="40 % - Accent6" xfId="12" builtinId="51" customBuiltin="1"/>
    <cellStyle name="60 % - Accent1" xfId="13" builtinId="32" customBuiltin="1"/>
    <cellStyle name="60 % - Accent2" xfId="14" builtinId="36" customBuiltin="1"/>
    <cellStyle name="60 % - Accent3" xfId="15" builtinId="40" customBuiltin="1"/>
    <cellStyle name="60 % - Accent4" xfId="16" builtinId="44" customBuiltin="1"/>
    <cellStyle name="60 % - Accent5" xfId="17" builtinId="48" customBuiltin="1"/>
    <cellStyle name="60 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vertissement" xfId="25" builtinId="11" customBuiltin="1"/>
    <cellStyle name="Calcul" xfId="26" builtinId="22" customBuiltin="1"/>
    <cellStyle name="Cellule liée" xfId="27" builtinId="24" customBuiltin="1"/>
    <cellStyle name="Commentaire" xfId="28" builtinId="10" customBuiltin="1"/>
    <cellStyle name="Entrée" xfId="29" builtinId="20" customBuiltin="1"/>
    <cellStyle name="Euro" xfId="30"/>
    <cellStyle name="Euro 2" xfId="54"/>
    <cellStyle name="Insatisfaisant" xfId="31" builtinId="27" customBuiltin="1"/>
    <cellStyle name="Lien hypertexte" xfId="58" builtinId="8"/>
    <cellStyle name="Lien hypertexte 2" xfId="57"/>
    <cellStyle name="Milliers" xfId="32" builtinId="3"/>
    <cellStyle name="Milliers 2" xfId="33"/>
    <cellStyle name="Milliers 2 2" xfId="56"/>
    <cellStyle name="Milliers 3" xfId="50"/>
    <cellStyle name="Milliers 4" xfId="55"/>
    <cellStyle name="Milliers 5" xfId="60"/>
    <cellStyle name="Neutre" xfId="34" builtinId="28" customBuiltin="1"/>
    <cellStyle name="Normal" xfId="0" builtinId="0"/>
    <cellStyle name="Normal 2" xfId="48"/>
    <cellStyle name="Normal 3" xfId="49"/>
    <cellStyle name="Normal 4" xfId="53"/>
    <cellStyle name="Normal 5" xfId="59"/>
    <cellStyle name="Normal_ANSA_RSA_simulation_v12" xfId="35"/>
    <cellStyle name="Normal_ANSA_simulation_v9" xfId="36"/>
    <cellStyle name="Pourcentage" xfId="37" builtinId="5"/>
    <cellStyle name="Pourcentage 2" xfId="51"/>
    <cellStyle name="Pourcentage 3" xfId="61"/>
    <cellStyle name="Satisfaisant" xfId="38" builtinId="26" customBuiltin="1"/>
    <cellStyle name="Sortie" xfId="39" builtinId="21" customBuiltin="1"/>
    <cellStyle name="Style 1" xfId="52"/>
    <cellStyle name="Texte explicatif" xfId="40" builtinId="53" customBuiltin="1"/>
    <cellStyle name="Titre" xfId="41" builtinId="15" customBuiltin="1"/>
    <cellStyle name="Titre 1" xfId="42" builtinId="16" customBuiltin="1"/>
    <cellStyle name="Titre 2" xfId="43" builtinId="17" customBuiltin="1"/>
    <cellStyle name="Titre 3" xfId="44" builtinId="18" customBuiltin="1"/>
    <cellStyle name="Titre 4" xfId="45" builtinId="19" customBuiltin="1"/>
    <cellStyle name="Total" xfId="46" builtinId="25" customBuiltin="1"/>
    <cellStyle name="Vérification" xfId="47" builtinId="23" customBuiltin="1"/>
  </cellStyles>
  <dxfs count="0"/>
  <tableStyles count="0" defaultTableStyle="TableStyleMedium2" defaultPivotStyle="PivotStyleLight16"/>
  <colors>
    <mruColors>
      <color rgb="FF0000FF"/>
      <color rgb="FFC9F5FF"/>
      <color rgb="FF00CCFF"/>
      <color rgb="FF09BFFF"/>
      <color rgb="FF66FFFF"/>
      <color rgb="FFFFE07D"/>
      <color rgb="FFFFD347"/>
      <color rgb="FFFF7C80"/>
      <color rgb="FF0099CC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200" b="1">
                <a:solidFill>
                  <a:sysClr val="windowText" lastClr="000000"/>
                </a:solidFill>
                <a:effectLst/>
              </a:rPr>
              <a:t>Graphique 5  : De l'ASF-R à la CEEE :</a:t>
            </a:r>
            <a:r>
              <a:rPr lang="fr-FR" sz="1200" b="1" baseline="0">
                <a:solidFill>
                  <a:sysClr val="windowText" lastClr="000000"/>
                </a:solidFill>
                <a:effectLst/>
              </a:rPr>
              <a:t> </a:t>
            </a:r>
            <a:r>
              <a:rPr lang="fr-FR" sz="1200" b="1">
                <a:solidFill>
                  <a:sysClr val="windowText" lastClr="000000"/>
                </a:solidFill>
                <a:effectLst/>
              </a:rPr>
              <a:t>répercussion sur les transferts sociaux et fiscaux</a:t>
            </a:r>
          </a:p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fr-FR" sz="1200" b="1">
                <a:solidFill>
                  <a:sysClr val="windowText" lastClr="000000"/>
                </a:solidFill>
                <a:effectLst/>
              </a:rPr>
              <a:t>Cas d'un parent gardien avec 2 enfants âgés de 6 et 8 ans percevant le montant moyen de la CEEE (190€ par enfant)</a:t>
            </a:r>
            <a:endParaRPr lang="fr-FR" sz="12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377047801024"/>
          <c:y val="0.2202230117994671"/>
          <c:w val="0.79185290056921154"/>
          <c:h val="0.34305768322561436"/>
        </c:manualLayout>
      </c:layout>
      <c:barChart>
        <c:barDir val="col"/>
        <c:grouping val="stacked"/>
        <c:varyColors val="0"/>
        <c:ser>
          <c:idx val="5"/>
          <c:order val="0"/>
          <c:tx>
            <c:v>CEEE</c:v>
          </c:tx>
          <c:spPr>
            <a:solidFill>
              <a:srgbClr val="FFFF00"/>
            </a:solidFill>
            <a:ln w="25400">
              <a:noFill/>
            </a:ln>
            <a:effectLst/>
          </c:spPr>
          <c:invertIfNegative val="0"/>
          <c:val>
            <c:numRef>
              <c:f>'récap RECOUV 2 enfants v0'!$C$4:$C$17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329-491C-A47B-5439E469A71C}"/>
            </c:ext>
          </c:extLst>
        </c:ser>
        <c:ser>
          <c:idx val="6"/>
          <c:order val="1"/>
          <c:tx>
            <c:strRef>
              <c:f>'récap RECOUV 2 enfants v0'!$D$3</c:f>
              <c:strCache>
                <c:ptCount val="1"/>
                <c:pt idx="0">
                  <c:v>ASF</c:v>
                </c:pt>
              </c:strCache>
            </c:strRef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  <a:ln w="25400">
              <a:noFill/>
            </a:ln>
            <a:effectLst/>
          </c:spPr>
          <c:invertIfNegative val="0"/>
          <c:val>
            <c:numRef>
              <c:f>'récap RECOUV 2 enfants v0'!$D$4:$D$17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329-491C-A47B-5439E469A71C}"/>
            </c:ext>
          </c:extLst>
        </c:ser>
        <c:ser>
          <c:idx val="0"/>
          <c:order val="2"/>
          <c:tx>
            <c:strRef>
              <c:f>'récap RECOUV 2 enfants v0'!$E$3</c:f>
              <c:strCache>
                <c:ptCount val="1"/>
                <c:pt idx="0">
                  <c:v>autres PF</c:v>
                </c:pt>
              </c:strCache>
            </c:strRef>
          </c:tx>
          <c:spPr>
            <a:solidFill>
              <a:srgbClr val="00CCFF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329-491C-A47B-5439E469A71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6329-491C-A47B-5439E469A71C}"/>
              </c:ext>
            </c:extLst>
          </c:dPt>
          <c:dPt>
            <c:idx val="2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329-491C-A47B-5439E469A71C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6329-491C-A47B-5439E469A71C}"/>
              </c:ext>
            </c:extLst>
          </c:dPt>
          <c:dPt>
            <c:idx val="4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329-491C-A47B-5439E469A71C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6329-491C-A47B-5439E469A71C}"/>
              </c:ext>
            </c:extLst>
          </c:dPt>
          <c:dPt>
            <c:idx val="6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329-491C-A47B-5439E469A71C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6329-491C-A47B-5439E469A71C}"/>
              </c:ext>
            </c:extLst>
          </c:dPt>
          <c:dPt>
            <c:idx val="8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6329-491C-A47B-5439E469A71C}"/>
              </c:ext>
            </c:extLst>
          </c:dPt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6329-491C-A47B-5439E469A71C}"/>
              </c:ext>
            </c:extLst>
          </c:dPt>
          <c:dPt>
            <c:idx val="10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6329-491C-A47B-5439E469A71C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9-6329-491C-A47B-5439E469A71C}"/>
              </c:ext>
            </c:extLst>
          </c:dPt>
          <c:dPt>
            <c:idx val="12"/>
            <c:invertIfNegative val="0"/>
            <c:bubble3D val="0"/>
            <c:spPr>
              <a:pattFill prst="pct50">
                <a:fgClr>
                  <a:srgbClr val="00CCFF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6329-491C-A47B-5439E469A71C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6329-491C-A47B-5439E469A71C}"/>
              </c:ext>
            </c:extLst>
          </c:dPt>
          <c:cat>
            <c:multiLvlStrRef>
              <c:f>'récap RECOUV 2 enfants v0'!$A$4:$B$17</c:f>
              <c:multiLvlStrCache>
                <c:ptCount val="14"/>
                <c:lvl>
                  <c:pt idx="0">
                    <c:v>ASF recouvrable</c:v>
                  </c:pt>
                  <c:pt idx="1">
                    <c:v>CEEE recouvrée</c:v>
                  </c:pt>
                  <c:pt idx="2">
                    <c:v>ASF recouvrable</c:v>
                  </c:pt>
                  <c:pt idx="3">
                    <c:v>CEEE recouvrée</c:v>
                  </c:pt>
                  <c:pt idx="4">
                    <c:v>ASF recouvrable</c:v>
                  </c:pt>
                  <c:pt idx="5">
                    <c:v>CEEE recouvrée</c:v>
                  </c:pt>
                  <c:pt idx="6">
                    <c:v>ASF recouvrable</c:v>
                  </c:pt>
                  <c:pt idx="7">
                    <c:v>CEEE recouvrée</c:v>
                  </c:pt>
                  <c:pt idx="8">
                    <c:v>ASF recouvrable</c:v>
                  </c:pt>
                  <c:pt idx="9">
                    <c:v>CEEE recouvrée</c:v>
                  </c:pt>
                  <c:pt idx="10">
                    <c:v>ASF recouvrable</c:v>
                  </c:pt>
                  <c:pt idx="11">
                    <c:v>CEEE recouvrée</c:v>
                  </c:pt>
                  <c:pt idx="12">
                    <c:v>ASF recouvrable</c:v>
                  </c:pt>
                  <c:pt idx="13">
                    <c:v>CEEE recouvrée</c:v>
                  </c:pt>
                </c:lvl>
                <c:lvl>
                  <c:pt idx="0">
                    <c:v>0%</c:v>
                  </c:pt>
                  <c:pt idx="2">
                    <c:v>50%</c:v>
                  </c:pt>
                  <c:pt idx="4">
                    <c:v>100%</c:v>
                  </c:pt>
                  <c:pt idx="6">
                    <c:v>150%</c:v>
                  </c:pt>
                  <c:pt idx="8">
                    <c:v>200%</c:v>
                  </c:pt>
                  <c:pt idx="10">
                    <c:v>250%</c:v>
                  </c:pt>
                  <c:pt idx="12">
                    <c:v>300%</c:v>
                  </c:pt>
                </c:lvl>
              </c:multiLvlStrCache>
            </c:multiLvlStrRef>
          </c:cat>
          <c:val>
            <c:numRef>
              <c:f>'récap RECOUV 2 enfants v0'!$E$4:$E$17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6329-491C-A47B-5439E469A71C}"/>
            </c:ext>
          </c:extLst>
        </c:ser>
        <c:ser>
          <c:idx val="1"/>
          <c:order val="3"/>
          <c:tx>
            <c:strRef>
              <c:f>'récap RECOUV 2 enfants v0'!$F$3</c:f>
              <c:strCache>
                <c:ptCount val="1"/>
                <c:pt idx="0">
                  <c:v>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0-6329-491C-A47B-5439E469A71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2-6329-491C-A47B-5439E469A71C}"/>
              </c:ext>
            </c:extLst>
          </c:dPt>
          <c:dPt>
            <c:idx val="2"/>
            <c:invertIfNegative val="0"/>
            <c:bubble3D val="0"/>
            <c:spPr>
              <a:pattFill prst="pct5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4-6329-491C-A47B-5439E469A71C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6-6329-491C-A47B-5439E469A71C}"/>
              </c:ext>
            </c:extLst>
          </c:dPt>
          <c:dPt>
            <c:idx val="4"/>
            <c:invertIfNegative val="0"/>
            <c:bubble3D val="0"/>
            <c:spPr>
              <a:pattFill prst="pct5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8-6329-491C-A47B-5439E469A71C}"/>
              </c:ext>
            </c:extLst>
          </c:dPt>
          <c:dPt>
            <c:idx val="5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A-6329-491C-A47B-5439E469A71C}"/>
              </c:ext>
            </c:extLst>
          </c:dPt>
          <c:dPt>
            <c:idx val="6"/>
            <c:invertIfNegative val="0"/>
            <c:bubble3D val="0"/>
            <c:spPr>
              <a:pattFill prst="pct50">
                <a:fgClr>
                  <a:srgbClr val="FFC00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2C-6329-491C-A47B-5439E469A71C}"/>
              </c:ext>
            </c:extLst>
          </c:dPt>
          <c:dPt>
            <c:idx val="7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2E-6329-491C-A47B-5439E469A71C}"/>
              </c:ext>
            </c:extLst>
          </c:dPt>
          <c:cat>
            <c:multiLvlStrRef>
              <c:f>'récap RECOUV 2 enfants v0'!$A$4:$B$17</c:f>
              <c:multiLvlStrCache>
                <c:ptCount val="14"/>
                <c:lvl>
                  <c:pt idx="0">
                    <c:v>ASF recouvrable</c:v>
                  </c:pt>
                  <c:pt idx="1">
                    <c:v>CEEE recouvrée</c:v>
                  </c:pt>
                  <c:pt idx="2">
                    <c:v>ASF recouvrable</c:v>
                  </c:pt>
                  <c:pt idx="3">
                    <c:v>CEEE recouvrée</c:v>
                  </c:pt>
                  <c:pt idx="4">
                    <c:v>ASF recouvrable</c:v>
                  </c:pt>
                  <c:pt idx="5">
                    <c:v>CEEE recouvrée</c:v>
                  </c:pt>
                  <c:pt idx="6">
                    <c:v>ASF recouvrable</c:v>
                  </c:pt>
                  <c:pt idx="7">
                    <c:v>CEEE recouvrée</c:v>
                  </c:pt>
                  <c:pt idx="8">
                    <c:v>ASF recouvrable</c:v>
                  </c:pt>
                  <c:pt idx="9">
                    <c:v>CEEE recouvrée</c:v>
                  </c:pt>
                  <c:pt idx="10">
                    <c:v>ASF recouvrable</c:v>
                  </c:pt>
                  <c:pt idx="11">
                    <c:v>CEEE recouvrée</c:v>
                  </c:pt>
                  <c:pt idx="12">
                    <c:v>ASF recouvrable</c:v>
                  </c:pt>
                  <c:pt idx="13">
                    <c:v>CEEE recouvrée</c:v>
                  </c:pt>
                </c:lvl>
                <c:lvl>
                  <c:pt idx="0">
                    <c:v>0%</c:v>
                  </c:pt>
                  <c:pt idx="2">
                    <c:v>50%</c:v>
                  </c:pt>
                  <c:pt idx="4">
                    <c:v>100%</c:v>
                  </c:pt>
                  <c:pt idx="6">
                    <c:v>150%</c:v>
                  </c:pt>
                  <c:pt idx="8">
                    <c:v>200%</c:v>
                  </c:pt>
                  <c:pt idx="10">
                    <c:v>250%</c:v>
                  </c:pt>
                  <c:pt idx="12">
                    <c:v>300%</c:v>
                  </c:pt>
                </c:lvl>
              </c:multiLvlStrCache>
            </c:multiLvlStrRef>
          </c:cat>
          <c:val>
            <c:numRef>
              <c:f>'récap RECOUV 2 enfants v0'!$F$4:$F$17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F-6329-491C-A47B-5439E469A71C}"/>
            </c:ext>
          </c:extLst>
        </c:ser>
        <c:ser>
          <c:idx val="2"/>
          <c:order val="4"/>
          <c:tx>
            <c:strRef>
              <c:f>'récap RECOUV 2 enfants v0'!$G$3</c:f>
              <c:strCache>
                <c:ptCount val="1"/>
                <c:pt idx="0">
                  <c:v>RSA+PA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1-6329-491C-A47B-5439E469A71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3-6329-491C-A47B-5439E469A71C}"/>
              </c:ext>
            </c:extLst>
          </c:dPt>
          <c:dPt>
            <c:idx val="2"/>
            <c:invertIfNegative val="0"/>
            <c:bubble3D val="0"/>
            <c:spPr>
              <a:pattFill prst="pct50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5-6329-491C-A47B-5439E469A71C}"/>
              </c:ext>
            </c:extLst>
          </c:dPt>
          <c:dPt>
            <c:idx val="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7-6329-491C-A47B-5439E469A71C}"/>
              </c:ext>
            </c:extLst>
          </c:dPt>
          <c:dPt>
            <c:idx val="4"/>
            <c:invertIfNegative val="0"/>
            <c:bubble3D val="0"/>
            <c:spPr>
              <a:pattFill prst="pct50">
                <a:fgClr>
                  <a:srgbClr val="92D05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9-6329-491C-A47B-5439E469A71C}"/>
              </c:ext>
            </c:extLst>
          </c:dPt>
          <c:cat>
            <c:multiLvlStrRef>
              <c:f>'récap RECOUV 2 enfants v0'!$A$4:$B$17</c:f>
              <c:multiLvlStrCache>
                <c:ptCount val="14"/>
                <c:lvl>
                  <c:pt idx="0">
                    <c:v>ASF recouvrable</c:v>
                  </c:pt>
                  <c:pt idx="1">
                    <c:v>CEEE recouvrée</c:v>
                  </c:pt>
                  <c:pt idx="2">
                    <c:v>ASF recouvrable</c:v>
                  </c:pt>
                  <c:pt idx="3">
                    <c:v>CEEE recouvrée</c:v>
                  </c:pt>
                  <c:pt idx="4">
                    <c:v>ASF recouvrable</c:v>
                  </c:pt>
                  <c:pt idx="5">
                    <c:v>CEEE recouvrée</c:v>
                  </c:pt>
                  <c:pt idx="6">
                    <c:v>ASF recouvrable</c:v>
                  </c:pt>
                  <c:pt idx="7">
                    <c:v>CEEE recouvrée</c:v>
                  </c:pt>
                  <c:pt idx="8">
                    <c:v>ASF recouvrable</c:v>
                  </c:pt>
                  <c:pt idx="9">
                    <c:v>CEEE recouvrée</c:v>
                  </c:pt>
                  <c:pt idx="10">
                    <c:v>ASF recouvrable</c:v>
                  </c:pt>
                  <c:pt idx="11">
                    <c:v>CEEE recouvrée</c:v>
                  </c:pt>
                  <c:pt idx="12">
                    <c:v>ASF recouvrable</c:v>
                  </c:pt>
                  <c:pt idx="13">
                    <c:v>CEEE recouvrée</c:v>
                  </c:pt>
                </c:lvl>
                <c:lvl>
                  <c:pt idx="0">
                    <c:v>0%</c:v>
                  </c:pt>
                  <c:pt idx="2">
                    <c:v>50%</c:v>
                  </c:pt>
                  <c:pt idx="4">
                    <c:v>100%</c:v>
                  </c:pt>
                  <c:pt idx="6">
                    <c:v>150%</c:v>
                  </c:pt>
                  <c:pt idx="8">
                    <c:v>200%</c:v>
                  </c:pt>
                  <c:pt idx="10">
                    <c:v>250%</c:v>
                  </c:pt>
                  <c:pt idx="12">
                    <c:v>300%</c:v>
                  </c:pt>
                </c:lvl>
              </c:multiLvlStrCache>
            </c:multiLvlStrRef>
          </c:cat>
          <c:val>
            <c:numRef>
              <c:f>'récap RECOUV 2 enfants v0'!$G$4:$G$17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A-6329-491C-A47B-5439E469A71C}"/>
            </c:ext>
          </c:extLst>
        </c:ser>
        <c:ser>
          <c:idx val="3"/>
          <c:order val="5"/>
          <c:tx>
            <c:strRef>
              <c:f>'récap RECOUV 2 enfants v0'!$H$3</c:f>
              <c:strCache>
                <c:ptCount val="1"/>
                <c:pt idx="0">
                  <c:v>IR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Pt>
            <c:idx val="9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3C-6329-491C-A47B-5439E469A71C}"/>
              </c:ext>
            </c:extLst>
          </c:dPt>
          <c:dPt>
            <c:idx val="10"/>
            <c:invertIfNegative val="0"/>
            <c:bubble3D val="0"/>
            <c:spPr>
              <a:pattFill prst="pct50">
                <a:fgClr>
                  <a:srgbClr val="7030A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3E-6329-491C-A47B-5439E469A71C}"/>
              </c:ext>
            </c:extLst>
          </c:dPt>
          <c:dPt>
            <c:idx val="1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0-6329-491C-A47B-5439E469A71C}"/>
              </c:ext>
            </c:extLst>
          </c:dPt>
          <c:dPt>
            <c:idx val="12"/>
            <c:invertIfNegative val="0"/>
            <c:bubble3D val="0"/>
            <c:spPr>
              <a:pattFill prst="pct50">
                <a:fgClr>
                  <a:srgbClr val="7030A0"/>
                </a:fgClr>
                <a:bgClr>
                  <a:schemeClr val="bg1"/>
                </a:bgClr>
              </a:patt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42-6329-491C-A47B-5439E469A71C}"/>
              </c:ext>
            </c:extLst>
          </c:dPt>
          <c:dPt>
            <c:idx val="13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44-6329-491C-A47B-5439E469A71C}"/>
              </c:ext>
            </c:extLst>
          </c:dPt>
          <c:cat>
            <c:multiLvlStrRef>
              <c:f>'récap RECOUV 2 enfants v0'!$A$4:$B$17</c:f>
              <c:multiLvlStrCache>
                <c:ptCount val="14"/>
                <c:lvl>
                  <c:pt idx="0">
                    <c:v>ASF recouvrable</c:v>
                  </c:pt>
                  <c:pt idx="1">
                    <c:v>CEEE recouvrée</c:v>
                  </c:pt>
                  <c:pt idx="2">
                    <c:v>ASF recouvrable</c:v>
                  </c:pt>
                  <c:pt idx="3">
                    <c:v>CEEE recouvrée</c:v>
                  </c:pt>
                  <c:pt idx="4">
                    <c:v>ASF recouvrable</c:v>
                  </c:pt>
                  <c:pt idx="5">
                    <c:v>CEEE recouvrée</c:v>
                  </c:pt>
                  <c:pt idx="6">
                    <c:v>ASF recouvrable</c:v>
                  </c:pt>
                  <c:pt idx="7">
                    <c:v>CEEE recouvrée</c:v>
                  </c:pt>
                  <c:pt idx="8">
                    <c:v>ASF recouvrable</c:v>
                  </c:pt>
                  <c:pt idx="9">
                    <c:v>CEEE recouvrée</c:v>
                  </c:pt>
                  <c:pt idx="10">
                    <c:v>ASF recouvrable</c:v>
                  </c:pt>
                  <c:pt idx="11">
                    <c:v>CEEE recouvrée</c:v>
                  </c:pt>
                  <c:pt idx="12">
                    <c:v>ASF recouvrable</c:v>
                  </c:pt>
                  <c:pt idx="13">
                    <c:v>CEEE recouvrée</c:v>
                  </c:pt>
                </c:lvl>
                <c:lvl>
                  <c:pt idx="0">
                    <c:v>0%</c:v>
                  </c:pt>
                  <c:pt idx="2">
                    <c:v>50%</c:v>
                  </c:pt>
                  <c:pt idx="4">
                    <c:v>100%</c:v>
                  </c:pt>
                  <c:pt idx="6">
                    <c:v>150%</c:v>
                  </c:pt>
                  <c:pt idx="8">
                    <c:v>200%</c:v>
                  </c:pt>
                  <c:pt idx="10">
                    <c:v>250%</c:v>
                  </c:pt>
                  <c:pt idx="12">
                    <c:v>300%</c:v>
                  </c:pt>
                </c:lvl>
              </c:multiLvlStrCache>
            </c:multiLvlStrRef>
          </c:cat>
          <c:val>
            <c:numRef>
              <c:f>'récap RECOUV 2 enfants v0'!$H$4:$H$17</c:f>
              <c:numCache>
                <c:formatCode>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45-6329-491C-A47B-5439E469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178944"/>
        <c:axId val="180868160"/>
      </c:barChart>
      <c:lineChart>
        <c:grouping val="standard"/>
        <c:varyColors val="0"/>
        <c:ser>
          <c:idx val="4"/>
          <c:order val="6"/>
          <c:tx>
            <c:strRef>
              <c:f>'récap RECOUV 2 enfants v0'!$F$24</c:f>
              <c:strCache>
                <c:ptCount val="1"/>
                <c:pt idx="0">
                  <c:v>Taux marginal effectif de prélèvement sur la CEEE recouvrée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1"/>
              <c:layout>
                <c:manualLayout>
                  <c:x val="-2.1592554775704157E-2"/>
                  <c:y val="3.32288903095843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329-491C-A47B-5439E469A71C}"/>
                </c:ext>
              </c:extLst>
            </c:dLbl>
            <c:dLbl>
              <c:idx val="3"/>
              <c:layout>
                <c:manualLayout>
                  <c:x val="-2.3801527000445674E-2"/>
                  <c:y val="2.197227891750372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6329-491C-A47B-5439E469A71C}"/>
                </c:ext>
              </c:extLst>
            </c:dLbl>
            <c:dLbl>
              <c:idx val="7"/>
              <c:layout>
                <c:manualLayout>
                  <c:x val="-2.2346887924720771E-2"/>
                  <c:y val="-3.62634661138170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329-491C-A47B-5439E469A71C}"/>
                </c:ext>
              </c:extLst>
            </c:dLbl>
            <c:dLbl>
              <c:idx val="9"/>
              <c:layout>
                <c:manualLayout>
                  <c:x val="-2.8955177885117062E-2"/>
                  <c:y val="-2.8915947799694832E-2"/>
                </c:manualLayout>
              </c:layout>
              <c:spPr>
                <a:solidFill>
                  <a:schemeClr val="bg1">
                    <a:alpha val="5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>
                  <c15:layout>
                    <c:manualLayout>
                      <c:w val="3.5375835398362997E-2"/>
                      <c:h val="4.396910453738107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9-6329-491C-A47B-5439E469A71C}"/>
                </c:ext>
              </c:extLst>
            </c:dLbl>
            <c:dLbl>
              <c:idx val="11"/>
              <c:layout>
                <c:manualLayout>
                  <c:x val="-1.9324581703495963E-2"/>
                  <c:y val="-2.87998583760896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329-491C-A47B-5439E469A71C}"/>
                </c:ext>
              </c:extLst>
            </c:dLbl>
            <c:dLbl>
              <c:idx val="13"/>
              <c:layout>
                <c:manualLayout>
                  <c:x val="-2.3093809397030842E-2"/>
                  <c:y val="-3.08777121099853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6329-491C-A47B-5439E469A71C}"/>
                </c:ext>
              </c:extLst>
            </c:dLbl>
            <c:spPr>
              <a:solidFill>
                <a:schemeClr val="bg1">
                  <a:alpha val="5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'récap RECOUV 2 enfants v0'!$F$25:$F$38</c:f>
              <c:numCache>
                <c:formatCode>0%</c:formatCode>
                <c:ptCount val="14"/>
                <c:pt idx="1">
                  <c:v>0</c:v>
                </c:pt>
                <c:pt idx="3">
                  <c:v>0</c:v>
                </c:pt>
                <c:pt idx="5">
                  <c:v>0</c:v>
                </c:pt>
                <c:pt idx="7">
                  <c:v>0</c:v>
                </c:pt>
                <c:pt idx="9">
                  <c:v>0</c:v>
                </c:pt>
                <c:pt idx="11">
                  <c:v>0</c:v>
                </c:pt>
                <c:pt idx="13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C-6329-491C-A47B-5439E469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450560"/>
        <c:axId val="180868736"/>
      </c:lineChart>
      <c:catAx>
        <c:axId val="1721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432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868160"/>
        <c:crosses val="autoZero"/>
        <c:auto val="1"/>
        <c:lblAlgn val="ctr"/>
        <c:lblOffset val="100"/>
        <c:noMultiLvlLbl val="0"/>
      </c:catAx>
      <c:valAx>
        <c:axId val="180868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178944"/>
        <c:crosses val="autoZero"/>
        <c:crossBetween val="between"/>
      </c:valAx>
      <c:valAx>
        <c:axId val="180868736"/>
        <c:scaling>
          <c:orientation val="minMax"/>
          <c:max val="1.6"/>
          <c:min val="-0.600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2450560"/>
        <c:crosses val="max"/>
        <c:crossBetween val="between"/>
      </c:valAx>
      <c:catAx>
        <c:axId val="152450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8086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27633102061246"/>
          <c:y val="0.15475546249636521"/>
          <c:w val="0.69027438582251621"/>
          <c:h val="4.0951128670319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386686</xdr:colOff>
      <xdr:row>6</xdr:row>
      <xdr:rowOff>5687</xdr:rowOff>
    </xdr:from>
    <xdr:to>
      <xdr:col>19</xdr:col>
      <xdr:colOff>475042</xdr:colOff>
      <xdr:row>38</xdr:row>
      <xdr:rowOff>92080</xdr:rowOff>
    </xdr:to>
    <xdr:graphicFrame macro="">
      <xdr:nvGraphicFramePr>
        <xdr:cNvPr id="2" name="Graphiqu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0.20892</cdr:x>
      <cdr:y>0.77122</cdr:y>
    </cdr:from>
    <cdr:to>
      <cdr:x>0.70824</cdr:x>
      <cdr:y>0.84756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="" xmlns:a16="http://schemas.microsoft.com/office/drawing/2014/main" id="{5807C98B-08B2-484C-AF75-C7B2A5C2B83D}"/>
            </a:ext>
          </a:extLst>
        </cdr:cNvPr>
        <cdr:cNvSpPr txBox="1"/>
      </cdr:nvSpPr>
      <cdr:spPr>
        <a:xfrm xmlns:a="http://schemas.openxmlformats.org/drawingml/2006/main">
          <a:off x="2153920" y="4234180"/>
          <a:ext cx="5147944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/>
            <a:t>Revenu du travail en % d'un salaire au Smic</a:t>
          </a:r>
          <a:r>
            <a:rPr lang="fr-FR" sz="900" baseline="0"/>
            <a:t> à temps plein </a:t>
          </a:r>
          <a:endParaRPr lang="fr-FR" sz="900"/>
        </a:p>
      </cdr:txBody>
    </cdr:sp>
  </cdr:relSizeAnchor>
  <cdr:relSizeAnchor xmlns:cdr="http://schemas.openxmlformats.org/drawingml/2006/chartDrawing">
    <cdr:from>
      <cdr:x>0.04499</cdr:x>
      <cdr:y>0.83779</cdr:y>
    </cdr:from>
    <cdr:to>
      <cdr:x>0.98184</cdr:x>
      <cdr:y>0.97103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="" xmlns:a16="http://schemas.microsoft.com/office/drawing/2014/main" id="{96E77C17-1811-4F0A-A490-E48340AE4DE7}"/>
            </a:ext>
          </a:extLst>
        </cdr:cNvPr>
        <cdr:cNvSpPr txBox="1"/>
      </cdr:nvSpPr>
      <cdr:spPr>
        <a:xfrm xmlns:a="http://schemas.openxmlformats.org/drawingml/2006/main">
          <a:off x="466298" y="5327244"/>
          <a:ext cx="9709475" cy="8472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FR" sz="900"/>
            <a:t>Source : Calculs</a:t>
          </a:r>
          <a:r>
            <a:rPr lang="fr-FR" sz="900" baseline="0"/>
            <a:t> des autrices</a:t>
          </a:r>
          <a:r>
            <a:rPr lang="fr-FR" sz="900" baseline="0">
              <a:effectLst/>
              <a:latin typeface="+mn-lt"/>
              <a:ea typeface="+mn-ea"/>
              <a:cs typeface="+mn-cs"/>
            </a:rPr>
            <a:t>, aides au logement caluclées pour un loyer de 600€ en zone 2</a:t>
          </a:r>
          <a:endParaRPr lang="fr-FR" sz="900" baseline="0"/>
        </a:p>
        <a:p xmlns:a="http://schemas.openxmlformats.org/drawingml/2006/main">
          <a:pPr algn="r"/>
          <a:r>
            <a:rPr lang="fr-FR" sz="900">
              <a:effectLst/>
              <a:latin typeface="+mn-lt"/>
              <a:ea typeface="+mn-ea"/>
              <a:cs typeface="+mn-cs"/>
            </a:rPr>
            <a:t>Lecture du graphique: </a:t>
          </a:r>
          <a:r>
            <a:rPr lang="fr-FR" sz="900"/>
            <a:t>un </a:t>
          </a:r>
          <a:r>
            <a:rPr lang="fr-FR" sz="900" baseline="0"/>
            <a:t>parent gardien </a:t>
          </a:r>
          <a:r>
            <a:rPr lang="fr-FR" sz="900" baseline="0">
              <a:effectLst/>
              <a:latin typeface="+mn-lt"/>
              <a:ea typeface="+mn-ea"/>
              <a:cs typeface="+mn-cs"/>
            </a:rPr>
            <a:t>dont le salaire est égal au Smic à temps plein et</a:t>
          </a:r>
          <a:r>
            <a:rPr lang="fr-FR" sz="900" baseline="0"/>
            <a:t> ayant deux enfants à charge pour lesquels la CEEE est fixée à 190€/mois/enfant et qui percevait l'ASF-R en compensation de l'impayé de CEEE, voit son revenu disponible diminuer de 43€/mois pour 100€ de CEEE recouvrés (Taux marginal effectif de prélèvementsur la CEEE de 143%), alors que pour un niveau de salaire équivalent à 3 Smic temps plein, le recouvrement de 100€/ mois de CEEE conduit à une augmentation du revenu disponible du parent gardien de 28 €/mois.</a:t>
          </a:r>
          <a:endParaRPr lang="fr-FR" sz="900"/>
        </a:p>
      </cdr:txBody>
    </cdr:sp>
  </cdr:relSizeAnchor>
  <cdr:relSizeAnchor xmlns:cdr="http://schemas.openxmlformats.org/drawingml/2006/chartDrawing">
    <cdr:from>
      <cdr:x>0</cdr:x>
      <cdr:y>0.12566</cdr:y>
    </cdr:from>
    <cdr:to>
      <cdr:x>0.17551</cdr:x>
      <cdr:y>0.20164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="" xmlns:a16="http://schemas.microsoft.com/office/drawing/2014/main" id="{6440D1A8-71CA-48CC-997E-F40710957256}"/>
            </a:ext>
          </a:extLst>
        </cdr:cNvPr>
        <cdr:cNvSpPr txBox="1"/>
      </cdr:nvSpPr>
      <cdr:spPr>
        <a:xfrm xmlns:a="http://schemas.openxmlformats.org/drawingml/2006/main">
          <a:off x="0" y="799019"/>
          <a:ext cx="1818982" cy="4831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fr-FR" sz="900"/>
            <a:t>Total</a:t>
          </a:r>
          <a:r>
            <a:rPr lang="fr-FR" sz="900" baseline="0"/>
            <a:t> prestations sociales et CEEE perçues et IR dû </a:t>
          </a:r>
          <a:r>
            <a:rPr lang="fr-FR" sz="900"/>
            <a:t>en €/mois  </a:t>
          </a:r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>
          <a:solidFill>
            <a:sysClr val="windowText" lastClr="000000"/>
          </a:solidFill>
        </a:ln>
      </a:spPr>
      <a:bodyPr vertOverflow="clip"/>
      <a:lstStyle>
        <a:defPPr>
          <a:defRPr b="1"/>
        </a:defPPr>
      </a:lstStyle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caf.fr/allocataires/droits-et-prestations/s-informer-sur-les-aides/conditions-generale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rgb="FF66FFFF"/>
  </sheetPr>
  <dimension ref="A1:K349"/>
  <sheetViews>
    <sheetView workbookViewId="0"/>
  </sheetViews>
  <sheetFormatPr baseColWidth="10" defaultRowHeight="12.75" x14ac:dyDescent="0.2"/>
  <cols>
    <col min="9" max="9" width="11.5703125" style="154"/>
  </cols>
  <sheetData>
    <row r="1" spans="1:11" s="27" customFormat="1" x14ac:dyDescent="0.2">
      <c r="A1" s="27" t="s">
        <v>176</v>
      </c>
      <c r="F1" s="27" t="s">
        <v>177</v>
      </c>
      <c r="I1" s="154"/>
    </row>
    <row r="2" spans="1:11" ht="26.25" thickBot="1" x14ac:dyDescent="0.25">
      <c r="A2" s="29" t="s">
        <v>160</v>
      </c>
      <c r="B2" s="29" t="s">
        <v>161</v>
      </c>
      <c r="C2" s="29" t="s">
        <v>162</v>
      </c>
      <c r="F2" s="29" t="s">
        <v>160</v>
      </c>
      <c r="G2" s="29" t="s">
        <v>161</v>
      </c>
      <c r="H2" s="29" t="s">
        <v>162</v>
      </c>
      <c r="I2" s="155" t="s">
        <v>175</v>
      </c>
    </row>
    <row r="3" spans="1:11" s="28" customFormat="1" ht="13.5" thickBot="1" x14ac:dyDescent="0.25">
      <c r="A3" s="152">
        <v>2018</v>
      </c>
      <c r="B3" s="153" t="s">
        <v>163</v>
      </c>
      <c r="C3" s="152" t="s">
        <v>197</v>
      </c>
      <c r="F3" s="29"/>
      <c r="G3" s="29"/>
      <c r="H3" s="29"/>
      <c r="I3" s="155"/>
    </row>
    <row r="4" spans="1:11" s="28" customFormat="1" ht="13.5" thickBot="1" x14ac:dyDescent="0.25">
      <c r="A4" s="152">
        <v>2018</v>
      </c>
      <c r="B4" s="153" t="s">
        <v>164</v>
      </c>
      <c r="C4" s="152" t="s">
        <v>197</v>
      </c>
      <c r="F4" s="29"/>
      <c r="G4" s="29"/>
      <c r="H4" s="29"/>
      <c r="I4" s="155"/>
    </row>
    <row r="5" spans="1:11" s="28" customFormat="1" ht="13.5" thickBot="1" x14ac:dyDescent="0.25">
      <c r="A5" s="152">
        <v>2018</v>
      </c>
      <c r="B5" s="153" t="s">
        <v>165</v>
      </c>
      <c r="C5" s="152" t="s">
        <v>197</v>
      </c>
      <c r="F5" s="29"/>
      <c r="G5" s="29"/>
      <c r="H5" s="29"/>
      <c r="I5" s="155"/>
    </row>
    <row r="6" spans="1:11" s="28" customFormat="1" ht="13.5" thickBot="1" x14ac:dyDescent="0.25">
      <c r="A6" s="152">
        <v>2018</v>
      </c>
      <c r="B6" s="153" t="s">
        <v>166</v>
      </c>
      <c r="C6" s="152" t="s">
        <v>197</v>
      </c>
      <c r="F6" s="29"/>
      <c r="G6" s="29"/>
      <c r="H6" s="29"/>
      <c r="I6" s="155"/>
    </row>
    <row r="7" spans="1:11" s="28" customFormat="1" ht="13.5" thickBot="1" x14ac:dyDescent="0.25">
      <c r="A7" s="152">
        <v>2018</v>
      </c>
      <c r="B7" s="153" t="s">
        <v>167</v>
      </c>
      <c r="C7" s="152" t="s">
        <v>197</v>
      </c>
      <c r="F7" s="29"/>
      <c r="G7" s="29"/>
      <c r="H7" s="29"/>
      <c r="I7" s="155"/>
    </row>
    <row r="8" spans="1:11" s="28" customFormat="1" ht="13.5" thickBot="1" x14ac:dyDescent="0.25">
      <c r="A8" s="152">
        <v>2018</v>
      </c>
      <c r="B8" s="153" t="s">
        <v>168</v>
      </c>
      <c r="C8" s="152" t="s">
        <v>197</v>
      </c>
      <c r="F8" s="29"/>
      <c r="G8" s="29"/>
      <c r="H8" s="29"/>
      <c r="I8" s="155"/>
    </row>
    <row r="9" spans="1:11" s="28" customFormat="1" ht="13.5" thickBot="1" x14ac:dyDescent="0.25">
      <c r="A9" s="152">
        <v>2018</v>
      </c>
      <c r="B9" s="153" t="s">
        <v>169</v>
      </c>
      <c r="C9" s="152" t="s">
        <v>197</v>
      </c>
      <c r="F9" s="29"/>
      <c r="G9" s="29"/>
      <c r="H9" s="29"/>
      <c r="I9" s="155"/>
    </row>
    <row r="10" spans="1:11" s="28" customFormat="1" ht="13.5" thickBot="1" x14ac:dyDescent="0.25">
      <c r="A10" s="152">
        <v>2018</v>
      </c>
      <c r="B10" s="153" t="s">
        <v>170</v>
      </c>
      <c r="C10" s="152" t="s">
        <v>197</v>
      </c>
      <c r="F10" s="152">
        <v>2018</v>
      </c>
      <c r="G10" s="153" t="s">
        <v>171</v>
      </c>
      <c r="H10" s="152">
        <v>102.59</v>
      </c>
      <c r="I10" s="152" t="s">
        <v>198</v>
      </c>
    </row>
    <row r="11" spans="1:11" s="28" customFormat="1" ht="13.5" thickBot="1" x14ac:dyDescent="0.25">
      <c r="A11" s="152">
        <v>2018</v>
      </c>
      <c r="B11" s="153" t="s">
        <v>171</v>
      </c>
      <c r="C11" s="152" t="s">
        <v>197</v>
      </c>
      <c r="F11" s="152">
        <v>2018</v>
      </c>
      <c r="G11" s="153" t="s">
        <v>172</v>
      </c>
      <c r="H11" s="152">
        <v>102.42</v>
      </c>
      <c r="I11" s="152" t="s">
        <v>199</v>
      </c>
    </row>
    <row r="12" spans="1:11" s="28" customFormat="1" ht="13.5" thickBot="1" x14ac:dyDescent="0.25">
      <c r="A12" s="152">
        <v>2018</v>
      </c>
      <c r="B12" s="153" t="s">
        <v>172</v>
      </c>
      <c r="C12" s="152" t="s">
        <v>197</v>
      </c>
      <c r="F12" s="152">
        <v>2018</v>
      </c>
      <c r="G12" s="153" t="s">
        <v>173</v>
      </c>
      <c r="H12" s="152">
        <v>101.64</v>
      </c>
      <c r="I12" s="152" t="s">
        <v>200</v>
      </c>
    </row>
    <row r="13" spans="1:11" s="28" customFormat="1" ht="13.5" thickBot="1" x14ac:dyDescent="0.25">
      <c r="A13" s="152">
        <v>2018</v>
      </c>
      <c r="B13" s="153" t="s">
        <v>173</v>
      </c>
      <c r="C13" s="152" t="s">
        <v>197</v>
      </c>
      <c r="F13" s="152">
        <v>2018</v>
      </c>
      <c r="G13" s="153" t="s">
        <v>174</v>
      </c>
      <c r="H13" s="152">
        <v>101.67</v>
      </c>
      <c r="I13" s="152" t="s">
        <v>201</v>
      </c>
      <c r="K13" s="28">
        <f>H13/H25</f>
        <v>1.0125485509411414</v>
      </c>
    </row>
    <row r="14" spans="1:11" s="28" customFormat="1" ht="13.5" thickBot="1" x14ac:dyDescent="0.25">
      <c r="A14" s="152">
        <v>2018</v>
      </c>
      <c r="B14" s="153" t="s">
        <v>174</v>
      </c>
      <c r="C14" s="152" t="s">
        <v>197</v>
      </c>
      <c r="F14" s="152">
        <v>2017</v>
      </c>
      <c r="G14" s="153" t="s">
        <v>163</v>
      </c>
      <c r="H14" s="152">
        <v>101.76</v>
      </c>
      <c r="I14" s="152" t="s">
        <v>202</v>
      </c>
    </row>
    <row r="15" spans="1:11" x14ac:dyDescent="0.2">
      <c r="A15" s="30">
        <v>2017</v>
      </c>
      <c r="B15" s="30" t="s">
        <v>163</v>
      </c>
      <c r="C15" s="31">
        <v>1151.5</v>
      </c>
      <c r="F15" s="30">
        <v>2017</v>
      </c>
      <c r="G15" s="30" t="s">
        <v>164</v>
      </c>
      <c r="H15" s="30">
        <v>101.47</v>
      </c>
      <c r="I15" s="156" t="s">
        <v>203</v>
      </c>
    </row>
    <row r="16" spans="1:11" x14ac:dyDescent="0.2">
      <c r="A16" s="30">
        <v>2017</v>
      </c>
      <c r="B16" s="30" t="s">
        <v>164</v>
      </c>
      <c r="C16" s="31">
        <v>1151.5</v>
      </c>
      <c r="F16" s="30">
        <v>2017</v>
      </c>
      <c r="G16" s="30" t="s">
        <v>165</v>
      </c>
      <c r="H16" s="30">
        <v>101.4</v>
      </c>
      <c r="I16" s="157">
        <v>43055</v>
      </c>
    </row>
    <row r="17" spans="1:11" x14ac:dyDescent="0.2">
      <c r="A17" s="30">
        <v>2017</v>
      </c>
      <c r="B17" s="30" t="s">
        <v>165</v>
      </c>
      <c r="C17" s="31">
        <v>1151.5</v>
      </c>
      <c r="F17" s="30">
        <v>2017</v>
      </c>
      <c r="G17" s="30" t="s">
        <v>166</v>
      </c>
      <c r="H17" s="30">
        <v>101.3</v>
      </c>
      <c r="I17" s="157">
        <v>43022</v>
      </c>
    </row>
    <row r="18" spans="1:11" x14ac:dyDescent="0.2">
      <c r="A18" s="30">
        <v>2017</v>
      </c>
      <c r="B18" s="30" t="s">
        <v>166</v>
      </c>
      <c r="C18" s="31">
        <v>1151.5</v>
      </c>
      <c r="F18" s="30">
        <v>2017</v>
      </c>
      <c r="G18" s="30" t="s">
        <v>167</v>
      </c>
      <c r="H18" s="30">
        <v>101.47</v>
      </c>
      <c r="I18" s="157">
        <v>42993</v>
      </c>
    </row>
    <row r="19" spans="1:11" x14ac:dyDescent="0.2">
      <c r="A19" s="30">
        <v>2017</v>
      </c>
      <c r="B19" s="30" t="s">
        <v>167</v>
      </c>
      <c r="C19" s="31">
        <v>1151.5</v>
      </c>
      <c r="F19" s="30">
        <v>2017</v>
      </c>
      <c r="G19" s="30" t="s">
        <v>168</v>
      </c>
      <c r="H19" s="30">
        <v>100.94</v>
      </c>
      <c r="I19" s="157">
        <v>42959</v>
      </c>
    </row>
    <row r="20" spans="1:11" x14ac:dyDescent="0.2">
      <c r="A20" s="30">
        <v>2017</v>
      </c>
      <c r="B20" s="30" t="s">
        <v>168</v>
      </c>
      <c r="C20" s="31">
        <v>1151.5</v>
      </c>
      <c r="F20" s="30">
        <v>2017</v>
      </c>
      <c r="G20" s="30" t="s">
        <v>169</v>
      </c>
      <c r="H20" s="30">
        <v>101.3</v>
      </c>
      <c r="I20" s="157">
        <v>42932</v>
      </c>
    </row>
    <row r="21" spans="1:11" x14ac:dyDescent="0.2">
      <c r="A21" s="30">
        <v>2017</v>
      </c>
      <c r="B21" s="30" t="s">
        <v>169</v>
      </c>
      <c r="C21" s="31">
        <v>1151.5</v>
      </c>
      <c r="F21" s="30">
        <v>2017</v>
      </c>
      <c r="G21" s="30" t="s">
        <v>170</v>
      </c>
      <c r="H21" s="30">
        <v>101.28</v>
      </c>
      <c r="I21" s="157">
        <v>42903</v>
      </c>
    </row>
    <row r="22" spans="1:11" x14ac:dyDescent="0.2">
      <c r="A22" s="30">
        <v>2017</v>
      </c>
      <c r="B22" s="30" t="s">
        <v>170</v>
      </c>
      <c r="C22" s="31">
        <v>1151.5</v>
      </c>
      <c r="F22" s="30">
        <v>2017</v>
      </c>
      <c r="G22" s="30" t="s">
        <v>171</v>
      </c>
      <c r="H22" s="30">
        <v>101.23</v>
      </c>
      <c r="I22" s="157">
        <v>42886</v>
      </c>
    </row>
    <row r="23" spans="1:11" x14ac:dyDescent="0.2">
      <c r="A23" s="30">
        <v>2017</v>
      </c>
      <c r="B23" s="30" t="s">
        <v>171</v>
      </c>
      <c r="C23" s="31">
        <v>1151.5</v>
      </c>
      <c r="F23" s="30">
        <v>2017</v>
      </c>
      <c r="G23" s="30" t="s">
        <v>172</v>
      </c>
      <c r="H23" s="30">
        <v>101.14</v>
      </c>
      <c r="I23" s="157">
        <v>42839</v>
      </c>
    </row>
    <row r="24" spans="1:11" x14ac:dyDescent="0.2">
      <c r="A24" s="30">
        <v>2017</v>
      </c>
      <c r="B24" s="30" t="s">
        <v>172</v>
      </c>
      <c r="C24" s="31">
        <v>1151.5</v>
      </c>
      <c r="F24" s="30">
        <v>2017</v>
      </c>
      <c r="G24" s="30" t="s">
        <v>173</v>
      </c>
      <c r="H24" s="30">
        <v>100.52</v>
      </c>
      <c r="I24" s="157">
        <v>42810</v>
      </c>
    </row>
    <row r="25" spans="1:11" x14ac:dyDescent="0.2">
      <c r="A25" s="30">
        <v>2017</v>
      </c>
      <c r="B25" s="30" t="s">
        <v>173</v>
      </c>
      <c r="C25" s="31">
        <v>1151.5</v>
      </c>
      <c r="F25" s="30">
        <v>2017</v>
      </c>
      <c r="G25" s="30" t="s">
        <v>174</v>
      </c>
      <c r="H25" s="30">
        <v>100.41</v>
      </c>
      <c r="I25" s="157">
        <v>42788</v>
      </c>
      <c r="K25">
        <f>H25/H37</f>
        <v>1.0135257898455639</v>
      </c>
    </row>
    <row r="26" spans="1:11" x14ac:dyDescent="0.2">
      <c r="A26" s="30">
        <v>2017</v>
      </c>
      <c r="B26" s="30" t="s">
        <v>174</v>
      </c>
      <c r="C26" s="31">
        <v>1151.5</v>
      </c>
      <c r="F26" s="30">
        <v>2016</v>
      </c>
      <c r="G26" s="30" t="s">
        <v>163</v>
      </c>
      <c r="H26" s="30">
        <v>100.66</v>
      </c>
      <c r="I26" s="157">
        <v>42748</v>
      </c>
    </row>
    <row r="27" spans="1:11" x14ac:dyDescent="0.2">
      <c r="A27" s="30">
        <v>2016</v>
      </c>
      <c r="B27" s="30" t="s">
        <v>163</v>
      </c>
      <c r="C27" s="31">
        <v>1141.6099999999999</v>
      </c>
      <c r="F27" s="30">
        <v>2016</v>
      </c>
      <c r="G27" s="30" t="s">
        <v>164</v>
      </c>
      <c r="H27" s="30">
        <v>100.36</v>
      </c>
      <c r="I27" s="157">
        <v>42719</v>
      </c>
    </row>
    <row r="28" spans="1:11" x14ac:dyDescent="0.2">
      <c r="A28" s="30">
        <v>2016</v>
      </c>
      <c r="B28" s="30" t="s">
        <v>164</v>
      </c>
      <c r="C28" s="31">
        <v>1141.6099999999999</v>
      </c>
      <c r="F28" s="30">
        <v>2016</v>
      </c>
      <c r="G28" s="30" t="s">
        <v>165</v>
      </c>
      <c r="H28" s="30">
        <v>100.37</v>
      </c>
      <c r="I28" s="157">
        <v>42690</v>
      </c>
    </row>
    <row r="29" spans="1:11" x14ac:dyDescent="0.2">
      <c r="A29" s="30">
        <v>2016</v>
      </c>
      <c r="B29" s="30" t="s">
        <v>165</v>
      </c>
      <c r="C29" s="31">
        <v>1141.6099999999999</v>
      </c>
      <c r="F29" s="30">
        <v>2016</v>
      </c>
      <c r="G29" s="30" t="s">
        <v>166</v>
      </c>
      <c r="H29" s="30">
        <v>100.35</v>
      </c>
      <c r="I29" s="157">
        <v>42656</v>
      </c>
    </row>
    <row r="30" spans="1:11" x14ac:dyDescent="0.2">
      <c r="A30" s="30">
        <v>2016</v>
      </c>
      <c r="B30" s="30" t="s">
        <v>166</v>
      </c>
      <c r="C30" s="31">
        <v>1141.6099999999999</v>
      </c>
      <c r="F30" s="30">
        <v>2016</v>
      </c>
      <c r="G30" s="30" t="s">
        <v>167</v>
      </c>
      <c r="H30" s="30">
        <v>100.59</v>
      </c>
      <c r="I30" s="157">
        <v>42628</v>
      </c>
    </row>
    <row r="31" spans="1:11" x14ac:dyDescent="0.2">
      <c r="A31" s="30">
        <v>2016</v>
      </c>
      <c r="B31" s="30" t="s">
        <v>167</v>
      </c>
      <c r="C31" s="31">
        <v>1141.6099999999999</v>
      </c>
      <c r="F31" s="30">
        <v>2016</v>
      </c>
      <c r="G31" s="30" t="s">
        <v>168</v>
      </c>
      <c r="H31" s="30">
        <v>100.26</v>
      </c>
      <c r="I31" s="157">
        <v>42600</v>
      </c>
    </row>
    <row r="32" spans="1:11" x14ac:dyDescent="0.2">
      <c r="A32" s="30">
        <v>2016</v>
      </c>
      <c r="B32" s="30" t="s">
        <v>168</v>
      </c>
      <c r="C32" s="31">
        <v>1141.6099999999999</v>
      </c>
      <c r="F32" s="30">
        <v>2016</v>
      </c>
      <c r="G32" s="30" t="s">
        <v>169</v>
      </c>
      <c r="H32" s="30">
        <v>100.64</v>
      </c>
      <c r="I32" s="157">
        <v>42565</v>
      </c>
    </row>
    <row r="33" spans="1:11" x14ac:dyDescent="0.2">
      <c r="A33" s="30">
        <v>2016</v>
      </c>
      <c r="B33" s="30" t="s">
        <v>169</v>
      </c>
      <c r="C33" s="31">
        <v>1141.6099999999999</v>
      </c>
      <c r="F33" s="30">
        <v>2016</v>
      </c>
      <c r="G33" s="30" t="s">
        <v>170</v>
      </c>
      <c r="H33" s="30">
        <v>100.51</v>
      </c>
      <c r="I33" s="157">
        <v>42537</v>
      </c>
    </row>
    <row r="34" spans="1:11" x14ac:dyDescent="0.2">
      <c r="A34" s="30">
        <v>2016</v>
      </c>
      <c r="B34" s="30" t="s">
        <v>170</v>
      </c>
      <c r="C34" s="31">
        <v>1141.6099999999999</v>
      </c>
      <c r="F34" s="30">
        <v>2016</v>
      </c>
      <c r="G34" s="30" t="s">
        <v>171</v>
      </c>
      <c r="H34" s="30">
        <v>100.09</v>
      </c>
      <c r="I34" s="157">
        <v>42510</v>
      </c>
    </row>
    <row r="35" spans="1:11" x14ac:dyDescent="0.2">
      <c r="A35" s="30">
        <v>2016</v>
      </c>
      <c r="B35" s="30" t="s">
        <v>171</v>
      </c>
      <c r="C35" s="31">
        <v>1141.6099999999999</v>
      </c>
      <c r="F35" s="30">
        <v>2016</v>
      </c>
      <c r="G35" s="30" t="s">
        <v>172</v>
      </c>
      <c r="H35" s="30">
        <v>100.02</v>
      </c>
      <c r="I35" s="157">
        <v>42474</v>
      </c>
    </row>
    <row r="36" spans="1:11" x14ac:dyDescent="0.2">
      <c r="A36" s="30">
        <v>2016</v>
      </c>
      <c r="B36" s="30" t="s">
        <v>172</v>
      </c>
      <c r="C36" s="31">
        <v>1141.6099999999999</v>
      </c>
      <c r="F36" s="30">
        <v>2016</v>
      </c>
      <c r="G36" s="30" t="s">
        <v>173</v>
      </c>
      <c r="H36" s="30">
        <v>99.32</v>
      </c>
      <c r="I36" s="157">
        <v>42445</v>
      </c>
    </row>
    <row r="37" spans="1:11" x14ac:dyDescent="0.2">
      <c r="A37" s="30">
        <v>2016</v>
      </c>
      <c r="B37" s="30" t="s">
        <v>173</v>
      </c>
      <c r="C37" s="31">
        <v>1141.6099999999999</v>
      </c>
      <c r="F37" s="30">
        <v>2016</v>
      </c>
      <c r="G37" s="30" t="s">
        <v>174</v>
      </c>
      <c r="H37" s="30">
        <v>99.07</v>
      </c>
      <c r="I37" s="157">
        <v>42419</v>
      </c>
      <c r="K37" s="27">
        <f>H37/H49</f>
        <v>1.0022255943348508</v>
      </c>
    </row>
    <row r="38" spans="1:11" x14ac:dyDescent="0.2">
      <c r="A38" s="30">
        <v>2016</v>
      </c>
      <c r="B38" s="30" t="s">
        <v>174</v>
      </c>
      <c r="C38" s="31">
        <v>1141.6099999999999</v>
      </c>
      <c r="F38" s="30">
        <v>2015</v>
      </c>
      <c r="G38" s="30" t="s">
        <v>163</v>
      </c>
      <c r="H38" s="30">
        <v>100.04</v>
      </c>
      <c r="I38" s="157">
        <v>42389</v>
      </c>
    </row>
    <row r="39" spans="1:11" x14ac:dyDescent="0.2">
      <c r="A39" s="30">
        <v>2015</v>
      </c>
      <c r="B39" s="30" t="s">
        <v>163</v>
      </c>
      <c r="C39" s="31">
        <v>1135.99</v>
      </c>
      <c r="F39" s="30">
        <v>2015</v>
      </c>
      <c r="G39" s="30" t="s">
        <v>164</v>
      </c>
      <c r="H39" s="30">
        <v>99.81</v>
      </c>
      <c r="I39" s="157">
        <v>42349</v>
      </c>
    </row>
    <row r="40" spans="1:11" x14ac:dyDescent="0.2">
      <c r="A40" s="30">
        <v>2015</v>
      </c>
      <c r="B40" s="30" t="s">
        <v>164</v>
      </c>
      <c r="C40" s="31">
        <v>1135.99</v>
      </c>
      <c r="F40" s="30">
        <v>2015</v>
      </c>
      <c r="G40" s="30" t="s">
        <v>165</v>
      </c>
      <c r="H40" s="30">
        <v>100.01</v>
      </c>
      <c r="I40" s="157">
        <v>42321</v>
      </c>
    </row>
    <row r="41" spans="1:11" x14ac:dyDescent="0.2">
      <c r="A41" s="30">
        <v>2015</v>
      </c>
      <c r="B41" s="30" t="s">
        <v>165</v>
      </c>
      <c r="C41" s="31">
        <v>1135.99</v>
      </c>
      <c r="F41" s="30">
        <v>2015</v>
      </c>
      <c r="G41" s="30" t="s">
        <v>166</v>
      </c>
      <c r="H41" s="30">
        <v>99.95</v>
      </c>
      <c r="I41" s="157">
        <v>42292</v>
      </c>
    </row>
    <row r="42" spans="1:11" x14ac:dyDescent="0.2">
      <c r="A42" s="30">
        <v>2015</v>
      </c>
      <c r="B42" s="30" t="s">
        <v>166</v>
      </c>
      <c r="C42" s="31">
        <v>1135.99</v>
      </c>
      <c r="F42" s="30">
        <v>2015</v>
      </c>
      <c r="G42" s="30" t="s">
        <v>167</v>
      </c>
      <c r="H42" s="30">
        <v>100.36</v>
      </c>
      <c r="I42" s="157">
        <v>42264</v>
      </c>
    </row>
    <row r="43" spans="1:11" x14ac:dyDescent="0.2">
      <c r="A43" s="30">
        <v>2015</v>
      </c>
      <c r="B43" s="30" t="s">
        <v>167</v>
      </c>
      <c r="C43" s="31">
        <v>1135.99</v>
      </c>
      <c r="F43" s="30">
        <v>2015</v>
      </c>
      <c r="G43" s="30" t="s">
        <v>168</v>
      </c>
      <c r="H43" s="30">
        <v>100.03</v>
      </c>
      <c r="I43" s="157">
        <v>42230</v>
      </c>
    </row>
    <row r="44" spans="1:11" x14ac:dyDescent="0.2">
      <c r="A44" s="30">
        <v>2015</v>
      </c>
      <c r="B44" s="30" t="s">
        <v>168</v>
      </c>
      <c r="C44" s="31">
        <v>1135.99</v>
      </c>
      <c r="F44" s="30">
        <v>2015</v>
      </c>
      <c r="G44" s="30" t="s">
        <v>169</v>
      </c>
      <c r="H44" s="30">
        <v>100.45</v>
      </c>
      <c r="I44" s="157">
        <v>42207</v>
      </c>
    </row>
    <row r="45" spans="1:11" x14ac:dyDescent="0.2">
      <c r="A45" s="30">
        <v>2015</v>
      </c>
      <c r="B45" s="30" t="s">
        <v>169</v>
      </c>
      <c r="C45" s="31">
        <v>1135.99</v>
      </c>
      <c r="F45" s="30">
        <v>2015</v>
      </c>
      <c r="G45" s="30" t="s">
        <v>170</v>
      </c>
      <c r="H45" s="30">
        <v>100.53</v>
      </c>
      <c r="I45" s="157">
        <v>42168</v>
      </c>
    </row>
    <row r="46" spans="1:11" x14ac:dyDescent="0.2">
      <c r="A46" s="30">
        <v>2015</v>
      </c>
      <c r="B46" s="30" t="s">
        <v>170</v>
      </c>
      <c r="C46" s="31">
        <v>1135.99</v>
      </c>
      <c r="F46" s="30">
        <v>2015</v>
      </c>
      <c r="G46" s="30" t="s">
        <v>171</v>
      </c>
      <c r="H46" s="30">
        <v>100.29</v>
      </c>
      <c r="I46" s="157">
        <v>42141</v>
      </c>
    </row>
    <row r="47" spans="1:11" x14ac:dyDescent="0.2">
      <c r="A47" s="30">
        <v>2015</v>
      </c>
      <c r="B47" s="30" t="s">
        <v>171</v>
      </c>
      <c r="C47" s="31">
        <v>1135.99</v>
      </c>
      <c r="F47" s="30">
        <v>2015</v>
      </c>
      <c r="G47" s="30" t="s">
        <v>172</v>
      </c>
      <c r="H47" s="30">
        <v>100.17</v>
      </c>
      <c r="I47" s="157">
        <v>42111</v>
      </c>
    </row>
    <row r="48" spans="1:11" x14ac:dyDescent="0.2">
      <c r="A48" s="30">
        <v>2015</v>
      </c>
      <c r="B48" s="30" t="s">
        <v>172</v>
      </c>
      <c r="C48" s="31">
        <v>1135.99</v>
      </c>
      <c r="F48" s="30">
        <v>2015</v>
      </c>
      <c r="G48" s="30" t="s">
        <v>173</v>
      </c>
      <c r="H48" s="30">
        <v>99.51</v>
      </c>
      <c r="I48" s="157">
        <v>42082</v>
      </c>
    </row>
    <row r="49" spans="1:9" x14ac:dyDescent="0.2">
      <c r="A49" s="30">
        <v>2015</v>
      </c>
      <c r="B49" s="30" t="s">
        <v>173</v>
      </c>
      <c r="C49" s="31">
        <v>1135.99</v>
      </c>
      <c r="F49" s="30">
        <v>2015</v>
      </c>
      <c r="G49" s="30" t="s">
        <v>174</v>
      </c>
      <c r="H49" s="30">
        <v>98.85</v>
      </c>
      <c r="I49" s="157">
        <v>42060</v>
      </c>
    </row>
    <row r="50" spans="1:9" x14ac:dyDescent="0.2">
      <c r="A50" s="30">
        <v>2015</v>
      </c>
      <c r="B50" s="30" t="s">
        <v>174</v>
      </c>
      <c r="C50" s="31">
        <v>1135.99</v>
      </c>
      <c r="F50" s="30">
        <v>2014</v>
      </c>
      <c r="G50" s="30" t="s">
        <v>163</v>
      </c>
      <c r="H50" s="30">
        <v>99.86</v>
      </c>
      <c r="I50" s="157">
        <v>42020</v>
      </c>
    </row>
    <row r="51" spans="1:9" x14ac:dyDescent="0.2">
      <c r="A51" s="30">
        <v>2014</v>
      </c>
      <c r="B51" s="30" t="s">
        <v>163</v>
      </c>
      <c r="C51" s="31">
        <v>1128.7</v>
      </c>
      <c r="F51" s="30">
        <v>2014</v>
      </c>
      <c r="G51" s="30" t="s">
        <v>164</v>
      </c>
      <c r="H51" s="30">
        <v>99.78</v>
      </c>
      <c r="I51" s="157">
        <v>41985</v>
      </c>
    </row>
    <row r="52" spans="1:9" x14ac:dyDescent="0.2">
      <c r="A52" s="30">
        <v>2014</v>
      </c>
      <c r="B52" s="30" t="s">
        <v>164</v>
      </c>
      <c r="C52" s="31">
        <v>1128.7</v>
      </c>
      <c r="F52" s="30">
        <v>2014</v>
      </c>
      <c r="G52" s="30" t="s">
        <v>165</v>
      </c>
      <c r="H52" s="30">
        <v>99.95</v>
      </c>
      <c r="I52" s="157">
        <v>41957</v>
      </c>
    </row>
    <row r="53" spans="1:9" x14ac:dyDescent="0.2">
      <c r="A53" s="30">
        <v>2014</v>
      </c>
      <c r="B53" s="30" t="s">
        <v>165</v>
      </c>
      <c r="C53" s="31">
        <v>1128.7</v>
      </c>
      <c r="F53" s="30">
        <v>2014</v>
      </c>
      <c r="G53" s="30" t="s">
        <v>166</v>
      </c>
      <c r="H53" s="30">
        <v>99.92</v>
      </c>
      <c r="I53" s="157">
        <v>41942</v>
      </c>
    </row>
    <row r="54" spans="1:9" x14ac:dyDescent="0.2">
      <c r="A54" s="30">
        <v>2014</v>
      </c>
      <c r="B54" s="30" t="s">
        <v>166</v>
      </c>
      <c r="C54" s="31">
        <v>1128.7</v>
      </c>
      <c r="F54" s="30">
        <v>2014</v>
      </c>
      <c r="G54" s="30" t="s">
        <v>167</v>
      </c>
      <c r="H54" s="30">
        <v>100.31</v>
      </c>
      <c r="I54" s="157">
        <v>41898</v>
      </c>
    </row>
    <row r="55" spans="1:9" x14ac:dyDescent="0.2">
      <c r="A55" s="30">
        <v>2014</v>
      </c>
      <c r="B55" s="30" t="s">
        <v>167</v>
      </c>
      <c r="C55" s="31">
        <v>1128.7</v>
      </c>
      <c r="F55" s="30">
        <v>2014</v>
      </c>
      <c r="G55" s="30" t="s">
        <v>168</v>
      </c>
      <c r="H55" s="30">
        <v>99.87</v>
      </c>
      <c r="I55" s="157">
        <v>41866</v>
      </c>
    </row>
    <row r="56" spans="1:9" x14ac:dyDescent="0.2">
      <c r="A56" s="30">
        <v>2014</v>
      </c>
      <c r="B56" s="30" t="s">
        <v>168</v>
      </c>
      <c r="C56" s="31">
        <v>1128.7</v>
      </c>
      <c r="F56" s="30">
        <v>2014</v>
      </c>
      <c r="G56" s="30" t="s">
        <v>169</v>
      </c>
      <c r="H56" s="30">
        <v>100.19</v>
      </c>
      <c r="I56" s="157">
        <v>41837</v>
      </c>
    </row>
    <row r="57" spans="1:9" x14ac:dyDescent="0.2">
      <c r="A57" s="30">
        <v>2014</v>
      </c>
      <c r="B57" s="30" t="s">
        <v>169</v>
      </c>
      <c r="C57" s="31">
        <v>1128.7</v>
      </c>
      <c r="F57" s="30">
        <v>2014</v>
      </c>
      <c r="G57" s="30" t="s">
        <v>170</v>
      </c>
      <c r="H57" s="30">
        <v>100.23</v>
      </c>
      <c r="I57" s="157">
        <v>41809</v>
      </c>
    </row>
    <row r="58" spans="1:9" x14ac:dyDescent="0.2">
      <c r="A58" s="30">
        <v>2014</v>
      </c>
      <c r="B58" s="30" t="s">
        <v>170</v>
      </c>
      <c r="C58" s="31">
        <v>1128.7</v>
      </c>
      <c r="F58" s="30">
        <v>2014</v>
      </c>
      <c r="G58" s="30" t="s">
        <v>171</v>
      </c>
      <c r="H58" s="30">
        <v>100.2</v>
      </c>
      <c r="I58" s="157">
        <v>41780</v>
      </c>
    </row>
    <row r="59" spans="1:9" x14ac:dyDescent="0.2">
      <c r="A59" s="30">
        <v>2014</v>
      </c>
      <c r="B59" s="30" t="s">
        <v>171</v>
      </c>
      <c r="C59" s="31">
        <v>1128.7</v>
      </c>
      <c r="F59" s="30">
        <v>2014</v>
      </c>
      <c r="G59" s="30" t="s">
        <v>172</v>
      </c>
      <c r="H59" s="30">
        <v>100.25</v>
      </c>
      <c r="I59" s="157">
        <v>41747</v>
      </c>
    </row>
    <row r="60" spans="1:9" x14ac:dyDescent="0.2">
      <c r="A60" s="30">
        <v>2014</v>
      </c>
      <c r="B60" s="30" t="s">
        <v>172</v>
      </c>
      <c r="C60" s="31">
        <v>1128.7</v>
      </c>
      <c r="F60" s="30">
        <v>2014</v>
      </c>
      <c r="G60" s="30" t="s">
        <v>173</v>
      </c>
      <c r="H60" s="30">
        <v>99.79</v>
      </c>
      <c r="I60" s="157">
        <v>41716</v>
      </c>
    </row>
    <row r="61" spans="1:9" x14ac:dyDescent="0.2">
      <c r="A61" s="30">
        <v>2014</v>
      </c>
      <c r="B61" s="30" t="s">
        <v>173</v>
      </c>
      <c r="C61" s="31">
        <v>1128.7</v>
      </c>
      <c r="F61" s="30">
        <v>2014</v>
      </c>
      <c r="G61" s="30" t="s">
        <v>174</v>
      </c>
      <c r="H61" s="30">
        <v>99.26</v>
      </c>
      <c r="I61" s="157">
        <v>41695</v>
      </c>
    </row>
    <row r="62" spans="1:9" x14ac:dyDescent="0.2">
      <c r="A62" s="30">
        <v>2014</v>
      </c>
      <c r="B62" s="30" t="s">
        <v>174</v>
      </c>
      <c r="C62" s="31">
        <v>1128.7</v>
      </c>
      <c r="F62" s="30">
        <v>2013</v>
      </c>
      <c r="G62" s="30" t="s">
        <v>163</v>
      </c>
      <c r="H62" s="30">
        <v>99.87</v>
      </c>
      <c r="I62" s="157">
        <v>41656</v>
      </c>
    </row>
    <row r="63" spans="1:9" x14ac:dyDescent="0.2">
      <c r="A63" s="30">
        <v>2013</v>
      </c>
      <c r="B63" s="30" t="s">
        <v>163</v>
      </c>
      <c r="C63" s="31">
        <v>1120.43</v>
      </c>
      <c r="F63" s="30">
        <v>2013</v>
      </c>
      <c r="G63" s="30" t="s">
        <v>164</v>
      </c>
      <c r="H63" s="30">
        <v>99.52</v>
      </c>
      <c r="I63" s="157">
        <v>41622</v>
      </c>
    </row>
    <row r="64" spans="1:9" x14ac:dyDescent="0.2">
      <c r="A64" s="30">
        <v>2013</v>
      </c>
      <c r="B64" s="30" t="s">
        <v>164</v>
      </c>
      <c r="C64" s="31">
        <v>1120.43</v>
      </c>
      <c r="F64" s="30">
        <v>2013</v>
      </c>
      <c r="G64" s="30" t="s">
        <v>165</v>
      </c>
      <c r="H64" s="30">
        <v>99.57</v>
      </c>
      <c r="I64" s="157">
        <v>41594</v>
      </c>
    </row>
    <row r="65" spans="1:9" x14ac:dyDescent="0.2">
      <c r="A65" s="30">
        <v>2013</v>
      </c>
      <c r="B65" s="30" t="s">
        <v>165</v>
      </c>
      <c r="C65" s="31">
        <v>1120.43</v>
      </c>
      <c r="F65" s="30">
        <v>2013</v>
      </c>
      <c r="G65" s="30" t="s">
        <v>166</v>
      </c>
      <c r="H65" s="30">
        <v>99.7</v>
      </c>
      <c r="I65" s="157">
        <v>41570</v>
      </c>
    </row>
    <row r="66" spans="1:9" x14ac:dyDescent="0.2">
      <c r="A66" s="30">
        <v>2013</v>
      </c>
      <c r="B66" s="30" t="s">
        <v>166</v>
      </c>
      <c r="C66" s="31">
        <v>1120.43</v>
      </c>
      <c r="F66" s="30">
        <v>2013</v>
      </c>
      <c r="G66" s="30" t="s">
        <v>167</v>
      </c>
      <c r="H66" s="30">
        <v>99.94</v>
      </c>
      <c r="I66" s="157">
        <v>41536</v>
      </c>
    </row>
    <row r="67" spans="1:9" x14ac:dyDescent="0.2">
      <c r="A67" s="30">
        <v>2013</v>
      </c>
      <c r="B67" s="30" t="s">
        <v>167</v>
      </c>
      <c r="C67" s="31">
        <v>1120.43</v>
      </c>
      <c r="F67" s="30">
        <v>2013</v>
      </c>
      <c r="G67" s="30" t="s">
        <v>168</v>
      </c>
      <c r="H67" s="30">
        <v>99.5</v>
      </c>
      <c r="I67" s="157">
        <v>41508</v>
      </c>
    </row>
    <row r="68" spans="1:9" x14ac:dyDescent="0.2">
      <c r="A68" s="30">
        <v>2013</v>
      </c>
      <c r="B68" s="30" t="s">
        <v>168</v>
      </c>
      <c r="C68" s="31">
        <v>1120.43</v>
      </c>
      <c r="F68" s="30">
        <v>2013</v>
      </c>
      <c r="G68" s="30" t="s">
        <v>169</v>
      </c>
      <c r="H68" s="30">
        <v>99.84</v>
      </c>
      <c r="I68" s="157">
        <v>41488</v>
      </c>
    </row>
    <row r="69" spans="1:9" x14ac:dyDescent="0.2">
      <c r="A69" s="30">
        <v>2013</v>
      </c>
      <c r="B69" s="30" t="s">
        <v>169</v>
      </c>
      <c r="C69" s="31">
        <v>1120.43</v>
      </c>
      <c r="F69" s="30">
        <v>2013</v>
      </c>
      <c r="G69" s="30" t="s">
        <v>170</v>
      </c>
      <c r="H69" s="30">
        <v>99.67</v>
      </c>
      <c r="I69" s="157">
        <v>41444</v>
      </c>
    </row>
    <row r="70" spans="1:9" x14ac:dyDescent="0.2">
      <c r="A70" s="30">
        <v>2013</v>
      </c>
      <c r="B70" s="30" t="s">
        <v>170</v>
      </c>
      <c r="C70" s="31">
        <v>1120.43</v>
      </c>
      <c r="F70" s="30">
        <v>2013</v>
      </c>
      <c r="G70" s="30" t="s">
        <v>171</v>
      </c>
      <c r="H70" s="30">
        <v>99.62</v>
      </c>
      <c r="I70" s="157">
        <v>41413</v>
      </c>
    </row>
    <row r="71" spans="1:9" x14ac:dyDescent="0.2">
      <c r="A71" s="30">
        <v>2013</v>
      </c>
      <c r="B71" s="30" t="s">
        <v>171</v>
      </c>
      <c r="C71" s="31">
        <v>1120.43</v>
      </c>
      <c r="F71" s="30">
        <v>2013</v>
      </c>
      <c r="G71" s="30" t="s">
        <v>172</v>
      </c>
      <c r="H71" s="30">
        <v>99.77</v>
      </c>
      <c r="I71" s="157">
        <v>41378</v>
      </c>
    </row>
    <row r="72" spans="1:9" x14ac:dyDescent="0.2">
      <c r="A72" s="30">
        <v>2013</v>
      </c>
      <c r="B72" s="30" t="s">
        <v>172</v>
      </c>
      <c r="C72" s="31">
        <v>1120.43</v>
      </c>
      <c r="F72" s="30">
        <v>2013</v>
      </c>
      <c r="G72" s="30" t="s">
        <v>173</v>
      </c>
      <c r="H72" s="30">
        <v>99</v>
      </c>
      <c r="I72" s="157">
        <v>41353</v>
      </c>
    </row>
    <row r="73" spans="1:9" x14ac:dyDescent="0.2">
      <c r="A73" s="30">
        <v>2013</v>
      </c>
      <c r="B73" s="30" t="s">
        <v>173</v>
      </c>
      <c r="C73" s="31">
        <v>1120.43</v>
      </c>
      <c r="F73" s="30">
        <v>2013</v>
      </c>
      <c r="G73" s="30" t="s">
        <v>174</v>
      </c>
      <c r="H73" s="30">
        <v>98.71</v>
      </c>
      <c r="I73" s="157">
        <v>41332</v>
      </c>
    </row>
    <row r="74" spans="1:9" x14ac:dyDescent="0.2">
      <c r="A74" s="30">
        <v>2013</v>
      </c>
      <c r="B74" s="30" t="s">
        <v>174</v>
      </c>
      <c r="C74" s="31">
        <v>1120.43</v>
      </c>
      <c r="F74" s="30">
        <v>2012</v>
      </c>
      <c r="G74" s="30" t="s">
        <v>163</v>
      </c>
      <c r="H74" s="30">
        <v>99.23</v>
      </c>
      <c r="I74" s="157">
        <v>41286</v>
      </c>
    </row>
    <row r="75" spans="1:9" x14ac:dyDescent="0.2">
      <c r="A75" s="30">
        <v>2012</v>
      </c>
      <c r="B75" s="30" t="s">
        <v>163</v>
      </c>
      <c r="C75" s="31">
        <v>1116.8699999999999</v>
      </c>
      <c r="F75" s="30">
        <v>2012</v>
      </c>
      <c r="G75" s="30" t="s">
        <v>164</v>
      </c>
      <c r="H75" s="30">
        <v>98.91</v>
      </c>
      <c r="I75" s="157">
        <v>41258</v>
      </c>
    </row>
    <row r="76" spans="1:9" x14ac:dyDescent="0.2">
      <c r="A76" s="30">
        <v>2012</v>
      </c>
      <c r="B76" s="30" t="s">
        <v>164</v>
      </c>
      <c r="C76" s="31">
        <v>1116.8699999999999</v>
      </c>
      <c r="F76" s="30">
        <v>2012</v>
      </c>
      <c r="G76" s="30" t="s">
        <v>165</v>
      </c>
      <c r="H76" s="30">
        <v>99.07</v>
      </c>
      <c r="I76" s="157">
        <v>41229</v>
      </c>
    </row>
    <row r="77" spans="1:9" x14ac:dyDescent="0.2">
      <c r="A77" s="30">
        <v>2012</v>
      </c>
      <c r="B77" s="30" t="s">
        <v>165</v>
      </c>
      <c r="C77" s="31">
        <v>1118.29</v>
      </c>
      <c r="F77" s="30">
        <v>2012</v>
      </c>
      <c r="G77" s="30" t="s">
        <v>166</v>
      </c>
      <c r="H77" s="30">
        <v>99.01</v>
      </c>
      <c r="I77" s="157">
        <v>41195</v>
      </c>
    </row>
    <row r="78" spans="1:9" x14ac:dyDescent="0.2">
      <c r="A78" s="30">
        <v>2012</v>
      </c>
      <c r="B78" s="30" t="s">
        <v>166</v>
      </c>
      <c r="C78" s="31">
        <v>1118.29</v>
      </c>
      <c r="F78" s="30">
        <v>2012</v>
      </c>
      <c r="G78" s="30" t="s">
        <v>167</v>
      </c>
      <c r="H78" s="30">
        <v>99.27</v>
      </c>
      <c r="I78" s="157">
        <v>41166</v>
      </c>
    </row>
    <row r="79" spans="1:9" x14ac:dyDescent="0.2">
      <c r="A79" s="30">
        <v>2012</v>
      </c>
      <c r="B79" s="30" t="s">
        <v>167</v>
      </c>
      <c r="C79" s="31">
        <v>1118.29</v>
      </c>
      <c r="F79" s="30">
        <v>2012</v>
      </c>
      <c r="G79" s="30" t="s">
        <v>168</v>
      </c>
      <c r="H79" s="30">
        <v>98.6</v>
      </c>
      <c r="I79" s="157">
        <v>41138</v>
      </c>
    </row>
    <row r="80" spans="1:9" x14ac:dyDescent="0.2">
      <c r="A80" s="30">
        <v>2012</v>
      </c>
      <c r="B80" s="30" t="s">
        <v>168</v>
      </c>
      <c r="C80" s="31">
        <v>1118.29</v>
      </c>
      <c r="F80" s="30">
        <v>2012</v>
      </c>
      <c r="G80" s="30" t="s">
        <v>169</v>
      </c>
      <c r="H80" s="30">
        <v>99.04</v>
      </c>
      <c r="I80" s="157">
        <v>41104</v>
      </c>
    </row>
    <row r="81" spans="1:9" x14ac:dyDescent="0.2">
      <c r="A81" s="30">
        <v>2012</v>
      </c>
      <c r="B81" s="30" t="s">
        <v>169</v>
      </c>
      <c r="C81" s="31">
        <v>1096.8800000000001</v>
      </c>
      <c r="F81" s="30">
        <v>2012</v>
      </c>
      <c r="G81" s="30" t="s">
        <v>170</v>
      </c>
      <c r="H81" s="30">
        <v>99</v>
      </c>
      <c r="I81" s="157">
        <v>41075</v>
      </c>
    </row>
    <row r="82" spans="1:9" x14ac:dyDescent="0.2">
      <c r="A82" s="30">
        <v>2012</v>
      </c>
      <c r="B82" s="30" t="s">
        <v>170</v>
      </c>
      <c r="C82" s="31">
        <v>1096.8800000000001</v>
      </c>
      <c r="F82" s="30">
        <v>2012</v>
      </c>
      <c r="G82" s="30" t="s">
        <v>171</v>
      </c>
      <c r="H82" s="30">
        <v>99.06</v>
      </c>
      <c r="I82" s="157">
        <v>41048</v>
      </c>
    </row>
    <row r="83" spans="1:9" x14ac:dyDescent="0.2">
      <c r="A83" s="30">
        <v>2012</v>
      </c>
      <c r="B83" s="30" t="s">
        <v>171</v>
      </c>
      <c r="C83" s="31">
        <v>1096.8800000000001</v>
      </c>
      <c r="F83" s="30">
        <v>2012</v>
      </c>
      <c r="G83" s="30" t="s">
        <v>172</v>
      </c>
      <c r="H83" s="30">
        <v>98.93</v>
      </c>
      <c r="I83" s="157">
        <v>41013</v>
      </c>
    </row>
    <row r="84" spans="1:9" x14ac:dyDescent="0.2">
      <c r="A84" s="30">
        <v>2012</v>
      </c>
      <c r="B84" s="30" t="s">
        <v>172</v>
      </c>
      <c r="C84" s="31">
        <v>1096.8800000000001</v>
      </c>
      <c r="F84" s="30">
        <v>2012</v>
      </c>
      <c r="G84" s="30" t="s">
        <v>173</v>
      </c>
      <c r="H84" s="30">
        <v>98.09</v>
      </c>
      <c r="I84" s="157">
        <v>40988</v>
      </c>
    </row>
    <row r="85" spans="1:9" x14ac:dyDescent="0.2">
      <c r="A85" s="30">
        <v>2012</v>
      </c>
      <c r="B85" s="30" t="s">
        <v>173</v>
      </c>
      <c r="C85" s="31">
        <v>1096.8800000000001</v>
      </c>
      <c r="F85" s="30">
        <v>2012</v>
      </c>
      <c r="G85" s="30" t="s">
        <v>174</v>
      </c>
      <c r="H85" s="30">
        <v>97.68</v>
      </c>
      <c r="I85" s="157">
        <v>40963</v>
      </c>
    </row>
    <row r="86" spans="1:9" x14ac:dyDescent="0.2">
      <c r="A86" s="30">
        <v>2012</v>
      </c>
      <c r="B86" s="30" t="s">
        <v>174</v>
      </c>
      <c r="C86" s="31">
        <v>1096.8800000000001</v>
      </c>
      <c r="F86" s="30">
        <v>2011</v>
      </c>
      <c r="G86" s="30" t="s">
        <v>163</v>
      </c>
      <c r="H86" s="30">
        <v>98.04</v>
      </c>
      <c r="I86" s="157">
        <v>40922</v>
      </c>
    </row>
    <row r="87" spans="1:9" x14ac:dyDescent="0.2">
      <c r="A87" s="30">
        <v>2011</v>
      </c>
      <c r="B87" s="30" t="s">
        <v>163</v>
      </c>
      <c r="C87" s="31">
        <v>1094.71</v>
      </c>
      <c r="F87" s="30">
        <v>2011</v>
      </c>
      <c r="G87" s="30" t="s">
        <v>164</v>
      </c>
      <c r="H87" s="30">
        <v>97.64</v>
      </c>
      <c r="I87" s="157">
        <v>40892</v>
      </c>
    </row>
    <row r="88" spans="1:9" x14ac:dyDescent="0.2">
      <c r="A88" s="30">
        <v>2011</v>
      </c>
      <c r="B88" s="30" t="s">
        <v>164</v>
      </c>
      <c r="C88" s="31">
        <v>1072.07</v>
      </c>
      <c r="F88" s="30">
        <v>2011</v>
      </c>
      <c r="G88" s="30" t="s">
        <v>165</v>
      </c>
      <c r="H88" s="30">
        <v>97.42</v>
      </c>
      <c r="I88" s="157">
        <v>40860</v>
      </c>
    </row>
    <row r="89" spans="1:9" x14ac:dyDescent="0.2">
      <c r="A89" s="30">
        <v>2011</v>
      </c>
      <c r="B89" s="30" t="s">
        <v>165</v>
      </c>
      <c r="C89" s="31">
        <v>1072.07</v>
      </c>
      <c r="F89" s="30">
        <v>2011</v>
      </c>
      <c r="G89" s="30" t="s">
        <v>166</v>
      </c>
      <c r="H89" s="30">
        <v>97.23</v>
      </c>
      <c r="I89" s="157">
        <v>40830</v>
      </c>
    </row>
    <row r="90" spans="1:9" x14ac:dyDescent="0.2">
      <c r="A90" s="30">
        <v>2011</v>
      </c>
      <c r="B90" s="30" t="s">
        <v>166</v>
      </c>
      <c r="C90" s="31">
        <v>1072.07</v>
      </c>
      <c r="F90" s="30">
        <v>2011</v>
      </c>
      <c r="G90" s="30" t="s">
        <v>167</v>
      </c>
      <c r="H90" s="30">
        <v>97.31</v>
      </c>
      <c r="I90" s="157">
        <v>40801</v>
      </c>
    </row>
    <row r="91" spans="1:9" x14ac:dyDescent="0.2">
      <c r="A91" s="30">
        <v>2011</v>
      </c>
      <c r="B91" s="30" t="s">
        <v>167</v>
      </c>
      <c r="C91" s="31">
        <v>1072.07</v>
      </c>
      <c r="F91" s="30">
        <v>2011</v>
      </c>
      <c r="G91" s="30" t="s">
        <v>168</v>
      </c>
      <c r="H91" s="30">
        <v>96.79</v>
      </c>
      <c r="I91" s="157">
        <v>40773</v>
      </c>
    </row>
    <row r="92" spans="1:9" x14ac:dyDescent="0.2">
      <c r="A92" s="30">
        <v>2011</v>
      </c>
      <c r="B92" s="30" t="s">
        <v>168</v>
      </c>
      <c r="C92" s="31">
        <v>1072.07</v>
      </c>
      <c r="F92" s="30">
        <v>2011</v>
      </c>
      <c r="G92" s="30" t="s">
        <v>169</v>
      </c>
      <c r="H92" s="30">
        <v>97.23</v>
      </c>
      <c r="I92" s="157">
        <v>40746</v>
      </c>
    </row>
    <row r="93" spans="1:9" x14ac:dyDescent="0.2">
      <c r="A93" s="30">
        <v>2011</v>
      </c>
      <c r="B93" s="30" t="s">
        <v>169</v>
      </c>
      <c r="C93" s="31">
        <v>1072.07</v>
      </c>
      <c r="F93" s="30">
        <v>2011</v>
      </c>
      <c r="G93" s="30" t="s">
        <v>170</v>
      </c>
      <c r="H93" s="30">
        <v>97.16</v>
      </c>
      <c r="I93" s="157">
        <v>40711</v>
      </c>
    </row>
    <row r="94" spans="1:9" x14ac:dyDescent="0.2">
      <c r="A94" s="30">
        <v>2011</v>
      </c>
      <c r="B94" s="30" t="s">
        <v>170</v>
      </c>
      <c r="C94" s="31">
        <v>1072.07</v>
      </c>
      <c r="F94" s="30">
        <v>2011</v>
      </c>
      <c r="G94" s="30" t="s">
        <v>171</v>
      </c>
      <c r="H94" s="30">
        <v>97.1</v>
      </c>
      <c r="I94" s="157">
        <v>40677</v>
      </c>
    </row>
    <row r="95" spans="1:9" x14ac:dyDescent="0.2">
      <c r="A95" s="30">
        <v>2011</v>
      </c>
      <c r="B95" s="30" t="s">
        <v>171</v>
      </c>
      <c r="C95" s="31">
        <v>1072.07</v>
      </c>
      <c r="F95" s="30">
        <v>2011</v>
      </c>
      <c r="G95" s="30" t="s">
        <v>172</v>
      </c>
      <c r="H95" s="30">
        <v>96.76</v>
      </c>
      <c r="I95" s="157">
        <v>40648</v>
      </c>
    </row>
    <row r="96" spans="1:9" x14ac:dyDescent="0.2">
      <c r="A96" s="30">
        <v>2011</v>
      </c>
      <c r="B96" s="30" t="s">
        <v>172</v>
      </c>
      <c r="C96" s="31">
        <v>1072.07</v>
      </c>
      <c r="F96" s="30">
        <v>2011</v>
      </c>
      <c r="G96" s="30" t="s">
        <v>173</v>
      </c>
      <c r="H96" s="30">
        <v>95.97</v>
      </c>
      <c r="I96" s="157">
        <v>40620</v>
      </c>
    </row>
    <row r="97" spans="1:9" x14ac:dyDescent="0.2">
      <c r="A97" s="30">
        <v>2011</v>
      </c>
      <c r="B97" s="30" t="s">
        <v>173</v>
      </c>
      <c r="C97" s="31">
        <v>1072.07</v>
      </c>
      <c r="F97" s="30">
        <v>2011</v>
      </c>
      <c r="G97" s="30" t="s">
        <v>174</v>
      </c>
      <c r="H97" s="30">
        <v>95.51</v>
      </c>
      <c r="I97" s="157">
        <v>40600</v>
      </c>
    </row>
    <row r="98" spans="1:9" x14ac:dyDescent="0.2">
      <c r="A98" s="30">
        <v>2011</v>
      </c>
      <c r="B98" s="30" t="s">
        <v>174</v>
      </c>
      <c r="C98" s="31">
        <v>1072.07</v>
      </c>
      <c r="F98" s="30">
        <v>2010</v>
      </c>
      <c r="G98" s="30" t="s">
        <v>163</v>
      </c>
      <c r="H98" s="30">
        <v>95.74</v>
      </c>
      <c r="I98" s="157">
        <v>40558</v>
      </c>
    </row>
    <row r="99" spans="1:9" x14ac:dyDescent="0.2">
      <c r="A99" s="30">
        <v>2010</v>
      </c>
      <c r="B99" s="30" t="s">
        <v>163</v>
      </c>
      <c r="C99" s="31">
        <v>1056.24</v>
      </c>
      <c r="F99" s="30">
        <v>2010</v>
      </c>
      <c r="G99" s="30" t="s">
        <v>164</v>
      </c>
      <c r="H99" s="30">
        <v>95.32</v>
      </c>
      <c r="I99" s="157">
        <v>40531</v>
      </c>
    </row>
    <row r="100" spans="1:9" x14ac:dyDescent="0.2">
      <c r="A100" s="30">
        <v>2010</v>
      </c>
      <c r="B100" s="30" t="s">
        <v>164</v>
      </c>
      <c r="C100" s="31">
        <v>1056.24</v>
      </c>
      <c r="F100" s="30">
        <v>2010</v>
      </c>
      <c r="G100" s="30" t="s">
        <v>165</v>
      </c>
      <c r="H100" s="30">
        <v>95.28</v>
      </c>
      <c r="I100" s="157">
        <v>40495</v>
      </c>
    </row>
    <row r="101" spans="1:9" x14ac:dyDescent="0.2">
      <c r="A101" s="30">
        <v>2010</v>
      </c>
      <c r="B101" s="30" t="s">
        <v>165</v>
      </c>
      <c r="C101" s="31">
        <v>1056.24</v>
      </c>
      <c r="F101" s="30">
        <v>2010</v>
      </c>
      <c r="G101" s="30" t="s">
        <v>166</v>
      </c>
      <c r="H101" s="30">
        <v>95.15</v>
      </c>
      <c r="I101" s="157">
        <v>40466</v>
      </c>
    </row>
    <row r="102" spans="1:9" x14ac:dyDescent="0.2">
      <c r="A102" s="30">
        <v>2010</v>
      </c>
      <c r="B102" s="30" t="s">
        <v>166</v>
      </c>
      <c r="C102" s="31">
        <v>1056.24</v>
      </c>
      <c r="F102" s="30">
        <v>2010</v>
      </c>
      <c r="G102" s="30" t="s">
        <v>167</v>
      </c>
      <c r="H102" s="30">
        <v>95.23</v>
      </c>
      <c r="I102" s="157">
        <v>40438</v>
      </c>
    </row>
    <row r="103" spans="1:9" x14ac:dyDescent="0.2">
      <c r="A103" s="30">
        <v>2010</v>
      </c>
      <c r="B103" s="30" t="s">
        <v>167</v>
      </c>
      <c r="C103" s="31">
        <v>1056.24</v>
      </c>
      <c r="F103" s="30">
        <v>2010</v>
      </c>
      <c r="G103" s="30" t="s">
        <v>168</v>
      </c>
      <c r="H103" s="30">
        <v>95</v>
      </c>
      <c r="I103" s="157">
        <v>40410</v>
      </c>
    </row>
    <row r="104" spans="1:9" x14ac:dyDescent="0.2">
      <c r="A104" s="30">
        <v>2010</v>
      </c>
      <c r="B104" s="30" t="s">
        <v>168</v>
      </c>
      <c r="C104" s="31">
        <v>1056.24</v>
      </c>
      <c r="F104" s="30">
        <v>2010</v>
      </c>
      <c r="G104" s="30" t="s">
        <v>169</v>
      </c>
      <c r="H104" s="30">
        <v>95.27</v>
      </c>
      <c r="I104" s="157">
        <v>40381</v>
      </c>
    </row>
    <row r="105" spans="1:9" x14ac:dyDescent="0.2">
      <c r="A105" s="30">
        <v>2010</v>
      </c>
      <c r="B105" s="30" t="s">
        <v>169</v>
      </c>
      <c r="C105" s="31">
        <v>1056.24</v>
      </c>
      <c r="F105" s="30">
        <v>2010</v>
      </c>
      <c r="G105" s="30" t="s">
        <v>170</v>
      </c>
      <c r="H105" s="30">
        <v>95.28</v>
      </c>
      <c r="I105" s="157">
        <v>40342</v>
      </c>
    </row>
    <row r="106" spans="1:9" x14ac:dyDescent="0.2">
      <c r="A106" s="30">
        <v>2010</v>
      </c>
      <c r="B106" s="30" t="s">
        <v>170</v>
      </c>
      <c r="C106" s="31">
        <v>1056.24</v>
      </c>
      <c r="F106" s="30">
        <v>2010</v>
      </c>
      <c r="G106" s="30" t="s">
        <v>171</v>
      </c>
      <c r="H106" s="30">
        <v>95.18</v>
      </c>
      <c r="I106" s="157">
        <v>40313</v>
      </c>
    </row>
    <row r="107" spans="1:9" x14ac:dyDescent="0.2">
      <c r="A107" s="30">
        <v>2010</v>
      </c>
      <c r="B107" s="30" t="s">
        <v>171</v>
      </c>
      <c r="C107" s="31">
        <v>1056.24</v>
      </c>
      <c r="F107" s="30">
        <v>2010</v>
      </c>
      <c r="G107" s="30" t="s">
        <v>172</v>
      </c>
      <c r="H107" s="30">
        <v>94.92</v>
      </c>
      <c r="I107" s="157">
        <v>40284</v>
      </c>
    </row>
    <row r="108" spans="1:9" x14ac:dyDescent="0.2">
      <c r="A108" s="30">
        <v>2010</v>
      </c>
      <c r="B108" s="30" t="s">
        <v>172</v>
      </c>
      <c r="C108" s="31">
        <v>1056.24</v>
      </c>
      <c r="F108" s="30">
        <v>2010</v>
      </c>
      <c r="G108" s="30" t="s">
        <v>173</v>
      </c>
      <c r="H108" s="30">
        <v>94.45</v>
      </c>
      <c r="I108" s="157">
        <v>40260</v>
      </c>
    </row>
    <row r="109" spans="1:9" x14ac:dyDescent="0.2">
      <c r="A109" s="30">
        <v>2010</v>
      </c>
      <c r="B109" s="30" t="s">
        <v>173</v>
      </c>
      <c r="C109" s="31">
        <v>1056.24</v>
      </c>
      <c r="F109" s="30">
        <v>2010</v>
      </c>
      <c r="G109" s="30" t="s">
        <v>174</v>
      </c>
      <c r="H109" s="30">
        <v>93.92</v>
      </c>
      <c r="I109" s="157">
        <v>40235</v>
      </c>
    </row>
    <row r="110" spans="1:9" x14ac:dyDescent="0.2">
      <c r="A110" s="30">
        <v>2010</v>
      </c>
      <c r="B110" s="30" t="s">
        <v>174</v>
      </c>
      <c r="C110" s="31">
        <v>1056.24</v>
      </c>
      <c r="F110" s="30">
        <v>2009</v>
      </c>
      <c r="G110" s="30" t="s">
        <v>163</v>
      </c>
      <c r="H110" s="30">
        <v>94.14</v>
      </c>
      <c r="I110" s="157">
        <v>40194</v>
      </c>
    </row>
    <row r="111" spans="1:9" x14ac:dyDescent="0.2">
      <c r="A111" s="30">
        <v>2009</v>
      </c>
      <c r="B111" s="30" t="s">
        <v>163</v>
      </c>
      <c r="C111" s="31">
        <v>1050.6300000000001</v>
      </c>
      <c r="F111" s="30">
        <v>2009</v>
      </c>
      <c r="G111" s="30" t="s">
        <v>164</v>
      </c>
      <c r="H111" s="30">
        <v>93.91</v>
      </c>
      <c r="I111" s="157">
        <v>40170</v>
      </c>
    </row>
    <row r="112" spans="1:9" x14ac:dyDescent="0.2">
      <c r="A112" s="30">
        <v>2009</v>
      </c>
      <c r="B112" s="30" t="s">
        <v>164</v>
      </c>
      <c r="C112" s="31">
        <v>1050.6300000000001</v>
      </c>
      <c r="F112" s="30">
        <v>2009</v>
      </c>
      <c r="G112" s="30" t="s">
        <v>165</v>
      </c>
      <c r="H112" s="30">
        <v>93.85</v>
      </c>
      <c r="I112" s="157">
        <v>40135</v>
      </c>
    </row>
    <row r="113" spans="1:9" x14ac:dyDescent="0.2">
      <c r="A113" s="30">
        <v>2009</v>
      </c>
      <c r="B113" s="30" t="s">
        <v>165</v>
      </c>
      <c r="C113" s="31">
        <v>1050.6300000000001</v>
      </c>
      <c r="F113" s="30">
        <v>2009</v>
      </c>
      <c r="G113" s="30" t="s">
        <v>166</v>
      </c>
      <c r="H113" s="30">
        <v>93.76</v>
      </c>
      <c r="I113" s="157">
        <v>40101</v>
      </c>
    </row>
    <row r="114" spans="1:9" x14ac:dyDescent="0.2">
      <c r="A114" s="30">
        <v>2009</v>
      </c>
      <c r="B114" s="30" t="s">
        <v>166</v>
      </c>
      <c r="C114" s="31">
        <v>1050.6300000000001</v>
      </c>
      <c r="F114" s="30">
        <v>2009</v>
      </c>
      <c r="G114" s="30" t="s">
        <v>167</v>
      </c>
      <c r="H114" s="30">
        <v>93.99</v>
      </c>
      <c r="I114" s="157">
        <v>40073</v>
      </c>
    </row>
    <row r="115" spans="1:9" x14ac:dyDescent="0.2">
      <c r="A115" s="30">
        <v>2009</v>
      </c>
      <c r="B115" s="30" t="s">
        <v>167</v>
      </c>
      <c r="C115" s="31">
        <v>1050.6300000000001</v>
      </c>
      <c r="F115" s="30">
        <v>2009</v>
      </c>
      <c r="G115" s="30" t="s">
        <v>168</v>
      </c>
      <c r="H115" s="30">
        <v>93.5</v>
      </c>
      <c r="I115" s="157">
        <v>40048</v>
      </c>
    </row>
    <row r="116" spans="1:9" x14ac:dyDescent="0.2">
      <c r="A116" s="30">
        <v>2009</v>
      </c>
      <c r="B116" s="30" t="s">
        <v>168</v>
      </c>
      <c r="C116" s="31">
        <v>1050.6300000000001</v>
      </c>
      <c r="F116" s="30">
        <v>2009</v>
      </c>
      <c r="G116" s="30" t="s">
        <v>169</v>
      </c>
      <c r="H116" s="30">
        <v>93.93</v>
      </c>
      <c r="I116" s="157">
        <v>40013</v>
      </c>
    </row>
    <row r="117" spans="1:9" x14ac:dyDescent="0.2">
      <c r="A117" s="30">
        <v>2009</v>
      </c>
      <c r="B117" s="30" t="s">
        <v>169</v>
      </c>
      <c r="C117" s="31">
        <v>1037.53</v>
      </c>
      <c r="F117" s="30">
        <v>2009</v>
      </c>
      <c r="G117" s="30" t="s">
        <v>170</v>
      </c>
      <c r="H117" s="30">
        <v>93.81</v>
      </c>
      <c r="I117" s="157">
        <v>39978</v>
      </c>
    </row>
    <row r="118" spans="1:9" x14ac:dyDescent="0.2">
      <c r="A118" s="30">
        <v>2009</v>
      </c>
      <c r="B118" s="30" t="s">
        <v>170</v>
      </c>
      <c r="C118" s="31">
        <v>1037.53</v>
      </c>
      <c r="F118" s="30">
        <v>2009</v>
      </c>
      <c r="G118" s="30" t="s">
        <v>171</v>
      </c>
      <c r="H118" s="30">
        <v>93.66</v>
      </c>
      <c r="I118" s="157">
        <v>39948</v>
      </c>
    </row>
    <row r="119" spans="1:9" x14ac:dyDescent="0.2">
      <c r="A119" s="30">
        <v>2009</v>
      </c>
      <c r="B119" s="30" t="s">
        <v>171</v>
      </c>
      <c r="C119" s="31">
        <v>1037.53</v>
      </c>
      <c r="F119" s="30">
        <v>2009</v>
      </c>
      <c r="G119" s="30" t="s">
        <v>172</v>
      </c>
      <c r="H119" s="30">
        <v>93.52</v>
      </c>
      <c r="I119" s="157">
        <v>39928</v>
      </c>
    </row>
    <row r="120" spans="1:9" x14ac:dyDescent="0.2">
      <c r="A120" s="30">
        <v>2009</v>
      </c>
      <c r="B120" s="30" t="s">
        <v>172</v>
      </c>
      <c r="C120" s="31">
        <v>1037.53</v>
      </c>
      <c r="F120" s="30">
        <v>2009</v>
      </c>
      <c r="G120" s="30" t="s">
        <v>173</v>
      </c>
      <c r="H120" s="30">
        <v>93.34</v>
      </c>
      <c r="I120" s="157">
        <v>39891</v>
      </c>
    </row>
    <row r="121" spans="1:9" x14ac:dyDescent="0.2">
      <c r="A121" s="30">
        <v>2009</v>
      </c>
      <c r="B121" s="30" t="s">
        <v>173</v>
      </c>
      <c r="C121" s="31">
        <v>1037.53</v>
      </c>
      <c r="F121" s="30">
        <v>2009</v>
      </c>
      <c r="G121" s="30" t="s">
        <v>174</v>
      </c>
      <c r="H121" s="30">
        <v>92.98</v>
      </c>
      <c r="I121" s="157">
        <v>39866</v>
      </c>
    </row>
    <row r="122" spans="1:9" x14ac:dyDescent="0.2">
      <c r="A122" s="30">
        <v>2009</v>
      </c>
      <c r="B122" s="30" t="s">
        <v>174</v>
      </c>
      <c r="C122" s="31">
        <v>1037.53</v>
      </c>
      <c r="F122" s="30">
        <v>2008</v>
      </c>
      <c r="G122" s="30" t="s">
        <v>163</v>
      </c>
      <c r="H122" s="30">
        <v>93.37</v>
      </c>
      <c r="I122" s="157">
        <v>39855</v>
      </c>
    </row>
    <row r="123" spans="1:9" x14ac:dyDescent="0.2">
      <c r="A123" s="30">
        <v>2008</v>
      </c>
      <c r="B123" s="30" t="s">
        <v>163</v>
      </c>
      <c r="C123" s="31">
        <v>1037.53</v>
      </c>
      <c r="F123" s="30">
        <v>2008</v>
      </c>
      <c r="G123" s="30" t="s">
        <v>164</v>
      </c>
      <c r="H123" s="30">
        <v>93.6</v>
      </c>
      <c r="I123" s="157">
        <v>39801</v>
      </c>
    </row>
    <row r="124" spans="1:9" x14ac:dyDescent="0.2">
      <c r="A124" s="30">
        <v>2008</v>
      </c>
      <c r="B124" s="30" t="s">
        <v>164</v>
      </c>
      <c r="C124" s="31">
        <v>1037.53</v>
      </c>
      <c r="F124" s="30">
        <v>2008</v>
      </c>
      <c r="G124" s="30" t="s">
        <v>165</v>
      </c>
      <c r="H124" s="30">
        <v>94.05</v>
      </c>
      <c r="I124" s="157">
        <v>39768</v>
      </c>
    </row>
    <row r="125" spans="1:9" x14ac:dyDescent="0.2">
      <c r="A125" s="30">
        <v>2008</v>
      </c>
      <c r="B125" s="30" t="s">
        <v>165</v>
      </c>
      <c r="C125" s="31">
        <v>1037.53</v>
      </c>
      <c r="F125" s="30">
        <v>2008</v>
      </c>
      <c r="G125" s="30" t="s">
        <v>166</v>
      </c>
      <c r="H125" s="30">
        <v>94.11</v>
      </c>
      <c r="I125" s="157">
        <v>39737</v>
      </c>
    </row>
    <row r="126" spans="1:9" x14ac:dyDescent="0.2">
      <c r="A126" s="30">
        <v>2008</v>
      </c>
      <c r="B126" s="30" t="s">
        <v>166</v>
      </c>
      <c r="C126" s="31">
        <v>1037.53</v>
      </c>
      <c r="F126" s="30">
        <v>2008</v>
      </c>
      <c r="G126" s="30" t="s">
        <v>167</v>
      </c>
      <c r="H126" s="30">
        <v>94.17</v>
      </c>
      <c r="I126" s="157">
        <v>39705</v>
      </c>
    </row>
    <row r="127" spans="1:9" x14ac:dyDescent="0.2">
      <c r="A127" s="30">
        <v>2008</v>
      </c>
      <c r="B127" s="30" t="s">
        <v>167</v>
      </c>
      <c r="C127" s="31">
        <v>1037.53</v>
      </c>
      <c r="F127" s="30">
        <v>2008</v>
      </c>
      <c r="G127" s="30" t="s">
        <v>168</v>
      </c>
      <c r="H127" s="30">
        <v>94.21</v>
      </c>
      <c r="I127" s="157">
        <v>39680</v>
      </c>
    </row>
    <row r="128" spans="1:9" x14ac:dyDescent="0.2">
      <c r="A128" s="30">
        <v>2008</v>
      </c>
      <c r="B128" s="30" t="s">
        <v>168</v>
      </c>
      <c r="C128" s="31">
        <v>1037.53</v>
      </c>
      <c r="F128" s="30">
        <v>2008</v>
      </c>
      <c r="G128" s="30" t="s">
        <v>169</v>
      </c>
      <c r="H128" s="30">
        <v>94.42</v>
      </c>
      <c r="I128" s="157">
        <v>39649</v>
      </c>
    </row>
    <row r="129" spans="1:9" x14ac:dyDescent="0.2">
      <c r="A129" s="30">
        <v>2008</v>
      </c>
      <c r="B129" s="30" t="s">
        <v>169</v>
      </c>
      <c r="C129" s="31">
        <v>1028</v>
      </c>
      <c r="F129" s="30">
        <v>2008</v>
      </c>
      <c r="G129" s="30" t="s">
        <v>170</v>
      </c>
      <c r="H129" s="30">
        <v>94.07</v>
      </c>
      <c r="I129" s="157">
        <v>39612</v>
      </c>
    </row>
    <row r="130" spans="1:9" x14ac:dyDescent="0.2">
      <c r="A130" s="30">
        <v>2008</v>
      </c>
      <c r="B130" s="30" t="s">
        <v>170</v>
      </c>
      <c r="C130" s="31">
        <v>1028</v>
      </c>
      <c r="F130" s="30">
        <v>2008</v>
      </c>
      <c r="G130" s="30" t="s">
        <v>171</v>
      </c>
      <c r="H130" s="30">
        <v>93.56</v>
      </c>
      <c r="I130" s="157">
        <v>39590</v>
      </c>
    </row>
    <row r="131" spans="1:9" x14ac:dyDescent="0.2">
      <c r="A131" s="30">
        <v>2008</v>
      </c>
      <c r="B131" s="30" t="s">
        <v>171</v>
      </c>
      <c r="C131" s="31">
        <v>1005.36</v>
      </c>
      <c r="F131" s="30">
        <v>2008</v>
      </c>
      <c r="G131" s="30" t="s">
        <v>172</v>
      </c>
      <c r="H131" s="30">
        <v>93.24</v>
      </c>
      <c r="I131" s="157">
        <v>39556</v>
      </c>
    </row>
    <row r="132" spans="1:9" x14ac:dyDescent="0.2">
      <c r="A132" s="30">
        <v>2008</v>
      </c>
      <c r="B132" s="30" t="s">
        <v>172</v>
      </c>
      <c r="C132" s="31">
        <v>1005.36</v>
      </c>
      <c r="F132" s="30">
        <v>2008</v>
      </c>
      <c r="G132" s="30" t="s">
        <v>173</v>
      </c>
      <c r="H132" s="30">
        <v>92.53</v>
      </c>
      <c r="I132" s="157">
        <v>39522</v>
      </c>
    </row>
    <row r="133" spans="1:9" x14ac:dyDescent="0.2">
      <c r="A133" s="30">
        <v>2008</v>
      </c>
      <c r="B133" s="30" t="s">
        <v>173</v>
      </c>
      <c r="C133" s="31">
        <v>1005.36</v>
      </c>
      <c r="F133" s="30">
        <v>2008</v>
      </c>
      <c r="G133" s="30" t="s">
        <v>174</v>
      </c>
      <c r="H133" s="30">
        <v>92.33</v>
      </c>
      <c r="I133" s="157">
        <v>39501</v>
      </c>
    </row>
    <row r="134" spans="1:9" x14ac:dyDescent="0.2">
      <c r="A134" s="30">
        <v>2008</v>
      </c>
      <c r="B134" s="30" t="s">
        <v>174</v>
      </c>
      <c r="C134" s="31">
        <v>1005.36</v>
      </c>
      <c r="F134" s="30">
        <v>2007</v>
      </c>
      <c r="G134" s="30" t="s">
        <v>163</v>
      </c>
      <c r="H134" s="30">
        <v>92.44</v>
      </c>
      <c r="I134" s="157">
        <v>39464</v>
      </c>
    </row>
    <row r="135" spans="1:9" x14ac:dyDescent="0.2">
      <c r="A135" s="30">
        <v>2007</v>
      </c>
      <c r="B135" s="30" t="s">
        <v>163</v>
      </c>
      <c r="C135" s="31">
        <v>1005.36</v>
      </c>
      <c r="F135" s="30">
        <v>2007</v>
      </c>
      <c r="G135" s="30" t="s">
        <v>164</v>
      </c>
      <c r="H135" s="30">
        <v>92.09</v>
      </c>
      <c r="I135" s="157">
        <v>39431</v>
      </c>
    </row>
    <row r="136" spans="1:9" x14ac:dyDescent="0.2">
      <c r="A136" s="30">
        <v>2007</v>
      </c>
      <c r="B136" s="30" t="s">
        <v>164</v>
      </c>
      <c r="C136" s="31">
        <v>1005.36</v>
      </c>
      <c r="F136" s="30">
        <v>2007</v>
      </c>
      <c r="G136" s="30" t="s">
        <v>165</v>
      </c>
      <c r="H136" s="30">
        <v>91.58</v>
      </c>
      <c r="I136" s="157">
        <v>39402</v>
      </c>
    </row>
    <row r="137" spans="1:9" x14ac:dyDescent="0.2">
      <c r="A137" s="30">
        <v>2007</v>
      </c>
      <c r="B137" s="30" t="s">
        <v>165</v>
      </c>
      <c r="C137" s="31">
        <v>1005.36</v>
      </c>
      <c r="F137" s="30">
        <v>2007</v>
      </c>
      <c r="G137" s="30" t="s">
        <v>166</v>
      </c>
      <c r="H137" s="30">
        <v>91.34</v>
      </c>
      <c r="I137" s="157">
        <v>39369</v>
      </c>
    </row>
    <row r="138" spans="1:9" x14ac:dyDescent="0.2">
      <c r="A138" s="30">
        <v>2007</v>
      </c>
      <c r="B138" s="30" t="s">
        <v>166</v>
      </c>
      <c r="C138" s="31">
        <v>1005.36</v>
      </c>
      <c r="F138" s="30">
        <v>2007</v>
      </c>
      <c r="G138" s="30" t="s">
        <v>167</v>
      </c>
      <c r="H138" s="30">
        <v>91.26</v>
      </c>
      <c r="I138" s="157">
        <v>39358</v>
      </c>
    </row>
    <row r="139" spans="1:9" x14ac:dyDescent="0.2">
      <c r="A139" s="30">
        <v>2007</v>
      </c>
      <c r="B139" s="30" t="s">
        <v>167</v>
      </c>
      <c r="C139" s="31">
        <v>1005.36</v>
      </c>
      <c r="F139" s="30">
        <v>2007</v>
      </c>
      <c r="G139" s="30" t="s">
        <v>168</v>
      </c>
      <c r="H139" s="30">
        <v>90.97</v>
      </c>
      <c r="I139" s="157">
        <v>39312</v>
      </c>
    </row>
    <row r="140" spans="1:9" x14ac:dyDescent="0.2">
      <c r="A140" s="30">
        <v>2007</v>
      </c>
      <c r="B140" s="30" t="s">
        <v>168</v>
      </c>
      <c r="C140" s="31">
        <v>1005.36</v>
      </c>
      <c r="F140" s="30">
        <v>2007</v>
      </c>
      <c r="G140" s="30" t="s">
        <v>169</v>
      </c>
      <c r="H140" s="30">
        <v>91.2</v>
      </c>
      <c r="I140" s="157">
        <v>39283</v>
      </c>
    </row>
    <row r="141" spans="1:9" x14ac:dyDescent="0.2">
      <c r="A141" s="30">
        <v>2007</v>
      </c>
      <c r="B141" s="30" t="s">
        <v>169</v>
      </c>
      <c r="C141" s="30">
        <v>985.11</v>
      </c>
      <c r="F141" s="30">
        <v>2007</v>
      </c>
      <c r="G141" s="30" t="s">
        <v>170</v>
      </c>
      <c r="H141" s="30">
        <v>91.09</v>
      </c>
      <c r="I141" s="157">
        <v>39263</v>
      </c>
    </row>
    <row r="142" spans="1:9" x14ac:dyDescent="0.2">
      <c r="A142" s="30">
        <v>2007</v>
      </c>
      <c r="B142" s="30" t="s">
        <v>170</v>
      </c>
      <c r="C142" s="30">
        <v>985.11</v>
      </c>
      <c r="F142" s="30">
        <v>2007</v>
      </c>
      <c r="G142" s="30" t="s">
        <v>171</v>
      </c>
      <c r="H142" s="30">
        <v>90.86</v>
      </c>
      <c r="I142" s="157">
        <v>39227</v>
      </c>
    </row>
    <row r="143" spans="1:9" x14ac:dyDescent="0.2">
      <c r="A143" s="30">
        <v>2007</v>
      </c>
      <c r="B143" s="30" t="s">
        <v>171</v>
      </c>
      <c r="C143" s="30">
        <v>985.11</v>
      </c>
      <c r="F143" s="30">
        <v>2007</v>
      </c>
      <c r="G143" s="30" t="s">
        <v>172</v>
      </c>
      <c r="H143" s="30">
        <v>90.41</v>
      </c>
      <c r="I143" s="157">
        <v>39208</v>
      </c>
    </row>
    <row r="144" spans="1:9" x14ac:dyDescent="0.2">
      <c r="A144" s="30">
        <v>2007</v>
      </c>
      <c r="B144" s="30" t="s">
        <v>172</v>
      </c>
      <c r="C144" s="30">
        <v>985.11</v>
      </c>
      <c r="F144" s="30">
        <v>2007</v>
      </c>
      <c r="G144" s="30" t="s">
        <v>173</v>
      </c>
      <c r="H144" s="30">
        <v>90.02</v>
      </c>
      <c r="I144" s="157">
        <v>39161</v>
      </c>
    </row>
    <row r="145" spans="1:9" x14ac:dyDescent="0.2">
      <c r="A145" s="30">
        <v>2007</v>
      </c>
      <c r="B145" s="30" t="s">
        <v>173</v>
      </c>
      <c r="C145" s="30">
        <v>985.11</v>
      </c>
      <c r="F145" s="30">
        <v>2007</v>
      </c>
      <c r="G145" s="30" t="s">
        <v>174</v>
      </c>
      <c r="H145" s="30">
        <v>89.85</v>
      </c>
      <c r="I145" s="157">
        <v>39138</v>
      </c>
    </row>
    <row r="146" spans="1:9" x14ac:dyDescent="0.2">
      <c r="A146" s="30">
        <v>2007</v>
      </c>
      <c r="B146" s="30" t="s">
        <v>174</v>
      </c>
      <c r="C146" s="30">
        <v>985.11</v>
      </c>
      <c r="F146" s="30">
        <v>2006</v>
      </c>
      <c r="G146" s="30" t="s">
        <v>163</v>
      </c>
      <c r="H146" s="30">
        <v>90.16</v>
      </c>
      <c r="I146" s="157">
        <v>39100</v>
      </c>
    </row>
    <row r="147" spans="1:9" x14ac:dyDescent="0.2">
      <c r="A147" s="30">
        <v>2006</v>
      </c>
      <c r="B147" s="30" t="s">
        <v>163</v>
      </c>
      <c r="C147" s="30">
        <v>984.61</v>
      </c>
      <c r="F147" s="30">
        <v>2006</v>
      </c>
      <c r="G147" s="30" t="s">
        <v>164</v>
      </c>
      <c r="H147" s="30">
        <v>89.96</v>
      </c>
      <c r="I147" s="157">
        <v>39068</v>
      </c>
    </row>
    <row r="148" spans="1:9" x14ac:dyDescent="0.2">
      <c r="A148" s="30">
        <v>2006</v>
      </c>
      <c r="B148" s="30" t="s">
        <v>164</v>
      </c>
      <c r="C148" s="30">
        <v>984.61</v>
      </c>
      <c r="F148" s="30">
        <v>2006</v>
      </c>
      <c r="G148" s="30" t="s">
        <v>165</v>
      </c>
      <c r="H148" s="30">
        <v>89.85</v>
      </c>
      <c r="I148" s="157">
        <v>39036</v>
      </c>
    </row>
    <row r="149" spans="1:9" x14ac:dyDescent="0.2">
      <c r="A149" s="30">
        <v>2006</v>
      </c>
      <c r="B149" s="30" t="s">
        <v>165</v>
      </c>
      <c r="C149" s="30">
        <v>984.61</v>
      </c>
      <c r="F149" s="30">
        <v>2006</v>
      </c>
      <c r="G149" s="30" t="s">
        <v>166</v>
      </c>
      <c r="H149" s="30">
        <v>90.05</v>
      </c>
      <c r="I149" s="157">
        <v>39008</v>
      </c>
    </row>
    <row r="150" spans="1:9" x14ac:dyDescent="0.2">
      <c r="A150" s="30">
        <v>2006</v>
      </c>
      <c r="B150" s="30" t="s">
        <v>166</v>
      </c>
      <c r="C150" s="30">
        <v>984.61</v>
      </c>
      <c r="F150" s="30">
        <v>2006</v>
      </c>
      <c r="G150" s="30" t="s">
        <v>167</v>
      </c>
      <c r="H150" s="30">
        <v>90.26</v>
      </c>
      <c r="I150" s="157">
        <v>38997</v>
      </c>
    </row>
    <row r="151" spans="1:9" x14ac:dyDescent="0.2">
      <c r="A151" s="30">
        <v>2006</v>
      </c>
      <c r="B151" s="30" t="s">
        <v>167</v>
      </c>
      <c r="C151" s="30">
        <v>984.61</v>
      </c>
      <c r="F151" s="30">
        <v>2006</v>
      </c>
      <c r="G151" s="30" t="s">
        <v>168</v>
      </c>
      <c r="H151" s="30">
        <v>89.95</v>
      </c>
      <c r="I151" s="157">
        <v>38960</v>
      </c>
    </row>
    <row r="152" spans="1:9" x14ac:dyDescent="0.2">
      <c r="A152" s="30">
        <v>2006</v>
      </c>
      <c r="B152" s="30" t="s">
        <v>168</v>
      </c>
      <c r="C152" s="30">
        <v>984.61</v>
      </c>
      <c r="F152" s="30">
        <v>2006</v>
      </c>
      <c r="G152" s="30" t="s">
        <v>169</v>
      </c>
      <c r="H152" s="30">
        <v>90.1</v>
      </c>
      <c r="I152" s="157">
        <v>38918</v>
      </c>
    </row>
    <row r="153" spans="1:9" x14ac:dyDescent="0.2">
      <c r="A153" s="30">
        <v>2006</v>
      </c>
      <c r="B153" s="30" t="s">
        <v>169</v>
      </c>
      <c r="C153" s="30">
        <v>956.04</v>
      </c>
      <c r="F153" s="30">
        <v>2006</v>
      </c>
      <c r="G153" s="30" t="s">
        <v>170</v>
      </c>
      <c r="H153" s="30">
        <v>90.11</v>
      </c>
      <c r="I153" s="157">
        <v>38888</v>
      </c>
    </row>
    <row r="154" spans="1:9" x14ac:dyDescent="0.2">
      <c r="A154" s="30">
        <v>2006</v>
      </c>
      <c r="B154" s="30" t="s">
        <v>170</v>
      </c>
      <c r="C154" s="30">
        <v>956.04</v>
      </c>
      <c r="F154" s="30">
        <v>2006</v>
      </c>
      <c r="G154" s="30" t="s">
        <v>171</v>
      </c>
      <c r="H154" s="30">
        <v>89.71</v>
      </c>
      <c r="I154" s="157">
        <v>38857</v>
      </c>
    </row>
    <row r="155" spans="1:9" x14ac:dyDescent="0.2">
      <c r="A155" s="30">
        <v>2006</v>
      </c>
      <c r="B155" s="30" t="s">
        <v>171</v>
      </c>
      <c r="C155" s="30">
        <v>956.04</v>
      </c>
      <c r="F155" s="30">
        <v>2006</v>
      </c>
      <c r="G155" s="30" t="s">
        <v>172</v>
      </c>
      <c r="H155" s="30">
        <v>89.33</v>
      </c>
      <c r="I155" s="157">
        <v>38828</v>
      </c>
    </row>
    <row r="156" spans="1:9" x14ac:dyDescent="0.2">
      <c r="A156" s="30">
        <v>2006</v>
      </c>
      <c r="B156" s="30" t="s">
        <v>172</v>
      </c>
      <c r="C156" s="30">
        <v>956.04</v>
      </c>
      <c r="F156" s="30">
        <v>2006</v>
      </c>
      <c r="G156" s="30" t="s">
        <v>173</v>
      </c>
      <c r="H156" s="30">
        <v>89.07</v>
      </c>
      <c r="I156" s="157">
        <v>38793</v>
      </c>
    </row>
    <row r="157" spans="1:9" x14ac:dyDescent="0.2">
      <c r="A157" s="30">
        <v>2006</v>
      </c>
      <c r="B157" s="30" t="s">
        <v>173</v>
      </c>
      <c r="C157" s="30">
        <v>956.04</v>
      </c>
      <c r="F157" s="30">
        <v>2006</v>
      </c>
      <c r="G157" s="30" t="s">
        <v>174</v>
      </c>
      <c r="H157" s="30">
        <v>88.73</v>
      </c>
      <c r="I157" s="157">
        <v>38772</v>
      </c>
    </row>
    <row r="158" spans="1:9" x14ac:dyDescent="0.2">
      <c r="A158" s="30">
        <v>2006</v>
      </c>
      <c r="B158" s="30" t="s">
        <v>174</v>
      </c>
      <c r="C158" s="30">
        <v>956.04</v>
      </c>
      <c r="F158" s="30">
        <v>2005</v>
      </c>
      <c r="G158" s="30" t="s">
        <v>163</v>
      </c>
      <c r="H158" s="30">
        <v>88.82</v>
      </c>
      <c r="I158" s="157">
        <v>38737</v>
      </c>
    </row>
    <row r="159" spans="1:9" x14ac:dyDescent="0.2">
      <c r="A159" s="30">
        <v>2005</v>
      </c>
      <c r="B159" s="30" t="s">
        <v>163</v>
      </c>
      <c r="C159" s="30">
        <v>957.74</v>
      </c>
      <c r="F159" s="30">
        <v>2005</v>
      </c>
      <c r="G159" s="30" t="s">
        <v>164</v>
      </c>
      <c r="H159" s="30">
        <v>88.71</v>
      </c>
      <c r="I159" s="157">
        <v>38702</v>
      </c>
    </row>
    <row r="160" spans="1:9" x14ac:dyDescent="0.2">
      <c r="A160" s="30">
        <v>2005</v>
      </c>
      <c r="B160" s="30" t="s">
        <v>164</v>
      </c>
      <c r="C160" s="30">
        <v>957.74</v>
      </c>
      <c r="F160" s="30">
        <v>2005</v>
      </c>
      <c r="G160" s="30" t="s">
        <v>165</v>
      </c>
      <c r="H160" s="30">
        <v>88.89</v>
      </c>
      <c r="I160" s="157">
        <v>38672</v>
      </c>
    </row>
    <row r="161" spans="1:9" x14ac:dyDescent="0.2">
      <c r="A161" s="30">
        <v>2005</v>
      </c>
      <c r="B161" s="30" t="s">
        <v>165</v>
      </c>
      <c r="C161" s="30">
        <v>957.74</v>
      </c>
      <c r="F161" s="30">
        <v>2005</v>
      </c>
      <c r="G161" s="30" t="s">
        <v>166</v>
      </c>
      <c r="H161" s="30">
        <v>88.91</v>
      </c>
      <c r="I161" s="157">
        <v>38644</v>
      </c>
    </row>
    <row r="162" spans="1:9" x14ac:dyDescent="0.2">
      <c r="A162" s="30">
        <v>2005</v>
      </c>
      <c r="B162" s="30" t="s">
        <v>166</v>
      </c>
      <c r="C162" s="30">
        <v>957.74</v>
      </c>
      <c r="F162" s="30">
        <v>2005</v>
      </c>
      <c r="G162" s="30" t="s">
        <v>167</v>
      </c>
      <c r="H162" s="30">
        <v>88.56</v>
      </c>
      <c r="I162" s="157">
        <v>38617</v>
      </c>
    </row>
    <row r="163" spans="1:9" x14ac:dyDescent="0.2">
      <c r="A163" s="30">
        <v>2005</v>
      </c>
      <c r="B163" s="30" t="s">
        <v>167</v>
      </c>
      <c r="C163" s="30">
        <v>957.74</v>
      </c>
      <c r="F163" s="30">
        <v>2005</v>
      </c>
      <c r="G163" s="30" t="s">
        <v>168</v>
      </c>
      <c r="H163" s="30">
        <v>88.22</v>
      </c>
      <c r="I163" s="157">
        <v>38581</v>
      </c>
    </row>
    <row r="164" spans="1:9" x14ac:dyDescent="0.2">
      <c r="A164" s="30">
        <v>2005</v>
      </c>
      <c r="B164" s="30" t="s">
        <v>168</v>
      </c>
      <c r="C164" s="30">
        <v>957.74</v>
      </c>
      <c r="F164" s="30">
        <v>2005</v>
      </c>
      <c r="G164" s="30" t="s">
        <v>169</v>
      </c>
      <c r="H164" s="30">
        <v>88.35</v>
      </c>
      <c r="I164" s="157">
        <v>38555</v>
      </c>
    </row>
    <row r="165" spans="1:9" x14ac:dyDescent="0.2">
      <c r="F165" s="30">
        <v>2005</v>
      </c>
      <c r="G165" s="30" t="s">
        <v>170</v>
      </c>
      <c r="H165" s="30">
        <v>88.25</v>
      </c>
      <c r="I165" s="157">
        <v>38522</v>
      </c>
    </row>
    <row r="166" spans="1:9" x14ac:dyDescent="0.2">
      <c r="F166" s="30">
        <v>2005</v>
      </c>
      <c r="G166" s="30" t="s">
        <v>171</v>
      </c>
      <c r="H166" s="30">
        <v>88.19</v>
      </c>
      <c r="I166" s="157">
        <v>38490</v>
      </c>
    </row>
    <row r="167" spans="1:9" x14ac:dyDescent="0.2">
      <c r="F167" s="30">
        <v>2005</v>
      </c>
      <c r="G167" s="30" t="s">
        <v>172</v>
      </c>
      <c r="H167" s="30">
        <v>88.02</v>
      </c>
      <c r="I167" s="157">
        <v>38463</v>
      </c>
    </row>
    <row r="168" spans="1:9" x14ac:dyDescent="0.2">
      <c r="F168" s="30">
        <v>2005</v>
      </c>
      <c r="G168" s="30" t="s">
        <v>173</v>
      </c>
      <c r="H168" s="30">
        <v>87.46</v>
      </c>
      <c r="I168" s="157">
        <v>38434</v>
      </c>
    </row>
    <row r="169" spans="1:9" x14ac:dyDescent="0.2">
      <c r="F169" s="30">
        <v>2005</v>
      </c>
      <c r="G169" s="30" t="s">
        <v>174</v>
      </c>
      <c r="H169" s="30">
        <v>86.91</v>
      </c>
      <c r="I169" s="157">
        <v>38409</v>
      </c>
    </row>
    <row r="170" spans="1:9" x14ac:dyDescent="0.2">
      <c r="F170" s="30">
        <v>2004</v>
      </c>
      <c r="G170" s="30" t="s">
        <v>163</v>
      </c>
      <c r="H170" s="30">
        <v>87.4</v>
      </c>
      <c r="I170" s="157">
        <v>38379</v>
      </c>
    </row>
    <row r="171" spans="1:9" x14ac:dyDescent="0.2">
      <c r="F171" s="30">
        <v>2004</v>
      </c>
      <c r="G171" s="30" t="s">
        <v>164</v>
      </c>
      <c r="H171" s="30">
        <v>87.3</v>
      </c>
      <c r="I171" s="157">
        <v>38349</v>
      </c>
    </row>
    <row r="172" spans="1:9" x14ac:dyDescent="0.2">
      <c r="F172" s="30">
        <v>2004</v>
      </c>
      <c r="G172" s="30" t="s">
        <v>165</v>
      </c>
      <c r="H172" s="30">
        <v>87.26</v>
      </c>
      <c r="I172" s="157">
        <v>38317</v>
      </c>
    </row>
    <row r="173" spans="1:9" x14ac:dyDescent="0.2">
      <c r="F173" s="30">
        <v>2004</v>
      </c>
      <c r="G173" s="30" t="s">
        <v>166</v>
      </c>
      <c r="H173" s="30">
        <v>87.02</v>
      </c>
      <c r="I173" s="157">
        <v>38288</v>
      </c>
    </row>
    <row r="174" spans="1:9" x14ac:dyDescent="0.2">
      <c r="F174" s="30">
        <v>2004</v>
      </c>
      <c r="G174" s="30" t="s">
        <v>167</v>
      </c>
      <c r="H174" s="30">
        <v>86.94</v>
      </c>
      <c r="I174" s="157">
        <v>38258</v>
      </c>
    </row>
    <row r="175" spans="1:9" x14ac:dyDescent="0.2">
      <c r="F175" s="30">
        <v>2004</v>
      </c>
      <c r="G175" s="30" t="s">
        <v>168</v>
      </c>
      <c r="H175" s="30">
        <v>86.75</v>
      </c>
      <c r="I175" s="157">
        <v>38226</v>
      </c>
    </row>
    <row r="176" spans="1:9" x14ac:dyDescent="0.2">
      <c r="F176" s="30">
        <v>2004</v>
      </c>
      <c r="G176" s="30" t="s">
        <v>169</v>
      </c>
      <c r="H176" s="30">
        <v>86.89</v>
      </c>
      <c r="I176" s="157">
        <v>38195</v>
      </c>
    </row>
    <row r="177" spans="6:9" x14ac:dyDescent="0.2">
      <c r="F177" s="30">
        <v>2004</v>
      </c>
      <c r="G177" s="30" t="s">
        <v>170</v>
      </c>
      <c r="H177" s="30">
        <v>86.85</v>
      </c>
      <c r="I177" s="157">
        <v>38165</v>
      </c>
    </row>
    <row r="178" spans="6:9" x14ac:dyDescent="0.2">
      <c r="F178" s="30">
        <v>2004</v>
      </c>
      <c r="G178" s="30" t="s">
        <v>171</v>
      </c>
      <c r="H178" s="30">
        <v>86.53</v>
      </c>
      <c r="I178" s="157">
        <v>38136</v>
      </c>
    </row>
    <row r="179" spans="6:9" x14ac:dyDescent="0.2">
      <c r="F179" s="30">
        <v>2004</v>
      </c>
      <c r="G179" s="30" t="s">
        <v>172</v>
      </c>
      <c r="H179" s="30">
        <v>86.3</v>
      </c>
      <c r="I179" s="157">
        <v>38107</v>
      </c>
    </row>
    <row r="180" spans="6:9" x14ac:dyDescent="0.2">
      <c r="F180" s="30">
        <v>2004</v>
      </c>
      <c r="G180" s="30" t="s">
        <v>173</v>
      </c>
      <c r="H180" s="30">
        <v>85.96</v>
      </c>
      <c r="I180" s="157">
        <v>38074</v>
      </c>
    </row>
    <row r="181" spans="6:9" x14ac:dyDescent="0.2">
      <c r="F181" s="30">
        <v>2004</v>
      </c>
      <c r="G181" s="30" t="s">
        <v>174</v>
      </c>
      <c r="H181" s="30">
        <v>85.61</v>
      </c>
      <c r="I181" s="157">
        <v>38045</v>
      </c>
    </row>
    <row r="182" spans="6:9" x14ac:dyDescent="0.2">
      <c r="F182" s="30">
        <v>2003</v>
      </c>
      <c r="G182" s="30" t="s">
        <v>163</v>
      </c>
      <c r="H182" s="30">
        <v>85.76</v>
      </c>
      <c r="I182" s="157">
        <v>38015</v>
      </c>
    </row>
    <row r="183" spans="6:9" x14ac:dyDescent="0.2">
      <c r="F183" s="30">
        <v>2003</v>
      </c>
      <c r="G183" s="30" t="s">
        <v>164</v>
      </c>
      <c r="H183" s="30">
        <v>85.67</v>
      </c>
      <c r="I183" s="157">
        <v>37983</v>
      </c>
    </row>
    <row r="184" spans="6:9" x14ac:dyDescent="0.2">
      <c r="F184" s="30">
        <v>2003</v>
      </c>
      <c r="G184" s="30" t="s">
        <v>165</v>
      </c>
      <c r="H184" s="30">
        <v>85.78</v>
      </c>
      <c r="I184" s="157">
        <v>37952</v>
      </c>
    </row>
    <row r="185" spans="6:9" x14ac:dyDescent="0.2">
      <c r="F185" s="30">
        <v>2003</v>
      </c>
      <c r="G185" s="30" t="s">
        <v>166</v>
      </c>
      <c r="H185" s="30">
        <v>85.73</v>
      </c>
      <c r="I185" s="157">
        <v>37920</v>
      </c>
    </row>
    <row r="186" spans="6:9" x14ac:dyDescent="0.2">
      <c r="F186" s="30">
        <v>2003</v>
      </c>
      <c r="G186" s="30" t="s">
        <v>167</v>
      </c>
      <c r="H186" s="30">
        <v>85.39</v>
      </c>
      <c r="I186" s="157">
        <v>37896</v>
      </c>
    </row>
    <row r="187" spans="6:9" x14ac:dyDescent="0.2">
      <c r="F187" s="30">
        <v>2003</v>
      </c>
      <c r="G187" s="30" t="s">
        <v>168</v>
      </c>
      <c r="H187" s="30">
        <v>85.19</v>
      </c>
      <c r="I187" s="157">
        <v>37861</v>
      </c>
    </row>
    <row r="188" spans="6:9" x14ac:dyDescent="0.2">
      <c r="F188" s="30">
        <v>2003</v>
      </c>
      <c r="G188" s="30" t="s">
        <v>169</v>
      </c>
      <c r="H188" s="30">
        <v>85.28</v>
      </c>
      <c r="I188" s="157">
        <v>37829</v>
      </c>
    </row>
    <row r="189" spans="6:9" x14ac:dyDescent="0.2">
      <c r="F189" s="30">
        <v>2003</v>
      </c>
      <c r="G189" s="30" t="s">
        <v>170</v>
      </c>
      <c r="H189" s="30">
        <v>85.12</v>
      </c>
      <c r="I189" s="157">
        <v>37800</v>
      </c>
    </row>
    <row r="190" spans="6:9" x14ac:dyDescent="0.2">
      <c r="F190" s="30">
        <v>2003</v>
      </c>
      <c r="G190" s="30" t="s">
        <v>171</v>
      </c>
      <c r="H190" s="30">
        <v>85.21</v>
      </c>
      <c r="I190" s="157">
        <v>37772</v>
      </c>
    </row>
    <row r="191" spans="6:9" x14ac:dyDescent="0.2">
      <c r="F191" s="30">
        <v>2003</v>
      </c>
      <c r="G191" s="30" t="s">
        <v>172</v>
      </c>
      <c r="H191" s="30">
        <v>85.33</v>
      </c>
      <c r="I191" s="157">
        <v>37738</v>
      </c>
    </row>
    <row r="192" spans="6:9" x14ac:dyDescent="0.2">
      <c r="F192" s="30">
        <v>2003</v>
      </c>
      <c r="G192" s="30" t="s">
        <v>173</v>
      </c>
      <c r="H192" s="30">
        <v>84.99</v>
      </c>
      <c r="I192" s="157">
        <v>37706</v>
      </c>
    </row>
    <row r="193" spans="6:9" x14ac:dyDescent="0.2">
      <c r="F193" s="30">
        <v>2003</v>
      </c>
      <c r="G193" s="30" t="s">
        <v>174</v>
      </c>
      <c r="H193" s="30">
        <v>84.42</v>
      </c>
      <c r="I193" s="157">
        <v>37680</v>
      </c>
    </row>
    <row r="194" spans="6:9" x14ac:dyDescent="0.2">
      <c r="F194" s="30">
        <v>2002</v>
      </c>
      <c r="G194" s="30" t="s">
        <v>163</v>
      </c>
      <c r="H194" s="30">
        <v>84.41</v>
      </c>
      <c r="I194" s="157">
        <v>37647</v>
      </c>
    </row>
    <row r="195" spans="6:9" x14ac:dyDescent="0.2">
      <c r="F195" s="30">
        <v>2002</v>
      </c>
      <c r="G195" s="30" t="s">
        <v>164</v>
      </c>
      <c r="H195" s="30">
        <v>84.27</v>
      </c>
      <c r="I195" s="157">
        <v>37617</v>
      </c>
    </row>
    <row r="196" spans="6:9" x14ac:dyDescent="0.2">
      <c r="F196" s="30">
        <v>2002</v>
      </c>
      <c r="G196" s="30" t="s">
        <v>165</v>
      </c>
      <c r="H196" s="30">
        <v>84.27</v>
      </c>
      <c r="I196" s="157">
        <v>37587</v>
      </c>
    </row>
    <row r="197" spans="6:9" x14ac:dyDescent="0.2">
      <c r="F197" s="30">
        <v>2002</v>
      </c>
      <c r="G197" s="30" t="s">
        <v>166</v>
      </c>
      <c r="H197" s="30">
        <v>84.14</v>
      </c>
      <c r="I197" s="157">
        <v>37558</v>
      </c>
    </row>
    <row r="198" spans="6:9" x14ac:dyDescent="0.2">
      <c r="F198" s="30">
        <v>2002</v>
      </c>
      <c r="G198" s="30" t="s">
        <v>167</v>
      </c>
      <c r="H198" s="30">
        <v>83.98</v>
      </c>
      <c r="I198" s="157">
        <v>37526</v>
      </c>
    </row>
    <row r="199" spans="6:9" x14ac:dyDescent="0.2">
      <c r="F199" s="30">
        <v>2002</v>
      </c>
      <c r="G199" s="30" t="s">
        <v>168</v>
      </c>
      <c r="H199" s="30">
        <v>83.78</v>
      </c>
      <c r="I199" s="157">
        <v>37498</v>
      </c>
    </row>
    <row r="200" spans="6:9" x14ac:dyDescent="0.2">
      <c r="F200" s="30">
        <v>2002</v>
      </c>
      <c r="G200" s="30" t="s">
        <v>169</v>
      </c>
      <c r="H200" s="30">
        <v>83.78</v>
      </c>
      <c r="I200" s="157">
        <v>37464</v>
      </c>
    </row>
    <row r="201" spans="6:9" x14ac:dyDescent="0.2">
      <c r="F201" s="30">
        <v>2002</v>
      </c>
      <c r="G201" s="30" t="s">
        <v>170</v>
      </c>
      <c r="H201" s="30">
        <v>83.79</v>
      </c>
      <c r="I201" s="157">
        <v>37435</v>
      </c>
    </row>
    <row r="202" spans="6:9" x14ac:dyDescent="0.2">
      <c r="F202" s="30">
        <v>2002</v>
      </c>
      <c r="G202" s="30" t="s">
        <v>171</v>
      </c>
      <c r="H202" s="30">
        <v>83.68</v>
      </c>
      <c r="I202" s="157">
        <v>37407</v>
      </c>
    </row>
    <row r="203" spans="6:9" x14ac:dyDescent="0.2">
      <c r="F203" s="30">
        <v>2002</v>
      </c>
      <c r="G203" s="30" t="s">
        <v>172</v>
      </c>
      <c r="H203" s="30">
        <v>83.36</v>
      </c>
      <c r="I203" s="157">
        <v>37373</v>
      </c>
    </row>
    <row r="204" spans="6:9" x14ac:dyDescent="0.2">
      <c r="F204" s="30">
        <v>2002</v>
      </c>
      <c r="G204" s="30" t="s">
        <v>173</v>
      </c>
      <c r="H204" s="30">
        <v>82.99</v>
      </c>
      <c r="I204" s="157">
        <v>37345</v>
      </c>
    </row>
    <row r="205" spans="6:9" x14ac:dyDescent="0.2">
      <c r="F205" s="30">
        <v>2002</v>
      </c>
      <c r="G205" s="30" t="s">
        <v>174</v>
      </c>
      <c r="H205" s="30">
        <v>82.89</v>
      </c>
      <c r="I205" s="157">
        <v>37317</v>
      </c>
    </row>
    <row r="206" spans="6:9" x14ac:dyDescent="0.2">
      <c r="F206" s="30">
        <v>2001</v>
      </c>
      <c r="G206" s="30" t="s">
        <v>163</v>
      </c>
      <c r="H206" s="30">
        <v>82.63</v>
      </c>
      <c r="I206" s="157">
        <v>37283</v>
      </c>
    </row>
    <row r="207" spans="6:9" x14ac:dyDescent="0.2">
      <c r="F207" s="30">
        <v>2001</v>
      </c>
      <c r="G207" s="30" t="s">
        <v>164</v>
      </c>
      <c r="H207" s="30">
        <v>82.53</v>
      </c>
      <c r="I207" s="157">
        <v>37248</v>
      </c>
    </row>
    <row r="208" spans="6:9" x14ac:dyDescent="0.2">
      <c r="F208" s="30">
        <v>2001</v>
      </c>
      <c r="G208" s="30" t="s">
        <v>165</v>
      </c>
      <c r="H208" s="30">
        <v>82.76</v>
      </c>
      <c r="I208" s="157">
        <v>37220</v>
      </c>
    </row>
    <row r="209" spans="6:9" x14ac:dyDescent="0.2">
      <c r="F209" s="30">
        <v>2001</v>
      </c>
      <c r="G209" s="30" t="s">
        <v>166</v>
      </c>
      <c r="H209" s="30">
        <v>82.71</v>
      </c>
      <c r="I209" s="157">
        <v>37192</v>
      </c>
    </row>
    <row r="210" spans="6:9" x14ac:dyDescent="0.2">
      <c r="F210" s="30">
        <v>2001</v>
      </c>
      <c r="G210" s="30" t="s">
        <v>167</v>
      </c>
      <c r="H210" s="30">
        <v>82.56</v>
      </c>
      <c r="I210" s="157">
        <v>37163</v>
      </c>
    </row>
    <row r="211" spans="6:9" x14ac:dyDescent="0.2">
      <c r="F211" s="30">
        <v>2001</v>
      </c>
      <c r="G211" s="30" t="s">
        <v>168</v>
      </c>
      <c r="H211" s="30">
        <v>82.56</v>
      </c>
      <c r="I211" s="157">
        <v>37132</v>
      </c>
    </row>
    <row r="212" spans="6:9" x14ac:dyDescent="0.2">
      <c r="F212" s="30">
        <v>2001</v>
      </c>
      <c r="G212" s="30" t="s">
        <v>169</v>
      </c>
      <c r="H212" s="30">
        <v>82.73</v>
      </c>
      <c r="I212" s="157">
        <v>37098</v>
      </c>
    </row>
    <row r="213" spans="6:9" x14ac:dyDescent="0.2">
      <c r="F213" s="30">
        <v>2001</v>
      </c>
      <c r="G213" s="30" t="s">
        <v>170</v>
      </c>
      <c r="H213" s="30">
        <v>82.68</v>
      </c>
      <c r="I213" s="157">
        <v>37071</v>
      </c>
    </row>
    <row r="214" spans="6:9" x14ac:dyDescent="0.2">
      <c r="F214" s="30">
        <v>2001</v>
      </c>
      <c r="G214" s="30" t="s">
        <v>171</v>
      </c>
      <c r="H214" s="30">
        <v>82.16</v>
      </c>
      <c r="I214" s="157">
        <v>37041</v>
      </c>
    </row>
    <row r="215" spans="6:9" x14ac:dyDescent="0.2">
      <c r="F215" s="30">
        <v>2001</v>
      </c>
      <c r="G215" s="30" t="s">
        <v>172</v>
      </c>
      <c r="H215" s="30">
        <v>81.760000000000005</v>
      </c>
      <c r="I215" s="157">
        <v>37009</v>
      </c>
    </row>
    <row r="216" spans="6:9" x14ac:dyDescent="0.2">
      <c r="F216" s="30">
        <v>2001</v>
      </c>
      <c r="G216" s="30" t="s">
        <v>173</v>
      </c>
      <c r="H216" s="30">
        <v>81.39</v>
      </c>
      <c r="I216" s="157">
        <v>36978</v>
      </c>
    </row>
    <row r="217" spans="6:9" x14ac:dyDescent="0.2">
      <c r="F217" s="30">
        <v>2001</v>
      </c>
      <c r="G217" s="30" t="s">
        <v>174</v>
      </c>
      <c r="H217" s="30">
        <v>81.180000000000007</v>
      </c>
      <c r="I217" s="157">
        <v>36950</v>
      </c>
    </row>
    <row r="218" spans="6:9" x14ac:dyDescent="0.2">
      <c r="F218" s="30">
        <v>2000</v>
      </c>
      <c r="G218" s="30" t="s">
        <v>163</v>
      </c>
      <c r="H218" s="30">
        <v>81.599999999999994</v>
      </c>
      <c r="I218" s="157">
        <v>36919</v>
      </c>
    </row>
    <row r="219" spans="6:9" x14ac:dyDescent="0.2">
      <c r="F219" s="30">
        <v>2000</v>
      </c>
      <c r="G219" s="30" t="s">
        <v>164</v>
      </c>
      <c r="H219" s="30">
        <v>81.63</v>
      </c>
      <c r="I219" s="157">
        <v>36889</v>
      </c>
    </row>
    <row r="220" spans="6:9" x14ac:dyDescent="0.2">
      <c r="F220" s="30">
        <v>2000</v>
      </c>
      <c r="G220" s="30" t="s">
        <v>165</v>
      </c>
      <c r="H220" s="30">
        <v>81.45</v>
      </c>
      <c r="I220" s="157">
        <v>36858</v>
      </c>
    </row>
    <row r="221" spans="6:9" x14ac:dyDescent="0.2">
      <c r="F221" s="30">
        <v>2000</v>
      </c>
      <c r="G221" s="30" t="s">
        <v>166</v>
      </c>
      <c r="H221" s="30">
        <v>81.55</v>
      </c>
      <c r="I221" s="157">
        <v>36827</v>
      </c>
    </row>
    <row r="222" spans="6:9" x14ac:dyDescent="0.2">
      <c r="F222" s="30">
        <v>2000</v>
      </c>
      <c r="G222" s="30" t="s">
        <v>167</v>
      </c>
      <c r="H222" s="30">
        <v>81.13</v>
      </c>
      <c r="I222" s="157">
        <v>36800</v>
      </c>
    </row>
    <row r="223" spans="6:9" x14ac:dyDescent="0.2">
      <c r="F223" s="30">
        <v>2000</v>
      </c>
      <c r="G223" s="30" t="s">
        <v>168</v>
      </c>
      <c r="H223" s="30">
        <v>80.97</v>
      </c>
      <c r="I223" s="157">
        <v>36765</v>
      </c>
    </row>
    <row r="224" spans="6:9" x14ac:dyDescent="0.2">
      <c r="F224" s="30">
        <v>2000</v>
      </c>
      <c r="G224" s="30" t="s">
        <v>169</v>
      </c>
      <c r="H224" s="30">
        <v>81.099999999999994</v>
      </c>
      <c r="I224" s="157">
        <v>36736</v>
      </c>
    </row>
    <row r="225" spans="6:9" x14ac:dyDescent="0.2">
      <c r="F225" s="30">
        <v>2000</v>
      </c>
      <c r="G225" s="30" t="s">
        <v>170</v>
      </c>
      <c r="H225" s="30">
        <v>80.900000000000006</v>
      </c>
      <c r="I225" s="157">
        <v>36704</v>
      </c>
    </row>
    <row r="226" spans="6:9" x14ac:dyDescent="0.2">
      <c r="F226" s="30">
        <v>2000</v>
      </c>
      <c r="G226" s="30" t="s">
        <v>171</v>
      </c>
      <c r="H226" s="30">
        <v>80.73</v>
      </c>
      <c r="I226" s="157">
        <v>36674</v>
      </c>
    </row>
    <row r="227" spans="6:9" x14ac:dyDescent="0.2">
      <c r="F227" s="30">
        <v>2000</v>
      </c>
      <c r="G227" s="30" t="s">
        <v>172</v>
      </c>
      <c r="H227" s="30">
        <v>80.73</v>
      </c>
      <c r="I227" s="157">
        <v>36646</v>
      </c>
    </row>
    <row r="228" spans="6:9" x14ac:dyDescent="0.2">
      <c r="F228" s="30">
        <v>2000</v>
      </c>
      <c r="G228" s="30" t="s">
        <v>173</v>
      </c>
      <c r="H228" s="30">
        <v>80.349999999999994</v>
      </c>
      <c r="I228" s="157">
        <v>36617</v>
      </c>
    </row>
    <row r="229" spans="6:9" x14ac:dyDescent="0.2">
      <c r="F229" s="30">
        <v>2000</v>
      </c>
      <c r="G229" s="30" t="s">
        <v>174</v>
      </c>
      <c r="H229" s="30">
        <v>80.25</v>
      </c>
      <c r="I229" s="157">
        <v>36587</v>
      </c>
    </row>
    <row r="230" spans="6:9" x14ac:dyDescent="0.2">
      <c r="F230" s="30">
        <v>1999</v>
      </c>
      <c r="G230" s="30" t="s">
        <v>163</v>
      </c>
      <c r="H230" s="30">
        <v>80.319999999999993</v>
      </c>
      <c r="I230" s="157">
        <v>36554</v>
      </c>
    </row>
    <row r="231" spans="6:9" x14ac:dyDescent="0.2">
      <c r="F231" s="30">
        <v>1999</v>
      </c>
      <c r="G231" s="30" t="s">
        <v>164</v>
      </c>
      <c r="H231" s="30">
        <v>79.959999999999994</v>
      </c>
      <c r="I231" s="157">
        <v>36523</v>
      </c>
    </row>
    <row r="232" spans="6:9" x14ac:dyDescent="0.2">
      <c r="F232" s="30">
        <v>1999</v>
      </c>
      <c r="G232" s="30" t="s">
        <v>165</v>
      </c>
      <c r="H232" s="30">
        <v>79.930000000000007</v>
      </c>
      <c r="I232" s="157">
        <v>36492</v>
      </c>
    </row>
    <row r="233" spans="6:9" x14ac:dyDescent="0.2">
      <c r="F233" s="30">
        <v>1999</v>
      </c>
      <c r="G233" s="30" t="s">
        <v>166</v>
      </c>
      <c r="H233" s="30">
        <v>79.87</v>
      </c>
      <c r="I233" s="157">
        <v>36463</v>
      </c>
    </row>
    <row r="234" spans="6:9" x14ac:dyDescent="0.2">
      <c r="F234" s="30">
        <v>1999</v>
      </c>
      <c r="G234" s="30" t="s">
        <v>167</v>
      </c>
      <c r="H234" s="30">
        <v>79.739999999999995</v>
      </c>
      <c r="I234" s="157">
        <v>36433</v>
      </c>
    </row>
    <row r="235" spans="6:9" x14ac:dyDescent="0.2">
      <c r="F235" s="30">
        <v>1999</v>
      </c>
      <c r="G235" s="30" t="s">
        <v>168</v>
      </c>
      <c r="H235" s="30">
        <v>79.61</v>
      </c>
      <c r="I235" s="157">
        <v>36398</v>
      </c>
    </row>
    <row r="236" spans="6:9" x14ac:dyDescent="0.2">
      <c r="F236" s="30">
        <v>1999</v>
      </c>
      <c r="G236" s="30" t="s">
        <v>169</v>
      </c>
      <c r="H236" s="30">
        <v>79.83</v>
      </c>
      <c r="I236" s="157">
        <v>36371</v>
      </c>
    </row>
    <row r="237" spans="6:9" x14ac:dyDescent="0.2">
      <c r="F237" s="30">
        <v>1999</v>
      </c>
      <c r="G237" s="30" t="s">
        <v>170</v>
      </c>
      <c r="H237" s="30">
        <v>79.83</v>
      </c>
      <c r="I237" s="157">
        <v>36340</v>
      </c>
    </row>
    <row r="238" spans="6:9" x14ac:dyDescent="0.2">
      <c r="F238" s="30">
        <v>1999</v>
      </c>
      <c r="G238" s="30" t="s">
        <v>171</v>
      </c>
      <c r="H238" s="30">
        <v>79.83</v>
      </c>
      <c r="I238" s="157">
        <v>36309</v>
      </c>
    </row>
    <row r="239" spans="6:9" x14ac:dyDescent="0.2">
      <c r="F239" s="30">
        <v>1999</v>
      </c>
      <c r="G239" s="30" t="s">
        <v>172</v>
      </c>
      <c r="H239" s="30">
        <v>79.599999999999994</v>
      </c>
      <c r="I239" s="157">
        <v>36279</v>
      </c>
    </row>
    <row r="240" spans="6:9" x14ac:dyDescent="0.2">
      <c r="F240" s="30">
        <v>1999</v>
      </c>
      <c r="G240" s="30" t="s">
        <v>173</v>
      </c>
      <c r="H240" s="30">
        <v>79.33</v>
      </c>
      <c r="I240" s="157">
        <v>36247</v>
      </c>
    </row>
    <row r="241" spans="6:9" x14ac:dyDescent="0.2">
      <c r="F241" s="30">
        <v>1999</v>
      </c>
      <c r="G241" s="30" t="s">
        <v>174</v>
      </c>
      <c r="H241" s="30">
        <v>79.08</v>
      </c>
      <c r="I241" s="157">
        <v>36219</v>
      </c>
    </row>
    <row r="242" spans="6:9" x14ac:dyDescent="0.2">
      <c r="F242" s="30">
        <v>1998</v>
      </c>
      <c r="G242" s="30" t="s">
        <v>163</v>
      </c>
      <c r="H242" s="30">
        <v>79.38</v>
      </c>
      <c r="I242" s="157">
        <v>36190</v>
      </c>
    </row>
    <row r="243" spans="6:9" x14ac:dyDescent="0.2">
      <c r="F243" s="30">
        <v>1998</v>
      </c>
      <c r="G243" s="30" t="s">
        <v>164</v>
      </c>
      <c r="H243" s="30">
        <v>79.290000000000006</v>
      </c>
      <c r="I243" s="157">
        <v>36156</v>
      </c>
    </row>
    <row r="244" spans="6:9" x14ac:dyDescent="0.2">
      <c r="F244" s="30">
        <v>1998</v>
      </c>
      <c r="G244" s="30" t="s">
        <v>165</v>
      </c>
      <c r="H244" s="30">
        <v>79.34</v>
      </c>
      <c r="I244" s="157">
        <v>36128</v>
      </c>
    </row>
    <row r="245" spans="6:9" x14ac:dyDescent="0.2">
      <c r="F245" s="30">
        <v>1998</v>
      </c>
      <c r="G245" s="30" t="s">
        <v>166</v>
      </c>
      <c r="H245" s="30">
        <v>79.39</v>
      </c>
      <c r="I245" s="157">
        <v>36097</v>
      </c>
    </row>
    <row r="246" spans="6:9" x14ac:dyDescent="0.2">
      <c r="F246" s="30">
        <v>1998</v>
      </c>
      <c r="G246" s="30" t="s">
        <v>167</v>
      </c>
      <c r="H246" s="30">
        <v>79.42</v>
      </c>
      <c r="I246" s="157">
        <v>36068</v>
      </c>
    </row>
    <row r="247" spans="6:9" x14ac:dyDescent="0.2">
      <c r="F247" s="30">
        <v>1998</v>
      </c>
      <c r="G247" s="30" t="s">
        <v>168</v>
      </c>
      <c r="H247" s="30">
        <v>79.36</v>
      </c>
      <c r="I247" s="157">
        <v>36035</v>
      </c>
    </row>
    <row r="248" spans="6:9" x14ac:dyDescent="0.2">
      <c r="F248" s="30">
        <v>1998</v>
      </c>
      <c r="G248" s="30" t="s">
        <v>169</v>
      </c>
      <c r="H248" s="30">
        <v>79.63</v>
      </c>
      <c r="I248" s="157">
        <v>36004</v>
      </c>
    </row>
    <row r="249" spans="6:9" x14ac:dyDescent="0.2">
      <c r="F249" s="30">
        <v>1998</v>
      </c>
      <c r="G249" s="30" t="s">
        <v>170</v>
      </c>
      <c r="H249" s="30">
        <v>79.569999999999993</v>
      </c>
      <c r="I249" s="157">
        <v>35973</v>
      </c>
    </row>
    <row r="250" spans="6:9" x14ac:dyDescent="0.2">
      <c r="F250" s="30">
        <v>1998</v>
      </c>
      <c r="G250" s="30" t="s">
        <v>171</v>
      </c>
      <c r="H250" s="30">
        <v>79.55</v>
      </c>
      <c r="I250" s="157">
        <v>35944</v>
      </c>
    </row>
    <row r="251" spans="6:9" x14ac:dyDescent="0.2">
      <c r="F251" s="30">
        <v>1998</v>
      </c>
      <c r="G251" s="30" t="s">
        <v>172</v>
      </c>
      <c r="H251" s="30">
        <v>79.39</v>
      </c>
      <c r="I251" s="157">
        <v>35913</v>
      </c>
    </row>
    <row r="252" spans="6:9" x14ac:dyDescent="0.2">
      <c r="F252" s="30">
        <v>1998</v>
      </c>
      <c r="G252" s="30" t="s">
        <v>173</v>
      </c>
      <c r="H252" s="30">
        <v>79.25</v>
      </c>
      <c r="I252" s="157">
        <v>35882</v>
      </c>
    </row>
    <row r="253" spans="6:9" x14ac:dyDescent="0.2">
      <c r="F253" s="30">
        <v>1998</v>
      </c>
      <c r="G253" s="30" t="s">
        <v>174</v>
      </c>
      <c r="H253" s="30">
        <v>78.95</v>
      </c>
      <c r="I253" s="157">
        <v>35854</v>
      </c>
    </row>
    <row r="254" spans="6:9" x14ac:dyDescent="0.2">
      <c r="F254" s="30">
        <v>1997</v>
      </c>
      <c r="G254" s="30" t="s">
        <v>163</v>
      </c>
      <c r="H254" s="30">
        <v>79.239999999999995</v>
      </c>
      <c r="I254" s="157">
        <v>35824</v>
      </c>
    </row>
    <row r="255" spans="6:9" x14ac:dyDescent="0.2">
      <c r="F255" s="30">
        <v>1997</v>
      </c>
      <c r="G255" s="30" t="s">
        <v>164</v>
      </c>
      <c r="H255" s="30">
        <v>79.209999999999994</v>
      </c>
      <c r="I255" s="157">
        <v>35792</v>
      </c>
    </row>
    <row r="256" spans="6:9" x14ac:dyDescent="0.2">
      <c r="F256" s="30">
        <v>1997</v>
      </c>
      <c r="G256" s="30" t="s">
        <v>165</v>
      </c>
      <c r="H256" s="30">
        <v>79.069999999999993</v>
      </c>
      <c r="I256" s="157">
        <v>35763</v>
      </c>
    </row>
    <row r="257" spans="6:9" x14ac:dyDescent="0.2">
      <c r="F257" s="30">
        <v>1997</v>
      </c>
      <c r="G257" s="30" t="s">
        <v>166</v>
      </c>
      <c r="H257" s="30">
        <v>79.11</v>
      </c>
      <c r="I257" s="157">
        <v>35732</v>
      </c>
    </row>
    <row r="258" spans="6:9" x14ac:dyDescent="0.2">
      <c r="F258" s="30">
        <v>1997</v>
      </c>
      <c r="G258" s="30" t="s">
        <v>167</v>
      </c>
      <c r="H258" s="30">
        <v>78.97</v>
      </c>
      <c r="I258" s="157">
        <v>35700</v>
      </c>
    </row>
    <row r="259" spans="6:9" x14ac:dyDescent="0.2">
      <c r="F259" s="30">
        <v>1997</v>
      </c>
      <c r="G259" s="30" t="s">
        <v>168</v>
      </c>
      <c r="H259" s="30">
        <v>78.760000000000005</v>
      </c>
      <c r="I259" s="157">
        <v>35672</v>
      </c>
    </row>
    <row r="260" spans="6:9" x14ac:dyDescent="0.2">
      <c r="F260" s="30">
        <v>1997</v>
      </c>
      <c r="G260" s="30" t="s">
        <v>169</v>
      </c>
      <c r="H260" s="30">
        <v>78.87</v>
      </c>
      <c r="I260" s="157">
        <v>35640</v>
      </c>
    </row>
    <row r="261" spans="6:9" x14ac:dyDescent="0.2">
      <c r="F261" s="30">
        <v>1997</v>
      </c>
      <c r="G261" s="30" t="s">
        <v>170</v>
      </c>
      <c r="H261" s="30">
        <v>78.88</v>
      </c>
      <c r="I261" s="157">
        <v>35610</v>
      </c>
    </row>
    <row r="262" spans="6:9" x14ac:dyDescent="0.2">
      <c r="F262" s="30">
        <v>1997</v>
      </c>
      <c r="G262" s="30" t="s">
        <v>171</v>
      </c>
      <c r="H262" s="30">
        <v>78.77</v>
      </c>
      <c r="I262" s="157">
        <v>35580</v>
      </c>
    </row>
    <row r="263" spans="6:9" x14ac:dyDescent="0.2">
      <c r="F263" s="30">
        <v>1997</v>
      </c>
      <c r="G263" s="30" t="s">
        <v>172</v>
      </c>
      <c r="H263" s="30">
        <v>78.739999999999995</v>
      </c>
      <c r="I263" s="157">
        <v>35547</v>
      </c>
    </row>
    <row r="264" spans="6:9" x14ac:dyDescent="0.2">
      <c r="F264" s="30">
        <v>1997</v>
      </c>
      <c r="G264" s="30" t="s">
        <v>173</v>
      </c>
      <c r="H264" s="30">
        <v>78.67</v>
      </c>
      <c r="I264" s="157">
        <v>35518</v>
      </c>
    </row>
    <row r="265" spans="6:9" x14ac:dyDescent="0.2">
      <c r="F265" s="30">
        <v>1997</v>
      </c>
      <c r="G265" s="30" t="s">
        <v>174</v>
      </c>
      <c r="H265" s="30">
        <v>78.52</v>
      </c>
      <c r="I265" s="157">
        <v>35489</v>
      </c>
    </row>
    <row r="266" spans="6:9" x14ac:dyDescent="0.2">
      <c r="F266" s="30">
        <v>1996</v>
      </c>
      <c r="G266" s="30" t="s">
        <v>163</v>
      </c>
      <c r="H266" s="30">
        <v>78.41</v>
      </c>
      <c r="I266" s="157">
        <v>35458</v>
      </c>
    </row>
    <row r="267" spans="6:9" x14ac:dyDescent="0.2">
      <c r="F267" s="30">
        <v>1996</v>
      </c>
      <c r="G267" s="30" t="s">
        <v>164</v>
      </c>
      <c r="H267" s="30">
        <v>78.3</v>
      </c>
      <c r="I267" s="157">
        <v>35427</v>
      </c>
    </row>
    <row r="268" spans="6:9" x14ac:dyDescent="0.2">
      <c r="F268" s="30">
        <v>1996</v>
      </c>
      <c r="G268" s="30" t="s">
        <v>165</v>
      </c>
      <c r="H268" s="30">
        <v>78.37</v>
      </c>
      <c r="I268" s="157">
        <v>35398</v>
      </c>
    </row>
    <row r="269" spans="6:9" x14ac:dyDescent="0.2">
      <c r="F269" s="30">
        <v>1996</v>
      </c>
      <c r="G269" s="30" t="s">
        <v>166</v>
      </c>
      <c r="H269" s="30">
        <v>78.16</v>
      </c>
      <c r="I269" s="157">
        <v>35368</v>
      </c>
    </row>
    <row r="270" spans="6:9" x14ac:dyDescent="0.2">
      <c r="F270" s="30">
        <v>1996</v>
      </c>
      <c r="G270" s="30" t="s">
        <v>167</v>
      </c>
      <c r="H270" s="30">
        <v>77.92</v>
      </c>
      <c r="I270" s="157">
        <v>35337</v>
      </c>
    </row>
    <row r="271" spans="6:9" x14ac:dyDescent="0.2">
      <c r="F271" s="30">
        <v>1996</v>
      </c>
      <c r="G271" s="30" t="s">
        <v>168</v>
      </c>
      <c r="H271" s="30">
        <v>78.069999999999993</v>
      </c>
      <c r="I271" s="157">
        <v>35305</v>
      </c>
    </row>
    <row r="272" spans="6:9" x14ac:dyDescent="0.2">
      <c r="F272" s="30">
        <v>1996</v>
      </c>
      <c r="G272" s="30" t="s">
        <v>169</v>
      </c>
      <c r="H272" s="30">
        <v>78.22</v>
      </c>
      <c r="I272" s="157">
        <v>35274</v>
      </c>
    </row>
    <row r="273" spans="6:9" x14ac:dyDescent="0.2">
      <c r="F273" s="30">
        <v>1996</v>
      </c>
      <c r="G273" s="30" t="s">
        <v>170</v>
      </c>
      <c r="H273" s="30">
        <v>78.31</v>
      </c>
      <c r="I273" s="157">
        <v>35244</v>
      </c>
    </row>
    <row r="274" spans="6:9" x14ac:dyDescent="0.2">
      <c r="F274" s="30">
        <v>1996</v>
      </c>
      <c r="G274" s="30" t="s">
        <v>171</v>
      </c>
      <c r="H274" s="30">
        <v>78.150000000000006</v>
      </c>
      <c r="I274" s="157">
        <v>35215</v>
      </c>
    </row>
    <row r="275" spans="6:9" x14ac:dyDescent="0.2">
      <c r="F275" s="30">
        <v>1996</v>
      </c>
      <c r="G275" s="30" t="s">
        <v>172</v>
      </c>
      <c r="H275" s="30">
        <v>78.06</v>
      </c>
      <c r="I275" s="157">
        <v>35183</v>
      </c>
    </row>
    <row r="276" spans="6:9" x14ac:dyDescent="0.2">
      <c r="F276" s="30">
        <v>1996</v>
      </c>
      <c r="G276" s="30" t="s">
        <v>173</v>
      </c>
      <c r="H276" s="30">
        <v>77.55</v>
      </c>
      <c r="I276" s="157">
        <v>35154</v>
      </c>
    </row>
    <row r="277" spans="6:9" x14ac:dyDescent="0.2">
      <c r="F277" s="30">
        <v>1996</v>
      </c>
      <c r="G277" s="30" t="s">
        <v>174</v>
      </c>
      <c r="H277" s="30">
        <v>77.260000000000005</v>
      </c>
      <c r="I277" s="157">
        <v>35124</v>
      </c>
    </row>
    <row r="278" spans="6:9" x14ac:dyDescent="0.2">
      <c r="F278" s="30">
        <v>1995</v>
      </c>
      <c r="G278" s="30" t="s">
        <v>163</v>
      </c>
      <c r="H278" s="30">
        <v>77.209999999999994</v>
      </c>
      <c r="I278" s="157">
        <v>35091</v>
      </c>
    </row>
    <row r="279" spans="6:9" x14ac:dyDescent="0.2">
      <c r="F279" s="30">
        <v>1995</v>
      </c>
      <c r="G279" s="30" t="s">
        <v>164</v>
      </c>
      <c r="H279" s="30">
        <v>77.150000000000006</v>
      </c>
      <c r="I279" s="157">
        <v>35061</v>
      </c>
    </row>
    <row r="280" spans="6:9" x14ac:dyDescent="0.2">
      <c r="F280" s="30">
        <v>1995</v>
      </c>
      <c r="G280" s="30" t="s">
        <v>165</v>
      </c>
      <c r="H280" s="30">
        <v>77.08</v>
      </c>
      <c r="I280" s="157">
        <v>35031</v>
      </c>
    </row>
    <row r="281" spans="6:9" x14ac:dyDescent="0.2">
      <c r="F281" s="30">
        <v>1995</v>
      </c>
      <c r="G281" s="30" t="s">
        <v>166</v>
      </c>
      <c r="H281" s="30">
        <v>77</v>
      </c>
      <c r="I281" s="157">
        <v>34998</v>
      </c>
    </row>
    <row r="282" spans="6:9" x14ac:dyDescent="0.2">
      <c r="F282" s="30">
        <v>1995</v>
      </c>
      <c r="G282" s="30" t="s">
        <v>167</v>
      </c>
      <c r="H282" s="30">
        <v>76.72</v>
      </c>
      <c r="I282" s="157">
        <v>34969</v>
      </c>
    </row>
    <row r="283" spans="6:9" x14ac:dyDescent="0.2">
      <c r="F283" s="30">
        <v>1995</v>
      </c>
      <c r="G283" s="30" t="s">
        <v>168</v>
      </c>
      <c r="H283" s="30">
        <v>76.44</v>
      </c>
      <c r="I283" s="157">
        <v>34937</v>
      </c>
    </row>
    <row r="284" spans="6:9" x14ac:dyDescent="0.2">
      <c r="F284" s="30">
        <v>1995</v>
      </c>
      <c r="G284" s="30" t="s">
        <v>169</v>
      </c>
      <c r="H284" s="30">
        <v>76.58</v>
      </c>
      <c r="I284" s="157">
        <v>34907</v>
      </c>
    </row>
    <row r="285" spans="6:9" x14ac:dyDescent="0.2">
      <c r="F285" s="30">
        <v>1995</v>
      </c>
      <c r="G285" s="30" t="s">
        <v>170</v>
      </c>
      <c r="H285" s="30">
        <v>76.569999999999993</v>
      </c>
      <c r="I285" s="157">
        <v>34878</v>
      </c>
    </row>
    <row r="286" spans="6:9" x14ac:dyDescent="0.2">
      <c r="F286" s="30">
        <v>1995</v>
      </c>
      <c r="G286" s="30" t="s">
        <v>171</v>
      </c>
      <c r="H286" s="30">
        <v>76.459999999999994</v>
      </c>
      <c r="I286" s="157">
        <v>34851</v>
      </c>
    </row>
    <row r="287" spans="6:9" x14ac:dyDescent="0.2">
      <c r="F287" s="30">
        <v>1995</v>
      </c>
      <c r="G287" s="30" t="s">
        <v>172</v>
      </c>
      <c r="H287" s="30">
        <v>76.37</v>
      </c>
      <c r="I287" s="157">
        <v>34815</v>
      </c>
    </row>
    <row r="288" spans="6:9" x14ac:dyDescent="0.2">
      <c r="F288" s="30">
        <v>1995</v>
      </c>
      <c r="G288" s="30" t="s">
        <v>173</v>
      </c>
      <c r="H288" s="30">
        <v>76.13</v>
      </c>
      <c r="I288" s="157">
        <v>34784</v>
      </c>
    </row>
    <row r="289" spans="6:9" x14ac:dyDescent="0.2">
      <c r="F289" s="30">
        <v>1995</v>
      </c>
      <c r="G289" s="30" t="s">
        <v>174</v>
      </c>
      <c r="H289" s="30">
        <v>75.89</v>
      </c>
      <c r="I289" s="157">
        <v>34759</v>
      </c>
    </row>
    <row r="290" spans="6:9" x14ac:dyDescent="0.2">
      <c r="F290" s="30">
        <v>1994</v>
      </c>
      <c r="G290" s="30" t="s">
        <v>163</v>
      </c>
      <c r="H290" s="30">
        <v>75.69</v>
      </c>
      <c r="I290" s="157">
        <v>34719</v>
      </c>
    </row>
    <row r="291" spans="6:9" x14ac:dyDescent="0.2">
      <c r="F291" s="30">
        <v>1994</v>
      </c>
      <c r="G291" s="30" t="s">
        <v>164</v>
      </c>
      <c r="H291" s="30">
        <v>75.73</v>
      </c>
      <c r="I291" s="157">
        <v>34689</v>
      </c>
    </row>
    <row r="292" spans="6:9" x14ac:dyDescent="0.2">
      <c r="F292" s="30">
        <v>1994</v>
      </c>
      <c r="G292" s="30" t="s">
        <v>165</v>
      </c>
      <c r="H292" s="30">
        <v>75.8</v>
      </c>
      <c r="I292" s="157">
        <v>34660</v>
      </c>
    </row>
    <row r="293" spans="6:9" x14ac:dyDescent="0.2">
      <c r="F293" s="30">
        <v>1994</v>
      </c>
      <c r="G293" s="30" t="s">
        <v>166</v>
      </c>
      <c r="H293" s="30">
        <v>75.64</v>
      </c>
      <c r="I293" s="157">
        <v>34628</v>
      </c>
    </row>
    <row r="294" spans="6:9" x14ac:dyDescent="0.2">
      <c r="F294" s="30">
        <v>1994</v>
      </c>
      <c r="G294" s="30" t="s">
        <v>167</v>
      </c>
      <c r="H294" s="30">
        <v>75.400000000000006</v>
      </c>
      <c r="I294" s="157">
        <v>34598</v>
      </c>
    </row>
    <row r="295" spans="6:9" x14ac:dyDescent="0.2">
      <c r="F295" s="30">
        <v>1994</v>
      </c>
      <c r="G295" s="30" t="s">
        <v>168</v>
      </c>
      <c r="H295" s="30">
        <v>75.400000000000006</v>
      </c>
      <c r="I295" s="157">
        <v>34569</v>
      </c>
    </row>
    <row r="296" spans="6:9" x14ac:dyDescent="0.2">
      <c r="F296" s="30">
        <v>1994</v>
      </c>
      <c r="G296" s="30" t="s">
        <v>169</v>
      </c>
      <c r="H296" s="30">
        <v>75.42</v>
      </c>
      <c r="I296" s="157">
        <v>34536</v>
      </c>
    </row>
    <row r="297" spans="6:9" x14ac:dyDescent="0.2">
      <c r="F297" s="30">
        <v>1994</v>
      </c>
      <c r="G297" s="30" t="s">
        <v>170</v>
      </c>
      <c r="H297" s="30">
        <v>75.45</v>
      </c>
      <c r="I297" s="157">
        <v>34506</v>
      </c>
    </row>
    <row r="298" spans="6:9" x14ac:dyDescent="0.2">
      <c r="F298" s="30">
        <v>1994</v>
      </c>
      <c r="G298" s="30" t="s">
        <v>171</v>
      </c>
      <c r="H298" s="30">
        <v>75.28</v>
      </c>
      <c r="I298" s="157">
        <v>34474</v>
      </c>
    </row>
    <row r="299" spans="6:9" x14ac:dyDescent="0.2">
      <c r="F299" s="30">
        <v>1994</v>
      </c>
      <c r="G299" s="30" t="s">
        <v>172</v>
      </c>
      <c r="H299" s="30">
        <v>75.069999999999993</v>
      </c>
      <c r="I299" s="157">
        <v>34445</v>
      </c>
    </row>
    <row r="300" spans="6:9" x14ac:dyDescent="0.2">
      <c r="F300" s="30">
        <v>1994</v>
      </c>
      <c r="G300" s="30" t="s">
        <v>173</v>
      </c>
      <c r="H300" s="30">
        <v>74.900000000000006</v>
      </c>
      <c r="I300" s="157">
        <v>34415</v>
      </c>
    </row>
    <row r="301" spans="6:9" x14ac:dyDescent="0.2">
      <c r="F301" s="30">
        <v>1994</v>
      </c>
      <c r="G301" s="30" t="s">
        <v>174</v>
      </c>
      <c r="H301" s="30">
        <v>74.73</v>
      </c>
      <c r="I301" s="157">
        <v>34390</v>
      </c>
    </row>
    <row r="302" spans="6:9" x14ac:dyDescent="0.2">
      <c r="F302" s="30">
        <v>1993</v>
      </c>
      <c r="G302" s="30" t="s">
        <v>163</v>
      </c>
      <c r="H302" s="30">
        <v>74.75</v>
      </c>
      <c r="I302" s="157">
        <v>34355</v>
      </c>
    </row>
    <row r="303" spans="6:9" x14ac:dyDescent="0.2">
      <c r="F303" s="30">
        <v>1993</v>
      </c>
      <c r="G303" s="30" t="s">
        <v>164</v>
      </c>
      <c r="H303" s="30">
        <v>74.78</v>
      </c>
      <c r="I303" s="157">
        <v>34324</v>
      </c>
    </row>
    <row r="304" spans="6:9" x14ac:dyDescent="0.2">
      <c r="F304" s="30">
        <v>1993</v>
      </c>
      <c r="G304" s="30" t="s">
        <v>165</v>
      </c>
      <c r="H304" s="30">
        <v>74.709999999999994</v>
      </c>
      <c r="I304" s="157">
        <v>34296</v>
      </c>
    </row>
    <row r="305" spans="6:9" x14ac:dyDescent="0.2">
      <c r="F305" s="30">
        <v>1993</v>
      </c>
      <c r="G305" s="30" t="s">
        <v>166</v>
      </c>
      <c r="H305" s="30">
        <v>74.569999999999993</v>
      </c>
      <c r="I305" s="157">
        <v>34263</v>
      </c>
    </row>
    <row r="306" spans="6:9" x14ac:dyDescent="0.2">
      <c r="F306" s="30">
        <v>1993</v>
      </c>
      <c r="G306" s="30" t="s">
        <v>167</v>
      </c>
      <c r="H306" s="30">
        <v>74.33</v>
      </c>
      <c r="I306" s="157">
        <v>34235</v>
      </c>
    </row>
    <row r="307" spans="6:9" x14ac:dyDescent="0.2">
      <c r="F307" s="30">
        <v>1993</v>
      </c>
      <c r="G307" s="30" t="s">
        <v>168</v>
      </c>
      <c r="H307" s="30">
        <v>74.34</v>
      </c>
      <c r="I307" s="157">
        <v>34204</v>
      </c>
    </row>
    <row r="308" spans="6:9" x14ac:dyDescent="0.2">
      <c r="F308" s="30">
        <v>1993</v>
      </c>
      <c r="G308" s="30" t="s">
        <v>169</v>
      </c>
      <c r="H308" s="30">
        <v>74.27</v>
      </c>
      <c r="I308" s="157">
        <v>34176</v>
      </c>
    </row>
    <row r="309" spans="6:9" x14ac:dyDescent="0.2">
      <c r="F309" s="30">
        <v>1993</v>
      </c>
      <c r="G309" s="30" t="s">
        <v>170</v>
      </c>
      <c r="H309" s="30">
        <v>74.37</v>
      </c>
      <c r="I309" s="157">
        <v>34145</v>
      </c>
    </row>
    <row r="310" spans="6:9" x14ac:dyDescent="0.2">
      <c r="F310" s="30">
        <v>1993</v>
      </c>
      <c r="G310" s="30" t="s">
        <v>171</v>
      </c>
      <c r="H310" s="30">
        <v>74.28</v>
      </c>
      <c r="I310" s="157">
        <v>34116</v>
      </c>
    </row>
    <row r="311" spans="6:9" x14ac:dyDescent="0.2">
      <c r="F311" s="30">
        <v>1993</v>
      </c>
      <c r="G311" s="30" t="s">
        <v>172</v>
      </c>
      <c r="H311" s="30">
        <v>74.19</v>
      </c>
      <c r="I311" s="157">
        <v>34086</v>
      </c>
    </row>
    <row r="312" spans="6:9" x14ac:dyDescent="0.2">
      <c r="F312" s="30">
        <v>1993</v>
      </c>
      <c r="G312" s="30" t="s">
        <v>173</v>
      </c>
      <c r="H312" s="30">
        <v>73.81</v>
      </c>
      <c r="I312" s="157">
        <v>34058</v>
      </c>
    </row>
    <row r="313" spans="6:9" x14ac:dyDescent="0.2">
      <c r="F313" s="30">
        <v>1993</v>
      </c>
      <c r="G313" s="30" t="s">
        <v>174</v>
      </c>
      <c r="H313" s="30">
        <v>73.62</v>
      </c>
      <c r="I313" s="157">
        <v>34029</v>
      </c>
    </row>
    <row r="314" spans="6:9" x14ac:dyDescent="0.2">
      <c r="F314" s="30">
        <v>1992</v>
      </c>
      <c r="G314" s="30" t="s">
        <v>163</v>
      </c>
      <c r="H314" s="30">
        <v>73.39</v>
      </c>
      <c r="I314" s="157">
        <v>34000</v>
      </c>
    </row>
    <row r="315" spans="6:9" x14ac:dyDescent="0.2">
      <c r="F315" s="30">
        <v>1992</v>
      </c>
      <c r="G315" s="30" t="s">
        <v>164</v>
      </c>
      <c r="H315" s="30">
        <v>73.430000000000007</v>
      </c>
      <c r="I315" s="157">
        <v>33969</v>
      </c>
    </row>
    <row r="316" spans="6:9" x14ac:dyDescent="0.2">
      <c r="F316" s="30">
        <v>1992</v>
      </c>
      <c r="G316" s="30" t="s">
        <v>165</v>
      </c>
      <c r="H316" s="30">
        <v>73.349999999999994</v>
      </c>
      <c r="I316" s="157">
        <v>33941</v>
      </c>
    </row>
    <row r="317" spans="6:9" x14ac:dyDescent="0.2">
      <c r="F317" s="30">
        <v>1992</v>
      </c>
      <c r="G317" s="30" t="s">
        <v>166</v>
      </c>
      <c r="H317" s="30">
        <v>73.16</v>
      </c>
      <c r="I317" s="157">
        <v>33908</v>
      </c>
    </row>
    <row r="318" spans="6:9" x14ac:dyDescent="0.2">
      <c r="F318" s="30">
        <v>1992</v>
      </c>
      <c r="G318" s="30" t="s">
        <v>167</v>
      </c>
      <c r="H318" s="30">
        <v>72.94</v>
      </c>
      <c r="I318" s="157">
        <v>33884</v>
      </c>
    </row>
    <row r="319" spans="6:9" x14ac:dyDescent="0.2">
      <c r="F319" s="30">
        <v>1992</v>
      </c>
      <c r="G319" s="30" t="s">
        <v>168</v>
      </c>
      <c r="H319" s="30">
        <v>72.989999999999995</v>
      </c>
      <c r="I319" s="157">
        <v>33850</v>
      </c>
    </row>
    <row r="320" spans="6:9" x14ac:dyDescent="0.2">
      <c r="F320" s="30">
        <v>1992</v>
      </c>
      <c r="G320" s="30" t="s">
        <v>169</v>
      </c>
      <c r="H320" s="30">
        <v>73.02</v>
      </c>
      <c r="I320" s="157">
        <v>33818</v>
      </c>
    </row>
    <row r="321" spans="6:9" x14ac:dyDescent="0.2">
      <c r="F321" s="30">
        <v>1992</v>
      </c>
      <c r="G321" s="30" t="s">
        <v>170</v>
      </c>
      <c r="H321" s="30">
        <v>73.069999999999993</v>
      </c>
      <c r="I321" s="157">
        <v>33786</v>
      </c>
    </row>
    <row r="322" spans="6:9" x14ac:dyDescent="0.2">
      <c r="F322" s="30">
        <v>1992</v>
      </c>
      <c r="G322" s="30" t="s">
        <v>171</v>
      </c>
      <c r="H322" s="30">
        <v>72.91</v>
      </c>
      <c r="I322" s="157">
        <v>33755</v>
      </c>
    </row>
    <row r="323" spans="6:9" x14ac:dyDescent="0.2">
      <c r="F323" s="30">
        <v>1992</v>
      </c>
      <c r="G323" s="30" t="s">
        <v>172</v>
      </c>
      <c r="H323" s="30">
        <v>72.77</v>
      </c>
      <c r="I323" s="157">
        <v>33731</v>
      </c>
    </row>
    <row r="324" spans="6:9" x14ac:dyDescent="0.2">
      <c r="F324" s="30">
        <v>1992</v>
      </c>
      <c r="G324" s="30" t="s">
        <v>173</v>
      </c>
      <c r="H324" s="30">
        <v>72.53</v>
      </c>
      <c r="I324" s="157">
        <v>33697</v>
      </c>
    </row>
    <row r="325" spans="6:9" x14ac:dyDescent="0.2">
      <c r="F325" s="30">
        <v>1992</v>
      </c>
      <c r="G325" s="30" t="s">
        <v>174</v>
      </c>
      <c r="H325" s="30">
        <v>72.22</v>
      </c>
      <c r="I325" s="157">
        <v>33663</v>
      </c>
    </row>
    <row r="326" spans="6:9" x14ac:dyDescent="0.2">
      <c r="F326" s="30">
        <v>1991</v>
      </c>
      <c r="G326" s="30" t="s">
        <v>163</v>
      </c>
      <c r="H326" s="30">
        <v>72.099999999999994</v>
      </c>
      <c r="I326" s="157">
        <v>33636</v>
      </c>
    </row>
    <row r="327" spans="6:9" x14ac:dyDescent="0.2">
      <c r="F327" s="30">
        <v>1991</v>
      </c>
      <c r="G327" s="30" t="s">
        <v>164</v>
      </c>
      <c r="H327" s="30">
        <v>72.33</v>
      </c>
      <c r="I327" s="157">
        <v>33606</v>
      </c>
    </row>
    <row r="328" spans="6:9" x14ac:dyDescent="0.2">
      <c r="F328" s="30">
        <v>1991</v>
      </c>
      <c r="G328" s="30" t="s">
        <v>165</v>
      </c>
      <c r="H328" s="30">
        <v>72.06</v>
      </c>
      <c r="I328" s="157">
        <v>33571</v>
      </c>
    </row>
    <row r="329" spans="6:9" x14ac:dyDescent="0.2">
      <c r="F329" s="30">
        <v>1991</v>
      </c>
      <c r="G329" s="30" t="s">
        <v>166</v>
      </c>
      <c r="H329" s="30">
        <v>71.73</v>
      </c>
      <c r="I329" s="157">
        <v>33545</v>
      </c>
    </row>
    <row r="330" spans="6:9" x14ac:dyDescent="0.2">
      <c r="F330" s="30">
        <v>1991</v>
      </c>
      <c r="G330" s="30" t="s">
        <v>167</v>
      </c>
      <c r="H330" s="30">
        <v>71.62</v>
      </c>
      <c r="I330" s="157">
        <v>33514</v>
      </c>
    </row>
    <row r="331" spans="6:9" x14ac:dyDescent="0.2">
      <c r="F331" s="30">
        <v>1991</v>
      </c>
      <c r="G331" s="30" t="s">
        <v>168</v>
      </c>
      <c r="H331" s="30">
        <v>71.53</v>
      </c>
      <c r="I331" s="157">
        <v>33481</v>
      </c>
    </row>
    <row r="332" spans="6:9" x14ac:dyDescent="0.2">
      <c r="F332" s="30">
        <v>1991</v>
      </c>
      <c r="G332" s="30" t="s">
        <v>169</v>
      </c>
      <c r="H332" s="30">
        <v>71.34</v>
      </c>
      <c r="I332" s="157">
        <v>33451</v>
      </c>
    </row>
    <row r="333" spans="6:9" x14ac:dyDescent="0.2">
      <c r="F333" s="30">
        <v>1991</v>
      </c>
      <c r="G333" s="30" t="s">
        <v>170</v>
      </c>
      <c r="H333" s="30">
        <v>71.17</v>
      </c>
      <c r="I333" s="157">
        <v>33418</v>
      </c>
    </row>
    <row r="334" spans="6:9" x14ac:dyDescent="0.2">
      <c r="F334" s="30">
        <v>1991</v>
      </c>
      <c r="G334" s="30" t="s">
        <v>171</v>
      </c>
      <c r="H334" s="30">
        <v>70.94</v>
      </c>
      <c r="I334" s="157">
        <v>33390</v>
      </c>
    </row>
    <row r="335" spans="6:9" x14ac:dyDescent="0.2">
      <c r="F335" s="30">
        <v>1991</v>
      </c>
      <c r="G335" s="30" t="s">
        <v>172</v>
      </c>
      <c r="H335" s="30">
        <v>70.72</v>
      </c>
      <c r="I335" s="157">
        <v>33360</v>
      </c>
    </row>
    <row r="336" spans="6:9" x14ac:dyDescent="0.2">
      <c r="F336" s="30">
        <v>1991</v>
      </c>
      <c r="G336" s="30" t="s">
        <v>173</v>
      </c>
      <c r="H336" s="30">
        <v>70.58</v>
      </c>
      <c r="I336" s="157">
        <v>33328</v>
      </c>
    </row>
    <row r="337" spans="6:9" x14ac:dyDescent="0.2">
      <c r="F337" s="30">
        <v>1991</v>
      </c>
      <c r="G337" s="30" t="s">
        <v>174</v>
      </c>
      <c r="H337" s="30">
        <v>70.39</v>
      </c>
      <c r="I337" s="157">
        <v>33298</v>
      </c>
    </row>
    <row r="338" spans="6:9" x14ac:dyDescent="0.2">
      <c r="F338" s="30">
        <v>1990</v>
      </c>
      <c r="G338" s="30" t="s">
        <v>163</v>
      </c>
      <c r="H338" s="30">
        <v>70</v>
      </c>
      <c r="I338" s="157">
        <v>33270</v>
      </c>
    </row>
    <row r="339" spans="6:9" x14ac:dyDescent="0.2">
      <c r="F339" s="30">
        <v>1990</v>
      </c>
      <c r="G339" s="30" t="s">
        <v>164</v>
      </c>
      <c r="H339" s="30">
        <v>70.05</v>
      </c>
      <c r="I339" s="157">
        <v>33241</v>
      </c>
    </row>
    <row r="340" spans="6:9" x14ac:dyDescent="0.2">
      <c r="F340" s="30">
        <v>1990</v>
      </c>
      <c r="G340" s="30" t="s">
        <v>165</v>
      </c>
      <c r="H340" s="30">
        <v>70.17</v>
      </c>
      <c r="I340" s="157">
        <v>33208</v>
      </c>
    </row>
    <row r="341" spans="6:9" x14ac:dyDescent="0.2">
      <c r="F341" s="30">
        <v>1990</v>
      </c>
      <c r="G341" s="30" t="s">
        <v>166</v>
      </c>
      <c r="H341" s="30">
        <v>69.86</v>
      </c>
      <c r="I341" s="157">
        <v>33180</v>
      </c>
    </row>
    <row r="342" spans="6:9" x14ac:dyDescent="0.2">
      <c r="F342" s="30">
        <v>1990</v>
      </c>
      <c r="G342" s="30" t="s">
        <v>167</v>
      </c>
      <c r="H342" s="30">
        <v>69.36</v>
      </c>
      <c r="I342" s="157">
        <v>33145</v>
      </c>
    </row>
    <row r="343" spans="6:9" x14ac:dyDescent="0.2">
      <c r="F343" s="30">
        <v>1990</v>
      </c>
      <c r="G343" s="30" t="s">
        <v>168</v>
      </c>
      <c r="H343" s="30">
        <v>68.900000000000006</v>
      </c>
      <c r="I343" s="157">
        <v>33120</v>
      </c>
    </row>
    <row r="344" spans="6:9" x14ac:dyDescent="0.2">
      <c r="F344" s="30">
        <v>1990</v>
      </c>
      <c r="G344" s="30" t="s">
        <v>169</v>
      </c>
      <c r="H344" s="30">
        <v>68.88</v>
      </c>
      <c r="I344" s="157">
        <v>33085</v>
      </c>
    </row>
    <row r="345" spans="6:9" x14ac:dyDescent="0.2">
      <c r="F345" s="30">
        <v>1990</v>
      </c>
      <c r="G345" s="30" t="s">
        <v>170</v>
      </c>
      <c r="H345" s="30">
        <v>68.89</v>
      </c>
      <c r="I345" s="157">
        <v>33053</v>
      </c>
    </row>
    <row r="346" spans="6:9" x14ac:dyDescent="0.2">
      <c r="F346" s="30">
        <v>1990</v>
      </c>
      <c r="G346" s="30" t="s">
        <v>171</v>
      </c>
      <c r="H346" s="30">
        <v>68.78</v>
      </c>
      <c r="I346" s="157">
        <v>33025</v>
      </c>
    </row>
    <row r="347" spans="6:9" x14ac:dyDescent="0.2">
      <c r="F347" s="30">
        <v>1990</v>
      </c>
      <c r="G347" s="30" t="s">
        <v>172</v>
      </c>
      <c r="H347" s="30">
        <v>68.400000000000006</v>
      </c>
      <c r="I347" s="157">
        <v>32995</v>
      </c>
    </row>
    <row r="348" spans="6:9" x14ac:dyDescent="0.2">
      <c r="F348" s="30">
        <v>1990</v>
      </c>
      <c r="G348" s="30" t="s">
        <v>173</v>
      </c>
      <c r="H348" s="30">
        <v>68.23</v>
      </c>
      <c r="I348" s="157">
        <v>32962</v>
      </c>
    </row>
    <row r="349" spans="6:9" x14ac:dyDescent="0.2">
      <c r="F349" s="30">
        <v>1990</v>
      </c>
      <c r="G349" s="30" t="s">
        <v>174</v>
      </c>
      <c r="H349" s="30">
        <v>68.09</v>
      </c>
      <c r="I349" s="157">
        <v>36951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1:Z45"/>
  <sheetViews>
    <sheetView workbookViewId="0"/>
  </sheetViews>
  <sheetFormatPr baseColWidth="10" defaultColWidth="11.5703125" defaultRowHeight="12.75" x14ac:dyDescent="0.2"/>
  <cols>
    <col min="1" max="1" width="11.5703125" style="28"/>
    <col min="2" max="2" width="22.28515625" style="28" customWidth="1"/>
    <col min="3" max="16384" width="11.5703125" style="28"/>
  </cols>
  <sheetData>
    <row r="1" spans="1:18" x14ac:dyDescent="0.2">
      <c r="A1" s="28" t="s">
        <v>388</v>
      </c>
      <c r="C1" s="28">
        <v>190</v>
      </c>
    </row>
    <row r="3" spans="1:18" ht="13.5" thickBot="1" x14ac:dyDescent="0.25">
      <c r="C3" s="28" t="s">
        <v>382</v>
      </c>
      <c r="D3" s="22" t="s">
        <v>396</v>
      </c>
      <c r="E3" s="22" t="s">
        <v>397</v>
      </c>
      <c r="F3" s="28" t="s">
        <v>384</v>
      </c>
      <c r="G3" s="28" t="s">
        <v>383</v>
      </c>
      <c r="H3" s="28" t="s">
        <v>385</v>
      </c>
      <c r="I3" s="391" t="s">
        <v>386</v>
      </c>
      <c r="J3" s="391"/>
    </row>
    <row r="4" spans="1:18" x14ac:dyDescent="0.2">
      <c r="A4" s="471">
        <v>0</v>
      </c>
      <c r="B4" s="392" t="s">
        <v>392</v>
      </c>
      <c r="C4" s="392">
        <v>0</v>
      </c>
      <c r="D4" s="392" t="e">
        <f>#REF!</f>
        <v>#REF!</v>
      </c>
      <c r="E4" s="392" t="e">
        <f>#REF!-D4</f>
        <v>#REF!</v>
      </c>
      <c r="F4" s="392" t="e">
        <f>#REF!</f>
        <v>#REF!</v>
      </c>
      <c r="G4" s="392" t="e">
        <f>#REF!</f>
        <v>#REF!</v>
      </c>
      <c r="H4" s="393" t="e">
        <f>-#REF!</f>
        <v>#REF!</v>
      </c>
      <c r="I4" s="399" t="e">
        <f>SUM(D4:H4)</f>
        <v>#REF!</v>
      </c>
    </row>
    <row r="5" spans="1:18" ht="13.5" thickBot="1" x14ac:dyDescent="0.25">
      <c r="A5" s="472"/>
      <c r="B5" s="394" t="s">
        <v>393</v>
      </c>
      <c r="C5" s="394" t="e">
        <f>2*ceee</f>
        <v>#REF!</v>
      </c>
      <c r="D5" s="394" t="e">
        <f>#REF!</f>
        <v>#REF!</v>
      </c>
      <c r="E5" s="394" t="e">
        <f>#REF!-D5</f>
        <v>#REF!</v>
      </c>
      <c r="F5" s="394" t="e">
        <f>#REF!</f>
        <v>#REF!</v>
      </c>
      <c r="G5" s="394" t="e">
        <f>#REF!</f>
        <v>#REF!</v>
      </c>
      <c r="H5" s="395" t="e">
        <f>-#REF!</f>
        <v>#REF!</v>
      </c>
      <c r="I5" s="400" t="e">
        <f t="shared" ref="I5:I17" si="0">SUM(D5:H5)</f>
        <v>#REF!</v>
      </c>
    </row>
    <row r="6" spans="1:18" x14ac:dyDescent="0.2">
      <c r="A6" s="471">
        <v>0.5</v>
      </c>
      <c r="B6" s="392" t="s">
        <v>392</v>
      </c>
      <c r="C6" s="392">
        <v>0</v>
      </c>
      <c r="D6" s="392" t="e">
        <f>#REF!</f>
        <v>#REF!</v>
      </c>
      <c r="E6" s="392" t="e">
        <f>#REF!-D6</f>
        <v>#REF!</v>
      </c>
      <c r="F6" s="392" t="e">
        <f>#REF!</f>
        <v>#REF!</v>
      </c>
      <c r="G6" s="392" t="e">
        <f>#REF!</f>
        <v>#REF!</v>
      </c>
      <c r="H6" s="393" t="e">
        <f>-#REF!</f>
        <v>#REF!</v>
      </c>
      <c r="I6" s="399" t="e">
        <f t="shared" si="0"/>
        <v>#REF!</v>
      </c>
    </row>
    <row r="7" spans="1:18" ht="13.5" thickBot="1" x14ac:dyDescent="0.25">
      <c r="A7" s="472"/>
      <c r="B7" s="394" t="s">
        <v>393</v>
      </c>
      <c r="C7" s="394" t="e">
        <f>2*ceee</f>
        <v>#REF!</v>
      </c>
      <c r="D7" s="394" t="e">
        <f>#REF!</f>
        <v>#REF!</v>
      </c>
      <c r="E7" s="394" t="e">
        <f>#REF!-D7</f>
        <v>#REF!</v>
      </c>
      <c r="F7" s="394" t="e">
        <f>#REF!</f>
        <v>#REF!</v>
      </c>
      <c r="G7" s="394" t="e">
        <f>#REF!</f>
        <v>#REF!</v>
      </c>
      <c r="H7" s="395" t="e">
        <f>-#REF!</f>
        <v>#REF!</v>
      </c>
      <c r="I7" s="400" t="e">
        <f t="shared" si="0"/>
        <v>#REF!</v>
      </c>
    </row>
    <row r="8" spans="1:18" x14ac:dyDescent="0.2">
      <c r="A8" s="471">
        <v>1</v>
      </c>
      <c r="B8" s="392" t="s">
        <v>392</v>
      </c>
      <c r="C8" s="392">
        <v>0</v>
      </c>
      <c r="D8" s="392" t="e">
        <f>#REF!</f>
        <v>#REF!</v>
      </c>
      <c r="E8" s="392" t="e">
        <f>#REF!-D8</f>
        <v>#REF!</v>
      </c>
      <c r="F8" s="392" t="e">
        <f>#REF!</f>
        <v>#REF!</v>
      </c>
      <c r="G8" s="392" t="e">
        <f>#REF!</f>
        <v>#REF!</v>
      </c>
      <c r="H8" s="393" t="e">
        <f>-#REF!</f>
        <v>#REF!</v>
      </c>
      <c r="I8" s="399" t="e">
        <f t="shared" si="0"/>
        <v>#REF!</v>
      </c>
    </row>
    <row r="9" spans="1:18" ht="13.5" thickBot="1" x14ac:dyDescent="0.25">
      <c r="A9" s="472"/>
      <c r="B9" s="394" t="s">
        <v>393</v>
      </c>
      <c r="C9" s="394" t="e">
        <f>2*ceee</f>
        <v>#REF!</v>
      </c>
      <c r="D9" s="394" t="e">
        <f>#REF!</f>
        <v>#REF!</v>
      </c>
      <c r="E9" s="394" t="e">
        <f>#REF!-D9</f>
        <v>#REF!</v>
      </c>
      <c r="F9" s="394" t="e">
        <f>#REF!</f>
        <v>#REF!</v>
      </c>
      <c r="G9" s="394" t="e">
        <f>#REF!</f>
        <v>#REF!</v>
      </c>
      <c r="H9" s="395" t="e">
        <f>-#REF!</f>
        <v>#REF!</v>
      </c>
      <c r="I9" s="400" t="e">
        <f t="shared" si="0"/>
        <v>#REF!</v>
      </c>
    </row>
    <row r="10" spans="1:18" x14ac:dyDescent="0.2">
      <c r="A10" s="471">
        <v>1.5</v>
      </c>
      <c r="B10" s="392" t="s">
        <v>392</v>
      </c>
      <c r="C10" s="392">
        <v>0</v>
      </c>
      <c r="D10" s="392" t="e">
        <f>#REF!</f>
        <v>#REF!</v>
      </c>
      <c r="E10" s="392" t="e">
        <f>#REF!-D10</f>
        <v>#REF!</v>
      </c>
      <c r="F10" s="392" t="e">
        <f>#REF!</f>
        <v>#REF!</v>
      </c>
      <c r="G10" s="392" t="e">
        <f>#REF!</f>
        <v>#REF!</v>
      </c>
      <c r="H10" s="393" t="e">
        <f>-#REF!</f>
        <v>#REF!</v>
      </c>
      <c r="I10" s="399" t="e">
        <f t="shared" si="0"/>
        <v>#REF!</v>
      </c>
      <c r="J10" s="22"/>
      <c r="K10" s="22"/>
      <c r="L10" s="22"/>
      <c r="M10" s="22"/>
      <c r="N10" s="22"/>
      <c r="O10" s="22"/>
      <c r="P10" s="22"/>
      <c r="Q10" s="22"/>
      <c r="R10" s="22"/>
    </row>
    <row r="11" spans="1:18" ht="13.5" thickBot="1" x14ac:dyDescent="0.25">
      <c r="A11" s="472"/>
      <c r="B11" s="394" t="s">
        <v>393</v>
      </c>
      <c r="C11" s="394" t="e">
        <f>2*ceee</f>
        <v>#REF!</v>
      </c>
      <c r="D11" s="394" t="e">
        <f>#REF!</f>
        <v>#REF!</v>
      </c>
      <c r="E11" s="394" t="e">
        <f>#REF!-D11</f>
        <v>#REF!</v>
      </c>
      <c r="F11" s="394" t="e">
        <f>#REF!</f>
        <v>#REF!</v>
      </c>
      <c r="G11" s="394" t="e">
        <f>#REF!</f>
        <v>#REF!</v>
      </c>
      <c r="H11" s="395" t="e">
        <f>-#REF!</f>
        <v>#REF!</v>
      </c>
      <c r="I11" s="400" t="e">
        <f t="shared" si="0"/>
        <v>#REF!</v>
      </c>
    </row>
    <row r="12" spans="1:18" x14ac:dyDescent="0.2">
      <c r="A12" s="471">
        <v>2</v>
      </c>
      <c r="B12" s="392" t="s">
        <v>392</v>
      </c>
      <c r="C12" s="392">
        <v>0</v>
      </c>
      <c r="D12" s="392" t="e">
        <f>#REF!</f>
        <v>#REF!</v>
      </c>
      <c r="E12" s="392" t="e">
        <f>#REF!-D12</f>
        <v>#REF!</v>
      </c>
      <c r="F12" s="392" t="e">
        <f>#REF!</f>
        <v>#REF!</v>
      </c>
      <c r="G12" s="392" t="e">
        <f>#REF!</f>
        <v>#REF!</v>
      </c>
      <c r="H12" s="393" t="e">
        <f>-#REF!</f>
        <v>#REF!</v>
      </c>
      <c r="I12" s="399" t="e">
        <f t="shared" si="0"/>
        <v>#REF!</v>
      </c>
    </row>
    <row r="13" spans="1:18" ht="13.5" thickBot="1" x14ac:dyDescent="0.25">
      <c r="A13" s="472"/>
      <c r="B13" s="394" t="s">
        <v>393</v>
      </c>
      <c r="C13" s="394" t="e">
        <f>2*ceee</f>
        <v>#REF!</v>
      </c>
      <c r="D13" s="394" t="e">
        <f>#REF!</f>
        <v>#REF!</v>
      </c>
      <c r="E13" s="394" t="e">
        <f>#REF!-D13</f>
        <v>#REF!</v>
      </c>
      <c r="F13" s="394" t="e">
        <f>#REF!</f>
        <v>#REF!</v>
      </c>
      <c r="G13" s="394" t="e">
        <f>#REF!</f>
        <v>#REF!</v>
      </c>
      <c r="H13" s="395" t="e">
        <f>-#REF!</f>
        <v>#REF!</v>
      </c>
      <c r="I13" s="400" t="e">
        <f t="shared" si="0"/>
        <v>#REF!</v>
      </c>
    </row>
    <row r="14" spans="1:18" x14ac:dyDescent="0.2">
      <c r="A14" s="471">
        <v>2.5</v>
      </c>
      <c r="B14" s="392" t="s">
        <v>392</v>
      </c>
      <c r="C14" s="392">
        <v>0</v>
      </c>
      <c r="D14" s="392" t="e">
        <f>#REF!</f>
        <v>#REF!</v>
      </c>
      <c r="E14" s="392" t="e">
        <f>#REF!-D14</f>
        <v>#REF!</v>
      </c>
      <c r="F14" s="392" t="e">
        <f>#REF!</f>
        <v>#REF!</v>
      </c>
      <c r="G14" s="392" t="e">
        <f>#REF!</f>
        <v>#REF!</v>
      </c>
      <c r="H14" s="393" t="e">
        <f>-#REF!</f>
        <v>#REF!</v>
      </c>
      <c r="I14" s="399" t="e">
        <f t="shared" si="0"/>
        <v>#REF!</v>
      </c>
    </row>
    <row r="15" spans="1:18" ht="13.5" thickBot="1" x14ac:dyDescent="0.25">
      <c r="A15" s="472"/>
      <c r="B15" s="394" t="s">
        <v>393</v>
      </c>
      <c r="C15" s="394" t="e">
        <f>2*ceee</f>
        <v>#REF!</v>
      </c>
      <c r="D15" s="394" t="e">
        <f>#REF!</f>
        <v>#REF!</v>
      </c>
      <c r="E15" s="394" t="e">
        <f>#REF!-D15</f>
        <v>#REF!</v>
      </c>
      <c r="F15" s="394" t="e">
        <f>#REF!</f>
        <v>#REF!</v>
      </c>
      <c r="G15" s="394" t="e">
        <f>#REF!</f>
        <v>#REF!</v>
      </c>
      <c r="H15" s="395" t="e">
        <f>-#REF!</f>
        <v>#REF!</v>
      </c>
      <c r="I15" s="400" t="e">
        <f t="shared" si="0"/>
        <v>#REF!</v>
      </c>
    </row>
    <row r="16" spans="1:18" x14ac:dyDescent="0.2">
      <c r="A16" s="471">
        <v>3</v>
      </c>
      <c r="B16" s="392" t="s">
        <v>392</v>
      </c>
      <c r="C16" s="392">
        <v>0</v>
      </c>
      <c r="D16" s="392" t="e">
        <f>#REF!</f>
        <v>#REF!</v>
      </c>
      <c r="E16" s="392" t="e">
        <f>#REF!-D16</f>
        <v>#REF!</v>
      </c>
      <c r="F16" s="392" t="e">
        <f>#REF!</f>
        <v>#REF!</v>
      </c>
      <c r="G16" s="392" t="e">
        <f>#REF!</f>
        <v>#REF!</v>
      </c>
      <c r="H16" s="393" t="e">
        <f>-#REF!</f>
        <v>#REF!</v>
      </c>
      <c r="I16" s="399" t="e">
        <f t="shared" si="0"/>
        <v>#REF!</v>
      </c>
    </row>
    <row r="17" spans="1:9" ht="13.5" thickBot="1" x14ac:dyDescent="0.25">
      <c r="A17" s="473"/>
      <c r="B17" s="396" t="s">
        <v>393</v>
      </c>
      <c r="C17" s="396" t="e">
        <f>2*ceee</f>
        <v>#REF!</v>
      </c>
      <c r="D17" s="396" t="e">
        <f>#REF!</f>
        <v>#REF!</v>
      </c>
      <c r="E17" s="396" t="e">
        <f>#REF!-D17</f>
        <v>#REF!</v>
      </c>
      <c r="F17" s="396" t="e">
        <f>#REF!</f>
        <v>#REF!</v>
      </c>
      <c r="G17" s="396" t="e">
        <f>#REF!</f>
        <v>#REF!</v>
      </c>
      <c r="H17" s="397" t="e">
        <f>-#REF!</f>
        <v>#REF!</v>
      </c>
      <c r="I17" s="400" t="e">
        <f t="shared" si="0"/>
        <v>#REF!</v>
      </c>
    </row>
    <row r="21" spans="1:9" x14ac:dyDescent="0.2">
      <c r="C21" s="398"/>
      <c r="D21" s="398"/>
    </row>
    <row r="24" spans="1:9" ht="90" thickBot="1" x14ac:dyDescent="0.25">
      <c r="C24" s="401" t="s">
        <v>387</v>
      </c>
      <c r="D24" s="402" t="s">
        <v>389</v>
      </c>
      <c r="E24" s="406" t="s">
        <v>395</v>
      </c>
      <c r="F24" s="402" t="s">
        <v>398</v>
      </c>
    </row>
    <row r="25" spans="1:9" x14ac:dyDescent="0.2">
      <c r="A25" s="471">
        <v>0</v>
      </c>
      <c r="B25" s="392" t="s">
        <v>392</v>
      </c>
      <c r="C25" s="392"/>
      <c r="D25" s="392"/>
      <c r="E25" s="403"/>
    </row>
    <row r="26" spans="1:9" ht="13.5" thickBot="1" x14ac:dyDescent="0.25">
      <c r="A26" s="472"/>
      <c r="B26" s="394" t="s">
        <v>393</v>
      </c>
      <c r="C26" s="394" t="e">
        <f>I5-I4</f>
        <v>#REF!</v>
      </c>
      <c r="D26" s="394" t="e">
        <f>2*ceee+C26</f>
        <v>#REF!</v>
      </c>
      <c r="E26" s="404" t="e">
        <f>D26/(2*ceee)</f>
        <v>#REF!</v>
      </c>
      <c r="F26" s="391" t="e">
        <f>100%-E26</f>
        <v>#REF!</v>
      </c>
    </row>
    <row r="27" spans="1:9" x14ac:dyDescent="0.2">
      <c r="A27" s="471">
        <v>0.5</v>
      </c>
      <c r="B27" s="392" t="s">
        <v>392</v>
      </c>
      <c r="C27" s="392"/>
      <c r="D27" s="392"/>
      <c r="E27" s="403"/>
    </row>
    <row r="28" spans="1:9" ht="13.5" thickBot="1" x14ac:dyDescent="0.25">
      <c r="A28" s="472"/>
      <c r="B28" s="394" t="s">
        <v>393</v>
      </c>
      <c r="C28" s="394" t="e">
        <f>I7-I6</f>
        <v>#REF!</v>
      </c>
      <c r="D28" s="394" t="e">
        <f>2*ceee+C28</f>
        <v>#REF!</v>
      </c>
      <c r="E28" s="404" t="e">
        <f>D28/(2*ceee)</f>
        <v>#REF!</v>
      </c>
      <c r="F28" s="391" t="e">
        <f>100%-E28</f>
        <v>#REF!</v>
      </c>
    </row>
    <row r="29" spans="1:9" x14ac:dyDescent="0.2">
      <c r="A29" s="471">
        <v>1</v>
      </c>
      <c r="B29" s="392" t="s">
        <v>392</v>
      </c>
      <c r="C29" s="392"/>
      <c r="D29" s="392"/>
      <c r="E29" s="403"/>
    </row>
    <row r="30" spans="1:9" ht="13.5" thickBot="1" x14ac:dyDescent="0.25">
      <c r="A30" s="472"/>
      <c r="B30" s="394" t="s">
        <v>393</v>
      </c>
      <c r="C30" s="394" t="e">
        <f>I9-I8</f>
        <v>#REF!</v>
      </c>
      <c r="D30" s="394" t="e">
        <f>2*ceee+C30</f>
        <v>#REF!</v>
      </c>
      <c r="E30" s="404" t="e">
        <f>D30/(2*ceee)</f>
        <v>#REF!</v>
      </c>
      <c r="F30" s="391" t="e">
        <f>100%-E30</f>
        <v>#REF!</v>
      </c>
    </row>
    <row r="31" spans="1:9" x14ac:dyDescent="0.2">
      <c r="A31" s="471">
        <v>1.5</v>
      </c>
      <c r="B31" s="392" t="s">
        <v>392</v>
      </c>
      <c r="C31" s="392"/>
      <c r="D31" s="392"/>
      <c r="E31" s="403"/>
    </row>
    <row r="32" spans="1:9" ht="13.5" thickBot="1" x14ac:dyDescent="0.25">
      <c r="A32" s="472"/>
      <c r="B32" s="394" t="s">
        <v>393</v>
      </c>
      <c r="C32" s="394" t="e">
        <f>I11-I10</f>
        <v>#REF!</v>
      </c>
      <c r="D32" s="394" t="e">
        <f>2*ceee+C32</f>
        <v>#REF!</v>
      </c>
      <c r="E32" s="404" t="e">
        <f>D32/(2*ceee)</f>
        <v>#REF!</v>
      </c>
      <c r="F32" s="391" t="e">
        <f>100%-E32</f>
        <v>#REF!</v>
      </c>
    </row>
    <row r="33" spans="1:26" x14ac:dyDescent="0.2">
      <c r="A33" s="471">
        <v>2</v>
      </c>
      <c r="B33" s="392" t="s">
        <v>392</v>
      </c>
      <c r="C33" s="392"/>
      <c r="D33" s="392"/>
      <c r="E33" s="403"/>
    </row>
    <row r="34" spans="1:26" ht="13.5" thickBot="1" x14ac:dyDescent="0.25">
      <c r="A34" s="472"/>
      <c r="B34" s="394" t="s">
        <v>393</v>
      </c>
      <c r="C34" s="394" t="e">
        <f>I13-I12</f>
        <v>#REF!</v>
      </c>
      <c r="D34" s="394" t="e">
        <f>2*ceee+C34</f>
        <v>#REF!</v>
      </c>
      <c r="E34" s="404" t="e">
        <f>D34/(2*ceee)</f>
        <v>#REF!</v>
      </c>
      <c r="F34" s="391" t="e">
        <f>100%-E34</f>
        <v>#REF!</v>
      </c>
      <c r="Z34" s="28" t="s">
        <v>394</v>
      </c>
    </row>
    <row r="35" spans="1:26" x14ac:dyDescent="0.2">
      <c r="A35" s="471">
        <v>2.5</v>
      </c>
      <c r="B35" s="392" t="s">
        <v>392</v>
      </c>
      <c r="C35" s="392"/>
      <c r="D35" s="392"/>
      <c r="E35" s="403"/>
    </row>
    <row r="36" spans="1:26" ht="13.5" thickBot="1" x14ac:dyDescent="0.25">
      <c r="A36" s="472"/>
      <c r="B36" s="394" t="s">
        <v>393</v>
      </c>
      <c r="C36" s="394" t="e">
        <f>I15-I14</f>
        <v>#REF!</v>
      </c>
      <c r="D36" s="394" t="e">
        <f>2*ceee+C36</f>
        <v>#REF!</v>
      </c>
      <c r="E36" s="404" t="e">
        <f>D36/(2*ceee)</f>
        <v>#REF!</v>
      </c>
      <c r="F36" s="391" t="e">
        <f>100%-E36</f>
        <v>#REF!</v>
      </c>
    </row>
    <row r="37" spans="1:26" x14ac:dyDescent="0.2">
      <c r="A37" s="471">
        <v>3</v>
      </c>
      <c r="B37" s="392" t="s">
        <v>392</v>
      </c>
      <c r="C37" s="392"/>
      <c r="D37" s="392"/>
      <c r="E37" s="403"/>
    </row>
    <row r="38" spans="1:26" ht="13.5" thickBot="1" x14ac:dyDescent="0.25">
      <c r="A38" s="473"/>
      <c r="B38" s="396" t="s">
        <v>393</v>
      </c>
      <c r="C38" s="396" t="e">
        <f>I17-I16</f>
        <v>#REF!</v>
      </c>
      <c r="D38" s="396" t="e">
        <f>2*ceee+C38</f>
        <v>#REF!</v>
      </c>
      <c r="E38" s="405" t="e">
        <f>D38/(2*ceee)</f>
        <v>#REF!</v>
      </c>
      <c r="F38" s="391" t="e">
        <f>100%-E38</f>
        <v>#REF!</v>
      </c>
    </row>
    <row r="43" spans="1:26" x14ac:dyDescent="0.2">
      <c r="A43" s="391"/>
    </row>
    <row r="44" spans="1:26" x14ac:dyDescent="0.2">
      <c r="A44" s="391"/>
    </row>
    <row r="45" spans="1:26" x14ac:dyDescent="0.2">
      <c r="A45" s="391"/>
    </row>
  </sheetData>
  <mergeCells count="14">
    <mergeCell ref="A14:A15"/>
    <mergeCell ref="A4:A5"/>
    <mergeCell ref="A6:A7"/>
    <mergeCell ref="A8:A9"/>
    <mergeCell ref="A10:A11"/>
    <mergeCell ref="A12:A13"/>
    <mergeCell ref="A35:A36"/>
    <mergeCell ref="A37:A38"/>
    <mergeCell ref="A16:A17"/>
    <mergeCell ref="A25:A26"/>
    <mergeCell ref="A27:A28"/>
    <mergeCell ref="A29:A30"/>
    <mergeCell ref="A31:A32"/>
    <mergeCell ref="A33:A34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rgb="FF66FFFF"/>
  </sheetPr>
  <dimension ref="A1:BA253"/>
  <sheetViews>
    <sheetView workbookViewId="0">
      <selection activeCell="D35" sqref="D35"/>
    </sheetView>
  </sheetViews>
  <sheetFormatPr baseColWidth="10" defaultColWidth="8.5703125" defaultRowHeight="17.25" x14ac:dyDescent="0.2"/>
  <cols>
    <col min="1" max="1" width="61.85546875" style="19" customWidth="1"/>
    <col min="2" max="2" width="15.28515625" style="18" customWidth="1"/>
    <col min="3" max="3" width="14.7109375" style="18" customWidth="1"/>
    <col min="4" max="4" width="15.42578125" style="18" customWidth="1"/>
    <col min="5" max="5" width="17.28515625" style="18" customWidth="1"/>
    <col min="6" max="6" width="15.42578125" style="18" customWidth="1"/>
    <col min="7" max="7" width="16.42578125" style="18" customWidth="1"/>
    <col min="8" max="8" width="58.7109375" style="18" customWidth="1"/>
    <col min="9" max="9" width="18.28515625" style="18" customWidth="1"/>
    <col min="10" max="10" width="21.140625" style="18" customWidth="1"/>
    <col min="11" max="11" width="25.42578125" style="18" customWidth="1"/>
    <col min="12" max="12" width="13" style="18" customWidth="1"/>
    <col min="13" max="13" width="15.140625" style="18" customWidth="1"/>
    <col min="14" max="19" width="13.7109375" style="18" customWidth="1"/>
    <col min="20" max="21" width="7" style="18" customWidth="1"/>
    <col min="22" max="22" width="10.85546875" style="18" customWidth="1"/>
    <col min="23" max="31" width="12.140625" style="18" customWidth="1"/>
    <col min="32" max="102" width="7" style="18" customWidth="1"/>
    <col min="103" max="16384" width="8.5703125" style="18"/>
  </cols>
  <sheetData>
    <row r="1" spans="1:19" s="25" customFormat="1" ht="15" x14ac:dyDescent="0.2">
      <c r="A1" s="32"/>
    </row>
    <row r="2" spans="1:19" s="34" customFormat="1" ht="29.25" customHeight="1" thickBot="1" x14ac:dyDescent="0.25">
      <c r="A2" s="33" t="s">
        <v>153</v>
      </c>
      <c r="D2" s="21"/>
      <c r="E2" s="21"/>
      <c r="F2" s="21"/>
      <c r="G2" s="21"/>
      <c r="H2" s="21"/>
      <c r="I2" s="21"/>
      <c r="J2" s="21"/>
      <c r="K2" s="21"/>
      <c r="L2" s="21"/>
      <c r="M2" s="21"/>
    </row>
    <row r="3" spans="1:19" s="25" customFormat="1" ht="15" x14ac:dyDescent="0.2">
      <c r="A3" s="35" t="s">
        <v>243</v>
      </c>
      <c r="B3" s="186">
        <v>1218.5999999999999</v>
      </c>
      <c r="C3" s="49"/>
      <c r="D3" s="187">
        <v>1204.2</v>
      </c>
      <c r="E3" s="479" t="s">
        <v>242</v>
      </c>
      <c r="F3" s="480"/>
      <c r="G3" s="118"/>
      <c r="H3" s="118"/>
      <c r="I3" s="119"/>
      <c r="J3" s="36"/>
    </row>
    <row r="4" spans="1:19" s="25" customFormat="1" ht="15.75" thickBot="1" x14ac:dyDescent="0.25">
      <c r="A4" s="37" t="s">
        <v>240</v>
      </c>
      <c r="B4" s="188">
        <f>smic/D3</f>
        <v>1.0119581464872944</v>
      </c>
      <c r="C4" s="49"/>
      <c r="D4" s="189">
        <v>1173.5999999999999</v>
      </c>
      <c r="E4" s="481" t="s">
        <v>241</v>
      </c>
      <c r="F4" s="482"/>
      <c r="G4" s="118"/>
      <c r="H4" s="118"/>
      <c r="I4" s="119"/>
      <c r="J4" s="36"/>
    </row>
    <row r="5" spans="1:19" s="25" customFormat="1" ht="15.75" thickBot="1" x14ac:dyDescent="0.25">
      <c r="A5" s="37" t="s">
        <v>236</v>
      </c>
      <c r="B5" s="188">
        <v>9.8800000000000008</v>
      </c>
      <c r="C5" s="49"/>
      <c r="D5" s="49"/>
      <c r="G5" s="118"/>
      <c r="H5" s="118"/>
      <c r="I5" s="119"/>
    </row>
    <row r="6" spans="1:19" s="34" customFormat="1" ht="29.25" customHeight="1" thickBot="1" x14ac:dyDescent="0.25">
      <c r="A6" s="33" t="s">
        <v>154</v>
      </c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19" s="25" customFormat="1" ht="15" x14ac:dyDescent="0.2">
      <c r="A7" s="35" t="s">
        <v>244</v>
      </c>
      <c r="B7" s="190">
        <v>1.0118</v>
      </c>
      <c r="C7" s="39"/>
      <c r="D7" s="25" t="s">
        <v>266</v>
      </c>
      <c r="E7" s="25">
        <v>1</v>
      </c>
    </row>
    <row r="8" spans="1:19" s="25" customFormat="1" ht="15.75" thickBot="1" x14ac:dyDescent="0.25">
      <c r="A8" s="37" t="s">
        <v>245</v>
      </c>
      <c r="B8" s="191">
        <v>1.0101</v>
      </c>
    </row>
    <row r="9" spans="1:19" s="25" customFormat="1" ht="15" x14ac:dyDescent="0.2">
      <c r="A9" s="38"/>
      <c r="B9" s="192"/>
    </row>
    <row r="10" spans="1:19" s="25" customFormat="1" ht="15" x14ac:dyDescent="0.2">
      <c r="A10" s="32"/>
    </row>
    <row r="11" spans="1:19" s="34" customFormat="1" ht="15.75" thickBot="1" x14ac:dyDescent="0.25">
      <c r="A11" s="33" t="s">
        <v>79</v>
      </c>
    </row>
    <row r="12" spans="1:19" s="25" customFormat="1" ht="15.75" thickBot="1" x14ac:dyDescent="0.25">
      <c r="A12" s="40" t="s">
        <v>263</v>
      </c>
      <c r="B12" s="194">
        <f>evol_smic</f>
        <v>1.0119581464872944</v>
      </c>
      <c r="D12" s="42" t="s">
        <v>249</v>
      </c>
      <c r="E12" s="195"/>
      <c r="F12" s="196">
        <v>0.98250000000000004</v>
      </c>
    </row>
    <row r="13" spans="1:19" s="25" customFormat="1" ht="15.75" thickBot="1" x14ac:dyDescent="0.25">
      <c r="A13" s="40" t="s">
        <v>264</v>
      </c>
      <c r="B13" s="194">
        <f>smic/D4</f>
        <v>1.0383435582822087</v>
      </c>
      <c r="C13" s="41"/>
      <c r="D13" s="42" t="s">
        <v>248</v>
      </c>
      <c r="E13" s="195"/>
      <c r="F13" s="196">
        <v>6.8000000000000005E-2</v>
      </c>
    </row>
    <row r="14" spans="1:19" s="25" customFormat="1" ht="15.75" thickBot="1" x14ac:dyDescent="0.25">
      <c r="A14" s="32"/>
      <c r="B14" s="142"/>
      <c r="D14" s="42" t="s">
        <v>247</v>
      </c>
      <c r="E14" s="195"/>
      <c r="F14" s="196">
        <v>2.4E-2</v>
      </c>
    </row>
    <row r="15" spans="1:19" s="25" customFormat="1" ht="15.75" thickBot="1" x14ac:dyDescent="0.25">
      <c r="A15" s="42" t="s">
        <v>58</v>
      </c>
      <c r="B15" s="198">
        <f>0.9*((1+assiette_csgcrds*(crds+tx_csgimp)/(1-tx_cotsal))/evol_smic_n_moins_2_n)*12</f>
        <v>10.781124849448927</v>
      </c>
      <c r="C15" s="43"/>
      <c r="D15" s="40" t="s">
        <v>246</v>
      </c>
      <c r="E15" s="195"/>
      <c r="F15" s="197">
        <v>0.22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</row>
    <row r="16" spans="1:19" s="25" customFormat="1" ht="15.75" thickBot="1" x14ac:dyDescent="0.25">
      <c r="A16" s="40" t="s">
        <v>59</v>
      </c>
      <c r="B16" s="198">
        <f>((1+assiette_csgcrds*(crds+tx_csgimp)/(1-tx_cotsal))/evol_smic_n_moins_1_n)*12</f>
        <v>12.291364219975005</v>
      </c>
      <c r="C16" s="43"/>
      <c r="D16" s="492" t="s">
        <v>250</v>
      </c>
      <c r="E16" s="493"/>
      <c r="F16" s="193">
        <v>5.0000000000000001E-3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</row>
    <row r="17" spans="1:19" s="25" customFormat="1" ht="15" x14ac:dyDescent="0.2">
      <c r="A17" s="38"/>
      <c r="B17" s="143"/>
      <c r="C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</row>
    <row r="18" spans="1:19" s="25" customFormat="1" ht="15" x14ac:dyDescent="0.2">
      <c r="A18" s="32"/>
      <c r="B18" s="45"/>
      <c r="C18" s="43"/>
      <c r="D18" s="43"/>
      <c r="E18" s="44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</row>
    <row r="19" spans="1:19" s="34" customFormat="1" ht="15.75" thickBot="1" x14ac:dyDescent="0.25">
      <c r="A19" s="33" t="s">
        <v>155</v>
      </c>
      <c r="B19" s="46"/>
      <c r="C19" s="47"/>
      <c r="D19" s="47"/>
      <c r="E19" s="48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</row>
    <row r="20" spans="1:19" s="25" customFormat="1" ht="15.75" thickBot="1" x14ac:dyDescent="0.25">
      <c r="A20" s="40" t="s">
        <v>120</v>
      </c>
      <c r="B20" s="198">
        <v>414.4</v>
      </c>
      <c r="C20" s="49"/>
      <c r="E20" s="44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</row>
    <row r="21" spans="1:19" s="25" customFormat="1" ht="15" x14ac:dyDescent="0.2">
      <c r="A21" s="32"/>
      <c r="B21" s="50"/>
      <c r="C21" s="43"/>
      <c r="E21" s="44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</row>
    <row r="22" spans="1:19" s="25" customFormat="1" ht="63.75" customHeight="1" thickBot="1" x14ac:dyDescent="0.25">
      <c r="A22" s="51" t="s">
        <v>178</v>
      </c>
      <c r="B22" s="49" t="s">
        <v>251</v>
      </c>
      <c r="C22" s="51"/>
      <c r="D22" s="52" t="s">
        <v>133</v>
      </c>
      <c r="E22" s="52" t="s">
        <v>186</v>
      </c>
      <c r="F22" s="52" t="s">
        <v>134</v>
      </c>
    </row>
    <row r="23" spans="1:19" s="43" customFormat="1" ht="15.75" thickBot="1" x14ac:dyDescent="0.25">
      <c r="A23" s="53">
        <v>1</v>
      </c>
      <c r="B23" s="199">
        <v>0</v>
      </c>
      <c r="D23" s="216">
        <v>69309</v>
      </c>
      <c r="E23" s="216">
        <v>92381</v>
      </c>
      <c r="F23" s="216">
        <v>5775</v>
      </c>
    </row>
    <row r="24" spans="1:19" s="43" customFormat="1" ht="15.75" thickBot="1" x14ac:dyDescent="0.25">
      <c r="A24" s="53">
        <v>2</v>
      </c>
      <c r="B24" s="199">
        <f>(32%*bmaf)*(1-crds)</f>
        <v>131.94496000000001</v>
      </c>
      <c r="C24" s="55"/>
      <c r="H24" s="54"/>
      <c r="I24" s="54"/>
    </row>
    <row r="25" spans="1:19" s="43" customFormat="1" ht="15.75" thickBot="1" x14ac:dyDescent="0.25">
      <c r="A25" s="56">
        <v>3</v>
      </c>
      <c r="B25" s="199">
        <f>(73%*bmaf)*0.995</f>
        <v>300.99943999999999</v>
      </c>
      <c r="C25" s="55"/>
    </row>
    <row r="26" spans="1:19" s="43" customFormat="1" ht="15.75" thickBot="1" x14ac:dyDescent="0.25">
      <c r="A26" s="56">
        <v>4</v>
      </c>
      <c r="B26" s="199">
        <f>(114%*bmaf)*0.995</f>
        <v>470.05391999999995</v>
      </c>
      <c r="C26" s="55"/>
      <c r="D26" s="57"/>
      <c r="E26" s="57"/>
      <c r="F26" s="169"/>
      <c r="G26" s="57"/>
      <c r="H26" s="57"/>
    </row>
    <row r="27" spans="1:19" s="43" customFormat="1" ht="15.75" thickBot="1" x14ac:dyDescent="0.25">
      <c r="A27" s="53">
        <v>5</v>
      </c>
      <c r="B27" s="199">
        <f>(155%*bmaf)*0.995</f>
        <v>639.10839999999996</v>
      </c>
      <c r="C27" s="57"/>
      <c r="D27" s="57"/>
      <c r="E27" s="57"/>
      <c r="F27" s="57"/>
      <c r="G27" s="57"/>
      <c r="H27" s="57"/>
    </row>
    <row r="28" spans="1:19" s="43" customFormat="1" ht="15.75" thickBot="1" x14ac:dyDescent="0.25">
      <c r="A28" s="58">
        <v>6</v>
      </c>
      <c r="B28" s="199">
        <f>(af_5+41%*bmaf)*0.995</f>
        <v>804.96733799999993</v>
      </c>
      <c r="C28" s="59"/>
    </row>
    <row r="29" spans="1:19" s="43" customFormat="1" ht="15.75" thickBot="1" x14ac:dyDescent="0.25">
      <c r="A29" s="60"/>
      <c r="B29" s="167"/>
    </row>
    <row r="30" spans="1:19" s="43" customFormat="1" ht="15.75" thickBot="1" x14ac:dyDescent="0.25">
      <c r="A30" s="61" t="s">
        <v>121</v>
      </c>
      <c r="B30" s="200">
        <f>(16%*bmaf)*0.995</f>
        <v>65.972480000000004</v>
      </c>
    </row>
    <row r="31" spans="1:19" s="43" customFormat="1" ht="15.75" thickBot="1" x14ac:dyDescent="0.25">
      <c r="A31" s="61" t="s">
        <v>132</v>
      </c>
      <c r="B31" s="200">
        <f>(20.234%*bmaf)*0.995</f>
        <v>83.430447520000001</v>
      </c>
      <c r="D31" s="62"/>
    </row>
    <row r="32" spans="1:19" s="43" customFormat="1" ht="15" x14ac:dyDescent="0.2">
      <c r="A32" s="60"/>
    </row>
    <row r="33" spans="1:22" s="43" customFormat="1" ht="15" x14ac:dyDescent="0.2">
      <c r="A33" s="60"/>
    </row>
    <row r="34" spans="1:22" s="43" customFormat="1" ht="16.5" thickBot="1" x14ac:dyDescent="0.25">
      <c r="A34" s="63" t="s">
        <v>180</v>
      </c>
    </row>
    <row r="35" spans="1:22" s="25" customFormat="1" ht="15.75" thickBot="1" x14ac:dyDescent="0.25">
      <c r="A35" s="61" t="s">
        <v>2</v>
      </c>
      <c r="B35" s="200">
        <f>28.13%*0.995*bmaf</f>
        <v>115.9878664</v>
      </c>
      <c r="C35" s="49"/>
      <c r="D35" s="57"/>
      <c r="E35" s="43"/>
      <c r="F35" s="43"/>
      <c r="G35" s="43"/>
      <c r="H35" s="44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</row>
    <row r="36" spans="1:22" s="25" customFormat="1" ht="15.75" thickBot="1" x14ac:dyDescent="0.25">
      <c r="A36" s="61" t="s">
        <v>142</v>
      </c>
      <c r="B36" s="200">
        <f>22.5*0.995*bmaf/100</f>
        <v>92.773799999999994</v>
      </c>
      <c r="C36" s="32" t="s">
        <v>191</v>
      </c>
      <c r="D36" s="57"/>
      <c r="E36" s="43"/>
      <c r="F36" s="43"/>
      <c r="G36" s="43"/>
      <c r="H36" s="44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</row>
    <row r="37" spans="1:22" s="25" customFormat="1" ht="15" x14ac:dyDescent="0.2">
      <c r="A37" s="45"/>
      <c r="B37" s="57"/>
      <c r="D37" s="57"/>
      <c r="E37" s="57"/>
      <c r="F37" s="43"/>
      <c r="G37" s="43"/>
      <c r="H37" s="44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</row>
    <row r="38" spans="1:22" s="25" customFormat="1" ht="15" x14ac:dyDescent="0.2">
      <c r="A38" s="45"/>
      <c r="B38" s="57"/>
      <c r="C38" s="43"/>
      <c r="D38" s="57"/>
      <c r="E38" s="57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</row>
    <row r="39" spans="1:22" s="25" customFormat="1" ht="60.75" thickBot="1" x14ac:dyDescent="0.25">
      <c r="A39" s="64" t="s">
        <v>179</v>
      </c>
      <c r="B39" s="52" t="s">
        <v>28</v>
      </c>
      <c r="C39" s="43"/>
      <c r="D39" s="408" t="s">
        <v>52</v>
      </c>
      <c r="E39" s="288" t="s">
        <v>51</v>
      </c>
      <c r="F39" s="288" t="s">
        <v>48</v>
      </c>
      <c r="G39" s="288" t="s">
        <v>57</v>
      </c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</row>
    <row r="40" spans="1:22" s="25" customFormat="1" ht="15.75" thickBot="1" x14ac:dyDescent="0.25">
      <c r="A40" s="61" t="s">
        <v>124</v>
      </c>
      <c r="B40" s="200">
        <f>0.995*41.65*bmaf/100</f>
        <v>171.73461199999997</v>
      </c>
      <c r="C40" s="49"/>
      <c r="D40" s="407">
        <v>38769</v>
      </c>
      <c r="E40" s="407">
        <v>47426</v>
      </c>
      <c r="F40" s="407">
        <v>6461</v>
      </c>
      <c r="G40" s="407">
        <v>5404</v>
      </c>
      <c r="H40" s="55"/>
      <c r="I40" s="54"/>
      <c r="J40" s="54"/>
      <c r="K40" s="43"/>
      <c r="L40" s="43"/>
      <c r="M40" s="43"/>
      <c r="N40" s="43"/>
      <c r="O40" s="43"/>
      <c r="P40" s="43"/>
      <c r="Q40" s="43"/>
      <c r="R40" s="43"/>
      <c r="S40" s="43"/>
    </row>
    <row r="41" spans="1:22" s="25" customFormat="1" ht="15.75" thickBot="1" x14ac:dyDescent="0.25">
      <c r="A41" s="61" t="s">
        <v>125</v>
      </c>
      <c r="B41" s="200">
        <f>62.48%*0.995*bmaf-cf_base</f>
        <v>85.887922400000036</v>
      </c>
      <c r="C41" s="66"/>
      <c r="D41" s="216">
        <v>19388</v>
      </c>
      <c r="E41" s="216">
        <v>23716</v>
      </c>
      <c r="F41" s="216">
        <v>3231</v>
      </c>
      <c r="G41" s="65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</row>
    <row r="42" spans="1:22" s="25" customFormat="1" ht="15.75" thickBot="1" x14ac:dyDescent="0.25">
      <c r="A42" s="61" t="s">
        <v>192</v>
      </c>
      <c r="B42" s="200">
        <f>0.4165*0.995*bmaf</f>
        <v>171.734612</v>
      </c>
      <c r="C42" s="32" t="s">
        <v>191</v>
      </c>
      <c r="D42" s="57"/>
      <c r="E42" s="57"/>
      <c r="F42" s="57"/>
      <c r="G42" s="57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</row>
    <row r="43" spans="1:22" s="115" customFormat="1" ht="15" x14ac:dyDescent="0.2">
      <c r="A43" s="144"/>
      <c r="B43" s="145"/>
      <c r="C43" s="146"/>
      <c r="D43" s="147"/>
      <c r="E43" s="147"/>
      <c r="F43" s="147"/>
      <c r="G43" s="147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</row>
    <row r="44" spans="1:22" s="25" customFormat="1" ht="45.75" thickBot="1" x14ac:dyDescent="0.25">
      <c r="A44" s="64" t="s">
        <v>181</v>
      </c>
      <c r="B44" s="52" t="s">
        <v>371</v>
      </c>
      <c r="C44" s="43"/>
      <c r="D44" s="52" t="s">
        <v>69</v>
      </c>
      <c r="E44" s="52" t="s">
        <v>48</v>
      </c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</row>
    <row r="45" spans="1:22" s="25" customFormat="1" ht="15.75" thickBot="1" x14ac:dyDescent="0.25">
      <c r="A45" s="61" t="s">
        <v>77</v>
      </c>
      <c r="B45" s="200">
        <f>0.995*89.72%*bmaf</f>
        <v>369.9406816</v>
      </c>
      <c r="C45" s="49"/>
      <c r="D45" s="216">
        <v>25093</v>
      </c>
      <c r="E45" s="216">
        <v>5791</v>
      </c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</row>
    <row r="46" spans="1:22" s="25" customFormat="1" ht="15.75" thickBot="1" x14ac:dyDescent="0.25">
      <c r="A46" s="61" t="s">
        <v>68</v>
      </c>
      <c r="B46" s="200">
        <f>0.995*94.67%*bmaf</f>
        <v>390.35091759999995</v>
      </c>
      <c r="C46" s="67"/>
      <c r="D46" s="43"/>
      <c r="E46" s="43"/>
    </row>
    <row r="47" spans="1:22" s="25" customFormat="1" ht="15.75" thickBot="1" x14ac:dyDescent="0.25">
      <c r="A47" s="61" t="s">
        <v>78</v>
      </c>
      <c r="B47" s="200">
        <f>0.995*97.95%*bmaf</f>
        <v>403.87527599999999</v>
      </c>
      <c r="C47" s="67"/>
    </row>
    <row r="48" spans="1:22" s="25" customFormat="1" ht="15" x14ac:dyDescent="0.2">
      <c r="A48" s="45"/>
      <c r="B48" s="59"/>
      <c r="C48" s="67"/>
    </row>
    <row r="49" spans="1:20" s="25" customFormat="1" ht="15" x14ac:dyDescent="0.2">
      <c r="A49" s="45"/>
      <c r="B49" s="59"/>
      <c r="C49" s="67"/>
    </row>
    <row r="50" spans="1:20" s="25" customFormat="1" ht="60.75" thickBot="1" x14ac:dyDescent="0.25">
      <c r="A50" s="64" t="s">
        <v>182</v>
      </c>
      <c r="B50" s="52" t="s">
        <v>28</v>
      </c>
      <c r="C50" s="52" t="s">
        <v>193</v>
      </c>
      <c r="D50" s="52" t="s">
        <v>54</v>
      </c>
      <c r="E50" s="52" t="s">
        <v>53</v>
      </c>
      <c r="F50" s="52" t="s">
        <v>55</v>
      </c>
      <c r="G50" s="52" t="s">
        <v>56</v>
      </c>
      <c r="H50" s="52" t="s">
        <v>48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</row>
    <row r="51" spans="1:20" s="25" customFormat="1" ht="15.75" thickBot="1" x14ac:dyDescent="0.25">
      <c r="A51" s="61" t="s">
        <v>122</v>
      </c>
      <c r="B51" s="200">
        <f>0.995*185.54</f>
        <v>184.6123</v>
      </c>
      <c r="C51" s="49" t="s">
        <v>390</v>
      </c>
      <c r="D51" s="216">
        <v>36884</v>
      </c>
      <c r="E51" s="216">
        <v>43535</v>
      </c>
      <c r="F51" s="216">
        <v>46860</v>
      </c>
      <c r="G51" s="216">
        <v>53511</v>
      </c>
      <c r="H51" s="216">
        <v>6651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</row>
    <row r="52" spans="1:20" s="25" customFormat="1" ht="15.75" thickBot="1" x14ac:dyDescent="0.25">
      <c r="A52" s="61" t="s">
        <v>126</v>
      </c>
      <c r="B52" s="200">
        <f>0.5*ab</f>
        <v>92.306150000000002</v>
      </c>
      <c r="C52" s="201"/>
      <c r="D52" s="216">
        <v>30875</v>
      </c>
      <c r="E52" s="216">
        <v>36443</v>
      </c>
      <c r="F52" s="216">
        <v>39224</v>
      </c>
      <c r="G52" s="216">
        <v>44792</v>
      </c>
      <c r="H52" s="216">
        <v>5568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 spans="1:20" s="25" customFormat="1" ht="15" x14ac:dyDescent="0.2">
      <c r="A53" s="45"/>
      <c r="B53" s="59"/>
      <c r="C53" s="67"/>
      <c r="D53" s="286">
        <f>ab_plaf2_couple_monoact_1_enf/Coef_n_2</f>
        <v>3421.1643511284733</v>
      </c>
      <c r="E53" s="286">
        <f>ab_plaf2_couple_monact_2_enf/Coef_n_2</f>
        <v>4038.0758601664161</v>
      </c>
      <c r="F53" s="286">
        <f>ab_plaf2_couple_biact_ou_iso_1_enf/Coef_n_2</f>
        <v>4346.485237335437</v>
      </c>
      <c r="G53" s="286">
        <f>ab_plaf2_couple_biact_ou_iso_2_enf/Coef_n_2</f>
        <v>4963.3967463733798</v>
      </c>
      <c r="H53" s="57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</row>
    <row r="54" spans="1:20" s="25" customFormat="1" ht="15" x14ac:dyDescent="0.2">
      <c r="A54" s="60"/>
      <c r="B54" s="286"/>
      <c r="D54" s="286">
        <f>ab_plaf1_couple_monoact_1_enf/Coef_n_2</f>
        <v>2863.8013594266245</v>
      </c>
      <c r="E54" s="286">
        <f>ab_plaf1_couple_monact_2_enf/Coef_n_2</f>
        <v>3380.2595284723716</v>
      </c>
      <c r="F54" s="286">
        <f>ab_plaf1_couple_biact_ou_iso_1_enf/Coef_n_2</f>
        <v>3638.210348895544</v>
      </c>
      <c r="G54" s="286">
        <f>ab_plaf1_couple_biact_ou_iso_2_enf/Coef_n_2</f>
        <v>4154.6685179412907</v>
      </c>
    </row>
    <row r="55" spans="1:20" s="25" customFormat="1" ht="16.5" thickBot="1" x14ac:dyDescent="0.25">
      <c r="A55" s="287" t="s">
        <v>278</v>
      </c>
      <c r="B55" s="288" t="s">
        <v>122</v>
      </c>
      <c r="D55" s="32"/>
    </row>
    <row r="56" spans="1:20" s="25" customFormat="1" ht="15.75" thickBot="1" x14ac:dyDescent="0.25">
      <c r="A56" s="289" t="s">
        <v>279</v>
      </c>
      <c r="B56" s="200">
        <f>96.62%*0.995*bmaf</f>
        <v>398.39131359999999</v>
      </c>
      <c r="C56" s="49"/>
      <c r="D56" s="290"/>
    </row>
    <row r="57" spans="1:20" s="25" customFormat="1" ht="15.75" thickBot="1" x14ac:dyDescent="0.25">
      <c r="A57" s="291" t="s">
        <v>280</v>
      </c>
      <c r="B57" s="200">
        <f>62.46%*0.995*bmaf</f>
        <v>257.54006880000003</v>
      </c>
      <c r="D57" s="290"/>
    </row>
    <row r="58" spans="1:20" s="25" customFormat="1" ht="15.75" thickBot="1" x14ac:dyDescent="0.25">
      <c r="A58" s="291" t="s">
        <v>281</v>
      </c>
      <c r="B58" s="200">
        <f>36.03%*0.995*bmaf</f>
        <v>148.56177839999998</v>
      </c>
      <c r="D58" s="290"/>
    </row>
    <row r="59" spans="1:20" s="25" customFormat="1" ht="15" x14ac:dyDescent="0.2">
      <c r="A59" s="68"/>
      <c r="B59" s="59"/>
    </row>
    <row r="60" spans="1:20" s="25" customFormat="1" ht="15.75" thickBot="1" x14ac:dyDescent="0.25">
      <c r="A60" s="68"/>
      <c r="B60" s="59"/>
    </row>
    <row r="61" spans="1:20" s="25" customFormat="1" ht="60.75" thickBot="1" x14ac:dyDescent="0.25">
      <c r="A61" s="292" t="s">
        <v>282</v>
      </c>
      <c r="B61" s="52" t="s">
        <v>28</v>
      </c>
      <c r="C61" s="67"/>
      <c r="D61" s="293" t="s">
        <v>283</v>
      </c>
      <c r="E61" s="293" t="s">
        <v>284</v>
      </c>
      <c r="F61" s="45" t="s">
        <v>285</v>
      </c>
      <c r="G61" s="45" t="s">
        <v>286</v>
      </c>
      <c r="H61" s="45" t="s">
        <v>287</v>
      </c>
      <c r="I61" s="43"/>
      <c r="J61" s="43"/>
      <c r="K61" s="138" t="s">
        <v>288</v>
      </c>
      <c r="L61" s="43"/>
      <c r="M61" s="43"/>
      <c r="N61" s="43"/>
      <c r="O61" s="43"/>
      <c r="P61" s="43"/>
      <c r="Q61" s="43"/>
    </row>
    <row r="62" spans="1:20" s="25" customFormat="1" ht="15.75" thickBot="1" x14ac:dyDescent="0.25">
      <c r="A62" s="294" t="s">
        <v>289</v>
      </c>
      <c r="B62" s="200">
        <f>(114.04%*bmaf)*0.995</f>
        <v>470.21885120000002</v>
      </c>
      <c r="C62" s="49"/>
      <c r="D62" s="216">
        <v>46861</v>
      </c>
      <c r="E62" s="216">
        <v>53513</v>
      </c>
      <c r="F62" s="216">
        <v>6652</v>
      </c>
      <c r="G62" s="296">
        <v>0.45</v>
      </c>
      <c r="H62" s="296">
        <v>0.4</v>
      </c>
      <c r="K62" s="28"/>
    </row>
    <row r="63" spans="1:20" s="25" customFormat="1" ht="15.75" thickBot="1" x14ac:dyDescent="0.25">
      <c r="A63" s="294" t="s">
        <v>290</v>
      </c>
      <c r="B63" s="200">
        <f>(71.91%*bmaf)*0.995</f>
        <v>296.50506479999996</v>
      </c>
      <c r="C63" s="57"/>
      <c r="D63" s="297"/>
      <c r="E63" s="297"/>
      <c r="G63" s="298"/>
      <c r="H63" s="298"/>
      <c r="K63" s="299" t="s">
        <v>291</v>
      </c>
    </row>
    <row r="64" spans="1:20" s="25" customFormat="1" ht="15.75" thickBot="1" x14ac:dyDescent="0.25">
      <c r="A64" s="294" t="s">
        <v>292</v>
      </c>
      <c r="B64" s="200">
        <f>(43.14%*bmaf)*0.995</f>
        <v>177.87829919999999</v>
      </c>
      <c r="C64" s="300"/>
      <c r="D64" s="301"/>
      <c r="G64" s="298"/>
      <c r="H64" s="298"/>
      <c r="K64" s="28"/>
    </row>
    <row r="65" spans="1:20" s="25" customFormat="1" ht="15" x14ac:dyDescent="0.2">
      <c r="A65" s="294" t="s">
        <v>293</v>
      </c>
      <c r="B65" s="302">
        <v>0.85</v>
      </c>
      <c r="C65" s="57"/>
      <c r="D65" s="57"/>
      <c r="K65" s="22" t="s">
        <v>294</v>
      </c>
    </row>
    <row r="66" spans="1:20" s="25" customFormat="1" ht="15" x14ac:dyDescent="0.2">
      <c r="A66" s="294" t="s">
        <v>295</v>
      </c>
      <c r="B66" s="295">
        <v>459</v>
      </c>
      <c r="C66" s="57"/>
      <c r="D66" s="57"/>
      <c r="K66" s="28"/>
    </row>
    <row r="67" spans="1:20" s="25" customFormat="1" ht="15" x14ac:dyDescent="0.2">
      <c r="A67" s="38"/>
      <c r="B67" s="303"/>
      <c r="C67" s="57"/>
      <c r="D67" s="57"/>
      <c r="K67" s="22" t="s">
        <v>296</v>
      </c>
    </row>
    <row r="68" spans="1:20" s="25" customFormat="1" ht="15" x14ac:dyDescent="0.2">
      <c r="A68" s="45"/>
      <c r="B68" s="59"/>
      <c r="C68" s="67"/>
      <c r="D68" s="57"/>
      <c r="E68" s="57"/>
      <c r="F68" s="57"/>
      <c r="G68" s="57"/>
      <c r="H68" s="57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</row>
    <row r="69" spans="1:20" s="25" customFormat="1" ht="16.5" customHeight="1" x14ac:dyDescent="0.2">
      <c r="A69" s="69" t="s">
        <v>88</v>
      </c>
      <c r="B69" s="70"/>
      <c r="C69" s="32"/>
      <c r="E69" s="22"/>
      <c r="K69"/>
    </row>
    <row r="70" spans="1:20" s="25" customFormat="1" ht="16.5" customHeight="1" thickBot="1" x14ac:dyDescent="0.25">
      <c r="A70" s="69" t="s">
        <v>87</v>
      </c>
      <c r="B70" s="49"/>
      <c r="C70" s="49"/>
      <c r="E70" s="22"/>
      <c r="K70" s="22" t="s">
        <v>194</v>
      </c>
    </row>
    <row r="71" spans="1:20" s="25" customFormat="1" ht="17.25" customHeight="1" x14ac:dyDescent="0.2">
      <c r="A71" s="71" t="s">
        <v>13</v>
      </c>
      <c r="B71" s="202">
        <f>0.12*rsa_I0</f>
        <v>67.773599999999988</v>
      </c>
      <c r="D71" s="72"/>
      <c r="E71" s="138"/>
      <c r="K71"/>
    </row>
    <row r="72" spans="1:20" s="25" customFormat="1" ht="17.25" customHeight="1" x14ac:dyDescent="0.2">
      <c r="A72" s="73" t="s">
        <v>14</v>
      </c>
      <c r="B72" s="203">
        <f>16%*rsa_C0</f>
        <v>135.5472</v>
      </c>
      <c r="D72" s="72"/>
      <c r="E72" s="138"/>
      <c r="K72" s="22" t="s">
        <v>195</v>
      </c>
    </row>
    <row r="73" spans="1:20" s="25" customFormat="1" ht="17.25" customHeight="1" thickBot="1" x14ac:dyDescent="0.25">
      <c r="A73" s="74" t="s">
        <v>15</v>
      </c>
      <c r="B73" s="204">
        <f>16.5%*rsa_C1</f>
        <v>167.73965999999999</v>
      </c>
      <c r="D73" s="72"/>
      <c r="E73" s="138"/>
      <c r="K73" s="22"/>
    </row>
    <row r="74" spans="1:20" s="25" customFormat="1" ht="12" customHeight="1" x14ac:dyDescent="0.2">
      <c r="A74" s="75"/>
      <c r="B74" s="76"/>
      <c r="K74"/>
    </row>
    <row r="75" spans="1:20" s="25" customFormat="1" ht="31.5" customHeight="1" thickBot="1" x14ac:dyDescent="0.25">
      <c r="A75" s="69" t="s">
        <v>183</v>
      </c>
      <c r="B75" s="32"/>
      <c r="C75" s="49" t="s">
        <v>391</v>
      </c>
      <c r="D75" s="32"/>
      <c r="E75" s="81"/>
      <c r="J75" s="137"/>
      <c r="K75" s="151" t="s">
        <v>196</v>
      </c>
      <c r="L75" s="137"/>
    </row>
    <row r="76" spans="1:20" s="25" customFormat="1" ht="15.75" thickBot="1" x14ac:dyDescent="0.25">
      <c r="A76" s="71" t="s">
        <v>16</v>
      </c>
      <c r="B76" s="78" t="s">
        <v>10</v>
      </c>
      <c r="C76" s="79" t="s">
        <v>11</v>
      </c>
      <c r="D76" s="80" t="s">
        <v>29</v>
      </c>
      <c r="E76" s="81"/>
      <c r="J76" s="136"/>
      <c r="K76"/>
      <c r="L76" s="134"/>
    </row>
    <row r="77" spans="1:20" s="25" customFormat="1" ht="15" x14ac:dyDescent="0.2">
      <c r="A77" s="73">
        <v>0</v>
      </c>
      <c r="B77" s="205">
        <v>564.78</v>
      </c>
      <c r="C77" s="206">
        <f>rsa_I0+0.5*rsa_I0</f>
        <v>847.17</v>
      </c>
      <c r="D77" s="210">
        <f>128.412%*rsa_I0</f>
        <v>725.24529360000008</v>
      </c>
      <c r="E77" s="72"/>
      <c r="J77" s="136"/>
      <c r="K77"/>
      <c r="L77" s="134"/>
    </row>
    <row r="78" spans="1:20" s="25" customFormat="1" ht="15" x14ac:dyDescent="0.2">
      <c r="A78" s="73">
        <v>1</v>
      </c>
      <c r="B78" s="206">
        <f>rsa_I0+0.5*rsa_I0</f>
        <v>847.17</v>
      </c>
      <c r="C78" s="207">
        <f>rsa_C0+0.3*rsa_I0</f>
        <v>1016.6039999999999</v>
      </c>
      <c r="D78" s="211">
        <f>rsam_I0+42.804%*rsa_I0</f>
        <v>966.99372480000011</v>
      </c>
      <c r="E78" s="72">
        <f>rsa_I1/rsa_I0</f>
        <v>1.5</v>
      </c>
      <c r="F78" s="77"/>
      <c r="J78" s="136"/>
      <c r="K78"/>
      <c r="L78" s="134"/>
    </row>
    <row r="79" spans="1:20" s="25" customFormat="1" ht="18" customHeight="1" x14ac:dyDescent="0.2">
      <c r="A79" s="73">
        <v>2</v>
      </c>
      <c r="B79" s="206">
        <f>rsa_I1+0.3*rsa_I0</f>
        <v>1016.6039999999999</v>
      </c>
      <c r="C79" s="207">
        <f>rsa_C1+0.3*rsa_I0</f>
        <v>1186.038</v>
      </c>
      <c r="D79" s="211">
        <f>rsam_I1+42.804%*rsa_I0</f>
        <v>1208.742156</v>
      </c>
      <c r="E79" s="72">
        <f>rsa_I2/rsa_I0</f>
        <v>1.8</v>
      </c>
      <c r="F79" s="77"/>
      <c r="J79" s="136"/>
      <c r="K79" s="151"/>
      <c r="L79" s="135"/>
    </row>
    <row r="80" spans="1:20" s="25" customFormat="1" ht="15.75" thickBot="1" x14ac:dyDescent="0.25">
      <c r="A80" s="74" t="s">
        <v>17</v>
      </c>
      <c r="B80" s="208">
        <f>0.4*rsa_I0</f>
        <v>225.91200000000001</v>
      </c>
      <c r="C80" s="209">
        <f>0.4*rsa_I0</f>
        <v>225.91200000000001</v>
      </c>
      <c r="D80" s="211">
        <f>42.804%*rsa_I0</f>
        <v>241.7484312</v>
      </c>
      <c r="E80" s="72">
        <f>rsa_sup_enf/rsa_I0</f>
        <v>0.4</v>
      </c>
      <c r="K80"/>
    </row>
    <row r="81" spans="1:12" s="25" customFormat="1" ht="15" x14ac:dyDescent="0.2">
      <c r="A81" s="45"/>
      <c r="B81" s="217"/>
      <c r="C81" s="217"/>
      <c r="D81" s="217"/>
      <c r="E81" s="72"/>
      <c r="K81" s="6"/>
    </row>
    <row r="82" spans="1:12" s="25" customFormat="1" ht="15.75" thickBot="1" x14ac:dyDescent="0.25">
      <c r="A82" s="74" t="s">
        <v>252</v>
      </c>
      <c r="B82" s="208">
        <v>6</v>
      </c>
      <c r="C82" s="217"/>
      <c r="D82" s="217"/>
      <c r="E82" s="72"/>
      <c r="K82" s="28"/>
    </row>
    <row r="83" spans="1:12" s="25" customFormat="1" ht="15" x14ac:dyDescent="0.2">
      <c r="A83" s="45"/>
      <c r="B83" s="52"/>
      <c r="C83" s="52"/>
      <c r="D83" s="52"/>
      <c r="K83" s="22"/>
    </row>
    <row r="84" spans="1:12" s="25" customFormat="1" ht="16.5" customHeight="1" thickBot="1" x14ac:dyDescent="0.25">
      <c r="A84" s="69" t="s">
        <v>189</v>
      </c>
      <c r="B84" s="32"/>
      <c r="E84" s="22"/>
      <c r="K84" s="22"/>
    </row>
    <row r="85" spans="1:12" s="25" customFormat="1" ht="17.25" customHeight="1" thickBot="1" x14ac:dyDescent="0.25">
      <c r="A85" s="71" t="s">
        <v>13</v>
      </c>
      <c r="B85" s="202">
        <f>12%*pa_forf_I0</f>
        <v>66.379199999999997</v>
      </c>
      <c r="D85" s="72"/>
      <c r="E85" s="138"/>
      <c r="K85" s="28"/>
    </row>
    <row r="86" spans="1:12" s="25" customFormat="1" ht="17.25" customHeight="1" thickBot="1" x14ac:dyDescent="0.25">
      <c r="A86" s="73" t="s">
        <v>14</v>
      </c>
      <c r="B86" s="202">
        <f>16%*pa_forf_c0</f>
        <v>132.75839999999999</v>
      </c>
      <c r="D86" s="72"/>
      <c r="E86" s="138"/>
      <c r="K86" s="22"/>
    </row>
    <row r="87" spans="1:12" s="25" customFormat="1" ht="17.25" customHeight="1" thickBot="1" x14ac:dyDescent="0.25">
      <c r="A87" s="74" t="s">
        <v>15</v>
      </c>
      <c r="B87" s="202">
        <f>16.5%*pa_forf_c1</f>
        <v>164.28852000000001</v>
      </c>
      <c r="D87" s="72"/>
      <c r="E87" s="138"/>
      <c r="K87" s="22"/>
    </row>
    <row r="88" spans="1:12" s="25" customFormat="1" ht="31.5" customHeight="1" thickBot="1" x14ac:dyDescent="0.25">
      <c r="A88" s="69" t="s">
        <v>188</v>
      </c>
      <c r="B88" s="32"/>
      <c r="C88" s="49" t="s">
        <v>391</v>
      </c>
      <c r="D88" s="32"/>
      <c r="E88" s="81"/>
      <c r="J88" s="137"/>
      <c r="K88" s="151"/>
      <c r="L88" s="137"/>
    </row>
    <row r="89" spans="1:12" s="25" customFormat="1" ht="15.75" thickBot="1" x14ac:dyDescent="0.25">
      <c r="A89" s="71" t="s">
        <v>16</v>
      </c>
      <c r="B89" s="78" t="s">
        <v>10</v>
      </c>
      <c r="C89" s="79" t="s">
        <v>11</v>
      </c>
      <c r="D89" s="80" t="s">
        <v>29</v>
      </c>
      <c r="E89" s="81"/>
      <c r="J89" s="136"/>
      <c r="K89" s="28"/>
      <c r="L89" s="134"/>
    </row>
    <row r="90" spans="1:12" s="25" customFormat="1" ht="15" x14ac:dyDescent="0.2">
      <c r="A90" s="73">
        <v>0</v>
      </c>
      <c r="B90" s="205">
        <v>553.16</v>
      </c>
      <c r="C90" s="206">
        <f>pa_forf_I0+0.5*pa_forf_I0</f>
        <v>829.74</v>
      </c>
      <c r="D90" s="210">
        <f>1.28412*pa_forf_I0</f>
        <v>710.32381919999989</v>
      </c>
      <c r="E90" s="72">
        <f>pa_forfm_I0/pa_forf_I0-1</f>
        <v>0.28411999999999993</v>
      </c>
      <c r="J90" s="136"/>
      <c r="K90" s="28"/>
      <c r="L90" s="134"/>
    </row>
    <row r="91" spans="1:12" s="25" customFormat="1" ht="15" x14ac:dyDescent="0.2">
      <c r="A91" s="73">
        <v>1</v>
      </c>
      <c r="B91" s="206">
        <f>pa_forf_I0+0.5*pa_forf_I0</f>
        <v>829.74</v>
      </c>
      <c r="C91" s="207">
        <f>pa_forf_c0+0.3*pa_forf_I0</f>
        <v>995.68799999999999</v>
      </c>
      <c r="D91" s="211">
        <f>pa_forfm_I0+0.42804*pa_forf_I0</f>
        <v>947.09842559999993</v>
      </c>
      <c r="E91" s="72">
        <f>(pa_forfm_I1-pa_forfm_I0)/pa_forf_I0</f>
        <v>0.42804000000000009</v>
      </c>
      <c r="J91" s="136"/>
      <c r="K91" s="28"/>
      <c r="L91" s="134"/>
    </row>
    <row r="92" spans="1:12" s="25" customFormat="1" ht="18" customHeight="1" x14ac:dyDescent="0.2">
      <c r="A92" s="73">
        <v>2</v>
      </c>
      <c r="B92" s="206">
        <f>pa_forf_I1+0.3*pa_forf_I0</f>
        <v>995.68799999999999</v>
      </c>
      <c r="C92" s="207">
        <f>pa_forf_c1+0.3*pa_forf_I0</f>
        <v>1161.636</v>
      </c>
      <c r="D92" s="211">
        <f>pa_forfm_I1+0.42804*pa_forf_I0</f>
        <v>1183.873032</v>
      </c>
      <c r="E92" s="72">
        <f>(pa_forfm_I2-pa_forfm_I1)/pa_forf_I0</f>
        <v>0.42804000000000009</v>
      </c>
      <c r="J92" s="136"/>
      <c r="K92" s="151"/>
      <c r="L92" s="135"/>
    </row>
    <row r="93" spans="1:12" s="25" customFormat="1" ht="15.75" thickBot="1" x14ac:dyDescent="0.25">
      <c r="A93" s="74" t="s">
        <v>17</v>
      </c>
      <c r="B93" s="208">
        <f>0.4*pa_forf_I0</f>
        <v>221.26400000000001</v>
      </c>
      <c r="C93" s="209">
        <f>pa_sup_enf</f>
        <v>221.26400000000001</v>
      </c>
      <c r="D93" s="212">
        <f>0.42804*pa_forf_I0</f>
        <v>236.77460639999998</v>
      </c>
      <c r="E93" s="72">
        <f>pa_forfm_supenf/pa_forf_I0</f>
        <v>0.42803999999999998</v>
      </c>
      <c r="K93" s="28"/>
    </row>
    <row r="94" spans="1:12" s="25" customFormat="1" ht="15.75" thickBot="1" x14ac:dyDescent="0.25">
      <c r="A94" s="82" t="s">
        <v>93</v>
      </c>
      <c r="B94" s="213">
        <v>0.61</v>
      </c>
      <c r="C94" s="168"/>
      <c r="D94" s="168"/>
      <c r="F94" s="81"/>
    </row>
    <row r="96" spans="1:12" s="25" customFormat="1" ht="16.5" thickBot="1" x14ac:dyDescent="0.25">
      <c r="A96" s="69" t="s">
        <v>157</v>
      </c>
      <c r="B96" s="49"/>
      <c r="C96" s="52"/>
      <c r="D96" s="52"/>
      <c r="L96" s="49"/>
    </row>
    <row r="97" spans="1:30" s="25" customFormat="1" ht="15" x14ac:dyDescent="0.2">
      <c r="A97" s="84" t="s">
        <v>237</v>
      </c>
      <c r="B97" s="214">
        <f>59</f>
        <v>59</v>
      </c>
      <c r="C97" s="52"/>
      <c r="D97" s="52"/>
    </row>
    <row r="98" spans="1:30" s="25" customFormat="1" ht="15" x14ac:dyDescent="0.2">
      <c r="A98" s="85" t="s">
        <v>158</v>
      </c>
      <c r="B98" s="215">
        <v>120</v>
      </c>
      <c r="C98" s="52"/>
      <c r="D98" s="52"/>
    </row>
    <row r="99" spans="1:30" s="25" customFormat="1" ht="15.75" thickBot="1" x14ac:dyDescent="0.25">
      <c r="A99" s="86" t="s">
        <v>159</v>
      </c>
      <c r="B99" s="204">
        <f>29.101%*pa_forf_I0</f>
        <v>160.97509159999998</v>
      </c>
      <c r="C99" s="52"/>
      <c r="D99" s="52"/>
    </row>
    <row r="100" spans="1:30" s="25" customFormat="1" ht="15" x14ac:dyDescent="0.2">
      <c r="A100" s="45"/>
      <c r="B100" s="83"/>
      <c r="C100" s="52"/>
      <c r="D100" s="52"/>
    </row>
    <row r="101" spans="1:30" ht="18" thickBot="1" x14ac:dyDescent="0.25">
      <c r="A101" s="86" t="s">
        <v>252</v>
      </c>
      <c r="B101" s="204">
        <v>15</v>
      </c>
    </row>
    <row r="102" spans="1:30" s="25" customFormat="1" ht="15" x14ac:dyDescent="0.2">
      <c r="A102" s="32"/>
    </row>
    <row r="103" spans="1:30" s="34" customFormat="1" ht="15.75" x14ac:dyDescent="0.2">
      <c r="A103" s="87" t="s">
        <v>74</v>
      </c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</row>
    <row r="104" spans="1:30" s="25" customFormat="1" ht="15" x14ac:dyDescent="0.2">
      <c r="A104" s="32"/>
    </row>
    <row r="105" spans="1:30" s="25" customFormat="1" ht="15.75" thickBot="1" x14ac:dyDescent="0.25">
      <c r="A105" s="32" t="s">
        <v>47</v>
      </c>
      <c r="G105" s="25" t="s">
        <v>65</v>
      </c>
      <c r="H105" s="25" t="s">
        <v>63</v>
      </c>
      <c r="I105" s="25" t="s">
        <v>64</v>
      </c>
      <c r="J105" s="32"/>
      <c r="K105" s="32"/>
    </row>
    <row r="106" spans="1:30" s="25" customFormat="1" ht="15" x14ac:dyDescent="0.2">
      <c r="A106" s="90" t="s">
        <v>19</v>
      </c>
      <c r="B106" s="91"/>
      <c r="C106" s="91"/>
      <c r="D106" s="91"/>
      <c r="E106" s="92"/>
      <c r="F106" s="93"/>
      <c r="G106" s="224">
        <v>295.93</v>
      </c>
      <c r="H106" s="224">
        <v>257.92</v>
      </c>
      <c r="I106" s="224">
        <v>241.73</v>
      </c>
      <c r="K106" s="94"/>
    </row>
    <row r="107" spans="1:30" s="25" customFormat="1" ht="15" x14ac:dyDescent="0.2">
      <c r="A107" s="95" t="s">
        <v>20</v>
      </c>
      <c r="B107" s="96"/>
      <c r="C107" s="96"/>
      <c r="D107" s="96"/>
      <c r="E107" s="97"/>
      <c r="F107" s="98"/>
      <c r="G107" s="225">
        <v>356.92</v>
      </c>
      <c r="H107" s="225">
        <v>315.69</v>
      </c>
      <c r="I107" s="225">
        <v>293.04000000000002</v>
      </c>
    </row>
    <row r="108" spans="1:30" s="25" customFormat="1" ht="15" x14ac:dyDescent="0.2">
      <c r="A108" s="95" t="s">
        <v>21</v>
      </c>
      <c r="B108" s="96"/>
      <c r="C108" s="96"/>
      <c r="D108" s="96"/>
      <c r="E108" s="97"/>
      <c r="F108" s="98"/>
      <c r="G108" s="225">
        <v>403.39</v>
      </c>
      <c r="H108" s="225">
        <v>355.23</v>
      </c>
      <c r="I108" s="225">
        <v>328.57</v>
      </c>
    </row>
    <row r="109" spans="1:30" s="25" customFormat="1" ht="15.75" thickBot="1" x14ac:dyDescent="0.25">
      <c r="A109" s="99" t="s">
        <v>22</v>
      </c>
      <c r="B109" s="100"/>
      <c r="C109" s="100"/>
      <c r="D109" s="100"/>
      <c r="E109" s="101"/>
      <c r="F109" s="102"/>
      <c r="G109" s="226">
        <v>58.52</v>
      </c>
      <c r="H109" s="226">
        <v>51.7</v>
      </c>
      <c r="I109" s="226">
        <v>47.09</v>
      </c>
    </row>
    <row r="110" spans="1:30" s="25" customFormat="1" ht="15" x14ac:dyDescent="0.2">
      <c r="A110" s="90" t="s">
        <v>23</v>
      </c>
      <c r="B110" s="91"/>
      <c r="C110" s="91"/>
      <c r="D110" s="91"/>
      <c r="E110" s="92"/>
      <c r="F110" s="93"/>
      <c r="G110" s="483">
        <v>53.83</v>
      </c>
      <c r="H110" s="484"/>
      <c r="I110" s="485"/>
    </row>
    <row r="111" spans="1:30" s="25" customFormat="1" ht="15" x14ac:dyDescent="0.2">
      <c r="A111" s="95" t="s">
        <v>24</v>
      </c>
      <c r="B111" s="96"/>
      <c r="C111" s="96"/>
      <c r="D111" s="96"/>
      <c r="E111" s="97"/>
      <c r="F111" s="98"/>
      <c r="G111" s="486">
        <v>66.03</v>
      </c>
      <c r="H111" s="487"/>
      <c r="I111" s="488"/>
    </row>
    <row r="112" spans="1:30" s="25" customFormat="1" ht="15.75" thickBot="1" x14ac:dyDescent="0.25">
      <c r="A112" s="99" t="s">
        <v>25</v>
      </c>
      <c r="B112" s="100"/>
      <c r="C112" s="100"/>
      <c r="D112" s="100"/>
      <c r="E112" s="101"/>
      <c r="F112" s="102"/>
      <c r="G112" s="489">
        <v>12.2</v>
      </c>
      <c r="H112" s="490"/>
      <c r="I112" s="491"/>
    </row>
    <row r="113" spans="1:9" s="25" customFormat="1" ht="15" x14ac:dyDescent="0.2">
      <c r="A113" s="90" t="s">
        <v>215</v>
      </c>
      <c r="B113" s="91"/>
      <c r="C113" s="91"/>
      <c r="D113" s="91"/>
      <c r="E113" s="92"/>
      <c r="F113" s="93"/>
      <c r="G113" s="171"/>
      <c r="H113" s="227">
        <v>4588</v>
      </c>
      <c r="I113" s="172"/>
    </row>
    <row r="114" spans="1:9" s="25" customFormat="1" ht="15" x14ac:dyDescent="0.2">
      <c r="A114" s="95" t="s">
        <v>216</v>
      </c>
      <c r="B114" s="96"/>
      <c r="C114" s="96"/>
      <c r="D114" s="96"/>
      <c r="E114" s="97"/>
      <c r="F114" s="98"/>
      <c r="G114" s="173"/>
      <c r="H114" s="228">
        <v>6572</v>
      </c>
      <c r="I114" s="174"/>
    </row>
    <row r="115" spans="1:9" s="25" customFormat="1" ht="15" x14ac:dyDescent="0.2">
      <c r="A115" s="95" t="s">
        <v>217</v>
      </c>
      <c r="B115" s="96"/>
      <c r="C115" s="96"/>
      <c r="D115" s="96"/>
      <c r="E115" s="97"/>
      <c r="F115" s="98"/>
      <c r="G115" s="173"/>
      <c r="H115" s="228">
        <v>7839</v>
      </c>
      <c r="I115" s="174"/>
    </row>
    <row r="116" spans="1:9" s="25" customFormat="1" ht="15" x14ac:dyDescent="0.2">
      <c r="A116" s="95" t="s">
        <v>218</v>
      </c>
      <c r="B116" s="96"/>
      <c r="C116" s="96"/>
      <c r="D116" s="96"/>
      <c r="E116" s="97"/>
      <c r="F116" s="98"/>
      <c r="G116" s="173"/>
      <c r="H116" s="228">
        <v>8015</v>
      </c>
      <c r="I116" s="174"/>
    </row>
    <row r="117" spans="1:9" s="25" customFormat="1" ht="15" x14ac:dyDescent="0.2">
      <c r="A117" s="95" t="s">
        <v>219</v>
      </c>
      <c r="B117" s="96"/>
      <c r="C117" s="96"/>
      <c r="D117" s="96"/>
      <c r="E117" s="97"/>
      <c r="F117" s="98"/>
      <c r="G117" s="173"/>
      <c r="H117" s="228">
        <v>8322</v>
      </c>
      <c r="I117" s="174"/>
    </row>
    <row r="118" spans="1:9" s="25" customFormat="1" ht="15" x14ac:dyDescent="0.2">
      <c r="A118" s="95" t="s">
        <v>220</v>
      </c>
      <c r="B118" s="96"/>
      <c r="C118" s="96"/>
      <c r="D118" s="96"/>
      <c r="E118" s="97"/>
      <c r="F118" s="98"/>
      <c r="G118" s="173"/>
      <c r="H118" s="228">
        <v>8631</v>
      </c>
      <c r="I118" s="174"/>
    </row>
    <row r="119" spans="1:9" s="25" customFormat="1" ht="15.75" thickBot="1" x14ac:dyDescent="0.25">
      <c r="A119" s="95" t="s">
        <v>221</v>
      </c>
      <c r="B119" s="96"/>
      <c r="C119" s="100"/>
      <c r="D119" s="100"/>
      <c r="E119" s="101"/>
      <c r="F119" s="102"/>
      <c r="G119" s="173"/>
      <c r="H119" s="228">
        <v>8938</v>
      </c>
      <c r="I119" s="174"/>
    </row>
    <row r="120" spans="1:9" s="25" customFormat="1" ht="15.75" thickBot="1" x14ac:dyDescent="0.25">
      <c r="A120" s="95" t="s">
        <v>222</v>
      </c>
      <c r="B120" s="96"/>
      <c r="C120" s="96"/>
      <c r="D120" s="96"/>
      <c r="E120" s="97"/>
      <c r="F120" s="98"/>
      <c r="G120" s="173"/>
      <c r="H120" s="228">
        <v>9246</v>
      </c>
      <c r="I120" s="174"/>
    </row>
    <row r="121" spans="1:9" s="25" customFormat="1" ht="18" customHeight="1" thickBot="1" x14ac:dyDescent="0.25">
      <c r="A121" s="99" t="s">
        <v>223</v>
      </c>
      <c r="B121" s="100"/>
      <c r="C121" s="104"/>
      <c r="D121" s="104"/>
      <c r="E121" s="105"/>
      <c r="F121" s="106"/>
      <c r="G121" s="175"/>
      <c r="H121" s="229">
        <v>305</v>
      </c>
      <c r="I121" s="176"/>
    </row>
    <row r="122" spans="1:9" s="25" customFormat="1" ht="15.75" thickBot="1" x14ac:dyDescent="0.25">
      <c r="A122" s="103" t="s">
        <v>81</v>
      </c>
      <c r="B122" s="104"/>
      <c r="C122" s="104"/>
      <c r="D122" s="104"/>
      <c r="E122" s="105"/>
      <c r="F122" s="107"/>
      <c r="G122" s="474">
        <v>35.1</v>
      </c>
      <c r="H122" s="474"/>
      <c r="I122" s="474"/>
    </row>
    <row r="123" spans="1:9" s="25" customFormat="1" ht="15.75" thickBot="1" x14ac:dyDescent="0.25">
      <c r="A123" s="103" t="s">
        <v>80</v>
      </c>
      <c r="B123" s="104"/>
      <c r="C123" s="104"/>
      <c r="D123" s="104"/>
      <c r="E123" s="105"/>
      <c r="F123" s="106"/>
      <c r="G123" s="494">
        <v>8.5000000000000006E-2</v>
      </c>
      <c r="H123" s="495"/>
      <c r="I123" s="496"/>
    </row>
    <row r="124" spans="1:9" s="25" customFormat="1" ht="16.899999999999999" customHeight="1" x14ac:dyDescent="0.2">
      <c r="A124" s="90" t="s">
        <v>224</v>
      </c>
      <c r="B124" s="91"/>
      <c r="C124" s="91"/>
      <c r="D124" s="91"/>
      <c r="E124" s="92"/>
      <c r="F124" s="93"/>
      <c r="G124" s="497">
        <v>2.8299999999999999E-2</v>
      </c>
      <c r="H124" s="498"/>
      <c r="I124" s="499"/>
    </row>
    <row r="125" spans="1:9" s="25" customFormat="1" ht="15" x14ac:dyDescent="0.2">
      <c r="A125" s="95" t="s">
        <v>225</v>
      </c>
      <c r="B125" s="96"/>
      <c r="C125" s="96"/>
      <c r="D125" s="96"/>
      <c r="E125" s="97"/>
      <c r="F125" s="98"/>
      <c r="G125" s="476">
        <v>3.15E-2</v>
      </c>
      <c r="H125" s="477"/>
      <c r="I125" s="478"/>
    </row>
    <row r="126" spans="1:9" s="25" customFormat="1" ht="15" x14ac:dyDescent="0.2">
      <c r="A126" s="95" t="s">
        <v>226</v>
      </c>
      <c r="B126" s="96"/>
      <c r="C126" s="96"/>
      <c r="D126" s="96"/>
      <c r="E126" s="97"/>
      <c r="F126" s="98"/>
      <c r="G126" s="476">
        <v>2.7E-2</v>
      </c>
      <c r="H126" s="477"/>
      <c r="I126" s="478"/>
    </row>
    <row r="127" spans="1:9" s="25" customFormat="1" ht="15" x14ac:dyDescent="0.2">
      <c r="A127" s="95" t="s">
        <v>227</v>
      </c>
      <c r="B127" s="96"/>
      <c r="C127" s="96"/>
      <c r="D127" s="96"/>
      <c r="E127" s="97"/>
      <c r="F127" s="98"/>
      <c r="G127" s="476">
        <v>2.3800000000000002E-2</v>
      </c>
      <c r="H127" s="477"/>
      <c r="I127" s="478"/>
    </row>
    <row r="128" spans="1:9" s="25" customFormat="1" ht="15" x14ac:dyDescent="0.2">
      <c r="A128" s="95" t="s">
        <v>228</v>
      </c>
      <c r="B128" s="96"/>
      <c r="C128" s="96"/>
      <c r="D128" s="96"/>
      <c r="E128" s="97"/>
      <c r="F128" s="98"/>
      <c r="G128" s="476">
        <v>2.01E-2</v>
      </c>
      <c r="H128" s="477"/>
      <c r="I128" s="478"/>
    </row>
    <row r="129" spans="1:30" s="25" customFormat="1" ht="15" x14ac:dyDescent="0.2">
      <c r="A129" s="95" t="s">
        <v>229</v>
      </c>
      <c r="B129" s="96"/>
      <c r="C129" s="96"/>
      <c r="D129" s="96"/>
      <c r="E129" s="97"/>
      <c r="F129" s="98"/>
      <c r="G129" s="476">
        <v>1.8499999999999999E-2</v>
      </c>
      <c r="H129" s="477"/>
      <c r="I129" s="478"/>
    </row>
    <row r="130" spans="1:30" s="25" customFormat="1" ht="15.75" thickBot="1" x14ac:dyDescent="0.25">
      <c r="A130" s="99" t="s">
        <v>230</v>
      </c>
      <c r="B130" s="100"/>
      <c r="C130" s="100"/>
      <c r="D130" s="100"/>
      <c r="E130" s="101"/>
      <c r="F130" s="102"/>
      <c r="G130" s="500">
        <v>-5.9999999999999995E-4</v>
      </c>
      <c r="H130" s="501"/>
      <c r="I130" s="502"/>
    </row>
    <row r="131" spans="1:30" s="25" customFormat="1" ht="15.75" thickBot="1" x14ac:dyDescent="0.25">
      <c r="A131" s="90" t="s">
        <v>253</v>
      </c>
      <c r="B131" s="91"/>
      <c r="C131" s="91"/>
      <c r="D131" s="91"/>
      <c r="E131" s="92"/>
      <c r="F131" s="93"/>
      <c r="G131" s="235">
        <f>(0.45*0.3+0.68*(G$106/$H$106-0.75))/100</f>
        <v>4.0521246898263027E-3</v>
      </c>
      <c r="H131" s="235">
        <f>(0.45*0.3+0.68*(H$106/$H$106-0.75))/100</f>
        <v>3.0500000000000006E-3</v>
      </c>
      <c r="I131" s="235">
        <f>(0.45*0.3+0.68*(I$106/$H$106-0.75))/100</f>
        <v>2.6231544665012404E-3</v>
      </c>
    </row>
    <row r="132" spans="1:30" s="25" customFormat="1" ht="15.75" thickBot="1" x14ac:dyDescent="0.25">
      <c r="A132" s="90" t="s">
        <v>254</v>
      </c>
      <c r="B132" s="91"/>
      <c r="C132" s="91"/>
      <c r="D132" s="409">
        <f>al_seuil1_deg_I0_z1/al_loy_plaf_I0_z1</f>
        <v>3.3646132531341872</v>
      </c>
      <c r="E132" s="409">
        <f>al_seuil1_deg_I0_z2/al_loy_plaf_I0_z2</f>
        <v>2.4739454094292803</v>
      </c>
      <c r="F132" s="409">
        <f>al_seuil1_deg_I0_z3/al_loy_plaf_I0_z3</f>
        <v>2.4739585487941089</v>
      </c>
      <c r="G132" s="236">
        <v>995.69</v>
      </c>
      <c r="H132" s="237">
        <v>638.08000000000004</v>
      </c>
      <c r="I132" s="236">
        <v>598.03</v>
      </c>
    </row>
    <row r="133" spans="1:30" s="25" customFormat="1" ht="15" x14ac:dyDescent="0.2">
      <c r="A133" s="95" t="s">
        <v>255</v>
      </c>
      <c r="B133" s="96"/>
      <c r="C133" s="96"/>
      <c r="D133" s="409">
        <f>al_seuil1_deg_C0_z1/al_loy_plaf_c0_z1</f>
        <v>3.3645634876162727</v>
      </c>
      <c r="E133" s="409">
        <f>al_seuil1_deg_C0_z2/al_loy_plaf_C0_z2</f>
        <v>2.4739459596439546</v>
      </c>
      <c r="F133" s="409">
        <f>al_seuil1_deg_C0_z3/al_loy_plaf_C0_z3</f>
        <v>2.473996723996724</v>
      </c>
      <c r="G133" s="221">
        <v>1200.8800000000001</v>
      </c>
      <c r="H133" s="238">
        <v>781</v>
      </c>
      <c r="I133" s="221">
        <v>724.98</v>
      </c>
    </row>
    <row r="134" spans="1:30" s="25" customFormat="1" ht="15" x14ac:dyDescent="0.2">
      <c r="A134" s="95" t="s">
        <v>256</v>
      </c>
      <c r="B134" s="96"/>
      <c r="C134" s="96"/>
      <c r="D134" s="410">
        <f>al_seuil1_deg_1_pac_z1/al_loy_plaf_1_pac_z1</f>
        <v>3.3646099308361634</v>
      </c>
      <c r="E134" s="410">
        <f>al_seuil1_deg_1_pac_z2/al_loy_plaf_1_pac_z2</f>
        <v>2.4739746080004505</v>
      </c>
      <c r="F134" s="410">
        <f>al_seuil1_deg_1_pac_z3/al_loy_plaf_1_pac_z3</f>
        <v>2.4739933651885444</v>
      </c>
      <c r="G134" s="221">
        <v>1357.25</v>
      </c>
      <c r="H134" s="238">
        <v>878.83</v>
      </c>
      <c r="I134" s="221">
        <v>812.88</v>
      </c>
    </row>
    <row r="135" spans="1:30" s="25" customFormat="1" ht="15.75" thickBot="1" x14ac:dyDescent="0.25">
      <c r="A135" s="99" t="s">
        <v>257</v>
      </c>
      <c r="B135" s="100"/>
      <c r="C135" s="100"/>
      <c r="D135" s="411">
        <f>al_seuil1_deg_sup_pac_z1/al_loy_plaf_sup_pac_z1</f>
        <v>3.3644907723855089</v>
      </c>
      <c r="E135" s="411">
        <f>al_seuil1_deg_sup_pac_z2/al_loy_plaf_sup_pac_z2</f>
        <v>2.473887814313346</v>
      </c>
      <c r="F135" s="411">
        <f>al_seuil1_deg_sup_pac_z3/al_loy_plaf_sup_pac_z3</f>
        <v>2.4739859842854108</v>
      </c>
      <c r="G135" s="239">
        <v>196.89</v>
      </c>
      <c r="H135" s="240">
        <v>127.9</v>
      </c>
      <c r="I135" s="239">
        <v>116.5</v>
      </c>
    </row>
    <row r="136" spans="1:30" s="25" customFormat="1" ht="15.75" thickBot="1" x14ac:dyDescent="0.25">
      <c r="A136" s="90" t="s">
        <v>258</v>
      </c>
      <c r="B136" s="91"/>
      <c r="C136" s="91"/>
      <c r="D136" s="409">
        <f>al_seuil2_deg_I0_z1/al_loy_plaf_I0_z1</f>
        <v>3.9583685330990441</v>
      </c>
      <c r="E136" s="409">
        <f>al_seuil2_deg_I0_z2/al_loy_plaf_I0_z2</f>
        <v>3.0676566377171217</v>
      </c>
      <c r="F136" s="409">
        <f>al_seuil2_deg_I0_z3/al_loy_plaf_I0_z3</f>
        <v>3.0676788152070493</v>
      </c>
      <c r="G136" s="236">
        <v>1171.4000000000001</v>
      </c>
      <c r="H136" s="237">
        <v>791.21</v>
      </c>
      <c r="I136" s="236">
        <v>741.55</v>
      </c>
    </row>
    <row r="137" spans="1:30" s="25" customFormat="1" ht="15" x14ac:dyDescent="0.2">
      <c r="A137" s="95" t="s">
        <v>259</v>
      </c>
      <c r="B137" s="96"/>
      <c r="C137" s="96"/>
      <c r="D137" s="409">
        <f>al_seuil2_deg_C0_z1/al_loy_plaf_c0_z1</f>
        <v>3.9583099854309087</v>
      </c>
      <c r="E137" s="409">
        <f>al_seuil2_deg_C0_z2/al_loy_plaf_C0_z2</f>
        <v>3.0676929899585037</v>
      </c>
      <c r="F137" s="409">
        <f>al_seuil2_deg_C0_z3/al_loy_plaf_C0_z3</f>
        <v>3.0677381927381928</v>
      </c>
      <c r="G137" s="221">
        <v>1412.8</v>
      </c>
      <c r="H137" s="238">
        <v>968.44</v>
      </c>
      <c r="I137" s="221">
        <v>898.97</v>
      </c>
    </row>
    <row r="138" spans="1:30" s="25" customFormat="1" ht="15" x14ac:dyDescent="0.2">
      <c r="A138" s="95" t="s">
        <v>261</v>
      </c>
      <c r="B138" s="96"/>
      <c r="C138" s="96"/>
      <c r="D138" s="410">
        <f>al_seuil2_deg_1_pac_z1/al_loy_plaf_1_pac_z1</f>
        <v>3.9583529586752277</v>
      </c>
      <c r="E138" s="410">
        <f>al_seuil2_deg_1_pac_z2/al_loy_plaf_1_pac_z2</f>
        <v>3.067702615207049</v>
      </c>
      <c r="F138" s="410">
        <f>al_seuil2_deg_1_pac_z3/al_loy_plaf_1_pac_z3</f>
        <v>3.0677481206440032</v>
      </c>
      <c r="G138" s="221">
        <v>1596.76</v>
      </c>
      <c r="H138" s="238">
        <v>1089.74</v>
      </c>
      <c r="I138" s="221">
        <v>1007.97</v>
      </c>
    </row>
    <row r="139" spans="1:30" s="25" customFormat="1" ht="15.75" thickBot="1" x14ac:dyDescent="0.25">
      <c r="A139" s="99" t="s">
        <v>260</v>
      </c>
      <c r="B139" s="100"/>
      <c r="C139" s="100"/>
      <c r="D139" s="411">
        <f>al_seuil2_deg_sup_pac_z1/al_loy_plaf_sup_pac_z1</f>
        <v>3.9637730690362267</v>
      </c>
      <c r="E139" s="411">
        <f>al_seuil2_deg_sup_pac_z2/al_loy_plaf_sup_pac_z2</f>
        <v>3.0676982591876207</v>
      </c>
      <c r="F139" s="411">
        <f>al_seuil2_deg_sup_pac_z3/al_loy_plaf_sup_pac_z3</f>
        <v>3.0677426205139096</v>
      </c>
      <c r="G139" s="239">
        <v>231.96</v>
      </c>
      <c r="H139" s="240">
        <v>158.6</v>
      </c>
      <c r="I139" s="239">
        <v>144.46</v>
      </c>
    </row>
    <row r="140" spans="1:30" s="25" customFormat="1" ht="15.75" thickBot="1" x14ac:dyDescent="0.25">
      <c r="A140" s="99" t="s">
        <v>262</v>
      </c>
      <c r="B140" s="100"/>
      <c r="C140" s="100"/>
      <c r="D140" s="100"/>
      <c r="E140" s="101"/>
      <c r="F140" s="101"/>
      <c r="G140" s="241"/>
      <c r="H140" s="242">
        <v>5</v>
      </c>
      <c r="I140" s="243"/>
    </row>
    <row r="141" spans="1:30" s="25" customFormat="1" ht="15.75" thickBot="1" x14ac:dyDescent="0.25">
      <c r="A141" s="99" t="s">
        <v>26</v>
      </c>
      <c r="B141" s="100"/>
      <c r="C141" s="100"/>
      <c r="D141" s="100"/>
      <c r="E141" s="101"/>
      <c r="F141" s="101"/>
      <c r="G141" s="241"/>
      <c r="H141" s="242">
        <v>10</v>
      </c>
      <c r="I141" s="243"/>
      <c r="J141" s="117"/>
      <c r="P141" s="141"/>
      <c r="Q141" s="141"/>
      <c r="R141" s="141"/>
      <c r="S141" s="141"/>
    </row>
    <row r="142" spans="1:30" s="24" customFormat="1" ht="15.75" thickBot="1" x14ac:dyDescent="0.25">
      <c r="A142" s="108" t="s">
        <v>18</v>
      </c>
      <c r="B142" s="109"/>
      <c r="C142" s="109"/>
      <c r="D142" s="109"/>
      <c r="E142" s="109"/>
      <c r="F142" s="110"/>
      <c r="G142" s="475">
        <v>411.92</v>
      </c>
      <c r="H142" s="475"/>
      <c r="I142" s="475"/>
      <c r="J142" s="25"/>
      <c r="N142" s="25"/>
      <c r="P142" s="141"/>
      <c r="Q142" s="141"/>
      <c r="R142" s="141"/>
      <c r="S142" s="141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s="24" customFormat="1" ht="15.75" thickBot="1" x14ac:dyDescent="0.25">
      <c r="A143" s="108" t="s">
        <v>112</v>
      </c>
      <c r="B143" s="109"/>
      <c r="C143" s="109"/>
      <c r="D143" s="109"/>
      <c r="E143" s="109"/>
      <c r="F143" s="110"/>
      <c r="G143" s="474">
        <v>550.92999999999995</v>
      </c>
      <c r="H143" s="474"/>
      <c r="I143" s="474"/>
      <c r="J143" s="25"/>
      <c r="N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s="25" customFormat="1" ht="15" x14ac:dyDescent="0.2">
      <c r="A144" s="32"/>
    </row>
    <row r="145" spans="1:12" s="25" customFormat="1" ht="15" x14ac:dyDescent="0.2">
      <c r="A145" s="32"/>
    </row>
    <row r="146" spans="1:12" s="25" customFormat="1" ht="16.5" thickBot="1" x14ac:dyDescent="0.25">
      <c r="A146" s="88" t="s">
        <v>265</v>
      </c>
      <c r="B146" s="89"/>
      <c r="C146" s="89"/>
      <c r="D146" s="89"/>
      <c r="E146" s="89"/>
      <c r="F146" s="89"/>
      <c r="G146" s="89"/>
    </row>
    <row r="147" spans="1:12" s="25" customFormat="1" ht="15.75" x14ac:dyDescent="0.2">
      <c r="A147" s="111" t="s">
        <v>30</v>
      </c>
      <c r="B147" s="112"/>
      <c r="C147" s="112"/>
      <c r="D147" s="112"/>
      <c r="E147" s="112"/>
      <c r="F147" s="112"/>
      <c r="G147" s="218">
        <v>10064</v>
      </c>
      <c r="H147" s="509"/>
      <c r="I147" s="510"/>
      <c r="J147" s="510"/>
    </row>
    <row r="148" spans="1:12" s="25" customFormat="1" ht="15.75" x14ac:dyDescent="0.2">
      <c r="A148" s="114" t="s">
        <v>31</v>
      </c>
      <c r="B148" s="43"/>
      <c r="C148" s="43"/>
      <c r="D148" s="43"/>
      <c r="E148" s="43"/>
      <c r="F148" s="43"/>
      <c r="G148" s="219">
        <v>25659</v>
      </c>
      <c r="H148" s="113"/>
      <c r="J148" s="358"/>
    </row>
    <row r="149" spans="1:12" s="25" customFormat="1" ht="15" x14ac:dyDescent="0.2">
      <c r="A149" s="114" t="s">
        <v>32</v>
      </c>
      <c r="B149" s="43"/>
      <c r="C149" s="43"/>
      <c r="D149" s="43"/>
      <c r="E149" s="43"/>
      <c r="F149" s="43"/>
      <c r="G149" s="219">
        <v>73369</v>
      </c>
      <c r="I149" s="115"/>
    </row>
    <row r="150" spans="1:12" s="25" customFormat="1" ht="15" x14ac:dyDescent="0.2">
      <c r="A150" s="114" t="s">
        <v>33</v>
      </c>
      <c r="B150" s="43"/>
      <c r="C150" s="43"/>
      <c r="D150" s="43"/>
      <c r="E150" s="43"/>
      <c r="F150" s="43"/>
      <c r="G150" s="219">
        <v>157806</v>
      </c>
      <c r="H150" s="285"/>
      <c r="I150" s="115"/>
      <c r="J150" s="113"/>
    </row>
    <row r="151" spans="1:12" s="25" customFormat="1" ht="15" x14ac:dyDescent="0.2">
      <c r="A151" s="114" t="s">
        <v>34</v>
      </c>
      <c r="B151" s="43"/>
      <c r="C151" s="43"/>
      <c r="D151" s="43"/>
      <c r="E151" s="43"/>
      <c r="F151" s="43"/>
      <c r="G151" s="220">
        <v>0.11</v>
      </c>
    </row>
    <row r="152" spans="1:12" s="25" customFormat="1" ht="15" x14ac:dyDescent="0.2">
      <c r="A152" s="114" t="s">
        <v>35</v>
      </c>
      <c r="B152" s="43"/>
      <c r="C152" s="43"/>
      <c r="D152" s="43"/>
      <c r="E152" s="43"/>
      <c r="F152" s="43"/>
      <c r="G152" s="220">
        <v>0.3</v>
      </c>
      <c r="H152" s="285"/>
      <c r="J152" s="285"/>
    </row>
    <row r="153" spans="1:12" s="25" customFormat="1" ht="15.75" x14ac:dyDescent="0.2">
      <c r="A153" s="114" t="s">
        <v>36</v>
      </c>
      <c r="B153" s="43"/>
      <c r="C153" s="43"/>
      <c r="D153" s="43"/>
      <c r="E153" s="43"/>
      <c r="F153" s="43"/>
      <c r="G153" s="220">
        <v>0.41</v>
      </c>
      <c r="H153" s="113"/>
      <c r="L153" s="360" t="s">
        <v>369</v>
      </c>
    </row>
    <row r="154" spans="1:12" s="25" customFormat="1" ht="15" x14ac:dyDescent="0.2">
      <c r="A154" s="114" t="s">
        <v>37</v>
      </c>
      <c r="B154" s="43"/>
      <c r="C154" s="43"/>
      <c r="D154" s="43"/>
      <c r="E154" s="43"/>
      <c r="F154" s="43"/>
      <c r="G154" s="220">
        <v>0.45</v>
      </c>
      <c r="H154" s="285"/>
      <c r="J154" s="285"/>
      <c r="K154" s="361"/>
      <c r="L154" s="359">
        <f>J152-K156</f>
        <v>0</v>
      </c>
    </row>
    <row r="155" spans="1:12" s="25" customFormat="1" ht="15" x14ac:dyDescent="0.2">
      <c r="A155" s="68" t="s">
        <v>45</v>
      </c>
      <c r="B155" s="43"/>
      <c r="C155" s="43"/>
      <c r="D155" s="43"/>
      <c r="E155" s="43"/>
      <c r="F155" s="43"/>
      <c r="G155" s="221">
        <f>irpp_taux1*irpp_seuil1</f>
        <v>1107.04</v>
      </c>
      <c r="H155" s="113"/>
    </row>
    <row r="156" spans="1:12" s="25" customFormat="1" ht="15" x14ac:dyDescent="0.2">
      <c r="A156" s="114" t="s">
        <v>42</v>
      </c>
      <c r="B156" s="43"/>
      <c r="C156" s="43"/>
      <c r="D156" s="43"/>
      <c r="E156" s="43"/>
      <c r="F156" s="43"/>
      <c r="G156" s="221">
        <f>(irpp_taux2-irpp_taux1)*irpp_seuil2+G155</f>
        <v>5982.25</v>
      </c>
      <c r="H156" s="113"/>
    </row>
    <row r="157" spans="1:12" s="25" customFormat="1" ht="15" x14ac:dyDescent="0.2">
      <c r="A157" s="114" t="s">
        <v>43</v>
      </c>
      <c r="B157" s="43"/>
      <c r="C157" s="43"/>
      <c r="D157" s="43"/>
      <c r="E157" s="43"/>
      <c r="F157" s="43"/>
      <c r="G157" s="221">
        <f>(irpp_taux3-irpp_taux2)*irpp_seuil3+G156</f>
        <v>14052.84</v>
      </c>
      <c r="H157" s="113"/>
    </row>
    <row r="158" spans="1:12" s="25" customFormat="1" ht="15" x14ac:dyDescent="0.2">
      <c r="A158" s="114" t="s">
        <v>44</v>
      </c>
      <c r="B158" s="43"/>
      <c r="C158" s="43"/>
      <c r="D158" s="43"/>
      <c r="E158" s="43"/>
      <c r="F158" s="43"/>
      <c r="G158" s="221">
        <f>(irpp_taux4-irpp_taux3)*irpp_seuil4+G157</f>
        <v>20365.080000000005</v>
      </c>
      <c r="H158" s="113"/>
    </row>
    <row r="159" spans="1:12" s="25" customFormat="1" ht="15" x14ac:dyDescent="0.2">
      <c r="A159" s="114" t="s">
        <v>82</v>
      </c>
      <c r="B159" s="43"/>
      <c r="C159" s="43"/>
      <c r="D159" s="43"/>
      <c r="E159" s="43"/>
      <c r="F159" s="43"/>
      <c r="G159" s="220">
        <v>0.1</v>
      </c>
      <c r="H159" s="113"/>
    </row>
    <row r="160" spans="1:12" s="25" customFormat="1" ht="15" x14ac:dyDescent="0.2">
      <c r="A160" s="114" t="s">
        <v>38</v>
      </c>
      <c r="B160" s="43"/>
      <c r="C160" s="43"/>
      <c r="D160" s="43"/>
      <c r="E160" s="43"/>
      <c r="F160" s="43"/>
      <c r="G160" s="222">
        <v>12627</v>
      </c>
      <c r="H160" s="113"/>
    </row>
    <row r="161" spans="1:9" s="25" customFormat="1" ht="15" x14ac:dyDescent="0.2">
      <c r="A161" s="114" t="s">
        <v>39</v>
      </c>
      <c r="B161" s="43"/>
      <c r="C161" s="43"/>
      <c r="D161" s="43"/>
      <c r="E161" s="43"/>
      <c r="F161" s="43"/>
      <c r="G161" s="222">
        <v>441</v>
      </c>
      <c r="H161" s="113"/>
    </row>
    <row r="162" spans="1:9" s="25" customFormat="1" ht="15" x14ac:dyDescent="0.2">
      <c r="A162" s="114" t="s">
        <v>40</v>
      </c>
      <c r="B162" s="43"/>
      <c r="C162" s="43"/>
      <c r="D162" s="43"/>
      <c r="E162" s="43"/>
      <c r="F162" s="43"/>
      <c r="G162" s="222">
        <v>3697</v>
      </c>
      <c r="H162" s="113"/>
      <c r="I162" s="77"/>
    </row>
    <row r="163" spans="1:9" s="25" customFormat="1" ht="15" x14ac:dyDescent="0.2">
      <c r="A163" s="114" t="s">
        <v>83</v>
      </c>
      <c r="B163" s="43"/>
      <c r="C163" s="43"/>
      <c r="D163" s="43"/>
      <c r="E163" s="43"/>
      <c r="F163" s="43"/>
      <c r="G163" s="222">
        <v>1567</v>
      </c>
      <c r="H163" s="113"/>
    </row>
    <row r="164" spans="1:9" s="25" customFormat="1" ht="15" x14ac:dyDescent="0.2">
      <c r="A164" s="114" t="s">
        <v>84</v>
      </c>
      <c r="B164" s="167"/>
      <c r="C164" s="43"/>
      <c r="D164" s="43"/>
      <c r="E164" s="43"/>
      <c r="F164" s="43"/>
      <c r="G164" s="231">
        <v>0.45250000000000001</v>
      </c>
      <c r="H164" s="113"/>
    </row>
    <row r="165" spans="1:9" s="25" customFormat="1" ht="15" x14ac:dyDescent="0.2">
      <c r="A165" s="114" t="s">
        <v>41</v>
      </c>
      <c r="B165" s="43"/>
      <c r="C165" s="43"/>
      <c r="D165" s="43"/>
      <c r="E165" s="43"/>
      <c r="F165" s="43"/>
      <c r="G165" s="230">
        <v>1717</v>
      </c>
      <c r="H165" s="113"/>
      <c r="I165" s="116"/>
    </row>
    <row r="166" spans="1:9" s="25" customFormat="1" ht="15" x14ac:dyDescent="0.2">
      <c r="A166" s="114" t="s">
        <v>147</v>
      </c>
      <c r="B166" s="43"/>
      <c r="C166" s="43"/>
      <c r="D166" s="43"/>
      <c r="E166" s="43"/>
      <c r="F166" s="43"/>
      <c r="G166" s="230">
        <v>2842</v>
      </c>
      <c r="H166" s="113"/>
    </row>
    <row r="167" spans="1:9" s="25" customFormat="1" ht="15" x14ac:dyDescent="0.2">
      <c r="A167" s="114" t="s">
        <v>101</v>
      </c>
      <c r="B167" s="43"/>
      <c r="C167" s="43"/>
      <c r="D167" s="43"/>
      <c r="E167" s="43"/>
      <c r="F167" s="43"/>
      <c r="G167" s="222">
        <v>61</v>
      </c>
      <c r="H167" s="223"/>
    </row>
    <row r="168" spans="1:9" s="25" customFormat="1" ht="15" x14ac:dyDescent="0.2">
      <c r="A168" s="114" t="s">
        <v>102</v>
      </c>
      <c r="B168" s="43"/>
      <c r="C168" s="43"/>
      <c r="D168" s="43"/>
      <c r="E168" s="43"/>
      <c r="F168" s="43"/>
      <c r="G168" s="222">
        <v>153</v>
      </c>
      <c r="H168" s="223"/>
    </row>
    <row r="169" spans="1:9" s="25" customFormat="1" ht="15" x14ac:dyDescent="0.2">
      <c r="A169" s="114" t="s">
        <v>103</v>
      </c>
      <c r="B169" s="43"/>
      <c r="C169" s="43"/>
      <c r="D169" s="43"/>
      <c r="E169" s="43"/>
      <c r="F169" s="43"/>
      <c r="G169" s="222">
        <v>183</v>
      </c>
      <c r="H169" s="223"/>
    </row>
    <row r="170" spans="1:9" s="25" customFormat="1" ht="15" x14ac:dyDescent="0.2">
      <c r="A170" s="114" t="s">
        <v>363</v>
      </c>
      <c r="B170" s="43"/>
      <c r="C170" s="43"/>
      <c r="D170" s="43"/>
      <c r="E170" s="43"/>
      <c r="F170" s="43"/>
      <c r="G170" s="362">
        <v>0.5</v>
      </c>
      <c r="H170" s="113"/>
    </row>
    <row r="171" spans="1:9" s="25" customFormat="1" ht="15" x14ac:dyDescent="0.2">
      <c r="A171" s="114" t="s">
        <v>364</v>
      </c>
      <c r="B171" s="43"/>
      <c r="C171" s="43"/>
      <c r="D171" s="43"/>
      <c r="E171" s="43"/>
      <c r="F171" s="43"/>
      <c r="G171" s="222">
        <v>2300</v>
      </c>
      <c r="H171" s="113"/>
    </row>
    <row r="172" spans="1:9" s="25" customFormat="1" ht="15" x14ac:dyDescent="0.2">
      <c r="A172" s="114" t="s">
        <v>365</v>
      </c>
      <c r="B172" s="43"/>
      <c r="C172" s="43"/>
      <c r="D172" s="43"/>
      <c r="E172" s="43"/>
      <c r="F172" s="43"/>
      <c r="G172" s="362">
        <v>0.5</v>
      </c>
      <c r="H172" s="113"/>
    </row>
    <row r="173" spans="1:9" s="25" customFormat="1" ht="15" x14ac:dyDescent="0.2">
      <c r="A173" s="114" t="s">
        <v>366</v>
      </c>
      <c r="B173" s="43"/>
      <c r="C173" s="43"/>
      <c r="D173" s="43"/>
      <c r="E173" s="43"/>
      <c r="F173" s="43"/>
      <c r="G173" s="222">
        <v>12000</v>
      </c>
      <c r="H173" s="113"/>
    </row>
    <row r="174" spans="1:9" s="25" customFormat="1" ht="15" x14ac:dyDescent="0.2">
      <c r="A174" s="114" t="s">
        <v>367</v>
      </c>
      <c r="B174" s="43"/>
      <c r="C174" s="43"/>
      <c r="D174" s="43"/>
      <c r="E174" s="43"/>
      <c r="F174" s="43"/>
      <c r="G174" s="222">
        <v>1500</v>
      </c>
      <c r="H174" s="113"/>
    </row>
    <row r="175" spans="1:9" s="25" customFormat="1" ht="15" x14ac:dyDescent="0.2">
      <c r="A175" s="114" t="s">
        <v>368</v>
      </c>
      <c r="B175" s="43"/>
      <c r="C175" s="43"/>
      <c r="D175" s="43"/>
      <c r="E175" s="43"/>
      <c r="F175" s="43"/>
      <c r="G175" s="222">
        <v>15000</v>
      </c>
      <c r="H175" s="113"/>
    </row>
    <row r="176" spans="1:9" s="25" customFormat="1" ht="15" x14ac:dyDescent="0.2">
      <c r="A176" s="160" t="s">
        <v>204</v>
      </c>
      <c r="B176" s="161"/>
      <c r="C176" s="161"/>
      <c r="D176" s="161"/>
      <c r="E176" s="161"/>
      <c r="F176" s="164"/>
      <c r="G176" s="232">
        <v>250000</v>
      </c>
    </row>
    <row r="177" spans="1:53" s="25" customFormat="1" ht="15" x14ac:dyDescent="0.2">
      <c r="A177" s="160" t="s">
        <v>205</v>
      </c>
      <c r="B177" s="161"/>
      <c r="C177" s="161"/>
      <c r="D177" s="161"/>
      <c r="E177" s="161"/>
      <c r="F177" s="164"/>
      <c r="G177" s="232">
        <v>500000</v>
      </c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AE177" s="24"/>
      <c r="AF177" s="24"/>
      <c r="AG177" s="24"/>
      <c r="AH177" s="24"/>
      <c r="AI177" s="24"/>
      <c r="AJ177" s="24"/>
      <c r="AK177" s="24"/>
      <c r="AL177" s="24"/>
      <c r="AM177" s="24"/>
      <c r="AN177" s="24"/>
      <c r="AO177" s="24"/>
      <c r="AP177" s="24"/>
      <c r="AQ177" s="24"/>
      <c r="AR177" s="24"/>
      <c r="AS177" s="24"/>
      <c r="AT177" s="24"/>
      <c r="AU177" s="24"/>
      <c r="AV177" s="24"/>
      <c r="AW177" s="24"/>
      <c r="AX177" s="24"/>
      <c r="AY177" s="24"/>
      <c r="AZ177" s="24"/>
      <c r="BA177" s="24"/>
    </row>
    <row r="178" spans="1:53" s="25" customFormat="1" ht="15" x14ac:dyDescent="0.2">
      <c r="A178" s="160" t="s">
        <v>206</v>
      </c>
      <c r="B178" s="161"/>
      <c r="C178" s="161"/>
      <c r="D178" s="161"/>
      <c r="E178" s="161"/>
      <c r="F178" s="164"/>
      <c r="G178" s="233">
        <v>0.03</v>
      </c>
      <c r="K178" s="43"/>
      <c r="N178" s="24"/>
      <c r="O178" s="24"/>
      <c r="P178" s="24"/>
      <c r="Q178" s="24"/>
      <c r="R178" s="24"/>
      <c r="S178" s="24"/>
    </row>
    <row r="179" spans="1:53" s="25" customFormat="1" ht="15.75" thickBot="1" x14ac:dyDescent="0.25">
      <c r="A179" s="162" t="s">
        <v>207</v>
      </c>
      <c r="B179" s="163"/>
      <c r="C179" s="163"/>
      <c r="D179" s="163"/>
      <c r="E179" s="163"/>
      <c r="F179" s="165"/>
      <c r="G179" s="234">
        <v>0.04</v>
      </c>
      <c r="K179" s="43"/>
      <c r="N179" s="24"/>
      <c r="O179" s="24"/>
      <c r="P179" s="24"/>
      <c r="Q179" s="24"/>
      <c r="R179" s="24"/>
      <c r="S179" s="24"/>
    </row>
    <row r="180" spans="1:53" s="25" customFormat="1" ht="15" x14ac:dyDescent="0.2">
      <c r="A180" s="159"/>
      <c r="B180" s="158"/>
      <c r="C180" s="158"/>
      <c r="D180" s="158"/>
      <c r="E180" s="158"/>
      <c r="F180" s="158"/>
      <c r="G180" s="166"/>
      <c r="K180" s="43"/>
      <c r="N180" s="141"/>
      <c r="O180" s="141"/>
      <c r="P180" s="141"/>
      <c r="Q180" s="141"/>
      <c r="R180" s="141"/>
      <c r="S180" s="141"/>
    </row>
    <row r="182" spans="1:53" s="34" customFormat="1" ht="15.75" x14ac:dyDescent="0.2">
      <c r="A182" s="87" t="s">
        <v>317</v>
      </c>
      <c r="B182" s="311"/>
      <c r="C182" s="312"/>
      <c r="D182" s="312"/>
    </row>
    <row r="183" spans="1:53" s="25" customFormat="1" ht="15" x14ac:dyDescent="0.2">
      <c r="A183" s="32"/>
      <c r="B183" s="303"/>
      <c r="C183" s="57"/>
      <c r="D183" s="57"/>
    </row>
    <row r="184" spans="1:53" s="49" customFormat="1" ht="15.75" x14ac:dyDescent="0.2">
      <c r="A184" s="329" t="s">
        <v>318</v>
      </c>
      <c r="B184" s="330"/>
      <c r="C184" s="313"/>
      <c r="D184" s="427"/>
      <c r="E184" s="314"/>
      <c r="F184" s="314"/>
    </row>
    <row r="185" spans="1:53" s="49" customFormat="1" ht="15" x14ac:dyDescent="0.2">
      <c r="A185" s="294" t="s">
        <v>319</v>
      </c>
      <c r="B185" s="363">
        <v>3.59</v>
      </c>
      <c r="C185" s="313"/>
      <c r="D185" s="315"/>
      <c r="E185" s="315" t="s">
        <v>320</v>
      </c>
      <c r="F185" s="315" t="s">
        <v>321</v>
      </c>
    </row>
    <row r="186" spans="1:53" s="49" customFormat="1" ht="15" x14ac:dyDescent="0.2">
      <c r="A186" s="294" t="s">
        <v>322</v>
      </c>
      <c r="B186" s="363">
        <v>3.65</v>
      </c>
      <c r="C186" s="313"/>
      <c r="D186" s="314"/>
      <c r="E186" s="316">
        <f>(0.9825*(2.9+5.1)+7.8+3.05+1.15+0.8+2.4)/100</f>
        <v>0.2306</v>
      </c>
      <c r="F186" s="316">
        <f>(29.35+0.1+0.3+0.15+4.58+1.37+1.2+4)/100</f>
        <v>0.41050000000000003</v>
      </c>
    </row>
    <row r="187" spans="1:53" s="49" customFormat="1" ht="15" x14ac:dyDescent="0.2">
      <c r="A187" s="294" t="s">
        <v>323</v>
      </c>
      <c r="B187" s="363">
        <v>2.65</v>
      </c>
      <c r="C187" s="313"/>
      <c r="D187" s="313"/>
    </row>
    <row r="188" spans="1:53" s="49" customFormat="1" ht="15" x14ac:dyDescent="0.2">
      <c r="A188" s="294" t="s">
        <v>324</v>
      </c>
      <c r="B188" s="364">
        <v>3.4750000000000001</v>
      </c>
      <c r="C188" s="313"/>
      <c r="D188" s="313"/>
    </row>
    <row r="189" spans="1:53" s="49" customFormat="1" ht="15" x14ac:dyDescent="0.2">
      <c r="A189" s="294" t="s">
        <v>325</v>
      </c>
      <c r="B189" s="363">
        <v>18</v>
      </c>
      <c r="C189" s="313"/>
      <c r="D189" s="313"/>
    </row>
    <row r="190" spans="1:53" s="49" customFormat="1" ht="15" x14ac:dyDescent="0.2">
      <c r="A190" s="294" t="s">
        <v>326</v>
      </c>
      <c r="B190" s="363">
        <v>9</v>
      </c>
      <c r="C190" s="313"/>
      <c r="D190" s="313"/>
    </row>
    <row r="191" spans="1:53" s="49" customFormat="1" ht="15" x14ac:dyDescent="0.2">
      <c r="A191" s="327" t="s">
        <v>327</v>
      </c>
      <c r="B191" s="295">
        <f>B189*B188</f>
        <v>62.550000000000004</v>
      </c>
      <c r="C191" s="313"/>
      <c r="D191" s="313"/>
    </row>
    <row r="192" spans="1:53" s="49" customFormat="1" ht="15" x14ac:dyDescent="0.2">
      <c r="A192" s="294" t="s">
        <v>328</v>
      </c>
      <c r="B192" s="295">
        <f>assmat_nb_jour*assmat_nb_heures_par_jour*B185+assmat_nb_jour*B186+B191+cmg_cotis_assmat</f>
        <v>1187.5899999999999</v>
      </c>
      <c r="D192" s="374"/>
      <c r="E192" s="317"/>
      <c r="F192" s="317"/>
      <c r="G192" s="317"/>
    </row>
    <row r="193" spans="1:8" s="49" customFormat="1" ht="30" x14ac:dyDescent="0.2">
      <c r="A193" s="327" t="s">
        <v>329</v>
      </c>
      <c r="B193" s="328">
        <f>assmat_nb_jour*(assmat_nb_heures_par_jour*B$185+B$186)</f>
        <v>647.28</v>
      </c>
      <c r="C193" s="313"/>
      <c r="D193" s="374"/>
      <c r="E193" s="317"/>
      <c r="F193" s="317"/>
      <c r="G193" s="317"/>
    </row>
    <row r="194" spans="1:8" s="49" customFormat="1" ht="30" x14ac:dyDescent="0.2">
      <c r="A194" s="327" t="s">
        <v>330</v>
      </c>
      <c r="B194" s="328">
        <f>assmat_nb_jour*(assmat_nb_heures_par_jour*B$185+B$187)</f>
        <v>629.28</v>
      </c>
      <c r="C194" s="313"/>
      <c r="D194" s="374"/>
      <c r="E194" s="317"/>
      <c r="F194" s="318"/>
      <c r="G194" s="317"/>
    </row>
    <row r="195" spans="1:8" s="49" customFormat="1" ht="15.75" x14ac:dyDescent="0.2">
      <c r="A195" s="327" t="s">
        <v>331</v>
      </c>
      <c r="B195" s="365">
        <v>477.76</v>
      </c>
      <c r="C195" s="313"/>
      <c r="D195" s="313"/>
      <c r="E195" s="317"/>
      <c r="F195" s="317"/>
      <c r="G195" s="317"/>
    </row>
    <row r="196" spans="1:8" s="49" customFormat="1" ht="15.75" x14ac:dyDescent="0.2">
      <c r="A196" s="45"/>
      <c r="B196" s="331"/>
      <c r="C196" s="313"/>
      <c r="D196" s="313"/>
      <c r="E196" s="317"/>
      <c r="F196" s="317"/>
      <c r="G196" s="317"/>
    </row>
    <row r="197" spans="1:8" s="49" customFormat="1" ht="23.45" customHeight="1" x14ac:dyDescent="0.2">
      <c r="A197" s="329" t="s">
        <v>332</v>
      </c>
      <c r="B197" s="311"/>
      <c r="C197" s="313"/>
      <c r="D197" s="313"/>
    </row>
    <row r="198" spans="1:8" s="49" customFormat="1" ht="19.5" customHeight="1" x14ac:dyDescent="0.2">
      <c r="A198" s="294" t="s">
        <v>333</v>
      </c>
      <c r="B198" s="363">
        <v>9.2899999999999991</v>
      </c>
      <c r="C198" s="313"/>
      <c r="D198" s="313"/>
    </row>
    <row r="199" spans="1:8" s="49" customFormat="1" ht="15" x14ac:dyDescent="0.2">
      <c r="A199" s="294" t="s">
        <v>325</v>
      </c>
      <c r="B199" s="363">
        <v>18</v>
      </c>
      <c r="C199" s="313"/>
    </row>
    <row r="200" spans="1:8" s="49" customFormat="1" ht="15" x14ac:dyDescent="0.2">
      <c r="A200" s="294" t="s">
        <v>334</v>
      </c>
      <c r="B200" s="363">
        <v>8</v>
      </c>
    </row>
    <row r="201" spans="1:8" s="49" customFormat="1" ht="15" x14ac:dyDescent="0.2">
      <c r="A201" s="294" t="s">
        <v>335</v>
      </c>
      <c r="B201" s="363">
        <v>1</v>
      </c>
    </row>
    <row r="202" spans="1:8" s="49" customFormat="1" ht="15" x14ac:dyDescent="0.2">
      <c r="A202" s="327" t="s">
        <v>336</v>
      </c>
      <c r="B202" s="363">
        <f>B199*(B200+B201*2/3)*B198</f>
        <v>1449.2399999999998</v>
      </c>
    </row>
    <row r="203" spans="1:8" s="49" customFormat="1" ht="15" x14ac:dyDescent="0.2">
      <c r="A203" s="327" t="s">
        <v>370</v>
      </c>
      <c r="B203" s="363">
        <f>2*B199*(B200+2/3*B201)*0.9</f>
        <v>280.8</v>
      </c>
    </row>
    <row r="204" spans="1:8" s="49" customFormat="1" ht="15" x14ac:dyDescent="0.2">
      <c r="A204" s="327" t="s">
        <v>337</v>
      </c>
      <c r="B204" s="363">
        <v>1196.3599999999999</v>
      </c>
    </row>
    <row r="205" spans="1:8" s="49" customFormat="1" ht="15" x14ac:dyDescent="0.2">
      <c r="A205" s="327" t="s">
        <v>338</v>
      </c>
      <c r="B205" s="363">
        <v>2645.57</v>
      </c>
    </row>
    <row r="206" spans="1:8" s="49" customFormat="1" ht="15" x14ac:dyDescent="0.2"/>
    <row r="207" spans="1:8" s="49" customFormat="1" ht="15" x14ac:dyDescent="0.2">
      <c r="A207" s="319"/>
      <c r="B207" s="320"/>
      <c r="C207" s="313"/>
      <c r="D207" s="313"/>
      <c r="G207" s="321"/>
      <c r="H207" s="321"/>
    </row>
    <row r="208" spans="1:8" s="49" customFormat="1" ht="16.5" thickBot="1" x14ac:dyDescent="0.25">
      <c r="A208" s="329" t="s">
        <v>339</v>
      </c>
      <c r="B208" s="33"/>
      <c r="C208" s="57"/>
      <c r="D208" s="57"/>
      <c r="E208" s="25"/>
      <c r="F208" s="25"/>
      <c r="G208" s="321"/>
      <c r="H208" s="321"/>
    </row>
    <row r="209" spans="1:20" s="49" customFormat="1" ht="15" x14ac:dyDescent="0.2">
      <c r="A209" s="322" t="s">
        <v>340</v>
      </c>
      <c r="B209" s="322" t="s">
        <v>341</v>
      </c>
      <c r="C209" s="503" t="s">
        <v>342</v>
      </c>
      <c r="D209" s="504"/>
      <c r="E209" s="504"/>
      <c r="F209" s="505"/>
      <c r="G209" s="323"/>
      <c r="H209" s="323"/>
    </row>
    <row r="210" spans="1:20" s="49" customFormat="1" ht="15" x14ac:dyDescent="0.2">
      <c r="A210" s="294">
        <v>1</v>
      </c>
      <c r="B210" s="366">
        <v>5.9999999999999995E-4</v>
      </c>
      <c r="C210" s="367">
        <f>B210*B215*B216*B217</f>
        <v>1.1664000000000001</v>
      </c>
      <c r="D210" s="368"/>
      <c r="E210" s="368"/>
      <c r="F210" s="369"/>
      <c r="G210" s="168"/>
      <c r="H210" s="168"/>
      <c r="I210" s="167"/>
      <c r="J210" s="167"/>
      <c r="K210" s="167"/>
      <c r="L210" s="167"/>
      <c r="M210" s="167"/>
      <c r="N210" s="167"/>
      <c r="O210" s="167"/>
      <c r="P210" s="167"/>
      <c r="Q210" s="167"/>
      <c r="R210" s="167"/>
      <c r="S210" s="167"/>
      <c r="T210" s="167"/>
    </row>
    <row r="211" spans="1:20" s="49" customFormat="1" ht="15" x14ac:dyDescent="0.2">
      <c r="A211" s="294">
        <v>2</v>
      </c>
      <c r="B211" s="366">
        <v>5.0000000000000001E-4</v>
      </c>
      <c r="C211" s="367">
        <f>B211*B215*B216*B217</f>
        <v>0.97200000000000009</v>
      </c>
      <c r="D211" s="368"/>
      <c r="E211" s="368"/>
      <c r="F211" s="369"/>
      <c r="G211" s="323"/>
      <c r="H211" s="323"/>
    </row>
    <row r="212" spans="1:20" s="49" customFormat="1" ht="15" x14ac:dyDescent="0.2">
      <c r="A212" s="294">
        <v>3</v>
      </c>
      <c r="B212" s="366">
        <v>4.0000000000000002E-4</v>
      </c>
      <c r="C212" s="367">
        <f>B212*B215*B216*B217</f>
        <v>0.77759999999999996</v>
      </c>
      <c r="D212" s="368"/>
      <c r="E212" s="368"/>
      <c r="F212" s="369"/>
      <c r="G212" s="323"/>
      <c r="H212" s="323"/>
    </row>
    <row r="213" spans="1:20" s="49" customFormat="1" ht="15" x14ac:dyDescent="0.2">
      <c r="A213" s="294" t="s">
        <v>343</v>
      </c>
      <c r="B213" s="366">
        <v>2.9999999999999997E-4</v>
      </c>
      <c r="C213" s="367">
        <f>B213*B215*B216*B217</f>
        <v>0.58320000000000005</v>
      </c>
      <c r="D213" s="368"/>
      <c r="E213" s="368"/>
      <c r="F213" s="369"/>
    </row>
    <row r="214" spans="1:20" s="49" customFormat="1" ht="15" x14ac:dyDescent="0.2">
      <c r="A214" s="38"/>
      <c r="B214" s="370"/>
      <c r="C214" s="371"/>
      <c r="D214" s="372"/>
      <c r="E214" s="372"/>
      <c r="F214" s="372"/>
    </row>
    <row r="215" spans="1:20" s="49" customFormat="1" ht="15" x14ac:dyDescent="0.2">
      <c r="A215" s="294" t="s">
        <v>344</v>
      </c>
      <c r="B215" s="373">
        <v>8.64</v>
      </c>
      <c r="C215" s="506">
        <f>9*18</f>
        <v>162</v>
      </c>
      <c r="D215" s="507"/>
      <c r="E215" s="507"/>
      <c r="F215" s="508"/>
    </row>
    <row r="216" spans="1:20" s="49" customFormat="1" ht="15" x14ac:dyDescent="0.2">
      <c r="A216" s="294" t="s">
        <v>345</v>
      </c>
      <c r="B216" s="373">
        <v>5</v>
      </c>
      <c r="C216" s="506">
        <f>B215*B216*B217/12</f>
        <v>162.00000000000003</v>
      </c>
      <c r="D216" s="507"/>
      <c r="E216" s="507"/>
      <c r="F216" s="508"/>
    </row>
    <row r="217" spans="1:20" s="49" customFormat="1" ht="15" x14ac:dyDescent="0.2">
      <c r="A217" s="294" t="s">
        <v>346</v>
      </c>
      <c r="B217" s="373">
        <v>45</v>
      </c>
      <c r="C217" s="25"/>
      <c r="D217" s="25"/>
      <c r="E217" s="25"/>
      <c r="F217" s="25"/>
    </row>
    <row r="218" spans="1:20" s="49" customFormat="1" ht="15" x14ac:dyDescent="0.2">
      <c r="A218" s="294" t="s">
        <v>347</v>
      </c>
      <c r="B218" s="373">
        <v>705</v>
      </c>
      <c r="C218" s="25"/>
      <c r="D218" s="25"/>
      <c r="E218" s="32"/>
      <c r="F218" s="25"/>
    </row>
    <row r="219" spans="1:20" s="49" customFormat="1" ht="15" x14ac:dyDescent="0.2">
      <c r="A219" s="294" t="s">
        <v>348</v>
      </c>
      <c r="B219" s="373">
        <v>5600</v>
      </c>
      <c r="C219" s="25"/>
      <c r="D219" s="25"/>
      <c r="E219" s="32"/>
      <c r="F219" s="25"/>
    </row>
    <row r="220" spans="1:20" s="49" customFormat="1" ht="28.5" customHeight="1" x14ac:dyDescent="0.2">
      <c r="A220" s="324"/>
      <c r="B220" s="325"/>
      <c r="C220" s="25"/>
      <c r="D220" s="25"/>
      <c r="E220" s="32"/>
      <c r="F220" s="25"/>
    </row>
    <row r="221" spans="1:20" s="49" customFormat="1" ht="28.5" customHeight="1" x14ac:dyDescent="0.25">
      <c r="A221" s="326" t="s">
        <v>349</v>
      </c>
      <c r="B221" s="25"/>
      <c r="C221" s="25"/>
      <c r="D221" s="25"/>
      <c r="E221" s="25"/>
      <c r="F221" s="25"/>
    </row>
    <row r="222" spans="1:20" s="49" customFormat="1" ht="15" x14ac:dyDescent="0.2">
      <c r="A222" s="141" t="s">
        <v>350</v>
      </c>
      <c r="B222" s="25"/>
      <c r="C222" s="25"/>
      <c r="D222" s="25"/>
      <c r="E222" s="25"/>
      <c r="F222" s="25"/>
    </row>
    <row r="223" spans="1:20" s="49" customFormat="1" ht="15" x14ac:dyDescent="0.2">
      <c r="A223" s="141" t="s">
        <v>351</v>
      </c>
      <c r="B223" s="25"/>
      <c r="C223" s="25"/>
      <c r="D223" s="25"/>
      <c r="E223" s="25"/>
      <c r="F223" s="25"/>
    </row>
    <row r="224" spans="1:20" s="25" customFormat="1" ht="15" x14ac:dyDescent="0.2">
      <c r="A224" s="141" t="s">
        <v>352</v>
      </c>
    </row>
    <row r="225" spans="1:6" s="25" customFormat="1" ht="15" x14ac:dyDescent="0.2">
      <c r="A225" s="141" t="s">
        <v>353</v>
      </c>
    </row>
    <row r="228" spans="1:6" x14ac:dyDescent="0.2">
      <c r="A228" s="375" t="s">
        <v>372</v>
      </c>
    </row>
    <row r="229" spans="1:6" x14ac:dyDescent="0.2">
      <c r="A229" s="376" t="s">
        <v>373</v>
      </c>
      <c r="B229" s="377"/>
      <c r="C229" s="377"/>
      <c r="D229" s="377"/>
      <c r="E229" s="377"/>
      <c r="F229" s="378"/>
    </row>
    <row r="230" spans="1:6" ht="34.5" x14ac:dyDescent="0.2">
      <c r="A230" s="379"/>
      <c r="B230" s="387" t="s">
        <v>381</v>
      </c>
      <c r="C230" s="381">
        <f>rsa_I0</f>
        <v>564.78</v>
      </c>
      <c r="D230" s="377"/>
      <c r="E230" s="377"/>
      <c r="F230" s="378"/>
    </row>
    <row r="231" spans="1:6" x14ac:dyDescent="0.2">
      <c r="A231" s="382"/>
      <c r="B231" s="388"/>
      <c r="C231" s="383"/>
      <c r="D231" s="381" t="s">
        <v>374</v>
      </c>
      <c r="E231" s="383"/>
      <c r="F231" s="378"/>
    </row>
    <row r="232" spans="1:6" x14ac:dyDescent="0.2">
      <c r="A232" s="384"/>
      <c r="B232" s="389"/>
      <c r="C232" s="381" t="s">
        <v>375</v>
      </c>
      <c r="D232" s="381" t="s">
        <v>376</v>
      </c>
      <c r="E232" s="381" t="s">
        <v>377</v>
      </c>
      <c r="F232" s="381" t="s">
        <v>378</v>
      </c>
    </row>
    <row r="233" spans="1:6" x14ac:dyDescent="0.2">
      <c r="A233" s="384"/>
      <c r="B233" s="387"/>
      <c r="C233" s="381">
        <v>0</v>
      </c>
      <c r="D233" s="385">
        <v>0</v>
      </c>
      <c r="E233" s="385">
        <v>0</v>
      </c>
      <c r="F233" s="385">
        <v>0</v>
      </c>
    </row>
    <row r="234" spans="1:6" x14ac:dyDescent="0.2">
      <c r="A234" s="384"/>
      <c r="B234" s="389"/>
      <c r="C234" s="381">
        <v>1</v>
      </c>
      <c r="D234" s="386">
        <v>0.13500000000000001</v>
      </c>
      <c r="E234" s="386">
        <v>0.18</v>
      </c>
      <c r="F234" s="386">
        <v>0.09</v>
      </c>
    </row>
    <row r="235" spans="1:6" x14ac:dyDescent="0.2">
      <c r="A235" s="384"/>
      <c r="B235" s="387"/>
      <c r="C235" s="381">
        <v>2</v>
      </c>
      <c r="D235" s="386">
        <v>0.115</v>
      </c>
      <c r="E235" s="386">
        <v>0.155</v>
      </c>
      <c r="F235" s="386">
        <v>7.8E-2</v>
      </c>
    </row>
    <row r="236" spans="1:6" x14ac:dyDescent="0.2">
      <c r="A236" s="384"/>
      <c r="B236" s="387"/>
      <c r="C236" s="381">
        <v>3</v>
      </c>
      <c r="D236" s="386">
        <v>0.1</v>
      </c>
      <c r="E236" s="386">
        <v>0.13300000000000001</v>
      </c>
      <c r="F236" s="386">
        <v>6.7000000000000004E-2</v>
      </c>
    </row>
    <row r="237" spans="1:6" x14ac:dyDescent="0.2">
      <c r="A237" s="384"/>
      <c r="B237" s="389"/>
      <c r="C237" s="381">
        <v>4</v>
      </c>
      <c r="D237" s="386">
        <v>8.7999999999999995E-2</v>
      </c>
      <c r="E237" s="386">
        <v>0.11700000000000001</v>
      </c>
      <c r="F237" s="386">
        <v>5.8999999999999997E-2</v>
      </c>
    </row>
    <row r="238" spans="1:6" x14ac:dyDescent="0.2">
      <c r="A238" s="384"/>
      <c r="B238" s="389"/>
      <c r="C238" s="381">
        <v>5</v>
      </c>
      <c r="D238" s="386">
        <v>0.08</v>
      </c>
      <c r="E238" s="386">
        <v>0.106</v>
      </c>
      <c r="F238" s="386">
        <v>5.2999999999999999E-2</v>
      </c>
    </row>
    <row r="239" spans="1:6" x14ac:dyDescent="0.2">
      <c r="A239" s="384"/>
      <c r="B239" s="389"/>
      <c r="C239" s="381">
        <v>6</v>
      </c>
      <c r="D239" s="386">
        <v>7.4999999999999997E-2</v>
      </c>
      <c r="E239" s="386">
        <v>9.5000000000000001E-2</v>
      </c>
      <c r="F239" s="386">
        <v>4.8000000000000001E-2</v>
      </c>
    </row>
    <row r="240" spans="1:6" x14ac:dyDescent="0.2">
      <c r="B240" s="390"/>
    </row>
    <row r="241" spans="1:6" x14ac:dyDescent="0.2">
      <c r="B241" s="390"/>
    </row>
    <row r="242" spans="1:6" x14ac:dyDescent="0.2">
      <c r="A242" s="376" t="s">
        <v>379</v>
      </c>
      <c r="B242" s="388"/>
      <c r="C242" s="377"/>
      <c r="D242" s="377"/>
      <c r="E242" s="377"/>
      <c r="F242" s="378"/>
    </row>
    <row r="243" spans="1:6" ht="34.5" x14ac:dyDescent="0.2">
      <c r="A243" s="379"/>
      <c r="B243" s="387" t="s">
        <v>381</v>
      </c>
      <c r="C243" s="381">
        <v>0</v>
      </c>
      <c r="D243" s="377"/>
      <c r="E243" s="377"/>
      <c r="F243" s="378"/>
    </row>
    <row r="244" spans="1:6" ht="34.5" x14ac:dyDescent="0.2">
      <c r="A244" s="379"/>
      <c r="B244" s="387" t="s">
        <v>380</v>
      </c>
      <c r="C244" s="381">
        <f>rsa_I0</f>
        <v>564.78</v>
      </c>
      <c r="D244" s="377"/>
      <c r="E244" s="377"/>
      <c r="F244" s="378"/>
    </row>
    <row r="245" spans="1:6" x14ac:dyDescent="0.2">
      <c r="A245" s="382"/>
      <c r="B245" s="377"/>
      <c r="C245" s="383"/>
      <c r="D245" s="381" t="s">
        <v>374</v>
      </c>
      <c r="E245" s="383"/>
      <c r="F245" s="378"/>
    </row>
    <row r="246" spans="1:6" x14ac:dyDescent="0.2">
      <c r="A246" s="384"/>
      <c r="B246" s="383"/>
      <c r="C246" s="381" t="s">
        <v>375</v>
      </c>
      <c r="D246" s="381" t="s">
        <v>376</v>
      </c>
      <c r="E246" s="381" t="s">
        <v>377</v>
      </c>
      <c r="F246" s="381" t="s">
        <v>378</v>
      </c>
    </row>
    <row r="247" spans="1:6" x14ac:dyDescent="0.2">
      <c r="A247" s="384"/>
      <c r="B247" s="380"/>
      <c r="C247" s="381">
        <v>0</v>
      </c>
      <c r="D247" s="385">
        <v>0</v>
      </c>
      <c r="E247" s="385">
        <v>0</v>
      </c>
      <c r="F247" s="385">
        <v>0</v>
      </c>
    </row>
    <row r="248" spans="1:6" x14ac:dyDescent="0.2">
      <c r="A248" s="384"/>
      <c r="B248" s="383"/>
      <c r="C248" s="381">
        <v>1</v>
      </c>
      <c r="D248" s="386">
        <v>0.14000000000000001</v>
      </c>
      <c r="E248" s="386">
        <v>0.187</v>
      </c>
      <c r="F248" s="386">
        <v>9.2999999999999999E-2</v>
      </c>
    </row>
    <row r="249" spans="1:6" x14ac:dyDescent="0.2">
      <c r="A249" s="384"/>
      <c r="B249" s="380"/>
      <c r="C249" s="381">
        <v>2</v>
      </c>
      <c r="D249" s="386">
        <v>0.11799999999999999</v>
      </c>
      <c r="E249" s="386">
        <v>0.157</v>
      </c>
      <c r="F249" s="386">
        <v>7.9000000000000001E-2</v>
      </c>
    </row>
    <row r="250" spans="1:6" x14ac:dyDescent="0.2">
      <c r="A250" s="384"/>
      <c r="B250" s="380"/>
      <c r="C250" s="381">
        <v>3</v>
      </c>
      <c r="D250" s="386">
        <v>0.10199999999999999</v>
      </c>
      <c r="E250" s="386">
        <v>0.13600000000000001</v>
      </c>
      <c r="F250" s="386">
        <v>6.8000000000000005E-2</v>
      </c>
    </row>
    <row r="251" spans="1:6" x14ac:dyDescent="0.2">
      <c r="A251" s="384"/>
      <c r="B251" s="383"/>
      <c r="C251" s="381">
        <v>4</v>
      </c>
      <c r="D251" s="386">
        <v>0.09</v>
      </c>
      <c r="E251" s="386">
        <v>0.12</v>
      </c>
      <c r="F251" s="386">
        <v>0.06</v>
      </c>
    </row>
    <row r="252" spans="1:6" x14ac:dyDescent="0.2">
      <c r="A252" s="384"/>
      <c r="B252" s="383"/>
      <c r="C252" s="381">
        <v>5</v>
      </c>
      <c r="D252" s="386">
        <v>0.08</v>
      </c>
      <c r="E252" s="386">
        <v>0.107</v>
      </c>
      <c r="F252" s="386">
        <v>5.2999999999999999E-2</v>
      </c>
    </row>
    <row r="253" spans="1:6" x14ac:dyDescent="0.2">
      <c r="A253" s="384"/>
      <c r="B253" s="383"/>
      <c r="C253" s="381">
        <v>6</v>
      </c>
      <c r="D253" s="386">
        <v>7.1999999999999995E-2</v>
      </c>
      <c r="E253" s="386">
        <v>9.7000000000000003E-2</v>
      </c>
      <c r="F253" s="386">
        <v>4.8000000000000001E-2</v>
      </c>
    </row>
  </sheetData>
  <sheetProtection selectLockedCells="1" selectUnlockedCells="1"/>
  <mergeCells count="21">
    <mergeCell ref="C209:F209"/>
    <mergeCell ref="C215:F215"/>
    <mergeCell ref="C216:F216"/>
    <mergeCell ref="H147:J147"/>
    <mergeCell ref="G143:I143"/>
    <mergeCell ref="G122:I122"/>
    <mergeCell ref="G142:I142"/>
    <mergeCell ref="G128:I128"/>
    <mergeCell ref="E3:F3"/>
    <mergeCell ref="E4:F4"/>
    <mergeCell ref="G110:I110"/>
    <mergeCell ref="G111:I111"/>
    <mergeCell ref="G112:I112"/>
    <mergeCell ref="D16:E16"/>
    <mergeCell ref="G123:I123"/>
    <mergeCell ref="G124:I124"/>
    <mergeCell ref="G129:I129"/>
    <mergeCell ref="G130:I130"/>
    <mergeCell ref="G127:I127"/>
    <mergeCell ref="G125:I125"/>
    <mergeCell ref="G126:I126"/>
  </mergeCells>
  <hyperlinks>
    <hyperlink ref="K63" r:id="rId1" display="https://www.caf.fr/allocataires/droits-et-prestations/s-informer-sur-les-aides/conditions-generales"/>
  </hyperlinks>
  <pageMargins left="0.78740157499999996" right="0.78740157499999996" top="0.984251969" bottom="0.984251969" header="0.5" footer="0.5"/>
  <pageSetup paperSize="9" scale="64" fitToHeight="8" orientation="portrait" r:id="rId2"/>
  <headerFooter alignWithMargins="0"/>
  <rowBreaks count="1" manualBreakCount="1">
    <brk id="101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BF173"/>
  <sheetViews>
    <sheetView tabSelected="1" workbookViewId="0">
      <selection activeCell="D1" sqref="D1:BF1048576"/>
    </sheetView>
  </sheetViews>
  <sheetFormatPr baseColWidth="10" defaultColWidth="11.42578125" defaultRowHeight="12.75" x14ac:dyDescent="0.2"/>
  <cols>
    <col min="1" max="1" width="66.28515625" style="28" customWidth="1"/>
    <col min="2" max="2" width="38.85546875" style="28" customWidth="1"/>
    <col min="3" max="3" width="11.7109375" style="6" customWidth="1"/>
    <col min="4" max="58" width="11.42578125" style="6"/>
    <col min="59" max="16384" width="11.42578125" style="28"/>
  </cols>
  <sheetData>
    <row r="1" spans="1:3" s="6" customFormat="1" x14ac:dyDescent="0.2">
      <c r="A1" s="120"/>
      <c r="C1" s="181"/>
    </row>
    <row r="2" spans="1:3" ht="13.5" thickBot="1" x14ac:dyDescent="0.25">
      <c r="A2" s="2" t="s">
        <v>402</v>
      </c>
      <c r="C2" s="184"/>
    </row>
    <row r="3" spans="1:3" ht="13.5" thickBot="1" x14ac:dyDescent="0.25">
      <c r="A3" s="7" t="s">
        <v>27</v>
      </c>
      <c r="B3" s="7" t="s">
        <v>61</v>
      </c>
      <c r="C3" s="183" t="s">
        <v>11</v>
      </c>
    </row>
    <row r="4" spans="1:3" x14ac:dyDescent="0.2">
      <c r="A4" s="7" t="s">
        <v>104</v>
      </c>
      <c r="B4" s="7" t="s">
        <v>110</v>
      </c>
      <c r="C4" s="123">
        <v>14</v>
      </c>
    </row>
    <row r="5" spans="1:3" x14ac:dyDescent="0.2">
      <c r="A5" s="8" t="s">
        <v>105</v>
      </c>
      <c r="B5" s="8"/>
      <c r="C5" s="124">
        <v>9</v>
      </c>
    </row>
    <row r="6" spans="1:3" x14ac:dyDescent="0.2">
      <c r="A6" s="8" t="s">
        <v>106</v>
      </c>
      <c r="B6" s="8"/>
      <c r="C6" s="124">
        <v>6</v>
      </c>
    </row>
    <row r="7" spans="1:3" x14ac:dyDescent="0.2">
      <c r="A7" s="8" t="s">
        <v>107</v>
      </c>
      <c r="B7" s="8"/>
      <c r="C7" s="124">
        <v>-1</v>
      </c>
    </row>
    <row r="8" spans="1:3" x14ac:dyDescent="0.2">
      <c r="A8" s="8" t="s">
        <v>108</v>
      </c>
      <c r="B8" s="8"/>
      <c r="C8" s="124">
        <v>-1</v>
      </c>
    </row>
    <row r="9" spans="1:3" ht="13.5" thickBot="1" x14ac:dyDescent="0.25">
      <c r="A9" s="9" t="s">
        <v>109</v>
      </c>
      <c r="B9" s="9"/>
      <c r="C9" s="124">
        <v>-1</v>
      </c>
    </row>
    <row r="10" spans="1:3" ht="13.5" thickBot="1" x14ac:dyDescent="0.25">
      <c r="A10" s="428" t="s">
        <v>415</v>
      </c>
      <c r="B10" s="428"/>
      <c r="C10" s="412">
        <f>(C$4&gt;=18)+(C$5&gt;=18)+(C$6&gt;=18)+(C$7&gt;=18)+(C$8&gt;=18)+(C$9&gt;=18)</f>
        <v>0</v>
      </c>
    </row>
    <row r="11" spans="1:3" s="1" customFormat="1" ht="13.5" thickBot="1" x14ac:dyDescent="0.25">
      <c r="A11" s="11"/>
      <c r="B11" s="11"/>
      <c r="C11" s="11"/>
    </row>
    <row r="12" spans="1:3" ht="13.5" thickBot="1" x14ac:dyDescent="0.25">
      <c r="A12" s="7" t="s">
        <v>75</v>
      </c>
      <c r="B12" s="7" t="s">
        <v>76</v>
      </c>
      <c r="C12" s="123">
        <v>1</v>
      </c>
    </row>
    <row r="13" spans="1:3" ht="13.5" thickBot="1" x14ac:dyDescent="0.25">
      <c r="A13" s="17" t="s">
        <v>92</v>
      </c>
      <c r="B13" s="17" t="s">
        <v>76</v>
      </c>
      <c r="C13" s="126">
        <v>0</v>
      </c>
    </row>
    <row r="14" spans="1:3" s="6" customFormat="1" ht="13.5" thickBot="1" x14ac:dyDescent="0.25">
      <c r="A14" s="11"/>
      <c r="B14" s="11"/>
      <c r="C14" s="304"/>
    </row>
    <row r="15" spans="1:3" x14ac:dyDescent="0.2">
      <c r="A15" s="149" t="s">
        <v>297</v>
      </c>
      <c r="B15" s="334" t="s">
        <v>298</v>
      </c>
      <c r="C15" s="335">
        <v>0</v>
      </c>
    </row>
    <row r="16" spans="1:3" x14ac:dyDescent="0.2">
      <c r="A16" s="185" t="s">
        <v>299</v>
      </c>
      <c r="B16" s="305"/>
      <c r="C16" s="306">
        <v>0</v>
      </c>
    </row>
    <row r="17" spans="1:4" x14ac:dyDescent="0.2">
      <c r="A17" s="185" t="s">
        <v>300</v>
      </c>
      <c r="B17" s="305"/>
      <c r="C17" s="306">
        <v>0</v>
      </c>
    </row>
    <row r="18" spans="1:4" ht="13.5" thickBot="1" x14ac:dyDescent="0.25">
      <c r="A18" s="307" t="s">
        <v>301</v>
      </c>
      <c r="B18" s="336"/>
      <c r="C18" s="337">
        <v>0</v>
      </c>
    </row>
    <row r="19" spans="1:4" x14ac:dyDescent="0.2">
      <c r="A19" s="185" t="s">
        <v>302</v>
      </c>
      <c r="B19" s="185" t="s">
        <v>303</v>
      </c>
      <c r="C19" s="333">
        <v>1</v>
      </c>
    </row>
    <row r="20" spans="1:4" ht="13.5" thickBot="1" x14ac:dyDescent="0.25">
      <c r="A20" s="307" t="s">
        <v>354</v>
      </c>
      <c r="B20" s="307" t="s">
        <v>303</v>
      </c>
      <c r="C20" s="332">
        <v>1</v>
      </c>
    </row>
    <row r="21" spans="1:4" s="1" customFormat="1" ht="13.5" thickBot="1" x14ac:dyDescent="0.25">
      <c r="A21" s="11"/>
      <c r="B21" s="11"/>
      <c r="C21" s="11"/>
    </row>
    <row r="22" spans="1:4" ht="13.5" thickBot="1" x14ac:dyDescent="0.25">
      <c r="A22" s="17" t="s">
        <v>67</v>
      </c>
      <c r="B22" s="17" t="s">
        <v>66</v>
      </c>
      <c r="C22" s="126">
        <v>1</v>
      </c>
    </row>
    <row r="23" spans="1:4" ht="13.5" thickBot="1" x14ac:dyDescent="0.25">
      <c r="A23" s="121" t="s">
        <v>213</v>
      </c>
      <c r="B23" s="121" t="s">
        <v>210</v>
      </c>
      <c r="C23" s="170" t="s">
        <v>399</v>
      </c>
    </row>
    <row r="24" spans="1:4" s="6" customFormat="1" x14ac:dyDescent="0.2">
      <c r="A24" s="23"/>
      <c r="B24" s="23"/>
      <c r="C24" s="340"/>
    </row>
    <row r="25" spans="1:4" s="1" customFormat="1" ht="13.5" thickBot="1" x14ac:dyDescent="0.25">
      <c r="A25" s="339" t="s">
        <v>355</v>
      </c>
      <c r="B25" s="11"/>
      <c r="C25" s="338">
        <f>(C26+C27)/smic</f>
        <v>1.2309207287050714</v>
      </c>
    </row>
    <row r="26" spans="1:4" x14ac:dyDescent="0.2">
      <c r="A26" s="149" t="s">
        <v>238</v>
      </c>
      <c r="B26" s="149" t="s">
        <v>71</v>
      </c>
      <c r="C26" s="420">
        <v>1500</v>
      </c>
    </row>
    <row r="27" spans="1:4" ht="13.5" thickBot="1" x14ac:dyDescent="0.25">
      <c r="A27" s="185" t="s">
        <v>239</v>
      </c>
      <c r="B27" s="185" t="s">
        <v>71</v>
      </c>
      <c r="C27" s="421">
        <v>0</v>
      </c>
    </row>
    <row r="28" spans="1:4" x14ac:dyDescent="0.2">
      <c r="A28" s="415" t="s">
        <v>400</v>
      </c>
      <c r="B28" s="422"/>
      <c r="C28" s="416">
        <f>MIN(100%,C26/smic)</f>
        <v>1</v>
      </c>
    </row>
    <row r="29" spans="1:4" ht="13.5" thickBot="1" x14ac:dyDescent="0.25">
      <c r="A29" s="417" t="s">
        <v>401</v>
      </c>
      <c r="B29" s="423"/>
      <c r="C29" s="419">
        <f>MIN(100%,C27/smic)</f>
        <v>0</v>
      </c>
    </row>
    <row r="30" spans="1:4" ht="13.5" thickBot="1" x14ac:dyDescent="0.25">
      <c r="A30" s="418"/>
      <c r="B30" s="418"/>
      <c r="C30" s="424"/>
      <c r="D30" s="1"/>
    </row>
    <row r="31" spans="1:4" ht="13.5" thickBot="1" x14ac:dyDescent="0.25">
      <c r="A31" s="413" t="s">
        <v>141</v>
      </c>
      <c r="B31" s="9"/>
      <c r="C31" s="414">
        <v>1000</v>
      </c>
    </row>
    <row r="32" spans="1:4" ht="13.5" thickBot="1" x14ac:dyDescent="0.25">
      <c r="A32" s="26" t="s">
        <v>416</v>
      </c>
      <c r="B32" s="17"/>
      <c r="C32" s="182">
        <v>0</v>
      </c>
    </row>
    <row r="33" spans="1:58" s="6" customFormat="1" ht="13.5" thickBot="1" x14ac:dyDescent="0.25">
      <c r="A33" s="26" t="s">
        <v>156</v>
      </c>
      <c r="B33" s="17"/>
      <c r="C33" s="182">
        <v>0</v>
      </c>
    </row>
    <row r="34" spans="1:58" s="6" customFormat="1" x14ac:dyDescent="0.2">
      <c r="A34" s="4"/>
      <c r="B34" s="122"/>
      <c r="C34" s="180"/>
    </row>
    <row r="35" spans="1:58" s="432" customFormat="1" ht="13.5" thickBot="1" x14ac:dyDescent="0.25">
      <c r="A35" s="429" t="s">
        <v>408</v>
      </c>
      <c r="B35" s="430"/>
      <c r="C35" s="431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</row>
    <row r="36" spans="1:58" s="432" customFormat="1" x14ac:dyDescent="0.2">
      <c r="A36" s="433" t="s">
        <v>403</v>
      </c>
      <c r="B36" s="434"/>
      <c r="C36" s="435">
        <f>C26+C27+C31+C32</f>
        <v>2500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</row>
    <row r="37" spans="1:58" s="432" customFormat="1" x14ac:dyDescent="0.2">
      <c r="A37" s="436" t="s">
        <v>1</v>
      </c>
      <c r="B37" s="437"/>
      <c r="C37" s="438">
        <f>(C$74+C$75+C$76)*IF(C$36&lt;=C$77,1,IF(C$36&lt;=C$78,0.5,0.25))+C$79</f>
        <v>366.97192000000001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</row>
    <row r="38" spans="1:58" s="432" customFormat="1" x14ac:dyDescent="0.2">
      <c r="A38" s="439" t="s">
        <v>143</v>
      </c>
      <c r="B38" s="440"/>
      <c r="C38" s="441">
        <f>C$84</f>
        <v>171.73461199999997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</row>
    <row r="39" spans="1:58" s="432" customFormat="1" x14ac:dyDescent="0.2">
      <c r="A39" s="439" t="s">
        <v>144</v>
      </c>
      <c r="B39" s="440"/>
      <c r="C39" s="441">
        <f>C$85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</row>
    <row r="40" spans="1:58" s="432" customFormat="1" x14ac:dyDescent="0.2">
      <c r="A40" s="439" t="s">
        <v>2</v>
      </c>
      <c r="B40" s="440"/>
      <c r="C40" s="441">
        <f>(C$12=1)*(C$3="isolé")*MAX(0,asf*C64-C$32)*((asf*C$64-C$32)&gt;=15)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</row>
    <row r="41" spans="1:58" s="432" customFormat="1" x14ac:dyDescent="0.2">
      <c r="A41" s="439" t="s">
        <v>72</v>
      </c>
      <c r="B41" s="440"/>
      <c r="C41" s="441">
        <f>C90/12</f>
        <v>94.186023399999996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</row>
    <row r="42" spans="1:58" s="432" customFormat="1" x14ac:dyDescent="0.2">
      <c r="A42" s="439" t="s">
        <v>50</v>
      </c>
      <c r="B42" s="440"/>
      <c r="C42" s="441">
        <f>(C$67&gt;0)*IF(Coef_n_2*C36&lt;C93,ab,IF(Coef_n_2*C36&lt;C94,ab_réduit,0))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</row>
    <row r="43" spans="1:58" s="432" customFormat="1" x14ac:dyDescent="0.2">
      <c r="A43" s="442" t="s">
        <v>304</v>
      </c>
      <c r="B43" s="440"/>
      <c r="C43" s="441">
        <f>C$99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</row>
    <row r="44" spans="1:58" s="432" customFormat="1" x14ac:dyDescent="0.2">
      <c r="A44" s="442" t="s">
        <v>305</v>
      </c>
      <c r="B44" s="440"/>
      <c r="C44" s="441">
        <f>(C$15&gt;0)*MIN((1-taux_CRDS)*cmg_part_max_pcsn*C$102,IF(Coef_n_2*C$36&lt;cmg_plaf_1_pct_plaf_inter*C$113,cmg_max,IF(Coef_n_2*C$36&lt;C$113,cmg_inter,cmg_min)))+(C$16+C$17&gt;0)*MIN((1-taux_CRDS)*cmg_part_max_pcsn*C$109,IF(Coef_n_2*C$36&lt;cmg_plaf_1_pct_plaf_inter*C$113,cmg_max,IF(Coef_n_2*C$36&lt;C$113,cmg_inter,cmg_min)))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</row>
    <row r="45" spans="1:58" s="432" customFormat="1" x14ac:dyDescent="0.2">
      <c r="A45" s="442" t="s">
        <v>306</v>
      </c>
      <c r="B45" s="440"/>
      <c r="C45" s="441">
        <f>(C$15&gt;0)*C$103+(C$16+C$17&gt;0)*C$108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</row>
    <row r="46" spans="1:58" s="432" customFormat="1" x14ac:dyDescent="0.2">
      <c r="A46" s="443" t="s">
        <v>149</v>
      </c>
      <c r="B46" s="444"/>
      <c r="C46" s="445">
        <f>SUM(C37:C42)</f>
        <v>632.89255539999988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</row>
    <row r="47" spans="1:58" s="432" customFormat="1" x14ac:dyDescent="0.2">
      <c r="A47" s="446" t="s">
        <v>74</v>
      </c>
      <c r="B47" s="447"/>
      <c r="C47" s="448">
        <f>C132</f>
        <v>108.42147100495828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</row>
    <row r="48" spans="1:58" s="432" customFormat="1" x14ac:dyDescent="0.2">
      <c r="A48" s="446" t="s">
        <v>406</v>
      </c>
      <c r="B48" s="449"/>
      <c r="C48" s="448">
        <f>(C$138&gt;=6)*C$138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</row>
    <row r="49" spans="1:58" s="432" customFormat="1" x14ac:dyDescent="0.2">
      <c r="A49" s="450" t="s">
        <v>407</v>
      </c>
      <c r="B49" s="451"/>
      <c r="C49" s="452">
        <f>(C$147&gt;=pa_seuil_versement)*C$147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</row>
    <row r="50" spans="1:58" s="432" customFormat="1" x14ac:dyDescent="0.2">
      <c r="A50" s="446" t="s">
        <v>404</v>
      </c>
      <c r="B50" s="447"/>
      <c r="C50" s="448">
        <f>C46+C47+C48+C49</f>
        <v>741.31402640495821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</row>
    <row r="51" spans="1:58" s="432" customFormat="1" x14ac:dyDescent="0.2">
      <c r="A51" s="446" t="s">
        <v>62</v>
      </c>
      <c r="B51" s="449"/>
      <c r="C51" s="448">
        <f>C$172/12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</row>
    <row r="52" spans="1:58" s="432" customFormat="1" ht="13.5" thickBot="1" x14ac:dyDescent="0.25">
      <c r="A52" s="453" t="s">
        <v>405</v>
      </c>
      <c r="B52" s="454"/>
      <c r="C52" s="455">
        <f>C$36+C$50-C$51-C$33</f>
        <v>3241.314026404958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</row>
    <row r="53" spans="1:58" s="459" customFormat="1" x14ac:dyDescent="0.2">
      <c r="A53" s="456"/>
      <c r="B53" s="457"/>
      <c r="C53" s="458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</row>
    <row r="54" spans="1:58" s="459" customFormat="1" ht="13.5" thickBot="1" x14ac:dyDescent="0.25">
      <c r="A54" s="429" t="s">
        <v>409</v>
      </c>
      <c r="B54" s="457"/>
      <c r="C54" s="458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</row>
    <row r="55" spans="1:58" s="432" customFormat="1" x14ac:dyDescent="0.2">
      <c r="A55" s="460" t="s">
        <v>269</v>
      </c>
      <c r="B55" s="461"/>
      <c r="C55" s="462">
        <f>((C$3="isolé")+(C$3="couple")*1.5)+0.3*MAX(C63:C66)+0.2*C69</f>
        <v>2.6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</row>
    <row r="56" spans="1:58" s="432" customFormat="1" ht="13.5" thickBot="1" x14ac:dyDescent="0.25">
      <c r="A56" s="463" t="s">
        <v>73</v>
      </c>
      <c r="B56" s="464"/>
      <c r="C56" s="465">
        <f>C52/C55</f>
        <v>1246.6592409249838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</row>
    <row r="57" spans="1:58" s="432" customFormat="1" x14ac:dyDescent="0.2">
      <c r="A57" s="460" t="s">
        <v>410</v>
      </c>
      <c r="B57" s="466"/>
      <c r="C57" s="467">
        <f>C104+C116-C167/12+C110-C169/12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</row>
    <row r="58" spans="1:58" s="432" customFormat="1" x14ac:dyDescent="0.2">
      <c r="A58" s="442" t="s">
        <v>411</v>
      </c>
      <c r="B58" s="468"/>
      <c r="C58" s="469">
        <f>C52-C57</f>
        <v>3241.314026404958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</row>
    <row r="59" spans="1:58" s="432" customFormat="1" ht="13.5" thickBot="1" x14ac:dyDescent="0.25">
      <c r="A59" s="463" t="s">
        <v>412</v>
      </c>
      <c r="B59" s="470"/>
      <c r="C59" s="465">
        <f>C58/C55</f>
        <v>1246.6592409249838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</row>
    <row r="60" spans="1:58" s="6" customFormat="1" x14ac:dyDescent="0.2">
      <c r="A60" s="4"/>
      <c r="B60" s="150"/>
      <c r="C60" s="254"/>
    </row>
    <row r="61" spans="1:58" s="425" customFormat="1" x14ac:dyDescent="0.2">
      <c r="A61" s="255" t="s">
        <v>413</v>
      </c>
      <c r="B61" s="255"/>
      <c r="C61" s="255"/>
    </row>
    <row r="62" spans="1:58" s="425" customFormat="1" x14ac:dyDescent="0.2">
      <c r="A62" s="284" t="s">
        <v>414</v>
      </c>
      <c r="B62" s="6"/>
      <c r="C62" s="261"/>
    </row>
    <row r="63" spans="1:58" hidden="1" x14ac:dyDescent="0.2">
      <c r="A63" s="256" t="s">
        <v>115</v>
      </c>
      <c r="B63" s="257"/>
      <c r="C63" s="132">
        <f>(C$4&gt;=0)*(C$4&lt;18)+(C$5&gt;=0)*(C$5&lt;18)+(C$6&gt;=0)*(C$6&lt;18)+(C$7&gt;=0)*(C$7&lt;18)+(C$8&gt;=0)*(C$8&lt;18)+(C$9&gt;=0)*(C$9&lt;18)+(C$10&gt;0)*C$10</f>
        <v>3</v>
      </c>
    </row>
    <row r="64" spans="1:58" hidden="1" x14ac:dyDescent="0.2">
      <c r="A64" s="247" t="s">
        <v>116</v>
      </c>
      <c r="B64" s="11"/>
      <c r="C64" s="124">
        <f>(C$4&gt;=0)*(C$4&lt;20)+(C$5&gt;=0)*(C$5&lt;20)+(C$6&gt;=0)*(C$6&lt;20)+(C$7&gt;=0)*(C$7&lt;20)+(C$8&gt;=0)*(C$8&lt;20)+(C$9&gt;=0)*(C$9&lt;20)</f>
        <v>3</v>
      </c>
    </row>
    <row r="65" spans="1:3" hidden="1" x14ac:dyDescent="0.2">
      <c r="A65" s="247" t="s">
        <v>138</v>
      </c>
      <c r="B65" s="11"/>
      <c r="C65" s="124">
        <f>(C$4&gt;=0)*(C$4&lt;21)+(C$5&gt;=0)*(C$5&lt;21)+(C$6&gt;=0)*(C$6&lt;21)+(C$7&gt;=0)*(C$7&lt;21)+(C$8&gt;=0)*(C$8&lt;21)+(C$9&gt;=0)*(C$9&lt;21)</f>
        <v>3</v>
      </c>
    </row>
    <row r="66" spans="1:3" hidden="1" x14ac:dyDescent="0.2">
      <c r="A66" s="247" t="s">
        <v>117</v>
      </c>
      <c r="B66" s="11"/>
      <c r="C66" s="124">
        <f>(C$4&gt;=0)*(C$4&lt;25)+(C$5&gt;=0)*(C$5&lt;25)+(C$6&gt;=0)*(C$6&lt;25)+(C$7&gt;=0)*(C$7&lt;25)+(C$8&gt;=0)*(C$8&lt;25)+(C$9&gt;=0)*(C$9&lt;25)</f>
        <v>3</v>
      </c>
    </row>
    <row r="67" spans="1:3" hidden="1" x14ac:dyDescent="0.2">
      <c r="A67" s="247" t="s">
        <v>49</v>
      </c>
      <c r="B67" s="11"/>
      <c r="C67" s="124">
        <f>(C$4&gt;=0)*(C$4&lt;3)+(C$5&gt;=0)*(C$5&lt;3)+(C$6&gt;=0)*(C$6&lt;3)+(C$7&gt;=0)*(C$7&lt;3)+(C$8&gt;=0)*(C$8&lt;3)+(C$9&gt;=0)*(C$9&lt;3)</f>
        <v>0</v>
      </c>
    </row>
    <row r="68" spans="1:3" hidden="1" x14ac:dyDescent="0.2">
      <c r="A68" s="247" t="s">
        <v>118</v>
      </c>
      <c r="B68" s="11"/>
      <c r="C68" s="124">
        <f>(C$4&gt;=14)*(C$4&lt;20)+(C$5&gt;=14)*(C$5&lt;20)+(C$6&gt;=14)*(C$6&lt;20)+(C$7&gt;=14)*(C$7&lt;20)+(C$8&gt;=14)*(C$8&lt;20)+(C$9&gt;=14)*(C$9&lt;20)</f>
        <v>1</v>
      </c>
    </row>
    <row r="69" spans="1:3" hidden="1" x14ac:dyDescent="0.2">
      <c r="A69" s="258" t="s">
        <v>187</v>
      </c>
      <c r="B69" s="11"/>
      <c r="C69" s="124">
        <f>(C$4&gt;=14)+(C$5&gt;=14)+(C$6&gt;=14)+(C$7&gt;=14)+(C$8&gt;=14)+(C$9&gt;=14)</f>
        <v>1</v>
      </c>
    </row>
    <row r="70" spans="1:3" hidden="1" x14ac:dyDescent="0.2">
      <c r="A70" s="247" t="s">
        <v>145</v>
      </c>
      <c r="B70" s="11"/>
      <c r="C70" s="124">
        <f>(C$4&gt;=0)*(C$4&gt;10)*(C$4&lt;15)+(C$5&gt;=0)*(C$5&gt;10)*(C$5&lt;15)+(C$6&gt;=0)*(C$6&gt;10)*(C$6&lt;15)+(C$7&gt;=0)*(C$7&gt;10)*(C$7&lt;15)+(C$8&gt;=0)*(C$8&gt;10)*(C$8&lt;15)+(C$9&gt;=0)*(C$9&gt;10)*(C$9&lt;15)</f>
        <v>1</v>
      </c>
    </row>
    <row r="71" spans="1:3" ht="13.5" hidden="1" thickBot="1" x14ac:dyDescent="0.25">
      <c r="A71" s="259" t="s">
        <v>146</v>
      </c>
      <c r="B71" s="260"/>
      <c r="C71" s="125">
        <f>(C$4&gt;=0)*(C$4&gt;14)*(C$4&lt;18)+(C$5&gt;=0)*(C$5&gt;14)*(C$5&lt;18)+(C$6&gt;=0)*(C$6&gt;14)*(C$6&lt;18)+(C$7&gt;=0)*(C$7&gt;14)*(C$7&lt;18)+(C$8&gt;=0)*(C$8&gt;14)*(C$8&lt;18)+(C$9&gt;=0)*(C$9&gt;14)*(C$9&lt;18)</f>
        <v>0</v>
      </c>
    </row>
    <row r="72" spans="1:3" x14ac:dyDescent="0.2">
      <c r="C72" s="261"/>
    </row>
    <row r="73" spans="1:3" x14ac:dyDescent="0.2">
      <c r="A73" s="284" t="s">
        <v>135</v>
      </c>
      <c r="C73" s="261"/>
    </row>
    <row r="74" spans="1:3" hidden="1" x14ac:dyDescent="0.2">
      <c r="A74" s="256" t="s">
        <v>94</v>
      </c>
      <c r="B74" s="262"/>
      <c r="C74" s="264">
        <f>IF(C$64=2,af_2,0)+IF(C$64=3,af_3,0)+IF(C$64=4,af_4,0)+IF(C$64=5,af_5,0)+IF(C$64=6,af_6,0)</f>
        <v>300.99943999999999</v>
      </c>
    </row>
    <row r="75" spans="1:3" hidden="1" x14ac:dyDescent="0.2">
      <c r="A75" s="247" t="s">
        <v>95</v>
      </c>
      <c r="B75" s="12"/>
      <c r="C75" s="128">
        <f>(C$64&gt;=3)*C68*af_majo_âge+(C$64=2)*(MIN(C4:C5)&gt;=14)*af_majo_âge</f>
        <v>65.972480000000004</v>
      </c>
    </row>
    <row r="76" spans="1:3" hidden="1" x14ac:dyDescent="0.2">
      <c r="A76" s="247" t="s">
        <v>131</v>
      </c>
      <c r="B76" s="12"/>
      <c r="C76" s="128">
        <f>(C$64=C$65-1)*(C$65&gt;=3)*af_forfait</f>
        <v>0</v>
      </c>
    </row>
    <row r="77" spans="1:3" hidden="1" x14ac:dyDescent="0.2">
      <c r="A77" s="247" t="s">
        <v>136</v>
      </c>
      <c r="B77" s="12"/>
      <c r="C77" s="128">
        <f>(af_plaf1+MAX(0,C$64-2)*af_plaf_suppl_enf)/Coef_n_2</f>
        <v>6964.3938873259485</v>
      </c>
    </row>
    <row r="78" spans="1:3" hidden="1" x14ac:dyDescent="0.2">
      <c r="A78" s="247" t="s">
        <v>137</v>
      </c>
      <c r="B78" s="12"/>
      <c r="C78" s="128">
        <f>(af_plaf2+MAX(0,C$64-2)*af_plaf_suppl_enf)/Coef_n_2</f>
        <v>9104.4303234293038</v>
      </c>
    </row>
    <row r="79" spans="1:3" ht="13.5" hidden="1" thickBot="1" x14ac:dyDescent="0.25">
      <c r="A79" s="259" t="s">
        <v>148</v>
      </c>
      <c r="B79" s="263"/>
      <c r="C79" s="265">
        <f>(C36&gt;C77)*(IF(C36&gt;C78,(IF((C36-C78&lt;(C74*0.25)),(C74*0.25+C78-C36),0)),IF(C36&gt;C77,IF(C36-C77&lt;(C74*0.5),(C77+C74*0.5-C36),0))))</f>
        <v>0</v>
      </c>
    </row>
    <row r="80" spans="1:3" x14ac:dyDescent="0.2">
      <c r="A80" s="11"/>
      <c r="B80" s="12"/>
      <c r="C80" s="266"/>
    </row>
    <row r="81" spans="1:3" x14ac:dyDescent="0.2">
      <c r="A81" s="284" t="s">
        <v>89</v>
      </c>
      <c r="C81" s="266"/>
    </row>
    <row r="82" spans="1:3" hidden="1" x14ac:dyDescent="0.2">
      <c r="A82" s="256" t="s">
        <v>127</v>
      </c>
      <c r="B82" s="262"/>
      <c r="C82" s="128">
        <f>IF(AND(C$64&gt;=3,C$67=0),1,0)*IF(OR(C$3="isolé",AND(Coef_n_2*C$26&gt;=cf_seuil_act,Coef_n_2*C$27&gt;=cf_seuil_act)),cf_plaf1_couple_biact_ou_iso_3_enf+(C$64-3)*cf_plaf1_sup_enf,cf_plaf1_couple_monoact_3_enf+(C$64-3)*cf_plaf1_sup_enf)</f>
        <v>19388</v>
      </c>
    </row>
    <row r="83" spans="1:3" hidden="1" x14ac:dyDescent="0.2">
      <c r="A83" s="247" t="s">
        <v>128</v>
      </c>
      <c r="B83" s="12"/>
      <c r="C83" s="128">
        <f>IF(AND(C$64&gt;=3,C$67=0),1,0)*IF(OR(C$3="isolé",AND(Coef_n_2*C$26&gt;=cf_seuil_act,Coef_n_2*C$27&gt;=cf_seuil_act)),cf_plaf2_couple_biact_ou_iso_3_enf+(C$64-3)*cf_plaf2_sup_enf,cf_plaf2_couple_monoact_3_enf+(C$64-3)*cf_plaf2_sup_enf)</f>
        <v>38769</v>
      </c>
    </row>
    <row r="84" spans="1:3" hidden="1" x14ac:dyDescent="0.2">
      <c r="A84" s="247" t="s">
        <v>139</v>
      </c>
      <c r="B84" s="12"/>
      <c r="C84" s="128">
        <f>(C$64&gt;=3)*(C$67=0)*(IF(Coef_n_2*C$36&lt;C$83,cf_base,IF(Coef_n_2*C$36&lt;C$83+12*cf_base,(C$83+12*cf_base-Coef_n_2*C$36)/12,0)))</f>
        <v>171.73461199999997</v>
      </c>
    </row>
    <row r="85" spans="1:3" ht="13.5" hidden="1" thickBot="1" x14ac:dyDescent="0.25">
      <c r="A85" s="259" t="s">
        <v>140</v>
      </c>
      <c r="B85" s="263"/>
      <c r="C85" s="265">
        <f>(C$65&gt;=3)*(C$67=0)*IF(Coef_n_2*C$36&lt;C82,cf_majoration,0)</f>
        <v>0</v>
      </c>
    </row>
    <row r="86" spans="1:3" x14ac:dyDescent="0.2">
      <c r="A86" s="1"/>
      <c r="B86" s="5"/>
      <c r="C86" s="266"/>
    </row>
    <row r="87" spans="1:3" x14ac:dyDescent="0.2">
      <c r="A87" s="284" t="s">
        <v>90</v>
      </c>
      <c r="B87" s="5"/>
      <c r="C87" s="266"/>
    </row>
    <row r="88" spans="1:3" hidden="1" x14ac:dyDescent="0.2">
      <c r="A88" s="256" t="s">
        <v>70</v>
      </c>
      <c r="B88" s="262"/>
      <c r="C88" s="264">
        <f>IF(C$64&gt;0,ars_plaf_1_enf+ars_plaf_sup_enf*(C$64-1),0)</f>
        <v>36675</v>
      </c>
    </row>
    <row r="89" spans="1:3" hidden="1" x14ac:dyDescent="0.2">
      <c r="A89" s="247" t="s">
        <v>86</v>
      </c>
      <c r="B89" s="5"/>
      <c r="C89" s="127">
        <f>((6&lt;=C$4)*(C$4&lt;=10)*ars_6_10+(11&lt;=C$4)*(C$4&lt;=14)*ars_11_14+(15&lt;=C$4)*(C$4&lt;=18)*ars_15_18)+((6&lt;=C$5)*(C$5&lt;=10)*ars_6_10+(11&lt;=C$5)*(C$5&lt;=14)*ars_11_14+(15&lt;=C$5)*(C$5&lt;=18)*ars_15_18)+((6&lt;=C$6)*(C$6&lt;=10)*ars_6_10+(11&lt;=C$6)*(C$6&lt;=14)*ars_11_14+(15&lt;=C$6)*(C$6&lt;=18)*ars_15_18)+((6&lt;=C$7)*(C$7&lt;=10)*ars_6_10+(11&lt;=C$7)*(C$7&lt;=14)*ars_11_14+(15&lt;=C$7)*(C$7&lt;=18)*ars_15_18)+((6&lt;=C$8)*(C$8&lt;=10)*ars_6_10+(11&lt;=C$8)*(C$8&lt;=14)*ars_11_14+(15&lt;=C$8)*(C$8&lt;=18)*ars_15_18)+((6&lt;=C$9)*(C$9&lt;=10)*ars_6_10+(11&lt;=C$9)*(C$9&lt;=14)*ars_11_14+(15&lt;=C$9)*(C$9&lt;=18)*ars_15_18)</f>
        <v>1130.2322807999999</v>
      </c>
    </row>
    <row r="90" spans="1:3" ht="13.5" hidden="1" thickBot="1" x14ac:dyDescent="0.25">
      <c r="A90" s="279" t="s">
        <v>85</v>
      </c>
      <c r="B90" s="280"/>
      <c r="C90" s="281">
        <f>IF(Coef_n_2*C36&lt;C88,C89,IF(Coef_n_2*C36&lt;C88+C89,C88+C89-Coef_n_2*C36,0))</f>
        <v>1130.2322807999999</v>
      </c>
    </row>
    <row r="91" spans="1:3" x14ac:dyDescent="0.2">
      <c r="A91" s="1"/>
      <c r="B91" s="5"/>
      <c r="C91" s="266"/>
    </row>
    <row r="92" spans="1:3" x14ac:dyDescent="0.2">
      <c r="A92" s="284" t="s">
        <v>91</v>
      </c>
      <c r="B92" s="5"/>
      <c r="C92" s="266"/>
    </row>
    <row r="93" spans="1:3" hidden="1" x14ac:dyDescent="0.2">
      <c r="A93" s="256" t="s">
        <v>130</v>
      </c>
      <c r="B93" s="262"/>
      <c r="C93" s="264">
        <f>IF(C$67&gt;0,1,0)*IF(OR(C$3="isolé",AND(Coef_n_2*C$26&gt;=cf_seuil_act,Coef_n_2*C$27&gt;=cf_seuil_act)),(C$64=1)*ab_plaf1_couple_biact_ou_iso_1_enf+(C$64&gt;1)*(ab_plaf1_couple_biact_ou_iso_2_enf+(C$64-2)*ab_plaf1_sup_enf),(C$64=1)*ab_plaf1_couple_monoact_1_enf+(C$64&gt;1)*(ab_plaf1_couple_monact_2_enf+(C$64-2)*ab_plaf1_sup_enf))</f>
        <v>0</v>
      </c>
    </row>
    <row r="94" spans="1:3" ht="13.5" hidden="1" thickBot="1" x14ac:dyDescent="0.25">
      <c r="A94" s="259" t="s">
        <v>129</v>
      </c>
      <c r="B94" s="263"/>
      <c r="C94" s="265">
        <f>IF(C$67&gt;0,1,0)*IF(OR(C$3="isolé",AND(Coef_n_2*C$26&gt;=cf_seuil_act,Coef_n_2*C$27&gt;=cf_seuil_act)),(C$64=1)*ab_plaf2_couple_biact_ou_iso_1_enf+(C$64&gt;1)*(ab_plaf2_couple_biact_ou_iso_2_enf+(C$64-2)*ab_plaf2_sup_enf),(C$64=1)*ab_plaf2_couple_monoact_1_enf+(C$64&gt;1)*(ab_plaf2_couple_monact_2_enf+(C$64-2)*ab_plaf2_sup_enf))</f>
        <v>0</v>
      </c>
    </row>
    <row r="95" spans="1:3" x14ac:dyDescent="0.2">
      <c r="A95" s="1"/>
      <c r="B95" s="5"/>
      <c r="C95" s="266"/>
    </row>
    <row r="96" spans="1:3" x14ac:dyDescent="0.2">
      <c r="A96" s="284" t="s">
        <v>304</v>
      </c>
      <c r="B96" s="5"/>
      <c r="C96" s="266"/>
    </row>
    <row r="97" spans="1:3" hidden="1" x14ac:dyDescent="0.2">
      <c r="A97" s="342" t="s">
        <v>307</v>
      </c>
      <c r="B97" s="349"/>
      <c r="C97" s="127">
        <f>(C$67&gt;0)*(IF(C$19=0,clca_tp,IF(C$19&lt;=50%,clca_tr_1,IF(C$19&lt;=80%,clca_tr_2,0))))</f>
        <v>0</v>
      </c>
    </row>
    <row r="98" spans="1:3" hidden="1" x14ac:dyDescent="0.2">
      <c r="A98" s="258" t="s">
        <v>308</v>
      </c>
      <c r="B98" s="5"/>
      <c r="C98" s="127">
        <f>(C$3="couple")*(C$67&gt;0)*(IF(C$20=0,clca_tp,IF(C$20&lt;=50%,clca_tr_1,IF(C$20&lt;=80%,clca_tr_2,0))))</f>
        <v>0</v>
      </c>
    </row>
    <row r="99" spans="1:3" ht="13.5" hidden="1" thickBot="1" x14ac:dyDescent="0.25">
      <c r="A99" s="253" t="s">
        <v>309</v>
      </c>
      <c r="B99" s="350"/>
      <c r="C99" s="351">
        <f t="shared" ref="C99" si="0">MIN(C97+C98,clca_tp)</f>
        <v>0</v>
      </c>
    </row>
    <row r="100" spans="1:3" x14ac:dyDescent="0.2">
      <c r="A100" s="3"/>
      <c r="B100" s="3"/>
      <c r="C100" s="266"/>
    </row>
    <row r="101" spans="1:3" x14ac:dyDescent="0.2">
      <c r="A101" s="284" t="s">
        <v>310</v>
      </c>
      <c r="B101" s="3"/>
      <c r="C101" s="266"/>
    </row>
    <row r="102" spans="1:3" s="6" customFormat="1" hidden="1" x14ac:dyDescent="0.2">
      <c r="A102" s="342" t="s">
        <v>311</v>
      </c>
      <c r="B102" s="347"/>
      <c r="C102" s="309">
        <f>C$15*cmg_cout_net_assmat</f>
        <v>0</v>
      </c>
    </row>
    <row r="103" spans="1:3" s="6" customFormat="1" hidden="1" x14ac:dyDescent="0.2">
      <c r="A103" s="258" t="s">
        <v>312</v>
      </c>
      <c r="B103" s="308"/>
      <c r="C103" s="309">
        <f>C$15*cmg_cotis_assmat</f>
        <v>0</v>
      </c>
    </row>
    <row r="104" spans="1:3" s="6" customFormat="1" ht="13.5" hidden="1" thickBot="1" x14ac:dyDescent="0.25">
      <c r="A104" s="253" t="s">
        <v>313</v>
      </c>
      <c r="B104" s="348"/>
      <c r="C104" s="346">
        <f>MAX(0,C$15*irpp_cout_net_assmat-C$44)</f>
        <v>0</v>
      </c>
    </row>
    <row r="105" spans="1:3" s="6" customFormat="1" x14ac:dyDescent="0.2">
      <c r="A105" s="23"/>
      <c r="B105" s="310"/>
      <c r="C105" s="266"/>
    </row>
    <row r="106" spans="1:3" s="6" customFormat="1" x14ac:dyDescent="0.2">
      <c r="A106" s="284" t="s">
        <v>314</v>
      </c>
      <c r="B106" s="310"/>
      <c r="C106" s="341"/>
    </row>
    <row r="107" spans="1:3" s="6" customFormat="1" hidden="1" x14ac:dyDescent="0.2">
      <c r="A107" s="342" t="s">
        <v>315</v>
      </c>
      <c r="B107" s="343"/>
      <c r="C107" s="345">
        <f>(C$16+C$17/2)*(cmg_cout_net_gdom+cmg_cotis_gdom)</f>
        <v>0</v>
      </c>
    </row>
    <row r="108" spans="1:3" s="6" customFormat="1" hidden="1" x14ac:dyDescent="0.2">
      <c r="A108" s="258" t="s">
        <v>312</v>
      </c>
      <c r="B108" s="310"/>
      <c r="C108" s="309">
        <f>MIN(0.5*(C$16+C$17/2)*(cmg_cotis_gdom),cmg_max_pccs_gdom)</f>
        <v>0</v>
      </c>
    </row>
    <row r="109" spans="1:3" s="6" customFormat="1" hidden="1" x14ac:dyDescent="0.2">
      <c r="A109" s="258" t="s">
        <v>316</v>
      </c>
      <c r="B109" s="310"/>
      <c r="C109" s="309">
        <f>(C$16+C$17/2)*(cmg_cout_net_gdom)</f>
        <v>0</v>
      </c>
    </row>
    <row r="110" spans="1:3" s="6" customFormat="1" ht="13.5" hidden="1" thickBot="1" x14ac:dyDescent="0.25">
      <c r="A110" s="253" t="s">
        <v>313</v>
      </c>
      <c r="B110" s="344"/>
      <c r="C110" s="346">
        <f>MAX(0,C107-C108-C$44)</f>
        <v>0</v>
      </c>
    </row>
    <row r="111" spans="1:3" s="6" customFormat="1" x14ac:dyDescent="0.2">
      <c r="A111" s="23"/>
      <c r="B111" s="310"/>
      <c r="C111" s="341"/>
    </row>
    <row r="112" spans="1:3" s="6" customFormat="1" x14ac:dyDescent="0.2">
      <c r="A112" s="284" t="s">
        <v>358</v>
      </c>
      <c r="B112" s="310"/>
      <c r="C112" s="341"/>
    </row>
    <row r="113" spans="1:3" s="6" customFormat="1" ht="13.5" hidden="1" thickBot="1" x14ac:dyDescent="0.25">
      <c r="A113" s="352" t="s">
        <v>356</v>
      </c>
      <c r="B113" s="353"/>
      <c r="C113" s="354">
        <f>(C$66&gt;0)*IF(C$3="isolé",(1+cmg_majo_plaf_isolé),1)*((C$64=1)*cmg_plaf_inter_1_enf+(C$64&gt;=2)*(cmg_plaf_inter_2_enf+cmg_plaf_inter_sup_enf*(C$64-2)))</f>
        <v>60165</v>
      </c>
    </row>
    <row r="114" spans="1:3" s="6" customFormat="1" x14ac:dyDescent="0.2">
      <c r="A114" s="3"/>
      <c r="B114" s="310"/>
      <c r="C114" s="341"/>
    </row>
    <row r="115" spans="1:3" s="6" customFormat="1" x14ac:dyDescent="0.2">
      <c r="A115" s="284" t="s">
        <v>339</v>
      </c>
      <c r="B115" s="310"/>
      <c r="C115" s="341"/>
    </row>
    <row r="116" spans="1:3" s="6" customFormat="1" ht="13.5" hidden="1" thickBot="1" x14ac:dyDescent="0.25">
      <c r="A116" s="352" t="s">
        <v>357</v>
      </c>
      <c r="B116" s="355"/>
      <c r="C116" s="356">
        <f>(C$18*((C$66=1)*creche_coef_1_enf+(C$64=2)*creche_coef_2_enf+(C$64=3)*creche_coef_3_enf+(C$64&gt;3)*creche_coef_4_enf)*MAX(creche_plancher_ressource,MIN(creche_plafond_ressources,Coef_n_1*C$36/12)))/12</f>
        <v>0</v>
      </c>
    </row>
    <row r="117" spans="1:3" x14ac:dyDescent="0.2">
      <c r="A117" s="3"/>
      <c r="B117" s="3"/>
      <c r="C117" s="266"/>
    </row>
    <row r="118" spans="1:3" x14ac:dyDescent="0.2">
      <c r="A118" s="284" t="s">
        <v>46</v>
      </c>
      <c r="B118" s="10"/>
      <c r="C118" s="266"/>
    </row>
    <row r="119" spans="1:3" hidden="1" x14ac:dyDescent="0.2">
      <c r="A119" s="267" t="s">
        <v>235</v>
      </c>
      <c r="B119" s="268"/>
      <c r="C119" s="244">
        <f>Coef_n_2*C$36</f>
        <v>26952.81212362232</v>
      </c>
    </row>
    <row r="120" spans="1:3" hidden="1" x14ac:dyDescent="0.2">
      <c r="A120" s="269" t="s">
        <v>212</v>
      </c>
      <c r="B120" s="10"/>
      <c r="C120" s="127">
        <f>IF(C$23="plaf",C$121,C$23)</f>
        <v>520.42999999999995</v>
      </c>
    </row>
    <row r="121" spans="1:3" hidden="1" x14ac:dyDescent="0.2">
      <c r="A121" s="245" t="s">
        <v>211</v>
      </c>
      <c r="B121" s="10"/>
      <c r="C121" s="127">
        <f>(C$22=1)*IF(C$65=0,IF(C$3="isolé",al_loy_plaf_I0_z1,al_loy_plaf_c0_z1),al_loy_plaf_1_pac_z1+al_loy_plaf_sup_pac_z1*(C$65-1))+(C$22=2)*IF(C$65=0,IF(C$3="isolé",al_loy_plaf_I0_z2,al_loy_plaf_C0_z2),al_loy_plaf_1_pac_z2+al_loy_plaf_sup_pac_z2*(C$65-1))+(C$22=3)*IF(C$65=0,IF(C$3="isolé",al_loy_plaf_I0_z3,al_loy_plaf_C0_z3),al_loy_plaf_1_pac_z3+al_loy_plaf_sup_pac_z3*(C$65-1))</f>
        <v>520.42999999999995</v>
      </c>
    </row>
    <row r="122" spans="1:3" hidden="1" x14ac:dyDescent="0.2">
      <c r="A122" s="245" t="s">
        <v>12</v>
      </c>
      <c r="B122" s="10"/>
      <c r="C122" s="127">
        <f>IF(C$65=0,al_forf_charges_0_pac,al_forf_charges_1_pac+(C$65-1)*al_forf_charges_sup_pac)</f>
        <v>90.43</v>
      </c>
    </row>
    <row r="123" spans="1:3" hidden="1" x14ac:dyDescent="0.2">
      <c r="A123" s="250" t="s">
        <v>214</v>
      </c>
      <c r="B123" s="10"/>
      <c r="C123" s="127">
        <f>C121+C122</f>
        <v>610.8599999999999</v>
      </c>
    </row>
    <row r="124" spans="1:3" hidden="1" x14ac:dyDescent="0.2">
      <c r="A124" s="271" t="s">
        <v>277</v>
      </c>
      <c r="B124" s="10"/>
      <c r="C124" s="127">
        <f>(C$65=0)*IF(C$3="isolé",al_R0_I0,al_R0_C0)
+(C$65=1)*al_R0_1pac+(C$65=2)*al_R0_2pac+(C$65=3)*al_R0_3pac+(C$65=4)*al_R0_4pac+(C$65=5)*al_R0_5pac
+(C$65&gt;=6)*(al_R0_6pac+(C$65-6)*al_R0_suppac)</f>
        <v>8322</v>
      </c>
    </row>
    <row r="125" spans="1:3" hidden="1" x14ac:dyDescent="0.2">
      <c r="A125" s="249" t="s">
        <v>234</v>
      </c>
      <c r="B125" s="10"/>
      <c r="C125" s="177">
        <f>ROUND(MAX(al_p0,al_p0_taux*C123),2)</f>
        <v>51.92</v>
      </c>
    </row>
    <row r="126" spans="1:3" hidden="1" x14ac:dyDescent="0.2">
      <c r="A126" s="258" t="s">
        <v>231</v>
      </c>
      <c r="B126" s="10"/>
      <c r="C126" s="178">
        <f>(C$65=0)*IF(C$3="isolé",al_tf_I0,al_tf_C0)
+(C$65=1)*al_tf_1pac+(C$65=2)*al_tf_2pac+(C$65=3)*al_tf_3pac+(C$65&gt;=4)*(al_tf_4pac+(C$65-4)*al_tf_suppac)</f>
        <v>2.01E-2</v>
      </c>
    </row>
    <row r="127" spans="1:3" hidden="1" x14ac:dyDescent="0.2">
      <c r="A127" s="258" t="s">
        <v>232</v>
      </c>
      <c r="B127" s="10"/>
      <c r="C127" s="252">
        <f>(C$22=1)*al_tl_z1+(C$22=2)*al_tl_z2+(C$22=3)*al_tl_z3</f>
        <v>4.0521246898263027E-3</v>
      </c>
    </row>
    <row r="128" spans="1:3" hidden="1" x14ac:dyDescent="0.2">
      <c r="A128" s="258" t="s">
        <v>233</v>
      </c>
      <c r="B128" s="10"/>
      <c r="C128" s="179">
        <f>C125+(C126+C127)*MAX(0,C119-C124)</f>
        <v>501.89369748245389</v>
      </c>
    </row>
    <row r="129" spans="1:58" hidden="1" x14ac:dyDescent="0.2">
      <c r="A129" s="258" t="s">
        <v>270</v>
      </c>
      <c r="B129" s="3"/>
      <c r="C129" s="129">
        <f>MAX(C123-C128,0)</f>
        <v>108.96630251754601</v>
      </c>
    </row>
    <row r="130" spans="1:58" hidden="1" x14ac:dyDescent="0.2">
      <c r="A130" s="258" t="s">
        <v>271</v>
      </c>
      <c r="B130" s="3"/>
      <c r="C130" s="129">
        <f>IF(C$23="plaf",C$129,
(C$22=1)*(IF(C$120/C$121&lt;al_taux1_deg_z1,C$129,IF(C$120/C$121&lt;al_taux2_deg_z1,(1-((C$120/C$121)-al_taux1_deg_z1)/(al_taux2_deg_z1-al_taux1_deg_z1))*C$129,0)))
+(C$22=2)*(IF(C$120/C$121&lt;al_taux1_deg_z2,C$129,IF(C$120/C$121&lt;al_taux2_deg_z2,(1-((C$120/C$121)-al_taux1_deg_z2)/(al_taux2_deg_z2-al_taux1_deg_z2))*C$129,0)))
+(C$22=3)*(IF(C$120/C$121&lt;al_taux1_deg_z3,C$129,IF(C$120/C$121&lt;al_taux2_deg_z3,(1-((C$120/C$121)-al_taux1_deg_z3)/(al_taux2_deg_z3-al_taux1_deg_z3))*C$129,0)))
)</f>
        <v>108.96630251754601</v>
      </c>
    </row>
    <row r="131" spans="1:58" hidden="1" x14ac:dyDescent="0.2">
      <c r="A131" s="258" t="s">
        <v>272</v>
      </c>
      <c r="B131" s="23"/>
      <c r="C131" s="129">
        <f>C130-al_reduc</f>
        <v>103.96630251754601</v>
      </c>
    </row>
    <row r="132" spans="1:58" ht="13.5" hidden="1" thickBot="1" x14ac:dyDescent="0.25">
      <c r="A132" s="273" t="s">
        <v>273</v>
      </c>
      <c r="B132" s="277"/>
      <c r="C132" s="278">
        <f>IF(ROUNDDOWN(C130,0)&gt;=al_seuil_versement,C130,0)*(1-taux_CRDS)</f>
        <v>108.42147100495828</v>
      </c>
    </row>
    <row r="133" spans="1:58" x14ac:dyDescent="0.2">
      <c r="A133" s="3"/>
      <c r="B133" s="3"/>
      <c r="C133" s="266"/>
    </row>
    <row r="134" spans="1:58" x14ac:dyDescent="0.2">
      <c r="A134" s="284" t="s">
        <v>88</v>
      </c>
      <c r="B134" s="16"/>
      <c r="C134" s="276"/>
    </row>
    <row r="135" spans="1:58" s="13" customFormat="1" hidden="1" x14ac:dyDescent="0.2">
      <c r="A135" s="270" t="s">
        <v>0</v>
      </c>
      <c r="B135" s="262"/>
      <c r="C135" s="264">
        <f>IF(C$3="couple",(C$66=0)*rsa_C0+(C$66=1)*rsa_C1+(C$66&gt;=2)*(rsa_C2+(C$66-2)*rsa_sup_enf),0)+IF(C$3="isolé",(C13=0)*((C$66=0)*rsa_I0+(C$66=1)*rsa_I1+(C$66&gt;=2)*(rsa_I2+(C$66-2)*rsa_sup_enf))+(C13=1)*((C$66=0)*rsam_I0+(C$66=1)*rsam_I1+(C$66&gt;=2)*(rsam_I2+(C$66-2)*rsam_sup_enf)),0)</f>
        <v>1411.95</v>
      </c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</row>
    <row r="136" spans="1:58" s="13" customFormat="1" hidden="1" x14ac:dyDescent="0.2">
      <c r="A136" s="271" t="s">
        <v>275</v>
      </c>
      <c r="B136" s="12"/>
      <c r="C136" s="128">
        <f>MIN(IF(C$3="isolé",(C$66=0)*rsa_fl_1+(C$66=1)*rsa_fl_2+(C$66&gt;1)*rsa_fl_3,(C$66=0)*rsa_fl_2+(C$66&gt;0)*rsa_fl_3),C$132)</f>
        <v>108.42147100495828</v>
      </c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</row>
    <row r="137" spans="1:58" s="13" customFormat="1" hidden="1" x14ac:dyDescent="0.2">
      <c r="A137" s="258" t="s">
        <v>268</v>
      </c>
      <c r="B137" s="12"/>
      <c r="C137" s="128">
        <f>(C$74+C$84+(C$40&gt;0)*MAX(0,ASF_à_déduire_du_RSA*C$64-C$32)+C$42)/(1-crds)</f>
        <v>475.10959999999994</v>
      </c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</row>
    <row r="138" spans="1:58" s="13" customFormat="1" hidden="1" x14ac:dyDescent="0.2">
      <c r="A138" s="272" t="s">
        <v>123</v>
      </c>
      <c r="B138" s="139"/>
      <c r="C138" s="140">
        <f>MAX(0,C$135-C$136-C$137-C$26-C$27-C$31-C$32)</f>
        <v>0</v>
      </c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</row>
    <row r="139" spans="1:58" s="11" customFormat="1" x14ac:dyDescent="0.2">
      <c r="B139" s="20"/>
      <c r="C139" s="426"/>
    </row>
    <row r="140" spans="1:58" s="13" customFormat="1" x14ac:dyDescent="0.2">
      <c r="A140" s="284" t="s">
        <v>151</v>
      </c>
      <c r="B140" s="16"/>
      <c r="C140" s="276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</row>
    <row r="141" spans="1:58" s="13" customFormat="1" hidden="1" x14ac:dyDescent="0.2">
      <c r="A141" s="258" t="s">
        <v>274</v>
      </c>
      <c r="B141" s="12"/>
      <c r="C141" s="128">
        <f>IF(C$3="couple",(C$66=0)*pa_forf_c0+(C$66=1)*pa_forf_c1+(C$66&gt;=2)*(pa_forf_c2+(C$66-2)*pa_sup_enf),0)+IF(C$3="isolé",(C13=0)*((C$66=0)*pa_forf_I0+(C$66=1)*pa_forf_I1+(C$66&gt;=2)*(pa_forf_I2+(C$66-2)*pa_sup_enf))+(C13=1)*((C$66=0)*pa_forfm_I0+(C$66=1)*pa_forfm_I1+(C$66&gt;=2)*(pa_forfm_I2+(C$66-2)*pa_forfm_supenf)),0)</f>
        <v>1382.9</v>
      </c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</row>
    <row r="142" spans="1:58" s="11" customFormat="1" hidden="1" x14ac:dyDescent="0.2">
      <c r="A142" s="258" t="s">
        <v>190</v>
      </c>
      <c r="B142" s="12"/>
      <c r="C142" s="128">
        <f>MIN(C$132,IF(C$3="isolé",(C$66=0)*pa_fl1+(C$66=1)*pa_fl2+(C$66&gt;1)*pa_fl3,(C$66=0)*pa_fl2+(C$66&gt;0)*pa_fl3))</f>
        <v>108.42147100495828</v>
      </c>
    </row>
    <row r="143" spans="1:58" s="13" customFormat="1" hidden="1" x14ac:dyDescent="0.2">
      <c r="A143" s="258" t="s">
        <v>150</v>
      </c>
      <c r="B143" s="20"/>
      <c r="C143" s="128">
        <f>(C$3="isolé")*((C$26/smic_h&gt;=pa_seuil1_BPA)*MIN(1,(C$26/smic_h-pa_seuil1_BPA)/(pa_seuil2_BPA-pa_seuil1_BPA))*pa_max_BPA)+
(C$3="couple")*((C$26/smic_h&gt;=pa_seuil1_BPA)*MIN(1,(C$26/smic_h-pa_seuil1_BPA)/(pa_seuil2_BPA-pa_seuil1_BPA))*pa_max_BPA+(C$27/smic_h&gt;=pa_seuil1_BPA)*MIN(1,(C$27/smic_h-pa_seuil1_BPA)/(pa_seuil2_BPA-pa_seuil1_BPA))*pa_max_BPA)</f>
        <v>160.97509159999998</v>
      </c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</row>
    <row r="144" spans="1:58" s="13" customFormat="1" hidden="1" x14ac:dyDescent="0.2">
      <c r="A144" s="247" t="s">
        <v>96</v>
      </c>
      <c r="B144" s="12"/>
      <c r="C144" s="128">
        <f>C26+(C3="couple")*C27</f>
        <v>1500</v>
      </c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</row>
    <row r="145" spans="1:3" s="11" customFormat="1" hidden="1" x14ac:dyDescent="0.2">
      <c r="A145" s="271" t="s">
        <v>276</v>
      </c>
      <c r="B145" s="12"/>
      <c r="C145" s="128">
        <f>C$141+C143+pa_taux_rev_act*C144</f>
        <v>2458.8750915999999</v>
      </c>
    </row>
    <row r="146" spans="1:3" s="11" customFormat="1" hidden="1" x14ac:dyDescent="0.2">
      <c r="A146" s="258" t="s">
        <v>359</v>
      </c>
      <c r="B146" s="12"/>
      <c r="C146" s="128">
        <f>(1-crds)*C137</f>
        <v>472.73405199999996</v>
      </c>
    </row>
    <row r="147" spans="1:3" ht="13.5" hidden="1" thickBot="1" x14ac:dyDescent="0.25">
      <c r="A147" s="273" t="s">
        <v>152</v>
      </c>
      <c r="B147" s="274"/>
      <c r="C147" s="275">
        <f>(C$144&gt;0)*MAX(0,C$145-C$142-C$138-C$146-C$26-C$27-C$31-C$32)</f>
        <v>0</v>
      </c>
    </row>
    <row r="148" spans="1:3" x14ac:dyDescent="0.2">
      <c r="A148" s="3"/>
      <c r="B148" s="3"/>
      <c r="C148" s="266"/>
    </row>
    <row r="149" spans="1:3" x14ac:dyDescent="0.2">
      <c r="A149" s="284" t="s">
        <v>208</v>
      </c>
      <c r="B149" s="3"/>
      <c r="C149" s="266"/>
    </row>
    <row r="150" spans="1:3" hidden="1" x14ac:dyDescent="0.2">
      <c r="A150" s="282" t="s">
        <v>9</v>
      </c>
      <c r="B150" s="283"/>
      <c r="C150" s="244">
        <f>IF(C$3="isolé",1,2)+IF(C$63&gt;0,IF(C$3="isolé",0.5,0)+0.5*MIN(2,C$63)+1*MAX(0,C$63-2),0)</f>
        <v>4</v>
      </c>
    </row>
    <row r="151" spans="1:3" hidden="1" x14ac:dyDescent="0.2">
      <c r="A151" s="245" t="s">
        <v>60</v>
      </c>
      <c r="B151" s="14"/>
      <c r="C151" s="127">
        <f>IF(C$3="isolé",1,2)</f>
        <v>2</v>
      </c>
    </row>
    <row r="152" spans="1:3" hidden="1" x14ac:dyDescent="0.2">
      <c r="A152" s="246" t="s">
        <v>98</v>
      </c>
      <c r="B152" s="15"/>
      <c r="C152" s="130">
        <f>Coef_n_1*(C26+IF(C3="couple",C27,0)+C31)</f>
        <v>30728.410549937511</v>
      </c>
    </row>
    <row r="153" spans="1:3" hidden="1" x14ac:dyDescent="0.2">
      <c r="A153" s="247" t="s">
        <v>97</v>
      </c>
      <c r="B153" s="15"/>
      <c r="C153" s="130">
        <f>MAX(0,C$152-MAX(irpp_min_reduc_fp,MIN(irpp_max_reduc_fp,0.1*C$152)))+12*(90%*C32-C33)</f>
        <v>27655.56949494376</v>
      </c>
    </row>
    <row r="154" spans="1:3" hidden="1" x14ac:dyDescent="0.2">
      <c r="A154" s="247" t="s">
        <v>99</v>
      </c>
      <c r="B154" s="15"/>
      <c r="C154" s="130">
        <f>C$153/C$150</f>
        <v>6913.8923737359401</v>
      </c>
    </row>
    <row r="155" spans="1:3" hidden="1" x14ac:dyDescent="0.2">
      <c r="A155" s="247" t="s">
        <v>100</v>
      </c>
      <c r="B155" s="15"/>
      <c r="C155" s="130">
        <f>C$153/C$151</f>
        <v>13827.78474747188</v>
      </c>
    </row>
    <row r="156" spans="1:3" hidden="1" x14ac:dyDescent="0.2">
      <c r="A156" s="248" t="s">
        <v>3</v>
      </c>
      <c r="B156" s="14"/>
      <c r="C156" s="127"/>
    </row>
    <row r="157" spans="1:3" hidden="1" x14ac:dyDescent="0.2">
      <c r="A157" s="245" t="s">
        <v>4</v>
      </c>
      <c r="B157" s="14"/>
      <c r="C157" s="127">
        <f>(C$154&gt;=irpp_seuil1)*(C$154&lt;irpp_seuil2)*(irpp_taux1*C$153-irpp_reduc1*C$150)+(C$154&gt;=irpp_seuil2)*(C$154&lt;irpp_seuil3)*(irpp_taux2*C$153-irpp_reduc2*C$150)+(C$154&gt;=irpp_seuil3)*(C$154&lt;irpp_seuil4)*(irpp_taux3*C$153-irpp_reduc3*C$150)+(C$154&gt;=irpp_seuil4)*(irpp_taux4*C$153-irpp_reduc4*C$150)</f>
        <v>0</v>
      </c>
    </row>
    <row r="158" spans="1:3" hidden="1" x14ac:dyDescent="0.2">
      <c r="A158" s="245" t="s">
        <v>5</v>
      </c>
      <c r="B158" s="14"/>
      <c r="C158" s="127">
        <f>(C$155&gt;=irpp_seuil1)*(C$155&lt;irpp_seuil2)*(irpp_taux1*C$153-irpp_reduc1*C$151)+(C$155&gt;=irpp_seuil2)*(C$155&lt;irpp_seuil3)*(irpp_taux2*C$153-irpp_reduc2*C$151)+(C$155&gt;=irpp_seuil3)*(C$155&lt;irpp_seuil4)*(irpp_taux3*C$153-irpp_reduc3*C$151)+(C$155&gt;=irpp_seuil4)*(irpp_taux4*C$153-irpp_reduc4*C$151)</f>
        <v>828.03264444381375</v>
      </c>
    </row>
    <row r="159" spans="1:3" hidden="1" x14ac:dyDescent="0.2">
      <c r="A159" s="245" t="s">
        <v>6</v>
      </c>
      <c r="B159" s="14"/>
      <c r="C159" s="127">
        <f>(C$3="isolé")*(C$63&gt;0)*(irpp_max_avqf_iso+irpp_max_avqf_couple*2*MAX(0,C$150-2))+(C$3="couple")*(C$63&gt;0)*irpp_max_avqf_couple*2*MAX(C$150-2)</f>
        <v>6268</v>
      </c>
    </row>
    <row r="160" spans="1:3" hidden="1" x14ac:dyDescent="0.2">
      <c r="A160" s="246" t="s">
        <v>111</v>
      </c>
      <c r="B160" s="14"/>
      <c r="C160" s="127">
        <f>MIN(C$158-C$157,C$159)</f>
        <v>828.03264444381375</v>
      </c>
    </row>
    <row r="161" spans="1:3" hidden="1" x14ac:dyDescent="0.2">
      <c r="A161" s="245" t="s">
        <v>7</v>
      </c>
      <c r="B161" s="14"/>
      <c r="C161" s="127">
        <f>C$158-C$160</f>
        <v>0</v>
      </c>
    </row>
    <row r="162" spans="1:3" hidden="1" x14ac:dyDescent="0.2">
      <c r="A162" s="248" t="s">
        <v>184</v>
      </c>
      <c r="B162" s="14"/>
      <c r="C162" s="127"/>
    </row>
    <row r="163" spans="1:3" hidden="1" x14ac:dyDescent="0.2">
      <c r="A163" s="245" t="s">
        <v>8</v>
      </c>
      <c r="B163" s="14"/>
      <c r="C163" s="127">
        <f>(C$161&gt;0)*IF(C$3="isolé",(MIN(C$161,IF(C$161&lt;irpp_plaf_decote,irpp_taux_decote*(irpp_plaf_decote-C$161),0))),(MIN(C$161,IF(C$161&lt;irpp_plaf_decote_couple,irpp_taux_decote*(irpp_plaf_decote_couple-C$161)))))</f>
        <v>0</v>
      </c>
    </row>
    <row r="164" spans="1:3" hidden="1" x14ac:dyDescent="0.2">
      <c r="A164" s="258" t="s">
        <v>185</v>
      </c>
      <c r="B164" s="5"/>
      <c r="C164" s="127">
        <f>C$161-C$163</f>
        <v>0</v>
      </c>
    </row>
    <row r="165" spans="1:3" hidden="1" x14ac:dyDescent="0.2">
      <c r="A165" s="250" t="s">
        <v>113</v>
      </c>
      <c r="B165" s="5"/>
      <c r="C165" s="127">
        <f>C$164</f>
        <v>0</v>
      </c>
    </row>
    <row r="166" spans="1:3" hidden="1" x14ac:dyDescent="0.2">
      <c r="A166" s="250" t="s">
        <v>114</v>
      </c>
      <c r="B166" s="5"/>
      <c r="C166" s="127">
        <f>C$70*irpp_reduc_coll+C$71*irpp_reduc_lyc+C$10*irpp_reduc_es</f>
        <v>61</v>
      </c>
    </row>
    <row r="167" spans="1:3" hidden="1" x14ac:dyDescent="0.2">
      <c r="A167" s="23" t="s">
        <v>360</v>
      </c>
      <c r="B167" s="5"/>
      <c r="C167" s="127">
        <f>(C$15+C$18&gt;0)*irpp_part_fg_assmat*MIN(irpp_max_fg_assmat,12*(C$104+C$116))</f>
        <v>0</v>
      </c>
    </row>
    <row r="168" spans="1:3" hidden="1" x14ac:dyDescent="0.2">
      <c r="A168" s="357" t="s">
        <v>361</v>
      </c>
      <c r="B168" s="5"/>
      <c r="C168" s="127">
        <f>(C$16+C$17&gt;0)*MIN(irpp_max_fg_gdom,irpp_seuil1_fg_gdom+irpp_supp_enf_seuil_fg_gdom*C$63)</f>
        <v>0</v>
      </c>
    </row>
    <row r="169" spans="1:3" hidden="1" x14ac:dyDescent="0.2">
      <c r="A169" s="1" t="s">
        <v>362</v>
      </c>
      <c r="B169" s="5"/>
      <c r="C169" s="127">
        <f>irpp_part_fg_gdom*MIN(C$168,12*C$110)</f>
        <v>0</v>
      </c>
    </row>
    <row r="170" spans="1:3" ht="13.5" hidden="1" customHeight="1" x14ac:dyDescent="0.2">
      <c r="A170" s="250" t="s">
        <v>119</v>
      </c>
      <c r="B170" s="5"/>
      <c r="C170" s="127">
        <f>MAX(0,C$165-C$166)-C167-C169</f>
        <v>0</v>
      </c>
    </row>
    <row r="171" spans="1:3" hidden="1" x14ac:dyDescent="0.2">
      <c r="A171" s="250" t="s">
        <v>209</v>
      </c>
      <c r="B171" s="5"/>
      <c r="C171" s="127">
        <f>IF(C$3="isolé",
IF(AND(C$153&gt;=irpp_seuil1_cont_excep,C$153&lt;irpp_seuil2_cont_excep),irpp_taux1_cont_excep*(C$153-irpp_seuil1_cont_excep),IF(C$153&gt;irpp_seuil2_cont_excep,irpp_taux2_cont_excep*(C$153-irpp_seuil2_cont_excep)+7500,0)),
IF(AND(C$153&gt;=2*irpp_seuil1_cont_excep,C$153&lt;2*irpp_seuil2_cont_excep),irpp_taux1_cont_excep*(C$153-2*irpp_seuil1_cont_excep),IF(C$153&gt;2*irpp_seuil2_cont_excep,irpp_taux2_cont_excep*(C$153-2*irpp_seuil2_cont_excep)+15000,0)))</f>
        <v>0</v>
      </c>
    </row>
    <row r="172" spans="1:3" ht="13.5" hidden="1" thickBot="1" x14ac:dyDescent="0.25">
      <c r="A172" s="253" t="s">
        <v>267</v>
      </c>
      <c r="B172" s="251"/>
      <c r="C172" s="131">
        <f>C170+C171</f>
        <v>0</v>
      </c>
    </row>
    <row r="173" spans="1:3" x14ac:dyDescent="0.2">
      <c r="C173" s="133"/>
    </row>
  </sheetData>
  <sheetProtection selectLockedCells="1" selectUnlockedCells="1"/>
  <pageMargins left="0.78740157499999996" right="0.78740157499999996" top="0.984251969" bottom="0.984251969" header="0.4921259845" footer="0.4921259845"/>
  <pageSetup paperSize="9" scale="1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234</vt:i4>
      </vt:variant>
    </vt:vector>
  </HeadingPairs>
  <TitlesOfParts>
    <vt:vector size="238" baseType="lpstr">
      <vt:lpstr>smic net</vt:lpstr>
      <vt:lpstr>récap RECOUV 2 enfants v0</vt:lpstr>
      <vt:lpstr>Données 2020</vt:lpstr>
      <vt:lpstr>cas type</vt:lpstr>
      <vt:lpstr>ab</vt:lpstr>
      <vt:lpstr>ab_plaf1_couple_biact_ou_iso_1_enf</vt:lpstr>
      <vt:lpstr>ab_plaf1_couple_biact_ou_iso_2_enf</vt:lpstr>
      <vt:lpstr>ab_plaf1_couple_monact_2_enf</vt:lpstr>
      <vt:lpstr>ab_plaf1_couple_monoact_1_enf</vt:lpstr>
      <vt:lpstr>ab_plaf1_sup_enf</vt:lpstr>
      <vt:lpstr>ab_plaf2_couple_biact_ou_iso_1_enf</vt:lpstr>
      <vt:lpstr>ab_plaf2_couple_biact_ou_iso_2_enf</vt:lpstr>
      <vt:lpstr>ab_plaf2_couple_monact_2_enf</vt:lpstr>
      <vt:lpstr>ab_plaf2_couple_monoact_1_enf</vt:lpstr>
      <vt:lpstr>ab_plaf2_sup_enf</vt:lpstr>
      <vt:lpstr>ab_réduit</vt:lpstr>
      <vt:lpstr>af_1</vt:lpstr>
      <vt:lpstr>af_2</vt:lpstr>
      <vt:lpstr>af_3</vt:lpstr>
      <vt:lpstr>af_4</vt:lpstr>
      <vt:lpstr>af_5</vt:lpstr>
      <vt:lpstr>af_6</vt:lpstr>
      <vt:lpstr>af_forfait</vt:lpstr>
      <vt:lpstr>af_majo_âge</vt:lpstr>
      <vt:lpstr>af_plaf_suppl_enf</vt:lpstr>
      <vt:lpstr>af_plaf1</vt:lpstr>
      <vt:lpstr>af_plaf2</vt:lpstr>
      <vt:lpstr>al_forf_charges_0_pac</vt:lpstr>
      <vt:lpstr>al_forf_charges_1_pac</vt:lpstr>
      <vt:lpstr>al_forf_charges_sup_pac</vt:lpstr>
      <vt:lpstr>al_loy_plaf_1_pac_z1</vt:lpstr>
      <vt:lpstr>al_loy_plaf_1_pac_z2</vt:lpstr>
      <vt:lpstr>al_loy_plaf_1_pac_z3</vt:lpstr>
      <vt:lpstr>al_loy_plaf_c0_z1</vt:lpstr>
      <vt:lpstr>al_loy_plaf_C0_z2</vt:lpstr>
      <vt:lpstr>al_loy_plaf_C0_z3</vt:lpstr>
      <vt:lpstr>al_loy_plaf_I0_z1</vt:lpstr>
      <vt:lpstr>al_loy_plaf_I0_z2</vt:lpstr>
      <vt:lpstr>al_loy_plaf_I0_z3</vt:lpstr>
      <vt:lpstr>al_loy_plaf_sup_pac_z1</vt:lpstr>
      <vt:lpstr>al_loy_plaf_sup_pac_z2</vt:lpstr>
      <vt:lpstr>al_loy_plaf_sup_pac_z3</vt:lpstr>
      <vt:lpstr>al_p0</vt:lpstr>
      <vt:lpstr>al_p0_taux</vt:lpstr>
      <vt:lpstr>al_R0_1pac</vt:lpstr>
      <vt:lpstr>al_R0_2pac</vt:lpstr>
      <vt:lpstr>al_R0_3pac</vt:lpstr>
      <vt:lpstr>al_R0_4pac</vt:lpstr>
      <vt:lpstr>al_R0_5pac</vt:lpstr>
      <vt:lpstr>al_R0_6pac</vt:lpstr>
      <vt:lpstr>al_R0_C0</vt:lpstr>
      <vt:lpstr>al_R0_I0</vt:lpstr>
      <vt:lpstr>al_R0_suppac</vt:lpstr>
      <vt:lpstr>al_reduc</vt:lpstr>
      <vt:lpstr>al_seuil_versement</vt:lpstr>
      <vt:lpstr>al_seuil1_deg_1_pac_z1</vt:lpstr>
      <vt:lpstr>al_seuil1_deg_1_pac_z2</vt:lpstr>
      <vt:lpstr>al_seuil1_deg_1_pac_z3</vt:lpstr>
      <vt:lpstr>al_seuil1_deg_C0_z1</vt:lpstr>
      <vt:lpstr>al_seuil1_deg_C0_z2</vt:lpstr>
      <vt:lpstr>al_seuil1_deg_C0_z3</vt:lpstr>
      <vt:lpstr>al_seuil1_deg_I0_z1</vt:lpstr>
      <vt:lpstr>al_seuil1_deg_I0_z2</vt:lpstr>
      <vt:lpstr>al_seuil1_deg_I0_z3</vt:lpstr>
      <vt:lpstr>al_seuil1_deg_sup_pac_z1</vt:lpstr>
      <vt:lpstr>al_seuil1_deg_sup_pac_z2</vt:lpstr>
      <vt:lpstr>al_seuil1_deg_sup_pac_z3</vt:lpstr>
      <vt:lpstr>al_seuil1_deg_z1</vt:lpstr>
      <vt:lpstr>al_seuil1_deg_z2</vt:lpstr>
      <vt:lpstr>al_seuil1_deg_z3</vt:lpstr>
      <vt:lpstr>al_seuil2_deg_1_pac_z1</vt:lpstr>
      <vt:lpstr>al_seuil2_deg_1_pac_z2</vt:lpstr>
      <vt:lpstr>al_seuil2_deg_1_pac_z3</vt:lpstr>
      <vt:lpstr>al_seuil2_deg_C0_z1</vt:lpstr>
      <vt:lpstr>al_seuil2_deg_C0_z2</vt:lpstr>
      <vt:lpstr>al_seuil2_deg_C0_z3</vt:lpstr>
      <vt:lpstr>al_seuil2_deg_I0_z1</vt:lpstr>
      <vt:lpstr>al_seuil2_deg_I0_z2</vt:lpstr>
      <vt:lpstr>al_seuil2_deg_I0_z3</vt:lpstr>
      <vt:lpstr>al_seuil2_deg_sup_pac_z1</vt:lpstr>
      <vt:lpstr>al_seuil2_deg_sup_pac_z2</vt:lpstr>
      <vt:lpstr>al_seuil2_deg_sup_pac_z3</vt:lpstr>
      <vt:lpstr>al_seuil2_deg_z1</vt:lpstr>
      <vt:lpstr>al_seuil2_deg_z2</vt:lpstr>
      <vt:lpstr>al_seuil2_deg_z3</vt:lpstr>
      <vt:lpstr>al_taux1_deg_z1</vt:lpstr>
      <vt:lpstr>al_taux1_deg_z2</vt:lpstr>
      <vt:lpstr>al_taux1_deg_z3</vt:lpstr>
      <vt:lpstr>al_taux2_deg_z1</vt:lpstr>
      <vt:lpstr>al_taux2_deg_z2</vt:lpstr>
      <vt:lpstr>al_taux2_deg_z3</vt:lpstr>
      <vt:lpstr>al_tf_1pac</vt:lpstr>
      <vt:lpstr>al_tf_2pac</vt:lpstr>
      <vt:lpstr>al_tf_3pac</vt:lpstr>
      <vt:lpstr>al_tf_4pac</vt:lpstr>
      <vt:lpstr>al_tf_C0</vt:lpstr>
      <vt:lpstr>al_tf_I0</vt:lpstr>
      <vt:lpstr>al_tf_suppac</vt:lpstr>
      <vt:lpstr>al_tl_z1</vt:lpstr>
      <vt:lpstr>al_tl_z2</vt:lpstr>
      <vt:lpstr>al_tl_z3</vt:lpstr>
      <vt:lpstr>ars_11_14</vt:lpstr>
      <vt:lpstr>ars_15_18</vt:lpstr>
      <vt:lpstr>ars_6_10</vt:lpstr>
      <vt:lpstr>ars_plaf_1_enf</vt:lpstr>
      <vt:lpstr>ars_plaf_sup_enf</vt:lpstr>
      <vt:lpstr>asf</vt:lpstr>
      <vt:lpstr>ASF_à_déduire_du_RSA</vt:lpstr>
      <vt:lpstr>assiette_csgcrds</vt:lpstr>
      <vt:lpstr>assmat_cout_brut_total</vt:lpstr>
      <vt:lpstr>assmat_nb_heures_par_jour</vt:lpstr>
      <vt:lpstr>assmat_nb_jour</vt:lpstr>
      <vt:lpstr>bmaf</vt:lpstr>
      <vt:lpstr>bmaf_n_2</vt:lpstr>
      <vt:lpstr>ceee_abat</vt:lpstr>
      <vt:lpstr>ceee_tx1</vt:lpstr>
      <vt:lpstr>ceee_tx2</vt:lpstr>
      <vt:lpstr>ceee_tx3</vt:lpstr>
      <vt:lpstr>cf_base</vt:lpstr>
      <vt:lpstr>cf_majoration</vt:lpstr>
      <vt:lpstr>cf_plaf1_couple_biact_ou_iso_3_enf</vt:lpstr>
      <vt:lpstr>cf_plaf1_couple_monoact_3_enf</vt:lpstr>
      <vt:lpstr>cf_plaf1_sup_enf</vt:lpstr>
      <vt:lpstr>cf_plaf2_couple_biact_ou_iso_3_enf</vt:lpstr>
      <vt:lpstr>cf_plaf2_couple_monoact_3_enf</vt:lpstr>
      <vt:lpstr>cf_plaf2_sup_enf</vt:lpstr>
      <vt:lpstr>cf_seuil_act</vt:lpstr>
      <vt:lpstr>clca_tp</vt:lpstr>
      <vt:lpstr>clca_tr_1</vt:lpstr>
      <vt:lpstr>clca_tr_2</vt:lpstr>
      <vt:lpstr>cmg_cotis_assmat</vt:lpstr>
      <vt:lpstr>cmg_cotis_gdom</vt:lpstr>
      <vt:lpstr>cmg_cout_net_assmat</vt:lpstr>
      <vt:lpstr>cmg_cout_net_gdom</vt:lpstr>
      <vt:lpstr>cmg_inter</vt:lpstr>
      <vt:lpstr>cmg_majo_plaf_isolé</vt:lpstr>
      <vt:lpstr>cmg_max</vt:lpstr>
      <vt:lpstr>cmg_max_pccs_gdom</vt:lpstr>
      <vt:lpstr>cmg_min</vt:lpstr>
      <vt:lpstr>cmg_part_max_pcsn</vt:lpstr>
      <vt:lpstr>cmg_plaf_1_pct_plaf_inter</vt:lpstr>
      <vt:lpstr>cmg_plaf_inter_1_enf</vt:lpstr>
      <vt:lpstr>cmg_plaf_inter_2_enf</vt:lpstr>
      <vt:lpstr>cmg_plaf_inter_sup_enf</vt:lpstr>
      <vt:lpstr>Coef_n_1</vt:lpstr>
      <vt:lpstr>Coef_n_2</vt:lpstr>
      <vt:lpstr>crds</vt:lpstr>
      <vt:lpstr>creche_coef_1_enf</vt:lpstr>
      <vt:lpstr>creche_coef_2_enf</vt:lpstr>
      <vt:lpstr>creche_coef_3_enf</vt:lpstr>
      <vt:lpstr>creche_coef_4_enf</vt:lpstr>
      <vt:lpstr>creche_plafond_ressources</vt:lpstr>
      <vt:lpstr>creche_plancher_ressource</vt:lpstr>
      <vt:lpstr>evol_ipc_2013_2015</vt:lpstr>
      <vt:lpstr>evol_ipc_2014_2015</vt:lpstr>
      <vt:lpstr>evol_smic</vt:lpstr>
      <vt:lpstr>evol_smic_n_moins_1_n</vt:lpstr>
      <vt:lpstr>evol_smic_n_moins_2_n</vt:lpstr>
      <vt:lpstr>gdom_cout_brut_total</vt:lpstr>
      <vt:lpstr>IPC2020_2020</vt:lpstr>
      <vt:lpstr>irpp_cout_net_assmat</vt:lpstr>
      <vt:lpstr>irpp_max_avqf_couple</vt:lpstr>
      <vt:lpstr>irpp_max_avqf_iso</vt:lpstr>
      <vt:lpstr>irpp_max_fg_assmat</vt:lpstr>
      <vt:lpstr>irpp_max_fg_gdom</vt:lpstr>
      <vt:lpstr>irpp_max_reduc_fp</vt:lpstr>
      <vt:lpstr>irpp_min_reduc_fp</vt:lpstr>
      <vt:lpstr>irpp_part_fg_assmat</vt:lpstr>
      <vt:lpstr>irpp_part_fg_gdom</vt:lpstr>
      <vt:lpstr>irpp_plaf_decote</vt:lpstr>
      <vt:lpstr>irpp_plaf_decote_couple</vt:lpstr>
      <vt:lpstr>irpp_reduc_coll</vt:lpstr>
      <vt:lpstr>irpp_reduc_es</vt:lpstr>
      <vt:lpstr>irpp_reduc_lyc</vt:lpstr>
      <vt:lpstr>irpp_reduc1</vt:lpstr>
      <vt:lpstr>irpp_reduc2</vt:lpstr>
      <vt:lpstr>irpp_reduc3</vt:lpstr>
      <vt:lpstr>irpp_reduc4</vt:lpstr>
      <vt:lpstr>irpp_seuil1</vt:lpstr>
      <vt:lpstr>irpp_seuil1_cont_excep</vt:lpstr>
      <vt:lpstr>irpp_seuil1_fg_gdom</vt:lpstr>
      <vt:lpstr>irpp_seuil2</vt:lpstr>
      <vt:lpstr>irpp_seuil2_cont_excep</vt:lpstr>
      <vt:lpstr>irpp_seuil3</vt:lpstr>
      <vt:lpstr>irpp_seuil4</vt:lpstr>
      <vt:lpstr>irpp_supp_enf_seuil_fg_gdom</vt:lpstr>
      <vt:lpstr>irpp_taux_decote</vt:lpstr>
      <vt:lpstr>irpp_taux_reduc_fp</vt:lpstr>
      <vt:lpstr>irpp_taux1</vt:lpstr>
      <vt:lpstr>irpp_taux1_cont_excep</vt:lpstr>
      <vt:lpstr>irpp_taux2</vt:lpstr>
      <vt:lpstr>irpp_taux2_cont_excep</vt:lpstr>
      <vt:lpstr>irpp_taux3</vt:lpstr>
      <vt:lpstr>irpp_taux4</vt:lpstr>
      <vt:lpstr>pa_coeff_calcul_bonus</vt:lpstr>
      <vt:lpstr>pa_fl1</vt:lpstr>
      <vt:lpstr>pa_fl2</vt:lpstr>
      <vt:lpstr>pa_fl3</vt:lpstr>
      <vt:lpstr>pa_forf_c0</vt:lpstr>
      <vt:lpstr>pa_forf_c1</vt:lpstr>
      <vt:lpstr>pa_forf_c2</vt:lpstr>
      <vt:lpstr>pa_forf_I0</vt:lpstr>
      <vt:lpstr>pa_forf_I1</vt:lpstr>
      <vt:lpstr>pa_forf_I2</vt:lpstr>
      <vt:lpstr>pa_forfm_I0</vt:lpstr>
      <vt:lpstr>pa_forfm_I1</vt:lpstr>
      <vt:lpstr>pa_forfm_I2</vt:lpstr>
      <vt:lpstr>pa_forfm_supenf</vt:lpstr>
      <vt:lpstr>pa_max_BPA</vt:lpstr>
      <vt:lpstr>pa_seuil_versement</vt:lpstr>
      <vt:lpstr>pa_seuil1_BPA</vt:lpstr>
      <vt:lpstr>pa_seuil2_BPA</vt:lpstr>
      <vt:lpstr>pa_sup_enf</vt:lpstr>
      <vt:lpstr>pa_taux_rev_act</vt:lpstr>
      <vt:lpstr>rsa_C0</vt:lpstr>
      <vt:lpstr>rsa_C1</vt:lpstr>
      <vt:lpstr>rsa_C2</vt:lpstr>
      <vt:lpstr>rsa_fl_1</vt:lpstr>
      <vt:lpstr>rsa_fl_2</vt:lpstr>
      <vt:lpstr>rsa_fl_3</vt:lpstr>
      <vt:lpstr>rsa_I0</vt:lpstr>
      <vt:lpstr>rsa_I0_n_2</vt:lpstr>
      <vt:lpstr>rsa_I1</vt:lpstr>
      <vt:lpstr>rsa_I2</vt:lpstr>
      <vt:lpstr>rsa_seuil_versement</vt:lpstr>
      <vt:lpstr>rsa_sup_enf</vt:lpstr>
      <vt:lpstr>rsam_I0</vt:lpstr>
      <vt:lpstr>rsam_I1</vt:lpstr>
      <vt:lpstr>rsam_I2</vt:lpstr>
      <vt:lpstr>rsam_sup_enf</vt:lpstr>
      <vt:lpstr>smic</vt:lpstr>
      <vt:lpstr>smic_h</vt:lpstr>
      <vt:lpstr>taux_CRDS</vt:lpstr>
      <vt:lpstr>taux_pat</vt:lpstr>
      <vt:lpstr>taux_sal</vt:lpstr>
      <vt:lpstr>tx_cotsal</vt:lpstr>
      <vt:lpstr>tx_csgded</vt:lpstr>
      <vt:lpstr>tx_csgimp</vt:lpstr>
    </vt:vector>
  </TitlesOfParts>
  <Company>cnaf-ep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cmpuccnf</dc:creator>
  <cp:lastModifiedBy>inconnu</cp:lastModifiedBy>
  <cp:lastPrinted>2020-10-15T20:31:52Z</cp:lastPrinted>
  <dcterms:created xsi:type="dcterms:W3CDTF">2011-05-10T07:58:17Z</dcterms:created>
  <dcterms:modified xsi:type="dcterms:W3CDTF">2021-11-10T16:04:06Z</dcterms:modified>
</cp:coreProperties>
</file>