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192.168.0.13\controladoria\"/>
    </mc:Choice>
  </mc:AlternateContent>
  <xr:revisionPtr revIDLastSave="0" documentId="13_ncr:1_{E546F37A-4F37-454C-B1CC-54BE3B2ED931}" xr6:coauthVersionLast="46" xr6:coauthVersionMax="47" xr10:uidLastSave="{00000000-0000-0000-0000-000000000000}"/>
  <bookViews>
    <workbookView xWindow="-120" yWindow="-120" windowWidth="29040" windowHeight="15840" tabRatio="620" activeTab="6" xr2:uid="{00000000-000D-0000-FFFF-FFFF00000000}"/>
  </bookViews>
  <sheets>
    <sheet name="Painel" sheetId="2" r:id="rId1"/>
    <sheet name="Inversor" sheetId="4" r:id="rId2"/>
    <sheet name="Planilha1" sheetId="3" r:id="rId3"/>
    <sheet name="19297" sheetId="5" r:id="rId4"/>
    <sheet name="ASC ENG" sheetId="9" r:id="rId5"/>
    <sheet name="Planilha3" sheetId="6" r:id="rId6"/>
    <sheet name="Comissao" sheetId="12" r:id="rId7"/>
    <sheet name="Planilha4" sheetId="7" r:id="rId8"/>
    <sheet name="Site KIT" sheetId="8" r:id="rId9"/>
    <sheet name="Site Unt" sheetId="10" r:id="rId10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2" l="1"/>
  <c r="Z8" i="12"/>
  <c r="Z9" i="12"/>
  <c r="Z10" i="12"/>
  <c r="Z11" i="12"/>
  <c r="Z12" i="12"/>
  <c r="Z6" i="12"/>
  <c r="T12" i="12"/>
  <c r="S12" i="12"/>
  <c r="J12" i="12"/>
  <c r="S11" i="12"/>
  <c r="J11" i="12"/>
  <c r="T10" i="12"/>
  <c r="S10" i="12"/>
  <c r="J10" i="12"/>
  <c r="S9" i="12"/>
  <c r="J9" i="12"/>
  <c r="T8" i="12"/>
  <c r="S8" i="12"/>
  <c r="J8" i="12"/>
  <c r="S7" i="12"/>
  <c r="J7" i="12"/>
  <c r="T6" i="12"/>
  <c r="S6" i="12"/>
  <c r="S13" i="12" s="1"/>
  <c r="J6" i="12"/>
  <c r="Y82" i="6"/>
  <c r="Y83" i="6"/>
  <c r="Y84" i="6"/>
  <c r="Y85" i="6"/>
  <c r="Y86" i="6"/>
  <c r="Y87" i="6"/>
  <c r="Y89" i="6"/>
  <c r="I82" i="6"/>
  <c r="I83" i="6"/>
  <c r="I84" i="6"/>
  <c r="I85" i="6"/>
  <c r="I86" i="6"/>
  <c r="I87" i="6"/>
  <c r="I81" i="6"/>
  <c r="R87" i="6"/>
  <c r="S86" i="6"/>
  <c r="R86" i="6"/>
  <c r="R85" i="6"/>
  <c r="S84" i="6"/>
  <c r="R84" i="6"/>
  <c r="R83" i="6"/>
  <c r="S82" i="6"/>
  <c r="R82" i="6"/>
  <c r="R81" i="6"/>
  <c r="Y67" i="6"/>
  <c r="Y68" i="6"/>
  <c r="Y69" i="6"/>
  <c r="Y70" i="6"/>
  <c r="Y71" i="6"/>
  <c r="Y72" i="6"/>
  <c r="Y66" i="6"/>
  <c r="I66" i="6"/>
  <c r="Y74" i="6"/>
  <c r="R72" i="6"/>
  <c r="R71" i="6"/>
  <c r="S71" i="6" s="1"/>
  <c r="R70" i="6"/>
  <c r="R69" i="6"/>
  <c r="S69" i="6" s="1"/>
  <c r="R68" i="6"/>
  <c r="R67" i="6"/>
  <c r="S67" i="6" s="1"/>
  <c r="R66" i="6"/>
  <c r="R33" i="6"/>
  <c r="I23" i="6"/>
  <c r="Y24" i="6"/>
  <c r="Y25" i="6"/>
  <c r="Y26" i="6"/>
  <c r="Y27" i="6"/>
  <c r="Y28" i="6"/>
  <c r="Y23" i="6"/>
  <c r="R32" i="6"/>
  <c r="P39" i="6"/>
  <c r="P40" i="6"/>
  <c r="Y59" i="6"/>
  <c r="R57" i="6"/>
  <c r="R56" i="6"/>
  <c r="S56" i="6" s="1"/>
  <c r="Y56" i="6" s="1"/>
  <c r="R55" i="6"/>
  <c r="R54" i="6"/>
  <c r="S54" i="6" s="1"/>
  <c r="Y54" i="6" s="1"/>
  <c r="R53" i="6"/>
  <c r="R52" i="6"/>
  <c r="S52" i="6" s="1"/>
  <c r="Y52" i="6" s="1"/>
  <c r="R51" i="6"/>
  <c r="Z13" i="12" l="1"/>
  <c r="Q12" i="12"/>
  <c r="Q8" i="12"/>
  <c r="R8" i="12" s="1"/>
  <c r="Q10" i="12"/>
  <c r="R10" i="12" s="1"/>
  <c r="Q6" i="12"/>
  <c r="R6" i="12" s="1"/>
  <c r="T9" i="12"/>
  <c r="T11" i="12"/>
  <c r="T7" i="12"/>
  <c r="T13" i="12" s="1"/>
  <c r="R88" i="6"/>
  <c r="R89" i="6" s="1"/>
  <c r="S87" i="6"/>
  <c r="S81" i="6"/>
  <c r="S83" i="6"/>
  <c r="S85" i="6"/>
  <c r="R73" i="6"/>
  <c r="R74" i="6" s="1"/>
  <c r="I67" i="6"/>
  <c r="P67" i="6" s="1"/>
  <c r="Q67" i="6" s="1"/>
  <c r="I71" i="6"/>
  <c r="P71" i="6" s="1"/>
  <c r="Q71" i="6" s="1"/>
  <c r="I69" i="6"/>
  <c r="P69" i="6" s="1"/>
  <c r="Q69" i="6" s="1"/>
  <c r="S72" i="6"/>
  <c r="S66" i="6"/>
  <c r="S68" i="6"/>
  <c r="S70" i="6"/>
  <c r="R58" i="6"/>
  <c r="R59" i="6" s="1"/>
  <c r="I54" i="6"/>
  <c r="P54" i="6" s="1"/>
  <c r="Q54" i="6" s="1"/>
  <c r="I52" i="6"/>
  <c r="P52" i="6" s="1"/>
  <c r="Q52" i="6" s="1"/>
  <c r="I56" i="6"/>
  <c r="P56" i="6" s="1"/>
  <c r="Q56" i="6" s="1"/>
  <c r="S51" i="6"/>
  <c r="S53" i="6"/>
  <c r="Y53" i="6" s="1"/>
  <c r="S55" i="6"/>
  <c r="Y55" i="6" s="1"/>
  <c r="S57" i="6"/>
  <c r="Y57" i="6" s="1"/>
  <c r="R42" i="6"/>
  <c r="R41" i="6"/>
  <c r="R40" i="6"/>
  <c r="S40" i="6" s="1"/>
  <c r="Y40" i="6" s="1"/>
  <c r="R39" i="6"/>
  <c r="R38" i="6"/>
  <c r="S38" i="6" s="1"/>
  <c r="Y38" i="6" s="1"/>
  <c r="R37" i="6"/>
  <c r="R36" i="6"/>
  <c r="S36" i="6" s="1"/>
  <c r="Y36" i="6" s="1"/>
  <c r="R28" i="6"/>
  <c r="R27" i="6"/>
  <c r="R26" i="6"/>
  <c r="S26" i="6" s="1"/>
  <c r="R25" i="6"/>
  <c r="R24" i="6"/>
  <c r="S24" i="6" s="1"/>
  <c r="R23" i="6"/>
  <c r="R10" i="6"/>
  <c r="S10" i="6" s="1"/>
  <c r="M5" i="8"/>
  <c r="R5" i="6"/>
  <c r="R11" i="6"/>
  <c r="R9" i="6"/>
  <c r="R8" i="6"/>
  <c r="R7" i="6"/>
  <c r="R6" i="6"/>
  <c r="P4" i="9"/>
  <c r="P5" i="9"/>
  <c r="P6" i="9"/>
  <c r="P7" i="9"/>
  <c r="P8" i="9"/>
  <c r="P9" i="9"/>
  <c r="P10" i="9"/>
  <c r="P11" i="9"/>
  <c r="P3" i="9"/>
  <c r="P12" i="9"/>
  <c r="O15" i="9"/>
  <c r="O16" i="9"/>
  <c r="O17" i="9"/>
  <c r="O14" i="9"/>
  <c r="N18" i="9"/>
  <c r="N15" i="9"/>
  <c r="N16" i="9"/>
  <c r="N17" i="9"/>
  <c r="N14" i="9"/>
  <c r="M16" i="9"/>
  <c r="M17" i="9"/>
  <c r="M15" i="9"/>
  <c r="X11" i="10"/>
  <c r="W11" i="10"/>
  <c r="I11" i="10"/>
  <c r="P11" i="10" s="1"/>
  <c r="R11" i="10" s="1"/>
  <c r="T11" i="10" s="1"/>
  <c r="U11" i="10" s="1"/>
  <c r="W10" i="10"/>
  <c r="X10" i="10" s="1"/>
  <c r="I10" i="10"/>
  <c r="P10" i="10" s="1"/>
  <c r="R10" i="10" s="1"/>
  <c r="T10" i="10" s="1"/>
  <c r="U10" i="10" s="1"/>
  <c r="W9" i="10"/>
  <c r="I9" i="10"/>
  <c r="P9" i="10" s="1"/>
  <c r="R9" i="10" s="1"/>
  <c r="T9" i="10" s="1"/>
  <c r="U9" i="10" s="1"/>
  <c r="W8" i="10"/>
  <c r="X8" i="10" s="1"/>
  <c r="I8" i="10"/>
  <c r="P8" i="10" s="1"/>
  <c r="R8" i="10" s="1"/>
  <c r="T8" i="10" s="1"/>
  <c r="U8" i="10" s="1"/>
  <c r="W7" i="10"/>
  <c r="I7" i="10"/>
  <c r="P7" i="10" s="1"/>
  <c r="R7" i="10" s="1"/>
  <c r="T7" i="10" s="1"/>
  <c r="U7" i="10" s="1"/>
  <c r="X6" i="10"/>
  <c r="W6" i="10"/>
  <c r="I6" i="10"/>
  <c r="P6" i="10" s="1"/>
  <c r="R6" i="10" s="1"/>
  <c r="T6" i="10" s="1"/>
  <c r="U6" i="10" s="1"/>
  <c r="X5" i="10"/>
  <c r="W5" i="10"/>
  <c r="W12" i="10" s="1"/>
  <c r="R5" i="10"/>
  <c r="T5" i="10" s="1"/>
  <c r="P5" i="10"/>
  <c r="I5" i="10"/>
  <c r="U10" i="8"/>
  <c r="U9" i="8"/>
  <c r="V9" i="8" s="1"/>
  <c r="U8" i="8"/>
  <c r="U7" i="8"/>
  <c r="V7" i="8" s="1"/>
  <c r="U6" i="8"/>
  <c r="U5" i="8"/>
  <c r="I10" i="7"/>
  <c r="P10" i="7"/>
  <c r="Q10" i="7" s="1"/>
  <c r="R10" i="7"/>
  <c r="S10" i="7" s="1"/>
  <c r="R11" i="7"/>
  <c r="S11" i="7" s="1"/>
  <c r="I11" i="7"/>
  <c r="P11" i="7" s="1"/>
  <c r="Q11" i="7" s="1"/>
  <c r="R9" i="7"/>
  <c r="I9" i="7"/>
  <c r="P9" i="7" s="1"/>
  <c r="Q9" i="7" s="1"/>
  <c r="R8" i="7"/>
  <c r="S8" i="7" s="1"/>
  <c r="I8" i="7"/>
  <c r="P8" i="7" s="1"/>
  <c r="Q8" i="7" s="1"/>
  <c r="R7" i="7"/>
  <c r="I7" i="7"/>
  <c r="P7" i="7" s="1"/>
  <c r="Q7" i="7" s="1"/>
  <c r="R6" i="7"/>
  <c r="S6" i="7" s="1"/>
  <c r="I6" i="7"/>
  <c r="P6" i="7" s="1"/>
  <c r="Q6" i="7" s="1"/>
  <c r="R5" i="7"/>
  <c r="I5" i="7"/>
  <c r="P5" i="7" s="1"/>
  <c r="Q5" i="7" s="1"/>
  <c r="M12" i="9"/>
  <c r="O11" i="9"/>
  <c r="O10" i="9"/>
  <c r="O9" i="9"/>
  <c r="O8" i="9"/>
  <c r="O7" i="9"/>
  <c r="O6" i="9"/>
  <c r="O5" i="9"/>
  <c r="O4" i="9"/>
  <c r="O3" i="9"/>
  <c r="G12" i="9"/>
  <c r="I4" i="9"/>
  <c r="I5" i="9"/>
  <c r="I6" i="9"/>
  <c r="I7" i="9"/>
  <c r="I8" i="9"/>
  <c r="I9" i="9"/>
  <c r="I10" i="9"/>
  <c r="I11" i="9"/>
  <c r="I3" i="9"/>
  <c r="L5" i="3"/>
  <c r="L6" i="3"/>
  <c r="L7" i="3"/>
  <c r="L8" i="3"/>
  <c r="L9" i="3"/>
  <c r="L10" i="3"/>
  <c r="M14" i="3"/>
  <c r="M13" i="3"/>
  <c r="L15" i="3"/>
  <c r="M15" i="3" s="1"/>
  <c r="L14" i="3"/>
  <c r="L13" i="3"/>
  <c r="Q20" i="3"/>
  <c r="R20" i="3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/>
  <c r="H6" i="5"/>
  <c r="H7" i="5"/>
  <c r="H8" i="5"/>
  <c r="H9" i="5"/>
  <c r="H10" i="5"/>
  <c r="H11" i="5"/>
  <c r="H12" i="5"/>
  <c r="H13" i="5"/>
  <c r="N9" i="5"/>
  <c r="N8" i="5"/>
  <c r="N7" i="5"/>
  <c r="N6" i="5"/>
  <c r="Q5" i="5"/>
  <c r="R5" i="5" s="1"/>
  <c r="N5" i="5"/>
  <c r="O5" i="5" s="1"/>
  <c r="H5" i="5"/>
  <c r="Q14" i="5"/>
  <c r="R14" i="5" s="1"/>
  <c r="N14" i="5"/>
  <c r="O14" i="5" s="1"/>
  <c r="H14" i="5"/>
  <c r="N13" i="5"/>
  <c r="N12" i="5"/>
  <c r="N11" i="5"/>
  <c r="N10" i="5"/>
  <c r="N6" i="3"/>
  <c r="N7" i="3"/>
  <c r="N8" i="3"/>
  <c r="N9" i="3"/>
  <c r="N10" i="3"/>
  <c r="N5" i="3"/>
  <c r="Q5" i="3"/>
  <c r="Q11" i="3" s="1"/>
  <c r="R6" i="3"/>
  <c r="R9" i="3"/>
  <c r="Q6" i="3"/>
  <c r="Q7" i="3"/>
  <c r="R7" i="3" s="1"/>
  <c r="Q8" i="3"/>
  <c r="R8" i="3" s="1"/>
  <c r="Q9" i="3"/>
  <c r="Q10" i="3"/>
  <c r="R10" i="3" s="1"/>
  <c r="H7" i="3"/>
  <c r="H8" i="3"/>
  <c r="H9" i="3"/>
  <c r="H10" i="3"/>
  <c r="H6" i="3"/>
  <c r="H5" i="3"/>
  <c r="E12" i="4"/>
  <c r="O6" i="4"/>
  <c r="O5" i="4"/>
  <c r="O10" i="4" s="1"/>
  <c r="F5" i="4"/>
  <c r="K5" i="4" s="1"/>
  <c r="F5" i="2"/>
  <c r="K5" i="2" s="1"/>
  <c r="K7" i="2" s="1"/>
  <c r="R7" i="2" s="1"/>
  <c r="E12" i="2"/>
  <c r="O6" i="2"/>
  <c r="O5" i="2"/>
  <c r="Q11" i="12" l="1"/>
  <c r="R11" i="12" s="1"/>
  <c r="N11" i="12" s="1"/>
  <c r="Q9" i="12"/>
  <c r="R9" i="12" s="1"/>
  <c r="N9" i="12" s="1"/>
  <c r="AA10" i="12"/>
  <c r="U10" i="12"/>
  <c r="Y10" i="12"/>
  <c r="X10" i="12"/>
  <c r="W10" i="12"/>
  <c r="V10" i="12"/>
  <c r="N10" i="12"/>
  <c r="AA6" i="12"/>
  <c r="U6" i="12"/>
  <c r="V6" i="12"/>
  <c r="Y6" i="12"/>
  <c r="X6" i="12"/>
  <c r="W6" i="12"/>
  <c r="AA8" i="12"/>
  <c r="U8" i="12"/>
  <c r="V8" i="12"/>
  <c r="Y8" i="12"/>
  <c r="X8" i="12"/>
  <c r="W8" i="12"/>
  <c r="R12" i="12"/>
  <c r="N6" i="12"/>
  <c r="N8" i="12"/>
  <c r="M71" i="6"/>
  <c r="M67" i="6"/>
  <c r="S88" i="6"/>
  <c r="S89" i="6" s="1"/>
  <c r="I68" i="6"/>
  <c r="P68" i="6" s="1"/>
  <c r="Q68" i="6" s="1"/>
  <c r="I72" i="6"/>
  <c r="P72" i="6" s="1"/>
  <c r="Q72" i="6" s="1"/>
  <c r="U69" i="6"/>
  <c r="Z69" i="6"/>
  <c r="X69" i="6"/>
  <c r="W69" i="6"/>
  <c r="V69" i="6"/>
  <c r="T69" i="6"/>
  <c r="S73" i="6"/>
  <c r="S74" i="6" s="1"/>
  <c r="Z71" i="6"/>
  <c r="X71" i="6"/>
  <c r="W71" i="6"/>
  <c r="V71" i="6"/>
  <c r="U71" i="6"/>
  <c r="T71" i="6"/>
  <c r="M69" i="6"/>
  <c r="I70" i="6"/>
  <c r="P70" i="6" s="1"/>
  <c r="Q70" i="6" s="1"/>
  <c r="X67" i="6"/>
  <c r="W67" i="6"/>
  <c r="V67" i="6"/>
  <c r="U67" i="6"/>
  <c r="Z67" i="6"/>
  <c r="T67" i="6"/>
  <c r="I57" i="6"/>
  <c r="P57" i="6" s="1"/>
  <c r="Q57" i="6" s="1"/>
  <c r="M57" i="6" s="1"/>
  <c r="I55" i="6"/>
  <c r="P55" i="6" s="1"/>
  <c r="Q55" i="6" s="1"/>
  <c r="X56" i="6"/>
  <c r="U56" i="6"/>
  <c r="Z56" i="6"/>
  <c r="T56" i="6"/>
  <c r="W56" i="6"/>
  <c r="V56" i="6"/>
  <c r="X54" i="6"/>
  <c r="T54" i="6"/>
  <c r="W54" i="6"/>
  <c r="V54" i="6"/>
  <c r="U54" i="6"/>
  <c r="Z54" i="6"/>
  <c r="M56" i="6"/>
  <c r="M54" i="6"/>
  <c r="X52" i="6"/>
  <c r="W52" i="6"/>
  <c r="U52" i="6"/>
  <c r="Z52" i="6"/>
  <c r="V52" i="6"/>
  <c r="T52" i="6"/>
  <c r="M52" i="6"/>
  <c r="I53" i="6"/>
  <c r="P53" i="6" s="1"/>
  <c r="Q53" i="6" s="1"/>
  <c r="S58" i="6"/>
  <c r="S59" i="6" s="1"/>
  <c r="Y51" i="6"/>
  <c r="R43" i="6"/>
  <c r="I36" i="6"/>
  <c r="P36" i="6" s="1"/>
  <c r="Q36" i="6" s="1"/>
  <c r="M36" i="6" s="1"/>
  <c r="I38" i="6"/>
  <c r="P38" i="6" s="1"/>
  <c r="Q38" i="6" s="1"/>
  <c r="I40" i="6"/>
  <c r="Q40" i="6" s="1"/>
  <c r="M40" i="6" s="1"/>
  <c r="S37" i="6"/>
  <c r="S41" i="6"/>
  <c r="Y41" i="6" s="1"/>
  <c r="S39" i="6"/>
  <c r="Y39" i="6" s="1"/>
  <c r="S42" i="6"/>
  <c r="Y42" i="6" s="1"/>
  <c r="R29" i="6"/>
  <c r="S28" i="6"/>
  <c r="S23" i="6"/>
  <c r="S25" i="6"/>
  <c r="S27" i="6"/>
  <c r="S6" i="6"/>
  <c r="S8" i="6"/>
  <c r="S11" i="6"/>
  <c r="R12" i="6"/>
  <c r="S5" i="6"/>
  <c r="S7" i="6"/>
  <c r="S9" i="6"/>
  <c r="O13" i="5"/>
  <c r="R5" i="3"/>
  <c r="R11" i="3" s="1"/>
  <c r="AB9" i="10"/>
  <c r="AA9" i="10"/>
  <c r="AE9" i="10"/>
  <c r="Y9" i="10"/>
  <c r="AC9" i="10"/>
  <c r="AC10" i="10"/>
  <c r="AB10" i="10"/>
  <c r="AA10" i="10"/>
  <c r="Z10" i="10"/>
  <c r="AE10" i="10"/>
  <c r="Y10" i="10"/>
  <c r="AC11" i="10"/>
  <c r="AB11" i="10"/>
  <c r="AE11" i="10"/>
  <c r="AA11" i="10"/>
  <c r="Y11" i="10"/>
  <c r="Z11" i="10"/>
  <c r="Z7" i="10"/>
  <c r="AE7" i="10"/>
  <c r="Y7" i="10"/>
  <c r="AC7" i="10"/>
  <c r="AA7" i="10"/>
  <c r="AB7" i="10"/>
  <c r="AA8" i="10"/>
  <c r="Z8" i="10"/>
  <c r="AE8" i="10"/>
  <c r="Y8" i="10"/>
  <c r="AB8" i="10"/>
  <c r="AC8" i="10"/>
  <c r="AE6" i="10"/>
  <c r="Y6" i="10"/>
  <c r="AC6" i="10"/>
  <c r="Z6" i="10"/>
  <c r="AB6" i="10"/>
  <c r="AA6" i="10"/>
  <c r="V5" i="10"/>
  <c r="U5" i="10"/>
  <c r="X9" i="10"/>
  <c r="Z9" i="10" s="1"/>
  <c r="X7" i="10"/>
  <c r="U11" i="8"/>
  <c r="V5" i="8"/>
  <c r="V6" i="8"/>
  <c r="V8" i="8"/>
  <c r="V10" i="8"/>
  <c r="W10" i="7"/>
  <c r="T10" i="7"/>
  <c r="Z10" i="7"/>
  <c r="U10" i="7"/>
  <c r="X10" i="7"/>
  <c r="V10" i="7"/>
  <c r="R12" i="7"/>
  <c r="X6" i="7"/>
  <c r="W6" i="7"/>
  <c r="V6" i="7"/>
  <c r="U6" i="7"/>
  <c r="Z6" i="7"/>
  <c r="T6" i="7"/>
  <c r="Z9" i="7"/>
  <c r="T9" i="7"/>
  <c r="X9" i="7"/>
  <c r="W9" i="7"/>
  <c r="V9" i="7"/>
  <c r="Z7" i="7"/>
  <c r="T7" i="7"/>
  <c r="X7" i="7"/>
  <c r="W7" i="7"/>
  <c r="V7" i="7"/>
  <c r="Q12" i="7"/>
  <c r="Q16" i="7" s="1"/>
  <c r="Z5" i="7"/>
  <c r="T5" i="7"/>
  <c r="X5" i="7"/>
  <c r="W5" i="7"/>
  <c r="X8" i="7"/>
  <c r="W8" i="7"/>
  <c r="V8" i="7"/>
  <c r="U8" i="7"/>
  <c r="Z8" i="7"/>
  <c r="T8" i="7"/>
  <c r="X11" i="7"/>
  <c r="W11" i="7"/>
  <c r="V11" i="7"/>
  <c r="U11" i="7"/>
  <c r="Z11" i="7"/>
  <c r="T11" i="7"/>
  <c r="V5" i="7"/>
  <c r="S5" i="7"/>
  <c r="S7" i="7"/>
  <c r="U7" i="7" s="1"/>
  <c r="S9" i="7"/>
  <c r="O12" i="9"/>
  <c r="N12" i="9" s="1"/>
  <c r="I12" i="9"/>
  <c r="H12" i="9" s="1"/>
  <c r="O5" i="3"/>
  <c r="P5" i="3" s="1"/>
  <c r="U5" i="3" s="1"/>
  <c r="O10" i="3"/>
  <c r="P10" i="3" s="1"/>
  <c r="T10" i="3" s="1"/>
  <c r="O8" i="3"/>
  <c r="P8" i="3" s="1"/>
  <c r="T8" i="3" s="1"/>
  <c r="O9" i="3"/>
  <c r="P9" i="3" s="1"/>
  <c r="Y9" i="3" s="1"/>
  <c r="O7" i="3"/>
  <c r="P7" i="3" s="1"/>
  <c r="O6" i="3"/>
  <c r="P6" i="3" s="1"/>
  <c r="Y6" i="3" s="1"/>
  <c r="O9" i="5"/>
  <c r="O8" i="5"/>
  <c r="P8" i="5" s="1"/>
  <c r="Y8" i="5" s="1"/>
  <c r="O6" i="5"/>
  <c r="P6" i="5" s="1"/>
  <c r="V6" i="5" s="1"/>
  <c r="O7" i="5"/>
  <c r="P7" i="5" s="1"/>
  <c r="O12" i="5"/>
  <c r="P12" i="5" s="1"/>
  <c r="O11" i="5"/>
  <c r="P11" i="5" s="1"/>
  <c r="O10" i="5"/>
  <c r="P10" i="5" s="1"/>
  <c r="T10" i="5" s="1"/>
  <c r="P14" i="5"/>
  <c r="U14" i="5" s="1"/>
  <c r="P5" i="5"/>
  <c r="T5" i="5" s="1"/>
  <c r="P13" i="5"/>
  <c r="T13" i="5" s="1"/>
  <c r="R15" i="5"/>
  <c r="Q15" i="5"/>
  <c r="K10" i="4"/>
  <c r="K11" i="4"/>
  <c r="K9" i="4"/>
  <c r="K6" i="4"/>
  <c r="K8" i="4"/>
  <c r="K7" i="4"/>
  <c r="K12" i="4"/>
  <c r="R5" i="4"/>
  <c r="O9" i="4"/>
  <c r="O12" i="4" s="1"/>
  <c r="O11" i="4"/>
  <c r="O10" i="2"/>
  <c r="O9" i="2"/>
  <c r="O12" i="2" s="1"/>
  <c r="L7" i="2"/>
  <c r="K8" i="2"/>
  <c r="L8" i="2" s="1"/>
  <c r="R5" i="2"/>
  <c r="K6" i="2"/>
  <c r="K12" i="2"/>
  <c r="K9" i="2"/>
  <c r="K10" i="2"/>
  <c r="K11" i="2"/>
  <c r="AB6" i="12" l="1"/>
  <c r="AC6" i="12" s="1"/>
  <c r="AB10" i="12"/>
  <c r="AC10" i="12" s="1"/>
  <c r="AB8" i="12"/>
  <c r="AC8" i="12" s="1"/>
  <c r="Q7" i="12"/>
  <c r="R7" i="12" s="1"/>
  <c r="AA12" i="12"/>
  <c r="U12" i="12"/>
  <c r="V12" i="12"/>
  <c r="Y12" i="12"/>
  <c r="X12" i="12"/>
  <c r="W12" i="12"/>
  <c r="N12" i="12"/>
  <c r="X9" i="12"/>
  <c r="W9" i="12"/>
  <c r="V9" i="12"/>
  <c r="Y9" i="12"/>
  <c r="AA9" i="12"/>
  <c r="U9" i="12"/>
  <c r="X11" i="12"/>
  <c r="W11" i="12"/>
  <c r="V11" i="12"/>
  <c r="AA11" i="12"/>
  <c r="U11" i="12"/>
  <c r="Y11" i="12"/>
  <c r="M68" i="6"/>
  <c r="M70" i="6"/>
  <c r="M72" i="6"/>
  <c r="AA71" i="6"/>
  <c r="AA69" i="6"/>
  <c r="AB69" i="6" s="1"/>
  <c r="AA67" i="6"/>
  <c r="AB67" i="6" s="1"/>
  <c r="P66" i="6"/>
  <c r="Q66" i="6" s="1"/>
  <c r="V70" i="6"/>
  <c r="W70" i="6"/>
  <c r="U70" i="6"/>
  <c r="Z70" i="6"/>
  <c r="T70" i="6"/>
  <c r="X70" i="6"/>
  <c r="W72" i="6"/>
  <c r="V72" i="6"/>
  <c r="U72" i="6"/>
  <c r="Z72" i="6"/>
  <c r="T72" i="6"/>
  <c r="X72" i="6"/>
  <c r="V68" i="6"/>
  <c r="U68" i="6"/>
  <c r="Z68" i="6"/>
  <c r="T68" i="6"/>
  <c r="X68" i="6"/>
  <c r="W68" i="6"/>
  <c r="AA54" i="6"/>
  <c r="AB54" i="6" s="1"/>
  <c r="AA52" i="6"/>
  <c r="AB52" i="6" s="1"/>
  <c r="AA56" i="6"/>
  <c r="V57" i="6"/>
  <c r="X57" i="6"/>
  <c r="U57" i="6"/>
  <c r="Z57" i="6"/>
  <c r="T57" i="6"/>
  <c r="W57" i="6"/>
  <c r="U53" i="6"/>
  <c r="X53" i="6"/>
  <c r="W53" i="6"/>
  <c r="Z53" i="6"/>
  <c r="T53" i="6"/>
  <c r="V53" i="6"/>
  <c r="M53" i="6"/>
  <c r="U55" i="6"/>
  <c r="Z55" i="6"/>
  <c r="T55" i="6"/>
  <c r="X55" i="6"/>
  <c r="W55" i="6"/>
  <c r="V55" i="6"/>
  <c r="M55" i="6"/>
  <c r="I51" i="6"/>
  <c r="P51" i="6" s="1"/>
  <c r="Q51" i="6" s="1"/>
  <c r="S43" i="6"/>
  <c r="I41" i="6"/>
  <c r="P41" i="6" s="1"/>
  <c r="Q41" i="6" s="1"/>
  <c r="M41" i="6" s="1"/>
  <c r="I39" i="6"/>
  <c r="Q39" i="6" s="1"/>
  <c r="I42" i="6"/>
  <c r="P42" i="6" s="1"/>
  <c r="Q42" i="6" s="1"/>
  <c r="M42" i="6" s="1"/>
  <c r="X38" i="6"/>
  <c r="V38" i="6"/>
  <c r="Z38" i="6"/>
  <c r="W38" i="6"/>
  <c r="U38" i="6"/>
  <c r="T38" i="6"/>
  <c r="M38" i="6"/>
  <c r="Y37" i="6"/>
  <c r="X40" i="6"/>
  <c r="Z40" i="6"/>
  <c r="T40" i="6"/>
  <c r="W40" i="6"/>
  <c r="V40" i="6"/>
  <c r="U40" i="6"/>
  <c r="X36" i="6"/>
  <c r="U36" i="6"/>
  <c r="W36" i="6"/>
  <c r="V36" i="6"/>
  <c r="Z36" i="6"/>
  <c r="T36" i="6"/>
  <c r="I26" i="6"/>
  <c r="P26" i="6" s="1"/>
  <c r="Q26" i="6" s="1"/>
  <c r="T26" i="6" s="1"/>
  <c r="I25" i="6"/>
  <c r="P25" i="6" s="1"/>
  <c r="Q25" i="6" s="1"/>
  <c r="I28" i="6"/>
  <c r="P28" i="6" s="1"/>
  <c r="Q28" i="6" s="1"/>
  <c r="S29" i="6"/>
  <c r="S12" i="6"/>
  <c r="I27" i="6" s="1"/>
  <c r="P27" i="6" s="1"/>
  <c r="Q27" i="6" s="1"/>
  <c r="AD7" i="10"/>
  <c r="M7" i="10" s="1"/>
  <c r="X12" i="10"/>
  <c r="AD9" i="10" s="1"/>
  <c r="M9" i="10" s="1"/>
  <c r="AF11" i="10"/>
  <c r="AG11" i="10" s="1"/>
  <c r="AF10" i="10"/>
  <c r="AG10" i="10" s="1"/>
  <c r="AD10" i="10"/>
  <c r="M10" i="10" s="1"/>
  <c r="AD5" i="10"/>
  <c r="M5" i="10" s="1"/>
  <c r="AD8" i="10"/>
  <c r="M8" i="10" s="1"/>
  <c r="AD11" i="10"/>
  <c r="M11" i="10" s="1"/>
  <c r="AC5" i="10"/>
  <c r="AC12" i="10" s="1"/>
  <c r="U12" i="10"/>
  <c r="AB5" i="10"/>
  <c r="AB12" i="10" s="1"/>
  <c r="AB13" i="10" s="1"/>
  <c r="Y5" i="10"/>
  <c r="Y12" i="10" s="1"/>
  <c r="AA5" i="10"/>
  <c r="AA12" i="10" s="1"/>
  <c r="AE5" i="10"/>
  <c r="AE12" i="10" s="1"/>
  <c r="Z5" i="10"/>
  <c r="Z12" i="10" s="1"/>
  <c r="V11" i="8"/>
  <c r="Y8" i="8" s="1"/>
  <c r="R13" i="7"/>
  <c r="W12" i="7"/>
  <c r="W13" i="7" s="1"/>
  <c r="X12" i="7"/>
  <c r="X13" i="7" s="1"/>
  <c r="V12" i="7"/>
  <c r="V13" i="7" s="1"/>
  <c r="U9" i="7"/>
  <c r="Z12" i="7"/>
  <c r="Z13" i="7" s="1"/>
  <c r="Y13" i="7"/>
  <c r="Q13" i="7"/>
  <c r="T12" i="7"/>
  <c r="T13" i="7" s="1"/>
  <c r="S12" i="7"/>
  <c r="Y5" i="7" s="1"/>
  <c r="M5" i="7" s="1"/>
  <c r="U5" i="7"/>
  <c r="X5" i="3"/>
  <c r="S5" i="3"/>
  <c r="Y5" i="3"/>
  <c r="T5" i="3"/>
  <c r="V5" i="3"/>
  <c r="W5" i="3"/>
  <c r="X14" i="5"/>
  <c r="T8" i="5"/>
  <c r="V8" i="5"/>
  <c r="S8" i="5"/>
  <c r="U8" i="5"/>
  <c r="W8" i="5"/>
  <c r="X8" i="5"/>
  <c r="W5" i="5"/>
  <c r="Y14" i="5"/>
  <c r="X5" i="5"/>
  <c r="Y6" i="5"/>
  <c r="T6" i="5"/>
  <c r="U6" i="5"/>
  <c r="Y5" i="5"/>
  <c r="X6" i="5"/>
  <c r="W6" i="5"/>
  <c r="W14" i="5"/>
  <c r="S6" i="5"/>
  <c r="V7" i="5"/>
  <c r="U7" i="5"/>
  <c r="X7" i="5"/>
  <c r="Y7" i="5"/>
  <c r="S7" i="5"/>
  <c r="T7" i="5"/>
  <c r="W7" i="5"/>
  <c r="V14" i="5"/>
  <c r="T14" i="5"/>
  <c r="S14" i="5"/>
  <c r="X11" i="5"/>
  <c r="Y11" i="5"/>
  <c r="V11" i="5"/>
  <c r="U11" i="5"/>
  <c r="W11" i="5"/>
  <c r="T11" i="5"/>
  <c r="U5" i="5"/>
  <c r="T12" i="5"/>
  <c r="Y13" i="5"/>
  <c r="U13" i="5"/>
  <c r="W13" i="5"/>
  <c r="V13" i="5"/>
  <c r="X13" i="5"/>
  <c r="S5" i="5"/>
  <c r="V5" i="5"/>
  <c r="S13" i="5"/>
  <c r="X12" i="5"/>
  <c r="Y12" i="5"/>
  <c r="S12" i="5"/>
  <c r="U12" i="5"/>
  <c r="V12" i="5"/>
  <c r="W12" i="5"/>
  <c r="V10" i="5"/>
  <c r="W10" i="5"/>
  <c r="Y10" i="5"/>
  <c r="S10" i="5"/>
  <c r="U10" i="5"/>
  <c r="X10" i="5"/>
  <c r="S11" i="5"/>
  <c r="P9" i="5"/>
  <c r="T6" i="3"/>
  <c r="W6" i="3"/>
  <c r="V6" i="3"/>
  <c r="S6" i="3"/>
  <c r="X6" i="3"/>
  <c r="U6" i="3"/>
  <c r="Y7" i="3"/>
  <c r="U7" i="3"/>
  <c r="T7" i="3"/>
  <c r="X7" i="3"/>
  <c r="X9" i="3"/>
  <c r="T9" i="3"/>
  <c r="W9" i="3"/>
  <c r="S9" i="3"/>
  <c r="V9" i="3"/>
  <c r="U9" i="3"/>
  <c r="W7" i="3"/>
  <c r="V7" i="3"/>
  <c r="S7" i="3"/>
  <c r="P11" i="3"/>
  <c r="X8" i="3"/>
  <c r="U8" i="3"/>
  <c r="W8" i="3"/>
  <c r="Y8" i="3"/>
  <c r="V8" i="3"/>
  <c r="S8" i="3"/>
  <c r="W10" i="3"/>
  <c r="X10" i="3"/>
  <c r="U10" i="3"/>
  <c r="Y10" i="3"/>
  <c r="V10" i="3"/>
  <c r="S10" i="3"/>
  <c r="R8" i="4"/>
  <c r="L8" i="4"/>
  <c r="R10" i="4"/>
  <c r="L10" i="4"/>
  <c r="R12" i="4"/>
  <c r="L12" i="4"/>
  <c r="R7" i="4"/>
  <c r="L7" i="4"/>
  <c r="R6" i="4"/>
  <c r="L6" i="4"/>
  <c r="L9" i="4"/>
  <c r="R9" i="4"/>
  <c r="L11" i="4"/>
  <c r="R11" i="4"/>
  <c r="O13" i="4"/>
  <c r="K13" i="4"/>
  <c r="O11" i="2"/>
  <c r="O13" i="2" s="1"/>
  <c r="R6" i="2"/>
  <c r="L6" i="2"/>
  <c r="L11" i="2"/>
  <c r="R10" i="2"/>
  <c r="L10" i="2"/>
  <c r="R9" i="2"/>
  <c r="L9" i="2"/>
  <c r="R12" i="2"/>
  <c r="L12" i="2"/>
  <c r="R8" i="2"/>
  <c r="K13" i="2"/>
  <c r="AB9" i="12" l="1"/>
  <c r="AC9" i="12" s="1"/>
  <c r="AB12" i="12"/>
  <c r="AC12" i="12" s="1"/>
  <c r="AB11" i="12"/>
  <c r="AC11" i="12" s="1"/>
  <c r="N7" i="12"/>
  <c r="R13" i="12"/>
  <c r="X7" i="12"/>
  <c r="X13" i="12" s="1"/>
  <c r="X14" i="12" s="1"/>
  <c r="W7" i="12"/>
  <c r="W13" i="12" s="1"/>
  <c r="Y7" i="12"/>
  <c r="Y13" i="12" s="1"/>
  <c r="V7" i="12"/>
  <c r="V13" i="12" s="1"/>
  <c r="AA7" i="12"/>
  <c r="AA13" i="12" s="1"/>
  <c r="U7" i="12"/>
  <c r="M66" i="6"/>
  <c r="AA70" i="6"/>
  <c r="AB70" i="6" s="1"/>
  <c r="AA72" i="6"/>
  <c r="AB72" i="6" s="1"/>
  <c r="AA68" i="6"/>
  <c r="AB68" i="6" s="1"/>
  <c r="Q73" i="6"/>
  <c r="V66" i="6"/>
  <c r="V73" i="6" s="1"/>
  <c r="V74" i="6" s="1"/>
  <c r="U66" i="6"/>
  <c r="U73" i="6" s="1"/>
  <c r="U74" i="6" s="1"/>
  <c r="Z66" i="6"/>
  <c r="Z73" i="6" s="1"/>
  <c r="Z74" i="6" s="1"/>
  <c r="T66" i="6"/>
  <c r="T73" i="6" s="1"/>
  <c r="T74" i="6" s="1"/>
  <c r="X66" i="6"/>
  <c r="X73" i="6" s="1"/>
  <c r="X74" i="6" s="1"/>
  <c r="W66" i="6"/>
  <c r="W73" i="6" s="1"/>
  <c r="W74" i="6" s="1"/>
  <c r="AA53" i="6"/>
  <c r="AB53" i="6" s="1"/>
  <c r="AA57" i="6"/>
  <c r="AB57" i="6" s="1"/>
  <c r="AA55" i="6"/>
  <c r="AB55" i="6" s="1"/>
  <c r="U51" i="6"/>
  <c r="U58" i="6" s="1"/>
  <c r="U59" i="6" s="1"/>
  <c r="T51" i="6"/>
  <c r="T58" i="6" s="1"/>
  <c r="T59" i="6" s="1"/>
  <c r="X51" i="6"/>
  <c r="X58" i="6" s="1"/>
  <c r="X59" i="6" s="1"/>
  <c r="Z51" i="6"/>
  <c r="Z58" i="6" s="1"/>
  <c r="Z59" i="6" s="1"/>
  <c r="W51" i="6"/>
  <c r="W58" i="6" s="1"/>
  <c r="W59" i="6" s="1"/>
  <c r="Q58" i="6"/>
  <c r="Q62" i="6" s="1"/>
  <c r="V51" i="6"/>
  <c r="V58" i="6" s="1"/>
  <c r="V59" i="6" s="1"/>
  <c r="M51" i="6"/>
  <c r="AA40" i="6"/>
  <c r="AB40" i="6" s="1"/>
  <c r="AA38" i="6"/>
  <c r="AB38" i="6" s="1"/>
  <c r="AA36" i="6"/>
  <c r="U42" i="6"/>
  <c r="T42" i="6"/>
  <c r="X42" i="6"/>
  <c r="W42" i="6"/>
  <c r="V42" i="6"/>
  <c r="Z42" i="6"/>
  <c r="U39" i="6"/>
  <c r="X39" i="6"/>
  <c r="W39" i="6"/>
  <c r="V39" i="6"/>
  <c r="Z39" i="6"/>
  <c r="T39" i="6"/>
  <c r="I37" i="6"/>
  <c r="P37" i="6" s="1"/>
  <c r="Q37" i="6" s="1"/>
  <c r="M37" i="6" s="1"/>
  <c r="M39" i="6"/>
  <c r="U41" i="6"/>
  <c r="W41" i="6"/>
  <c r="V41" i="6"/>
  <c r="Z41" i="6"/>
  <c r="T41" i="6"/>
  <c r="X41" i="6"/>
  <c r="Z26" i="6"/>
  <c r="V26" i="6"/>
  <c r="M28" i="6"/>
  <c r="P23" i="6"/>
  <c r="Q23" i="6" s="1"/>
  <c r="U23" i="6" s="1"/>
  <c r="U26" i="6"/>
  <c r="W26" i="6"/>
  <c r="X26" i="6"/>
  <c r="M26" i="6"/>
  <c r="X25" i="6"/>
  <c r="W25" i="6"/>
  <c r="V25" i="6"/>
  <c r="U25" i="6"/>
  <c r="Z25" i="6"/>
  <c r="T25" i="6"/>
  <c r="M25" i="6"/>
  <c r="X27" i="6"/>
  <c r="W27" i="6"/>
  <c r="V27" i="6"/>
  <c r="U27" i="6"/>
  <c r="Z27" i="6"/>
  <c r="T27" i="6"/>
  <c r="M27" i="6"/>
  <c r="Z28" i="6"/>
  <c r="T28" i="6"/>
  <c r="X28" i="6"/>
  <c r="W28" i="6"/>
  <c r="V28" i="6"/>
  <c r="U28" i="6"/>
  <c r="Y10" i="6"/>
  <c r="Y9" i="6"/>
  <c r="I9" i="6" s="1"/>
  <c r="P9" i="6" s="1"/>
  <c r="Q9" i="6" s="1"/>
  <c r="Y7" i="8"/>
  <c r="Y6" i="8"/>
  <c r="Y5" i="8"/>
  <c r="Y9" i="8"/>
  <c r="Y10" i="8"/>
  <c r="AC5" i="8"/>
  <c r="AC7" i="8"/>
  <c r="AC9" i="8"/>
  <c r="Y5" i="6"/>
  <c r="I5" i="6" s="1"/>
  <c r="Y6" i="6"/>
  <c r="Y11" i="6"/>
  <c r="Y8" i="6"/>
  <c r="I8" i="6" s="1"/>
  <c r="P8" i="6" s="1"/>
  <c r="Q8" i="6" s="1"/>
  <c r="Y7" i="6"/>
  <c r="I7" i="6" s="1"/>
  <c r="P7" i="6" s="1"/>
  <c r="Q7" i="6" s="1"/>
  <c r="R13" i="4"/>
  <c r="S13" i="4" s="1"/>
  <c r="AA13" i="10"/>
  <c r="Y13" i="10"/>
  <c r="AF7" i="10"/>
  <c r="AG7" i="10" s="1"/>
  <c r="AC8" i="8"/>
  <c r="Z13" i="10"/>
  <c r="AC10" i="8"/>
  <c r="AD6" i="10"/>
  <c r="M6" i="10" s="1"/>
  <c r="AF9" i="10"/>
  <c r="AG9" i="10" s="1"/>
  <c r="AC6" i="8"/>
  <c r="AD13" i="10"/>
  <c r="U13" i="10"/>
  <c r="W13" i="10"/>
  <c r="AF5" i="10"/>
  <c r="AC13" i="10"/>
  <c r="X13" i="10"/>
  <c r="AE13" i="10"/>
  <c r="AF8" i="10"/>
  <c r="AG8" i="10" s="1"/>
  <c r="Y10" i="7"/>
  <c r="Y7" i="7"/>
  <c r="M7" i="7" s="1"/>
  <c r="S13" i="7"/>
  <c r="Y11" i="7"/>
  <c r="Y8" i="7"/>
  <c r="Y6" i="7"/>
  <c r="U12" i="7"/>
  <c r="U13" i="7" s="1"/>
  <c r="AA5" i="7"/>
  <c r="Y9" i="7"/>
  <c r="M9" i="7" s="1"/>
  <c r="Q15" i="3"/>
  <c r="P15" i="3"/>
  <c r="O15" i="3"/>
  <c r="Z5" i="3"/>
  <c r="AA5" i="3" s="1"/>
  <c r="P12" i="3"/>
  <c r="Z8" i="5"/>
  <c r="AA8" i="5" s="1"/>
  <c r="Z14" i="5"/>
  <c r="AA14" i="5" s="1"/>
  <c r="Z6" i="5"/>
  <c r="AA6" i="5" s="1"/>
  <c r="Z5" i="5"/>
  <c r="AA5" i="5" s="1"/>
  <c r="Z7" i="5"/>
  <c r="AA7" i="5" s="1"/>
  <c r="Z11" i="5"/>
  <c r="AA11" i="5" s="1"/>
  <c r="Z12" i="5"/>
  <c r="AA12" i="5" s="1"/>
  <c r="Z10" i="5"/>
  <c r="AA10" i="5" s="1"/>
  <c r="Z13" i="5"/>
  <c r="AA13" i="5" s="1"/>
  <c r="V9" i="5"/>
  <c r="V15" i="5" s="1"/>
  <c r="W9" i="5"/>
  <c r="W15" i="5" s="1"/>
  <c r="X9" i="5"/>
  <c r="X15" i="5" s="1"/>
  <c r="Y9" i="5"/>
  <c r="Y15" i="5" s="1"/>
  <c r="T9" i="5"/>
  <c r="T15" i="5" s="1"/>
  <c r="S9" i="5"/>
  <c r="S15" i="5" s="1"/>
  <c r="U9" i="5"/>
  <c r="U15" i="5" s="1"/>
  <c r="P15" i="5"/>
  <c r="P18" i="5" s="1"/>
  <c r="T11" i="3"/>
  <c r="T12" i="3" s="1"/>
  <c r="X11" i="3"/>
  <c r="X12" i="3" s="1"/>
  <c r="S11" i="3"/>
  <c r="S12" i="3" s="1"/>
  <c r="U11" i="3"/>
  <c r="U12" i="3" s="1"/>
  <c r="Y11" i="3"/>
  <c r="Y12" i="3" s="1"/>
  <c r="V11" i="3"/>
  <c r="V12" i="3" s="1"/>
  <c r="W11" i="3"/>
  <c r="W12" i="3" s="1"/>
  <c r="Z6" i="3"/>
  <c r="AA6" i="3" s="1"/>
  <c r="Z9" i="3"/>
  <c r="AA9" i="3" s="1"/>
  <c r="Z10" i="3"/>
  <c r="AA10" i="3" s="1"/>
  <c r="Z7" i="3"/>
  <c r="AA7" i="3" s="1"/>
  <c r="Z8" i="3"/>
  <c r="R12" i="3"/>
  <c r="Q12" i="3"/>
  <c r="R11" i="2"/>
  <c r="R13" i="2" s="1"/>
  <c r="S13" i="2" s="1"/>
  <c r="Y14" i="12" l="1"/>
  <c r="W14" i="12"/>
  <c r="AA14" i="12"/>
  <c r="T14" i="12"/>
  <c r="S14" i="12"/>
  <c r="Z14" i="12"/>
  <c r="V14" i="12"/>
  <c r="AB7" i="12"/>
  <c r="U13" i="12"/>
  <c r="U14" i="12" s="1"/>
  <c r="Q74" i="6"/>
  <c r="Q75" i="6"/>
  <c r="AA66" i="6"/>
  <c r="AB66" i="6" s="1"/>
  <c r="AA26" i="6"/>
  <c r="AB26" i="6" s="1"/>
  <c r="AA39" i="6"/>
  <c r="AB39" i="6" s="1"/>
  <c r="Q59" i="6"/>
  <c r="AA51" i="6"/>
  <c r="AA42" i="6"/>
  <c r="AB42" i="6" s="1"/>
  <c r="AA41" i="6"/>
  <c r="U37" i="6"/>
  <c r="U43" i="6" s="1"/>
  <c r="X37" i="6"/>
  <c r="X43" i="6" s="1"/>
  <c r="V37" i="6"/>
  <c r="V43" i="6" s="1"/>
  <c r="Z37" i="6"/>
  <c r="Z43" i="6" s="1"/>
  <c r="T37" i="6"/>
  <c r="T43" i="6" s="1"/>
  <c r="W37" i="6"/>
  <c r="W43" i="6" s="1"/>
  <c r="Q43" i="6"/>
  <c r="Q44" i="6" s="1"/>
  <c r="AB36" i="6"/>
  <c r="AA25" i="6"/>
  <c r="AB25" i="6" s="1"/>
  <c r="X23" i="6"/>
  <c r="V23" i="6"/>
  <c r="M23" i="6"/>
  <c r="T23" i="6"/>
  <c r="W23" i="6"/>
  <c r="AA27" i="6"/>
  <c r="AB27" i="6" s="1"/>
  <c r="Z23" i="6"/>
  <c r="I24" i="6"/>
  <c r="P24" i="6" s="1"/>
  <c r="Q24" i="6" s="1"/>
  <c r="M24" i="6" s="1"/>
  <c r="AA28" i="6"/>
  <c r="AB28" i="6" s="1"/>
  <c r="I10" i="6"/>
  <c r="P10" i="6" s="1"/>
  <c r="Q10" i="6" s="1"/>
  <c r="M10" i="6" s="1"/>
  <c r="I6" i="8"/>
  <c r="N6" i="8" s="1"/>
  <c r="P6" i="8" s="1"/>
  <c r="R6" i="8" s="1"/>
  <c r="I7" i="8"/>
  <c r="N7" i="8" s="1"/>
  <c r="P7" i="8" s="1"/>
  <c r="R7" i="8" s="1"/>
  <c r="S7" i="8" s="1"/>
  <c r="I9" i="8"/>
  <c r="N9" i="8" s="1"/>
  <c r="P9" i="8" s="1"/>
  <c r="R9" i="8" s="1"/>
  <c r="S9" i="8" s="1"/>
  <c r="AC11" i="8"/>
  <c r="I5" i="8"/>
  <c r="N5" i="8" s="1"/>
  <c r="P5" i="8" s="1"/>
  <c r="R5" i="8" s="1"/>
  <c r="S5" i="8" s="1"/>
  <c r="W5" i="8" s="1"/>
  <c r="I10" i="8"/>
  <c r="N10" i="8" s="1"/>
  <c r="P10" i="8" s="1"/>
  <c r="I8" i="8"/>
  <c r="N8" i="8" s="1"/>
  <c r="P8" i="8" s="1"/>
  <c r="Y11" i="8"/>
  <c r="I11" i="6"/>
  <c r="P11" i="6" s="1"/>
  <c r="Q11" i="6" s="1"/>
  <c r="P5" i="6"/>
  <c r="Q5" i="6" s="1"/>
  <c r="V8" i="6"/>
  <c r="Z8" i="6"/>
  <c r="W8" i="6"/>
  <c r="T8" i="6"/>
  <c r="U8" i="6"/>
  <c r="X8" i="6"/>
  <c r="W9" i="6"/>
  <c r="V9" i="6"/>
  <c r="Z9" i="6"/>
  <c r="T9" i="6"/>
  <c r="X9" i="6"/>
  <c r="U9" i="6"/>
  <c r="Z7" i="6"/>
  <c r="W7" i="6"/>
  <c r="V7" i="6"/>
  <c r="U7" i="6"/>
  <c r="X7" i="6"/>
  <c r="T7" i="6"/>
  <c r="I6" i="6"/>
  <c r="P6" i="6" s="1"/>
  <c r="Q6" i="6" s="1"/>
  <c r="M9" i="6"/>
  <c r="M7" i="6"/>
  <c r="M8" i="6"/>
  <c r="AF6" i="10"/>
  <c r="AG6" i="10" s="1"/>
  <c r="AF12" i="10"/>
  <c r="AG5" i="10"/>
  <c r="AA7" i="7"/>
  <c r="AB7" i="7" s="1"/>
  <c r="M10" i="7"/>
  <c r="AA10" i="7"/>
  <c r="AB10" i="7" s="1"/>
  <c r="AA9" i="7"/>
  <c r="AB9" i="7" s="1"/>
  <c r="M8" i="7"/>
  <c r="AA8" i="7"/>
  <c r="AB8" i="7" s="1"/>
  <c r="M11" i="7"/>
  <c r="AA11" i="7"/>
  <c r="AB11" i="7" s="1"/>
  <c r="M6" i="7"/>
  <c r="AA6" i="7"/>
  <c r="AB6" i="7" s="1"/>
  <c r="AB5" i="7"/>
  <c r="Y16" i="5"/>
  <c r="X16" i="5"/>
  <c r="T16" i="5"/>
  <c r="U16" i="5"/>
  <c r="S16" i="5"/>
  <c r="V16" i="5"/>
  <c r="Z9" i="5"/>
  <c r="R16" i="5"/>
  <c r="Q16" i="5"/>
  <c r="W16" i="5"/>
  <c r="AA8" i="3"/>
  <c r="Z11" i="3"/>
  <c r="AC7" i="12" l="1"/>
  <c r="AB13" i="12"/>
  <c r="AB14" i="12" s="1"/>
  <c r="AA73" i="6"/>
  <c r="AA74" i="6" s="1"/>
  <c r="AA58" i="6"/>
  <c r="AB51" i="6"/>
  <c r="AA23" i="6"/>
  <c r="AB23" i="6" s="1"/>
  <c r="AA37" i="6"/>
  <c r="Q29" i="6"/>
  <c r="Q30" i="6" s="1"/>
  <c r="V29" i="6"/>
  <c r="T24" i="6"/>
  <c r="X24" i="6"/>
  <c r="X29" i="6" s="1"/>
  <c r="U24" i="6"/>
  <c r="U29" i="6" s="1"/>
  <c r="V24" i="6"/>
  <c r="W24" i="6"/>
  <c r="W29" i="6" s="1"/>
  <c r="Z24" i="6"/>
  <c r="Z29" i="6" s="1"/>
  <c r="W10" i="6"/>
  <c r="X10" i="6"/>
  <c r="T10" i="6"/>
  <c r="Z10" i="6"/>
  <c r="U10" i="6"/>
  <c r="V10" i="6"/>
  <c r="X7" i="8"/>
  <c r="AB7" i="8"/>
  <c r="AE7" i="8"/>
  <c r="W7" i="8"/>
  <c r="AA7" i="8"/>
  <c r="AA9" i="8"/>
  <c r="W9" i="8"/>
  <c r="AB9" i="8"/>
  <c r="X9" i="8"/>
  <c r="AE9" i="8"/>
  <c r="R8" i="8"/>
  <c r="S8" i="8" s="1"/>
  <c r="R10" i="8"/>
  <c r="S10" i="8" s="1"/>
  <c r="S6" i="8"/>
  <c r="Z5" i="6"/>
  <c r="V5" i="6"/>
  <c r="X11" i="6"/>
  <c r="V11" i="6"/>
  <c r="T11" i="6"/>
  <c r="M11" i="6"/>
  <c r="Z11" i="6"/>
  <c r="U11" i="6"/>
  <c r="W11" i="6"/>
  <c r="M5" i="6"/>
  <c r="T5" i="6"/>
  <c r="U5" i="6"/>
  <c r="W5" i="6"/>
  <c r="X5" i="6"/>
  <c r="Q12" i="6"/>
  <c r="W44" i="6" s="1"/>
  <c r="AA7" i="6"/>
  <c r="AB7" i="6" s="1"/>
  <c r="AA8" i="6"/>
  <c r="AB8" i="6" s="1"/>
  <c r="AA9" i="6"/>
  <c r="AB9" i="6" s="1"/>
  <c r="W6" i="6"/>
  <c r="Z6" i="6"/>
  <c r="X6" i="6"/>
  <c r="T6" i="6"/>
  <c r="V6" i="6"/>
  <c r="U6" i="6"/>
  <c r="M6" i="6"/>
  <c r="AB5" i="8"/>
  <c r="X5" i="8"/>
  <c r="AE5" i="8"/>
  <c r="AA5" i="8"/>
  <c r="V13" i="10"/>
  <c r="AG12" i="10"/>
  <c r="AA12" i="7"/>
  <c r="AA9" i="5"/>
  <c r="Z15" i="5"/>
  <c r="Z12" i="3"/>
  <c r="AA12" i="3" s="1"/>
  <c r="AA11" i="3"/>
  <c r="AC13" i="12" l="1"/>
  <c r="AB73" i="6"/>
  <c r="AA59" i="6"/>
  <c r="AB58" i="6"/>
  <c r="X44" i="6"/>
  <c r="V44" i="6"/>
  <c r="Z44" i="6"/>
  <c r="Y44" i="6"/>
  <c r="R44" i="6"/>
  <c r="S44" i="6"/>
  <c r="T44" i="6"/>
  <c r="U44" i="6"/>
  <c r="AB37" i="6"/>
  <c r="AA43" i="6"/>
  <c r="AA24" i="6"/>
  <c r="T29" i="6"/>
  <c r="T30" i="6" s="1"/>
  <c r="Y30" i="6"/>
  <c r="R30" i="6"/>
  <c r="S30" i="6"/>
  <c r="V30" i="6"/>
  <c r="W30" i="6"/>
  <c r="X30" i="6"/>
  <c r="U30" i="6"/>
  <c r="Z30" i="6"/>
  <c r="AA10" i="6"/>
  <c r="Y13" i="6"/>
  <c r="AF5" i="8"/>
  <c r="AF9" i="8"/>
  <c r="AG9" i="8" s="1"/>
  <c r="AF7" i="8"/>
  <c r="AG7" i="8" s="1"/>
  <c r="AE8" i="8"/>
  <c r="AA8" i="8"/>
  <c r="AB10" i="8"/>
  <c r="AA10" i="8"/>
  <c r="W10" i="8"/>
  <c r="X10" i="8"/>
  <c r="AE10" i="8"/>
  <c r="X8" i="8"/>
  <c r="T5" i="8"/>
  <c r="W8" i="8"/>
  <c r="S11" i="8"/>
  <c r="S15" i="8" s="1"/>
  <c r="AB8" i="8"/>
  <c r="AB6" i="8"/>
  <c r="AE6" i="8"/>
  <c r="W6" i="8"/>
  <c r="AA6" i="8"/>
  <c r="X6" i="8"/>
  <c r="R13" i="6"/>
  <c r="X12" i="6"/>
  <c r="X13" i="6" s="1"/>
  <c r="AA5" i="6"/>
  <c r="AB5" i="6" s="1"/>
  <c r="V12" i="6"/>
  <c r="V13" i="6" s="1"/>
  <c r="AA11" i="6"/>
  <c r="AB11" i="6" s="1"/>
  <c r="Z12" i="6"/>
  <c r="Z13" i="6" s="1"/>
  <c r="W12" i="6"/>
  <c r="W13" i="6" s="1"/>
  <c r="Q13" i="6"/>
  <c r="S13" i="6"/>
  <c r="U12" i="6"/>
  <c r="U13" i="6" s="1"/>
  <c r="AA6" i="6"/>
  <c r="AB6" i="6" s="1"/>
  <c r="T12" i="6"/>
  <c r="T13" i="6" s="1"/>
  <c r="AA13" i="7"/>
  <c r="AB12" i="7"/>
  <c r="AA15" i="5"/>
  <c r="Z16" i="5"/>
  <c r="AA16" i="5" s="1"/>
  <c r="AA44" i="6" l="1"/>
  <c r="AB43" i="6"/>
  <c r="AB24" i="6"/>
  <c r="AA29" i="6"/>
  <c r="AF8" i="8"/>
  <c r="AG8" i="8" s="1"/>
  <c r="AF6" i="8"/>
  <c r="AG6" i="8" s="1"/>
  <c r="AF10" i="8"/>
  <c r="AG10" i="8" s="1"/>
  <c r="S12" i="8"/>
  <c r="AC12" i="8"/>
  <c r="U12" i="8"/>
  <c r="AE11" i="8"/>
  <c r="AE12" i="8" s="1"/>
  <c r="Y12" i="8"/>
  <c r="AB11" i="8"/>
  <c r="AB12" i="8" s="1"/>
  <c r="X11" i="8"/>
  <c r="X12" i="8" s="1"/>
  <c r="AA11" i="8"/>
  <c r="AA12" i="8" s="1"/>
  <c r="W11" i="8"/>
  <c r="W12" i="8" s="1"/>
  <c r="V12" i="8"/>
  <c r="AA12" i="6"/>
  <c r="AB12" i="6" s="1"/>
  <c r="AG5" i="8"/>
  <c r="AB29" i="6" l="1"/>
  <c r="AA30" i="6"/>
  <c r="AF11" i="8"/>
  <c r="T12" i="8" s="1"/>
  <c r="AA13" i="6"/>
  <c r="AG11" i="8" l="1"/>
  <c r="Y81" i="6" l="1"/>
  <c r="P81" i="6" s="1"/>
  <c r="Q81" i="6" s="1"/>
  <c r="P82" i="6"/>
  <c r="Q82" i="6"/>
  <c r="U82" i="6" s="1"/>
  <c r="T82" i="6"/>
  <c r="W82" i="6"/>
  <c r="Z82" i="6"/>
  <c r="P83" i="6"/>
  <c r="Q83" i="6" s="1"/>
  <c r="P84" i="6"/>
  <c r="Q84" i="6"/>
  <c r="M84" i="6" s="1"/>
  <c r="V84" i="6"/>
  <c r="Z84" i="6"/>
  <c r="M85" i="6"/>
  <c r="P85" i="6"/>
  <c r="Q85" i="6"/>
  <c r="X85" i="6" s="1"/>
  <c r="T85" i="6"/>
  <c r="V85" i="6"/>
  <c r="W85" i="6"/>
  <c r="Z85" i="6"/>
  <c r="P86" i="6"/>
  <c r="Q86" i="6" s="1"/>
  <c r="P87" i="6"/>
  <c r="Q87" i="6"/>
  <c r="T87" i="6" s="1"/>
  <c r="Z87" i="6"/>
  <c r="M82" i="6" l="1"/>
  <c r="Z86" i="6"/>
  <c r="U86" i="6"/>
  <c r="AA86" i="6" s="1"/>
  <c r="AB86" i="6" s="1"/>
  <c r="T86" i="6"/>
  <c r="X86" i="6"/>
  <c r="V86" i="6"/>
  <c r="M86" i="6"/>
  <c r="W86" i="6"/>
  <c r="V83" i="6"/>
  <c r="X83" i="6"/>
  <c r="M83" i="6"/>
  <c r="W83" i="6"/>
  <c r="U83" i="6"/>
  <c r="Z83" i="6"/>
  <c r="T83" i="6"/>
  <c r="U81" i="6"/>
  <c r="M81" i="6"/>
  <c r="Q88" i="6"/>
  <c r="Q89" i="6" s="1"/>
  <c r="T81" i="6"/>
  <c r="V81" i="6"/>
  <c r="W81" i="6"/>
  <c r="Z81" i="6"/>
  <c r="X81" i="6"/>
  <c r="X87" i="6"/>
  <c r="U84" i="6"/>
  <c r="W87" i="6"/>
  <c r="M87" i="6"/>
  <c r="U85" i="6"/>
  <c r="AA85" i="6" s="1"/>
  <c r="AB85" i="6" s="1"/>
  <c r="T84" i="6"/>
  <c r="AA84" i="6" s="1"/>
  <c r="AB84" i="6" s="1"/>
  <c r="X82" i="6"/>
  <c r="V87" i="6"/>
  <c r="U87" i="6"/>
  <c r="AA87" i="6" s="1"/>
  <c r="AB87" i="6" s="1"/>
  <c r="X84" i="6"/>
  <c r="V82" i="6"/>
  <c r="W84" i="6"/>
  <c r="T88" i="6" l="1"/>
  <c r="T89" i="6" s="1"/>
  <c r="AA83" i="6"/>
  <c r="AB83" i="6" s="1"/>
  <c r="AA82" i="6"/>
  <c r="AB82" i="6" s="1"/>
  <c r="X88" i="6"/>
  <c r="X89" i="6" s="1"/>
  <c r="Z88" i="6"/>
  <c r="Z89" i="6" s="1"/>
  <c r="W88" i="6"/>
  <c r="W89" i="6" s="1"/>
  <c r="AA81" i="6"/>
  <c r="U88" i="6"/>
  <c r="U89" i="6" s="1"/>
  <c r="V88" i="6"/>
  <c r="V89" i="6" s="1"/>
  <c r="AB81" i="6" l="1"/>
  <c r="AA88" i="6"/>
  <c r="AA89" i="6" l="1"/>
  <c r="AB88" i="6"/>
</calcChain>
</file>

<file path=xl/sharedStrings.xml><?xml version="1.0" encoding="utf-8"?>
<sst xmlns="http://schemas.openxmlformats.org/spreadsheetml/2006/main" count="464" uniqueCount="90">
  <si>
    <t>Frete</t>
  </si>
  <si>
    <t>Tabela de Preço minimo para venda Placa Solar!</t>
  </si>
  <si>
    <t xml:space="preserve"> Quantidade a ser vendida</t>
  </si>
  <si>
    <t>Comissão</t>
  </si>
  <si>
    <t>Condição de pagamento</t>
  </si>
  <si>
    <t>Valor minimo para a venda!</t>
  </si>
  <si>
    <t>ANTECIPADO</t>
  </si>
  <si>
    <t>Custo das Placas</t>
  </si>
  <si>
    <t>IPI</t>
  </si>
  <si>
    <t>ICMS</t>
  </si>
  <si>
    <t>PIS</t>
  </si>
  <si>
    <t>COFINS</t>
  </si>
  <si>
    <t>Comissção</t>
  </si>
  <si>
    <t>Cond PG</t>
  </si>
  <si>
    <t>Venda</t>
  </si>
  <si>
    <t>Líquido</t>
  </si>
  <si>
    <t>ENTRADA + 28/56/84 DIAS</t>
  </si>
  <si>
    <t>ENTRADA + 28/56 DIAS</t>
  </si>
  <si>
    <t>Painel</t>
  </si>
  <si>
    <t>qtde</t>
  </si>
  <si>
    <t>inversor</t>
  </si>
  <si>
    <t>cabo vm</t>
  </si>
  <si>
    <t>cabo pt</t>
  </si>
  <si>
    <t>conector mc4</t>
  </si>
  <si>
    <t>kit fixação</t>
  </si>
  <si>
    <t>Custo</t>
  </si>
  <si>
    <t>P&amp;C</t>
  </si>
  <si>
    <t>CstLqd</t>
  </si>
  <si>
    <t>CondPag</t>
  </si>
  <si>
    <t>PrcUnt</t>
  </si>
  <si>
    <t>VlrTotal</t>
  </si>
  <si>
    <t>Vendedor</t>
  </si>
  <si>
    <t>GP</t>
  </si>
  <si>
    <t>Integrador</t>
  </si>
  <si>
    <t>cod</t>
  </si>
  <si>
    <t>produto</t>
  </si>
  <si>
    <t>CstTotal</t>
  </si>
  <si>
    <t>MARGEM</t>
  </si>
  <si>
    <t>Micro inversor</t>
  </si>
  <si>
    <t>parafuso cabeça</t>
  </si>
  <si>
    <t>cabo tronco</t>
  </si>
  <si>
    <t>conector end cap</t>
  </si>
  <si>
    <t>conector femea q-conn</t>
  </si>
  <si>
    <t>conector macho q-conn</t>
  </si>
  <si>
    <t>gateway</t>
  </si>
  <si>
    <t>kit fix fibro</t>
  </si>
  <si>
    <t>kit fix colonial</t>
  </si>
  <si>
    <t>antecipado</t>
  </si>
  <si>
    <t>28dd</t>
  </si>
  <si>
    <t>3x cartao</t>
  </si>
  <si>
    <t>Canadian 540w</t>
  </si>
  <si>
    <t>conector mc4 staubli</t>
  </si>
  <si>
    <t>LL</t>
  </si>
  <si>
    <t xml:space="preserve">Proposta </t>
  </si>
  <si>
    <t>Valor</t>
  </si>
  <si>
    <t>LB</t>
  </si>
  <si>
    <t>MB</t>
  </si>
  <si>
    <t>Total</t>
  </si>
  <si>
    <t>cabo vm amphenol</t>
  </si>
  <si>
    <t>cabo pt amphenol</t>
  </si>
  <si>
    <t>inversor canadia 40k</t>
  </si>
  <si>
    <t>kit solo pratyc</t>
  </si>
  <si>
    <t>inversor canadia 30k</t>
  </si>
  <si>
    <t>Nível de Desc</t>
  </si>
  <si>
    <t>PrcMin</t>
  </si>
  <si>
    <t>PrcLivre</t>
  </si>
  <si>
    <t>Desc</t>
  </si>
  <si>
    <t>Vlr do Kit</t>
  </si>
  <si>
    <t>Adicional de Venda</t>
  </si>
  <si>
    <t>Entrada</t>
  </si>
  <si>
    <t>Gerador Fotovoltaico</t>
  </si>
  <si>
    <t>inversor canadia 9k</t>
  </si>
  <si>
    <t>kit laje pratyc</t>
  </si>
  <si>
    <t xml:space="preserve"> INVERSOR CANADIAN TRI 380V CSI-30K-T400GL02-E</t>
  </si>
  <si>
    <t xml:space="preserve"> PROTETOR ELETRICO STRINGBOX SB 1040V 20A 4E/2S</t>
  </si>
  <si>
    <t xml:space="preserve"> CABO SOLAR PRYSUN 6.00MM 1KVCA PT</t>
  </si>
  <si>
    <t xml:space="preserve"> CABO SOLAR PRYSUN 6.00MM 1KVCA VM</t>
  </si>
  <si>
    <t xml:space="preserve"> CONECTOR MC4 MACHO/FEMEA STAUBLI</t>
  </si>
  <si>
    <t xml:space="preserve"> KIT DE FIXACAO TELHA METALICA 55CM  – 4 PLACAS</t>
  </si>
  <si>
    <t xml:space="preserve"> INVERSOR CANADIAN CSI-40K-T400GL02-E</t>
  </si>
  <si>
    <t xml:space="preserve"> INVERSOR CANADIAN TRI 380V CSI-15K-T400GL01-E</t>
  </si>
  <si>
    <t>CONECTOR MC4 MACHO/FEMEA STAUBLI</t>
  </si>
  <si>
    <t>FRONIUS ECO 25-3-S</t>
  </si>
  <si>
    <t>CABO 6MM AMPHENOL VM</t>
  </si>
  <si>
    <t>CABO 6MM AMPHENOL PT</t>
  </si>
  <si>
    <t>FUSIVEL SOLAR 20A</t>
  </si>
  <si>
    <t>canadian 7kwp</t>
  </si>
  <si>
    <t>string box 2/2</t>
  </si>
  <si>
    <t>kit pratyc colonial</t>
  </si>
  <si>
    <t>Com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</si>
</sst>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&quot;\ #,##0.00"/>
    <numFmt numFmtId="165" formatCode="&quot;R$&quot;#,##0.00"/>
    <numFmt numFmtId="166" formatCode="&quot;R$&quot;#,##0.0000"/>
    <numFmt numFmtId="167" formatCode="0.000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Alignment="1">
      <alignment horizontal="left"/>
    </xf>
    <xf numFmtId="164" fontId="4" fillId="0" borderId="0" xfId="0" applyNumberFormat="1" applyFont="1"/>
    <xf numFmtId="0" fontId="4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10" fontId="4" fillId="0" borderId="0" xfId="1" applyNumberFormat="1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8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left"/>
    </xf>
    <xf numFmtId="9" fontId="0" fillId="0" borderId="8" xfId="0" applyNumberFormat="1" applyBorder="1" applyAlignment="1">
      <alignment horizontal="center"/>
    </xf>
    <xf numFmtId="165" fontId="4" fillId="0" borderId="0" xfId="0" applyNumberFormat="1" applyFont="1"/>
    <xf numFmtId="10" fontId="4" fillId="0" borderId="0" xfId="1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/>
    <xf numFmtId="10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0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9" fontId="4" fillId="3" borderId="8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167" fontId="0" fillId="0" borderId="0" xfId="0" applyNumberFormat="1"/>
    <xf numFmtId="10" fontId="4" fillId="0" borderId="0" xfId="1" applyNumberFormat="1" applyFont="1" applyAlignment="1">
      <alignment horizontal="center"/>
    </xf>
    <xf numFmtId="164" fontId="0" fillId="0" borderId="8" xfId="0" applyNumberFormat="1" applyBorder="1" applyAlignment="1">
      <alignment horizontal="left"/>
    </xf>
    <xf numFmtId="10" fontId="0" fillId="0" borderId="8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0" fillId="0" borderId="0" xfId="0" applyNumberFormat="1"/>
    <xf numFmtId="0" fontId="5" fillId="2" borderId="8" xfId="0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0" fontId="4" fillId="6" borderId="0" xfId="1" applyNumberFormat="1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4" fillId="0" borderId="8" xfId="0" applyFont="1" applyFill="1" applyBorder="1" applyAlignment="1">
      <alignment horizontal="center"/>
    </xf>
    <xf numFmtId="9" fontId="4" fillId="5" borderId="8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164" fontId="0" fillId="0" borderId="0" xfId="0" applyNumberFormat="1"/>
    <xf numFmtId="3" fontId="0" fillId="0" borderId="0" xfId="0" applyNumberFormat="1" applyAlignment="1">
      <alignment horizontal="center"/>
    </xf>
    <xf numFmtId="168" fontId="0" fillId="0" borderId="0" xfId="0" applyNumberFormat="1"/>
    <xf numFmtId="165" fontId="0" fillId="0" borderId="8" xfId="0" applyNumberFormat="1" applyBorder="1"/>
    <xf numFmtId="0" fontId="0" fillId="0" borderId="8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10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10" fontId="4" fillId="0" borderId="11" xfId="1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 val="0"/>
        <i val="0"/>
        <color theme="0"/>
      </font>
    </dxf>
    <dxf>
      <font>
        <b val="0"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8"/>
  <sheetViews>
    <sheetView zoomScale="80" zoomScaleNormal="80" workbookViewId="0">
      <selection activeCell="F15" sqref="F15"/>
    </sheetView>
  </sheetViews>
  <sheetFormatPr defaultColWidth="6.28515625" defaultRowHeight="15" x14ac:dyDescent="0.25"/>
  <cols>
    <col min="2" max="2" width="28.7109375" bestFit="1" customWidth="1"/>
    <col min="3" max="3" width="6.5703125" bestFit="1" customWidth="1"/>
    <col min="4" max="5" width="28.140625" bestFit="1" customWidth="1"/>
    <col min="6" max="6" width="29.85546875" bestFit="1" customWidth="1"/>
    <col min="7" max="7" width="7.28515625" bestFit="1" customWidth="1"/>
    <col min="9" max="9" width="11.5703125" bestFit="1" customWidth="1"/>
    <col min="10" max="10" width="7.42578125" bestFit="1" customWidth="1"/>
    <col min="11" max="11" width="15.5703125" bestFit="1" customWidth="1"/>
    <col min="12" max="12" width="6.5703125" bestFit="1" customWidth="1"/>
    <col min="14" max="14" width="17.7109375" bestFit="1" customWidth="1"/>
    <col min="15" max="15" width="15.5703125" bestFit="1" customWidth="1"/>
    <col min="17" max="17" width="8.42578125" bestFit="1" customWidth="1"/>
    <col min="18" max="18" width="15.5703125" bestFit="1" customWidth="1"/>
    <col min="19" max="19" width="7.7109375" bestFit="1" customWidth="1"/>
  </cols>
  <sheetData>
    <row r="1" spans="2:19" ht="15.75" thickBot="1" x14ac:dyDescent="0.3"/>
    <row r="2" spans="2:19" ht="16.5" thickBot="1" x14ac:dyDescent="0.3">
      <c r="B2" s="59" t="s">
        <v>1</v>
      </c>
      <c r="C2" s="60"/>
      <c r="D2" s="60"/>
      <c r="E2" s="60"/>
      <c r="F2" s="61"/>
    </row>
    <row r="3" spans="2:19" ht="16.5" thickBot="1" x14ac:dyDescent="0.3">
      <c r="B3" s="59"/>
      <c r="C3" s="60"/>
      <c r="D3" s="60"/>
      <c r="E3" s="60"/>
      <c r="F3" s="61"/>
    </row>
    <row r="4" spans="2:19" ht="15.75" thickBot="1" x14ac:dyDescent="0.3">
      <c r="B4" s="1" t="s">
        <v>2</v>
      </c>
      <c r="C4" s="1" t="s">
        <v>0</v>
      </c>
      <c r="D4" s="1" t="s">
        <v>3</v>
      </c>
      <c r="E4" s="1" t="s">
        <v>4</v>
      </c>
      <c r="F4" s="1" t="s">
        <v>5</v>
      </c>
    </row>
    <row r="5" spans="2:19" ht="15.75" thickBot="1" x14ac:dyDescent="0.3">
      <c r="B5" s="2">
        <v>6600</v>
      </c>
      <c r="C5" s="3">
        <v>3.5000000000000003E-2</v>
      </c>
      <c r="D5" s="3">
        <v>0.01</v>
      </c>
      <c r="E5" s="5" t="s">
        <v>17</v>
      </c>
      <c r="F5" s="4">
        <f>ROUND((((920*(1+0%))-((920*(1+0%))*9.25%)-(920*0%))+((40*(1+0%))-((40*(1+0%))*9.25%)-(40*7%)))/(1-C5-D5-IF($E$5="ANTECIPADO",0%,IF(E5="ENTRADA + 28 DIAS",1.65%,IF(E5="ENTRADA + 28/56 DIAS",3%,4.5%)))-9.25%-15%),2)</f>
        <v>1272.3800000000001</v>
      </c>
      <c r="J5" t="s">
        <v>14</v>
      </c>
      <c r="K5" s="6">
        <f>F5*B5</f>
        <v>8397708</v>
      </c>
      <c r="N5" t="s">
        <v>7</v>
      </c>
      <c r="O5" s="6">
        <f>920*B5</f>
        <v>6072000</v>
      </c>
      <c r="Q5" t="s">
        <v>15</v>
      </c>
      <c r="R5" s="6">
        <f>K5-O5</f>
        <v>2325708</v>
      </c>
    </row>
    <row r="6" spans="2:19" x14ac:dyDescent="0.25">
      <c r="I6" t="s">
        <v>0</v>
      </c>
      <c r="K6" s="6">
        <f>$K$5*C5</f>
        <v>293919.78000000003</v>
      </c>
      <c r="L6" s="9">
        <f>K6/$K$5</f>
        <v>3.5000000000000003E-2</v>
      </c>
      <c r="O6" s="6">
        <f>40*B5</f>
        <v>264000</v>
      </c>
      <c r="R6" s="6">
        <f>K6+O6</f>
        <v>557919.78</v>
      </c>
    </row>
    <row r="7" spans="2:19" x14ac:dyDescent="0.25">
      <c r="I7" t="s">
        <v>12</v>
      </c>
      <c r="K7" s="6">
        <f>$K$5*D5</f>
        <v>83977.08</v>
      </c>
      <c r="L7" s="9">
        <f t="shared" ref="L7:L12" si="0">K7/$K$5</f>
        <v>0.01</v>
      </c>
      <c r="O7" s="6">
        <v>0</v>
      </c>
      <c r="R7" s="6">
        <f>K7+O7</f>
        <v>83977.08</v>
      </c>
    </row>
    <row r="8" spans="2:19" x14ac:dyDescent="0.25">
      <c r="E8" s="10"/>
      <c r="I8" t="s">
        <v>13</v>
      </c>
      <c r="K8" s="6">
        <f>$K$5*IF($E$5="ANTECIPADO",0%,IF(E5="ENTRADA + 28 DIAS",1.65%,IF(E5="ENTRADA + 28/56 DIAS",3%,4.55%)))</f>
        <v>251931.24</v>
      </c>
      <c r="L8" s="9">
        <f t="shared" si="0"/>
        <v>0.03</v>
      </c>
      <c r="O8" s="6">
        <v>0</v>
      </c>
      <c r="R8" s="6">
        <f>K8+O8</f>
        <v>251931.24</v>
      </c>
    </row>
    <row r="9" spans="2:19" x14ac:dyDescent="0.25">
      <c r="B9" s="15" t="s">
        <v>2</v>
      </c>
      <c r="C9" s="15" t="s">
        <v>0</v>
      </c>
      <c r="D9" s="15" t="s">
        <v>3</v>
      </c>
      <c r="E9" s="15" t="s">
        <v>4</v>
      </c>
      <c r="F9" s="15" t="s">
        <v>5</v>
      </c>
      <c r="I9" t="s">
        <v>8</v>
      </c>
      <c r="K9" s="6">
        <f>$K$5*0%</f>
        <v>0</v>
      </c>
      <c r="L9" s="9">
        <f t="shared" si="0"/>
        <v>0</v>
      </c>
      <c r="O9" s="6">
        <f>$O$5*0%</f>
        <v>0</v>
      </c>
      <c r="R9" s="6">
        <f>K9+O9</f>
        <v>0</v>
      </c>
    </row>
    <row r="10" spans="2:19" x14ac:dyDescent="0.25">
      <c r="B10" s="16">
        <v>6600</v>
      </c>
      <c r="C10" s="17"/>
      <c r="D10" s="17"/>
      <c r="E10" s="16" t="s">
        <v>6</v>
      </c>
      <c r="F10" s="18">
        <v>1146.4000000000001</v>
      </c>
      <c r="I10" t="s">
        <v>9</v>
      </c>
      <c r="K10" s="6">
        <f>$K$5*0%</f>
        <v>0</v>
      </c>
      <c r="L10" s="9">
        <f t="shared" si="0"/>
        <v>0</v>
      </c>
      <c r="O10" s="6">
        <f>($O$5*0%)+(O6*7%)</f>
        <v>18480</v>
      </c>
      <c r="R10" s="6">
        <f>K10-O10</f>
        <v>-18480</v>
      </c>
    </row>
    <row r="11" spans="2:19" x14ac:dyDescent="0.25">
      <c r="F11" s="11"/>
      <c r="I11" t="s">
        <v>10</v>
      </c>
      <c r="K11" s="6">
        <f>$K$5*1.65%</f>
        <v>138562.182</v>
      </c>
      <c r="L11" s="9">
        <f t="shared" si="0"/>
        <v>1.6500000000000001E-2</v>
      </c>
      <c r="O11" s="6">
        <f>($O$5+$O$6+$O$9)*1.65%</f>
        <v>104544</v>
      </c>
      <c r="R11" s="6">
        <f t="shared" ref="R11:R12" si="1">K11-O11</f>
        <v>34018.182000000001</v>
      </c>
    </row>
    <row r="12" spans="2:19" x14ac:dyDescent="0.25">
      <c r="E12" s="10">
        <f>(((920*(1+0%))-((920*(1+0%))*9.25%)-(920*0%))+((40*(1+0%))-((40*(1+0%))*9.25%)-(40*7%)))</f>
        <v>868.4</v>
      </c>
      <c r="F12" s="20"/>
      <c r="I12" t="s">
        <v>11</v>
      </c>
      <c r="K12" s="6">
        <f>$K$5*7.6%</f>
        <v>638225.80799999996</v>
      </c>
      <c r="L12" s="9">
        <f t="shared" si="0"/>
        <v>7.5999999999999998E-2</v>
      </c>
      <c r="O12" s="6">
        <f>($O$5+$O$6+$O$9)*7.6%</f>
        <v>481536</v>
      </c>
      <c r="R12" s="6">
        <f t="shared" si="1"/>
        <v>156689.80799999996</v>
      </c>
    </row>
    <row r="13" spans="2:19" x14ac:dyDescent="0.25">
      <c r="F13" s="11"/>
      <c r="K13" s="7">
        <f>K5-SUM(K6:K12)</f>
        <v>6991091.9100000001</v>
      </c>
      <c r="L13" s="9"/>
      <c r="M13" s="8"/>
      <c r="N13" s="8"/>
      <c r="O13" s="7">
        <f>(O5+O6)-SUM(O7:O12)</f>
        <v>5731440</v>
      </c>
      <c r="P13" s="8"/>
      <c r="Q13" s="8"/>
      <c r="R13" s="7">
        <f>R5-SUM(R6:R12)</f>
        <v>1259651.9100000001</v>
      </c>
      <c r="S13" s="12">
        <f>R13/K5</f>
        <v>0.14999948914632422</v>
      </c>
    </row>
    <row r="14" spans="2:19" x14ac:dyDescent="0.25">
      <c r="O14" s="11"/>
    </row>
    <row r="15" spans="2:19" x14ac:dyDescent="0.25">
      <c r="F15" s="13"/>
    </row>
    <row r="16" spans="2:19" x14ac:dyDescent="0.25">
      <c r="E16" s="21"/>
      <c r="F16" s="14"/>
    </row>
    <row r="17" spans="6:7" x14ac:dyDescent="0.25">
      <c r="F17" s="14"/>
    </row>
    <row r="18" spans="6:7" x14ac:dyDescent="0.25">
      <c r="F18" s="14"/>
      <c r="G18" s="9"/>
    </row>
  </sheetData>
  <mergeCells count="2">
    <mergeCell ref="B2:F2"/>
    <mergeCell ref="B3:F3"/>
  </mergeCells>
  <dataValidations count="1">
    <dataValidation type="list" allowBlank="1" showInputMessage="1" showErrorMessage="1" sqref="E5" xr:uid="{C85E75B6-3142-41C9-AAAE-C48035C26FB5}">
      <formula1>"ANTECIPADO,ENTRADA + 28 DIAS, ENTRADA + 28/56 DIAS, ENTRADA + 28/56/84 DIAS"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0D3A-878F-4B89-8C7B-E1CFFBBE724C}">
  <dimension ref="B2:AH23"/>
  <sheetViews>
    <sheetView showGridLines="0" zoomScale="80" zoomScaleNormal="80" workbookViewId="0">
      <selection activeCell="I16" sqref="I16"/>
    </sheetView>
  </sheetViews>
  <sheetFormatPr defaultRowHeight="15" x14ac:dyDescent="0.25"/>
  <cols>
    <col min="2" max="2" width="6.5703125" bestFit="1" customWidth="1"/>
    <col min="3" max="3" width="21.5703125" bestFit="1" customWidth="1"/>
    <col min="4" max="4" width="5.140625" bestFit="1" customWidth="1"/>
    <col min="5" max="5" width="12.140625" bestFit="1" customWidth="1"/>
    <col min="6" max="6" width="6.5703125" bestFit="1" customWidth="1"/>
    <col min="7" max="7" width="5.7109375" bestFit="1" customWidth="1"/>
    <col min="8" max="8" width="6.5703125" bestFit="1" customWidth="1"/>
    <col min="9" max="9" width="12.140625" bestFit="1" customWidth="1"/>
    <col min="10" max="10" width="6.5703125" bestFit="1" customWidth="1"/>
    <col min="11" max="11" width="9.85546875" bestFit="1" customWidth="1"/>
    <col min="12" max="12" width="6.5703125" bestFit="1" customWidth="1"/>
    <col min="13" max="13" width="10.28515625" bestFit="1" customWidth="1"/>
    <col min="14" max="14" width="8.7109375" bestFit="1" customWidth="1"/>
    <col min="15" max="15" width="7.7109375" bestFit="1" customWidth="1"/>
    <col min="16" max="16" width="12.140625" bestFit="1" customWidth="1"/>
    <col min="17" max="17" width="13.42578125" bestFit="1" customWidth="1"/>
    <col min="18" max="18" width="12.140625" bestFit="1" customWidth="1"/>
    <col min="19" max="19" width="6.5703125" bestFit="1" customWidth="1"/>
    <col min="20" max="20" width="12.140625" bestFit="1" customWidth="1"/>
    <col min="21" max="23" width="13.140625" bestFit="1" customWidth="1"/>
    <col min="24" max="24" width="11" bestFit="1" customWidth="1"/>
    <col min="25" max="25" width="12.85546875" bestFit="1" customWidth="1"/>
    <col min="26" max="28" width="12.140625" bestFit="1" customWidth="1"/>
    <col min="29" max="29" width="11" bestFit="1" customWidth="1"/>
    <col min="30" max="30" width="10.28515625" bestFit="1" customWidth="1"/>
    <col min="31" max="31" width="8.7109375" bestFit="1" customWidth="1"/>
    <col min="32" max="32" width="13.140625" bestFit="1" customWidth="1"/>
    <col min="33" max="33" width="7.7109375" bestFit="1" customWidth="1"/>
  </cols>
  <sheetData>
    <row r="2" spans="2:34" x14ac:dyDescent="0.25">
      <c r="C2" s="10"/>
      <c r="D2" s="10"/>
    </row>
    <row r="3" spans="2:34" x14ac:dyDescent="0.25">
      <c r="C3" s="19"/>
      <c r="D3" s="19"/>
    </row>
    <row r="4" spans="2:34" s="10" customFormat="1" x14ac:dyDescent="0.25">
      <c r="B4" s="44" t="s">
        <v>34</v>
      </c>
      <c r="C4" s="44" t="s">
        <v>35</v>
      </c>
      <c r="D4" s="45" t="s">
        <v>19</v>
      </c>
      <c r="E4" s="46" t="s">
        <v>25</v>
      </c>
      <c r="F4" s="46" t="s">
        <v>8</v>
      </c>
      <c r="G4" s="46" t="s">
        <v>9</v>
      </c>
      <c r="H4" s="46" t="s">
        <v>26</v>
      </c>
      <c r="I4" s="34" t="s">
        <v>27</v>
      </c>
      <c r="J4" s="34" t="s">
        <v>0</v>
      </c>
      <c r="K4" s="34" t="s">
        <v>31</v>
      </c>
      <c r="L4" s="34" t="s">
        <v>32</v>
      </c>
      <c r="M4" s="35" t="s">
        <v>33</v>
      </c>
      <c r="N4" s="34" t="s">
        <v>28</v>
      </c>
      <c r="O4" s="35" t="s">
        <v>52</v>
      </c>
      <c r="P4" s="34" t="s">
        <v>64</v>
      </c>
      <c r="Q4" s="34" t="s">
        <v>63</v>
      </c>
      <c r="R4" s="34" t="s">
        <v>65</v>
      </c>
      <c r="S4" s="44" t="s">
        <v>66</v>
      </c>
      <c r="T4" s="34" t="s">
        <v>29</v>
      </c>
      <c r="U4" s="34" t="s">
        <v>30</v>
      </c>
      <c r="V4" s="44" t="s">
        <v>67</v>
      </c>
      <c r="W4" s="34" t="s">
        <v>36</v>
      </c>
      <c r="X4" s="34" t="s">
        <v>8</v>
      </c>
      <c r="Y4" s="34" t="s">
        <v>9</v>
      </c>
      <c r="Z4" s="34" t="s">
        <v>26</v>
      </c>
      <c r="AA4" s="34" t="s">
        <v>0</v>
      </c>
      <c r="AB4" s="34" t="s">
        <v>31</v>
      </c>
      <c r="AC4" s="34" t="s">
        <v>32</v>
      </c>
      <c r="AD4" s="34" t="s">
        <v>33</v>
      </c>
      <c r="AE4" s="34" t="s">
        <v>28</v>
      </c>
      <c r="AF4" s="36" t="s">
        <v>37</v>
      </c>
    </row>
    <row r="5" spans="2:34" x14ac:dyDescent="0.25">
      <c r="B5" s="16">
        <v>29138</v>
      </c>
      <c r="C5" s="31" t="s">
        <v>50</v>
      </c>
      <c r="D5" s="23">
        <v>370</v>
      </c>
      <c r="E5" s="24">
        <v>920</v>
      </c>
      <c r="F5" s="25">
        <v>0</v>
      </c>
      <c r="G5" s="25">
        <v>0</v>
      </c>
      <c r="H5" s="22">
        <v>9.2499999999999999E-2</v>
      </c>
      <c r="I5" s="24">
        <f>((E5*(1+F5))-((E5*(1+F5))*H5)-(E5*G5))+((40*(1+0%))-((40*(1+0%))*9.25%)-(40*7%))</f>
        <v>868.4</v>
      </c>
      <c r="J5" s="22">
        <v>0</v>
      </c>
      <c r="K5" s="22">
        <v>0.02</v>
      </c>
      <c r="L5" s="22">
        <v>5.0000000000000001E-3</v>
      </c>
      <c r="M5" s="22">
        <f>AD5/U5</f>
        <v>0</v>
      </c>
      <c r="N5" s="22">
        <v>0</v>
      </c>
      <c r="O5" s="22">
        <v>0.15</v>
      </c>
      <c r="P5" s="24">
        <f>I5/(1-H5-0%-J5-K5-L5-N5-O5)</f>
        <v>1185.5290102389079</v>
      </c>
      <c r="Q5" s="66">
        <v>7.0000000000000007E-2</v>
      </c>
      <c r="R5" s="24">
        <f>ROUND((P5*1)/(1-$Q$5),2)</f>
        <v>1274.76</v>
      </c>
      <c r="S5" s="66">
        <v>0</v>
      </c>
      <c r="T5" s="24">
        <f>R5*(1-$S$5)</f>
        <v>1274.76</v>
      </c>
      <c r="U5" s="24">
        <f>D5*T5</f>
        <v>471661.2</v>
      </c>
      <c r="V5" s="69">
        <f>SUMPRODUCT(D5:D11,T5:T11)</f>
        <v>595901.80000000005</v>
      </c>
      <c r="W5" s="24">
        <f>D5*E5</f>
        <v>340400</v>
      </c>
      <c r="X5" s="24">
        <f>W5*F5</f>
        <v>0</v>
      </c>
      <c r="Y5" s="24">
        <f>(U5*0%)-(40*7%*D5)</f>
        <v>-1036</v>
      </c>
      <c r="Z5" s="24">
        <f>(U5-(W5+X5))*9.25%</f>
        <v>12141.661</v>
      </c>
      <c r="AA5" s="24">
        <f>(U5*J5)+(33.5*D5)</f>
        <v>12395</v>
      </c>
      <c r="AB5" s="24">
        <f>U5*K5</f>
        <v>9433.2240000000002</v>
      </c>
      <c r="AC5" s="24">
        <f>U5*L5</f>
        <v>2358.306</v>
      </c>
      <c r="AD5" s="24">
        <f t="shared" ref="AD5:AD11" si="0">((W5+X5)/($W$12+$X$12))*$AD$12</f>
        <v>0</v>
      </c>
      <c r="AE5" s="24">
        <f>U5*N5</f>
        <v>0</v>
      </c>
      <c r="AF5" s="11">
        <f>U5-SUM(W5:AE5)</f>
        <v>95969.00900000002</v>
      </c>
      <c r="AG5" s="9">
        <f>AF5/U5</f>
        <v>0.20347022184568078</v>
      </c>
    </row>
    <row r="6" spans="2:34" x14ac:dyDescent="0.25">
      <c r="B6" s="16">
        <v>32800</v>
      </c>
      <c r="C6" s="31" t="s">
        <v>60</v>
      </c>
      <c r="D6" s="23">
        <v>3</v>
      </c>
      <c r="E6" s="24">
        <v>11628.09</v>
      </c>
      <c r="F6" s="22">
        <v>9.7500000000000003E-2</v>
      </c>
      <c r="G6" s="25">
        <v>0.12</v>
      </c>
      <c r="H6" s="22">
        <v>9.2499999999999999E-2</v>
      </c>
      <c r="I6" s="24">
        <f>(E6*(1+F6))-((E6*(1+F6))*H6)-(E6*12%)</f>
        <v>10185.988813312499</v>
      </c>
      <c r="J6" s="22">
        <v>0</v>
      </c>
      <c r="K6" s="22">
        <v>0.02</v>
      </c>
      <c r="L6" s="22">
        <v>5.0000000000000001E-3</v>
      </c>
      <c r="M6" s="22">
        <f t="shared" ref="M6:M11" si="1">AD6/U6</f>
        <v>0</v>
      </c>
      <c r="N6" s="22">
        <v>0</v>
      </c>
      <c r="O6" s="22">
        <v>0.15</v>
      </c>
      <c r="P6" s="24">
        <f t="shared" ref="P6:P11" si="2">I6/(1-H6-0%-J6-K6-L6-N6-O6)</f>
        <v>13905.786775853241</v>
      </c>
      <c r="Q6" s="67"/>
      <c r="R6" s="24">
        <f t="shared" ref="R6:R11" si="3">ROUND((P6*1)/(1-$Q$5),2)</f>
        <v>14952.46</v>
      </c>
      <c r="S6" s="67"/>
      <c r="T6" s="24">
        <f t="shared" ref="T6:T11" si="4">R6*(1-$S$5)</f>
        <v>14952.46</v>
      </c>
      <c r="U6" s="24">
        <f t="shared" ref="U6:U11" si="5">D6*T6</f>
        <v>44857.38</v>
      </c>
      <c r="V6" s="70"/>
      <c r="W6" s="24">
        <f t="shared" ref="W6:W11" si="6">D6*E6</f>
        <v>34884.270000000004</v>
      </c>
      <c r="X6" s="24">
        <f t="shared" ref="X6:X11" si="7">W6*F6</f>
        <v>3401.2163250000003</v>
      </c>
      <c r="Y6" s="24">
        <f>(U6*0%)-(W6*12%)</f>
        <v>-4186.1124</v>
      </c>
      <c r="Z6" s="24">
        <f t="shared" ref="Z6:Z11" si="8">(U6-(W6+X6))*9.25%</f>
        <v>607.90016493749931</v>
      </c>
      <c r="AA6" s="24">
        <f t="shared" ref="AA6:AA11" si="9">U6*J6</f>
        <v>0</v>
      </c>
      <c r="AB6" s="24">
        <f t="shared" ref="AB6:AB11" si="10">U6*K6</f>
        <v>897.14760000000001</v>
      </c>
      <c r="AC6" s="24">
        <f t="shared" ref="AC6:AC11" si="11">U6*L6</f>
        <v>224.2869</v>
      </c>
      <c r="AD6" s="24">
        <f t="shared" si="0"/>
        <v>0</v>
      </c>
      <c r="AE6" s="24">
        <f t="shared" ref="AE6:AE11" si="12">U6*N6</f>
        <v>0</v>
      </c>
      <c r="AF6" s="11">
        <f t="shared" ref="AF6:AF11" si="13">U6-SUM(W6:AE6)</f>
        <v>9028.6714100624959</v>
      </c>
      <c r="AG6" s="9">
        <f t="shared" ref="AG6:AG12" si="14">AF6/U6</f>
        <v>0.20127505017151015</v>
      </c>
    </row>
    <row r="7" spans="2:34" x14ac:dyDescent="0.25">
      <c r="B7" s="16">
        <v>24646</v>
      </c>
      <c r="C7" s="32" t="s">
        <v>59</v>
      </c>
      <c r="D7" s="23">
        <v>780</v>
      </c>
      <c r="E7" s="24">
        <v>4.7</v>
      </c>
      <c r="F7" s="25">
        <v>0</v>
      </c>
      <c r="G7" s="25">
        <v>7.0000000000000007E-2</v>
      </c>
      <c r="H7" s="22">
        <v>9.2499999999999999E-2</v>
      </c>
      <c r="I7" s="24">
        <f t="shared" ref="I7:I11" si="15">(E7*(1+F7))-((E7*(1+F7))*H7)-(E7*12%)</f>
        <v>3.7012499999999999</v>
      </c>
      <c r="J7" s="22">
        <v>0</v>
      </c>
      <c r="K7" s="22">
        <v>0.02</v>
      </c>
      <c r="L7" s="22">
        <v>5.0000000000000001E-3</v>
      </c>
      <c r="M7" s="22">
        <f t="shared" si="1"/>
        <v>0</v>
      </c>
      <c r="N7" s="22">
        <v>0</v>
      </c>
      <c r="O7" s="22">
        <v>0.15</v>
      </c>
      <c r="P7" s="24">
        <f t="shared" si="2"/>
        <v>5.0529010238907857</v>
      </c>
      <c r="Q7" s="67"/>
      <c r="R7" s="24">
        <f t="shared" si="3"/>
        <v>5.43</v>
      </c>
      <c r="S7" s="67"/>
      <c r="T7" s="24">
        <f t="shared" si="4"/>
        <v>5.43</v>
      </c>
      <c r="U7" s="24">
        <f t="shared" si="5"/>
        <v>4235.3999999999996</v>
      </c>
      <c r="V7" s="70"/>
      <c r="W7" s="24">
        <f t="shared" si="6"/>
        <v>3666</v>
      </c>
      <c r="X7" s="24">
        <f t="shared" si="7"/>
        <v>0</v>
      </c>
      <c r="Y7" s="24">
        <f t="shared" ref="Y7:Y11" si="16">(U7*0%)-(W7*12%)</f>
        <v>-439.91999999999996</v>
      </c>
      <c r="Z7" s="24">
        <f t="shared" si="8"/>
        <v>52.669499999999964</v>
      </c>
      <c r="AA7" s="24">
        <f t="shared" si="9"/>
        <v>0</v>
      </c>
      <c r="AB7" s="24">
        <f t="shared" si="10"/>
        <v>84.707999999999998</v>
      </c>
      <c r="AC7" s="24">
        <f t="shared" si="11"/>
        <v>21.177</v>
      </c>
      <c r="AD7" s="24">
        <f t="shared" si="0"/>
        <v>0</v>
      </c>
      <c r="AE7" s="24">
        <f t="shared" si="12"/>
        <v>0</v>
      </c>
      <c r="AF7" s="11">
        <f t="shared" si="13"/>
        <v>850.76549999999952</v>
      </c>
      <c r="AG7" s="9">
        <f t="shared" si="14"/>
        <v>0.20087016574585626</v>
      </c>
    </row>
    <row r="8" spans="2:34" x14ac:dyDescent="0.25">
      <c r="B8" s="16">
        <v>24646</v>
      </c>
      <c r="C8" s="32" t="s">
        <v>58</v>
      </c>
      <c r="D8" s="23">
        <v>780</v>
      </c>
      <c r="E8" s="24">
        <v>4.7</v>
      </c>
      <c r="F8" s="25">
        <v>0</v>
      </c>
      <c r="G8" s="25">
        <v>7.0000000000000007E-2</v>
      </c>
      <c r="H8" s="22">
        <v>9.2499999999999999E-2</v>
      </c>
      <c r="I8" s="24">
        <f t="shared" si="15"/>
        <v>3.7012499999999999</v>
      </c>
      <c r="J8" s="22">
        <v>0</v>
      </c>
      <c r="K8" s="22">
        <v>0.02</v>
      </c>
      <c r="L8" s="22">
        <v>5.0000000000000001E-3</v>
      </c>
      <c r="M8" s="22">
        <f t="shared" si="1"/>
        <v>0</v>
      </c>
      <c r="N8" s="22">
        <v>0</v>
      </c>
      <c r="O8" s="22">
        <v>0.15</v>
      </c>
      <c r="P8" s="24">
        <f t="shared" si="2"/>
        <v>5.0529010238907857</v>
      </c>
      <c r="Q8" s="67"/>
      <c r="R8" s="24">
        <f t="shared" si="3"/>
        <v>5.43</v>
      </c>
      <c r="S8" s="67"/>
      <c r="T8" s="24">
        <f t="shared" si="4"/>
        <v>5.43</v>
      </c>
      <c r="U8" s="24">
        <f t="shared" si="5"/>
        <v>4235.3999999999996</v>
      </c>
      <c r="V8" s="70"/>
      <c r="W8" s="24">
        <f t="shared" si="6"/>
        <v>3666</v>
      </c>
      <c r="X8" s="24">
        <f t="shared" si="7"/>
        <v>0</v>
      </c>
      <c r="Y8" s="24">
        <f t="shared" si="16"/>
        <v>-439.91999999999996</v>
      </c>
      <c r="Z8" s="24">
        <f t="shared" si="8"/>
        <v>52.669499999999964</v>
      </c>
      <c r="AA8" s="24">
        <f t="shared" si="9"/>
        <v>0</v>
      </c>
      <c r="AB8" s="24">
        <f t="shared" si="10"/>
        <v>84.707999999999998</v>
      </c>
      <c r="AC8" s="24">
        <f t="shared" si="11"/>
        <v>21.177</v>
      </c>
      <c r="AD8" s="24">
        <f t="shared" si="0"/>
        <v>0</v>
      </c>
      <c r="AE8" s="24">
        <f t="shared" si="12"/>
        <v>0</v>
      </c>
      <c r="AF8" s="11">
        <f t="shared" si="13"/>
        <v>850.76549999999952</v>
      </c>
      <c r="AG8" s="9">
        <f t="shared" si="14"/>
        <v>0.20087016574585626</v>
      </c>
    </row>
    <row r="9" spans="2:34" x14ac:dyDescent="0.25">
      <c r="B9" s="16">
        <v>32066</v>
      </c>
      <c r="C9" s="31" t="s">
        <v>51</v>
      </c>
      <c r="D9" s="23">
        <v>20</v>
      </c>
      <c r="E9" s="24">
        <v>7.65</v>
      </c>
      <c r="F9" s="25">
        <v>0</v>
      </c>
      <c r="G9" s="25">
        <v>7.0000000000000007E-2</v>
      </c>
      <c r="H9" s="22">
        <v>9.2499999999999999E-2</v>
      </c>
      <c r="I9" s="24">
        <f t="shared" si="15"/>
        <v>6.024375</v>
      </c>
      <c r="J9" s="22">
        <v>0</v>
      </c>
      <c r="K9" s="22">
        <v>0.02</v>
      </c>
      <c r="L9" s="22">
        <v>5.0000000000000001E-3</v>
      </c>
      <c r="M9" s="22">
        <f t="shared" si="1"/>
        <v>0</v>
      </c>
      <c r="N9" s="22">
        <v>0</v>
      </c>
      <c r="O9" s="22">
        <v>0.15</v>
      </c>
      <c r="P9" s="24">
        <f t="shared" si="2"/>
        <v>8.2244027303754272</v>
      </c>
      <c r="Q9" s="67"/>
      <c r="R9" s="24">
        <f t="shared" si="3"/>
        <v>8.84</v>
      </c>
      <c r="S9" s="67"/>
      <c r="T9" s="24">
        <f t="shared" si="4"/>
        <v>8.84</v>
      </c>
      <c r="U9" s="24">
        <f t="shared" si="5"/>
        <v>176.8</v>
      </c>
      <c r="V9" s="70"/>
      <c r="W9" s="24">
        <f t="shared" si="6"/>
        <v>153</v>
      </c>
      <c r="X9" s="24">
        <f t="shared" si="7"/>
        <v>0</v>
      </c>
      <c r="Y9" s="24">
        <f t="shared" si="16"/>
        <v>-18.36</v>
      </c>
      <c r="Z9" s="24">
        <f t="shared" si="8"/>
        <v>2.2015000000000011</v>
      </c>
      <c r="AA9" s="24">
        <f t="shared" si="9"/>
        <v>0</v>
      </c>
      <c r="AB9" s="24">
        <f t="shared" si="10"/>
        <v>3.5360000000000005</v>
      </c>
      <c r="AC9" s="24">
        <f t="shared" si="11"/>
        <v>0.88400000000000012</v>
      </c>
      <c r="AD9" s="24">
        <f t="shared" si="0"/>
        <v>0</v>
      </c>
      <c r="AE9" s="24">
        <f t="shared" si="12"/>
        <v>0</v>
      </c>
      <c r="AF9" s="11">
        <f t="shared" si="13"/>
        <v>35.538500000000028</v>
      </c>
      <c r="AG9" s="9">
        <f t="shared" si="14"/>
        <v>0.20100961538461554</v>
      </c>
    </row>
    <row r="10" spans="2:34" x14ac:dyDescent="0.25">
      <c r="B10" s="16">
        <v>26601</v>
      </c>
      <c r="C10" s="31" t="s">
        <v>61</v>
      </c>
      <c r="D10" s="23">
        <v>93</v>
      </c>
      <c r="E10" s="24">
        <v>550</v>
      </c>
      <c r="F10" s="25">
        <v>0</v>
      </c>
      <c r="G10" s="25">
        <v>0</v>
      </c>
      <c r="H10" s="22">
        <v>9.2499999999999999E-2</v>
      </c>
      <c r="I10" s="24">
        <f t="shared" si="15"/>
        <v>433.125</v>
      </c>
      <c r="J10" s="22">
        <v>0</v>
      </c>
      <c r="K10" s="22">
        <v>0.02</v>
      </c>
      <c r="L10" s="22">
        <v>5.0000000000000001E-3</v>
      </c>
      <c r="M10" s="22">
        <f t="shared" si="1"/>
        <v>0</v>
      </c>
      <c r="N10" s="22">
        <v>0</v>
      </c>
      <c r="O10" s="22">
        <v>0.15</v>
      </c>
      <c r="P10" s="24">
        <f t="shared" si="2"/>
        <v>591.29692832764511</v>
      </c>
      <c r="Q10" s="67"/>
      <c r="R10" s="24">
        <f t="shared" si="3"/>
        <v>635.79999999999995</v>
      </c>
      <c r="S10" s="67"/>
      <c r="T10" s="24">
        <f t="shared" si="4"/>
        <v>635.79999999999995</v>
      </c>
      <c r="U10" s="24">
        <f t="shared" si="5"/>
        <v>59129.399999999994</v>
      </c>
      <c r="V10" s="70"/>
      <c r="W10" s="24">
        <f t="shared" si="6"/>
        <v>51150</v>
      </c>
      <c r="X10" s="24">
        <f t="shared" si="7"/>
        <v>0</v>
      </c>
      <c r="Y10" s="24">
        <f t="shared" si="16"/>
        <v>-6138</v>
      </c>
      <c r="Z10" s="24">
        <f t="shared" si="8"/>
        <v>738.09449999999947</v>
      </c>
      <c r="AA10" s="24">
        <f t="shared" si="9"/>
        <v>0</v>
      </c>
      <c r="AB10" s="24">
        <f t="shared" si="10"/>
        <v>1182.588</v>
      </c>
      <c r="AC10" s="24">
        <f t="shared" si="11"/>
        <v>295.64699999999999</v>
      </c>
      <c r="AD10" s="24">
        <f t="shared" si="0"/>
        <v>0</v>
      </c>
      <c r="AE10" s="24">
        <f t="shared" si="12"/>
        <v>0</v>
      </c>
      <c r="AF10" s="11">
        <f t="shared" si="13"/>
        <v>11901.070499999994</v>
      </c>
      <c r="AG10" s="9">
        <f t="shared" si="14"/>
        <v>0.20127162629757778</v>
      </c>
    </row>
    <row r="11" spans="2:34" x14ac:dyDescent="0.25">
      <c r="B11" s="16">
        <v>29529</v>
      </c>
      <c r="C11" s="31" t="s">
        <v>62</v>
      </c>
      <c r="D11" s="23">
        <v>1</v>
      </c>
      <c r="E11" s="24">
        <v>9025.82</v>
      </c>
      <c r="F11" s="22">
        <v>9.7500000000000003E-2</v>
      </c>
      <c r="G11" s="25">
        <v>0.12</v>
      </c>
      <c r="H11" s="22">
        <v>9.2499999999999999E-2</v>
      </c>
      <c r="I11" s="24">
        <f t="shared" si="15"/>
        <v>7906.4490858749987</v>
      </c>
      <c r="J11" s="22">
        <v>0</v>
      </c>
      <c r="K11" s="22">
        <v>0.02</v>
      </c>
      <c r="L11" s="22">
        <v>5.0000000000000001E-3</v>
      </c>
      <c r="M11" s="22">
        <f t="shared" si="1"/>
        <v>0</v>
      </c>
      <c r="N11" s="22">
        <v>0</v>
      </c>
      <c r="O11" s="22">
        <v>0.15</v>
      </c>
      <c r="P11" s="24">
        <f t="shared" si="2"/>
        <v>10793.787147952218</v>
      </c>
      <c r="Q11" s="68"/>
      <c r="R11" s="24">
        <f t="shared" si="3"/>
        <v>11606.22</v>
      </c>
      <c r="S11" s="68"/>
      <c r="T11" s="24">
        <f t="shared" si="4"/>
        <v>11606.22</v>
      </c>
      <c r="U11" s="24">
        <f t="shared" si="5"/>
        <v>11606.22</v>
      </c>
      <c r="V11" s="71"/>
      <c r="W11" s="24">
        <f t="shared" si="6"/>
        <v>9025.82</v>
      </c>
      <c r="X11" s="24">
        <f t="shared" si="7"/>
        <v>880.01745000000005</v>
      </c>
      <c r="Y11" s="24">
        <f t="shared" si="16"/>
        <v>-1083.0983999999999</v>
      </c>
      <c r="Z11" s="24">
        <f t="shared" si="8"/>
        <v>157.28538587500003</v>
      </c>
      <c r="AA11" s="24">
        <f t="shared" si="9"/>
        <v>0</v>
      </c>
      <c r="AB11" s="24">
        <f t="shared" si="10"/>
        <v>232.12439999999998</v>
      </c>
      <c r="AC11" s="24">
        <f t="shared" si="11"/>
        <v>58.031099999999995</v>
      </c>
      <c r="AD11" s="24">
        <f t="shared" si="0"/>
        <v>0</v>
      </c>
      <c r="AE11" s="24">
        <f t="shared" si="12"/>
        <v>0</v>
      </c>
      <c r="AF11" s="11">
        <f t="shared" si="13"/>
        <v>2336.040064124998</v>
      </c>
      <c r="AG11" s="9">
        <f t="shared" si="14"/>
        <v>0.20127483919182973</v>
      </c>
    </row>
    <row r="12" spans="2:34" x14ac:dyDescent="0.25">
      <c r="U12" s="28">
        <f>SUM(U5:U11)</f>
        <v>595901.80000000005</v>
      </c>
      <c r="V12" s="28"/>
      <c r="W12" s="28">
        <f t="shared" ref="W12:AE12" si="17">SUM(W5:W11)</f>
        <v>442945.09</v>
      </c>
      <c r="X12" s="28">
        <f t="shared" si="17"/>
        <v>4281.2337750000006</v>
      </c>
      <c r="Y12" s="28">
        <f t="shared" si="17"/>
        <v>-13341.410799999998</v>
      </c>
      <c r="Z12" s="28">
        <f t="shared" si="17"/>
        <v>13752.481550812498</v>
      </c>
      <c r="AA12" s="28">
        <f t="shared" si="17"/>
        <v>12395</v>
      </c>
      <c r="AB12" s="28">
        <f t="shared" si="17"/>
        <v>11918.036000000002</v>
      </c>
      <c r="AC12" s="28">
        <f t="shared" si="17"/>
        <v>2979.5090000000005</v>
      </c>
      <c r="AD12" s="37">
        <v>0</v>
      </c>
      <c r="AE12" s="28">
        <f t="shared" si="17"/>
        <v>0</v>
      </c>
      <c r="AF12" s="28">
        <f>SUM(AF5:AF11)</f>
        <v>120971.8604741875</v>
      </c>
      <c r="AG12" s="39">
        <f t="shared" si="14"/>
        <v>0.20300636862346697</v>
      </c>
      <c r="AH12" s="10"/>
    </row>
    <row r="13" spans="2:34" x14ac:dyDescent="0.25">
      <c r="U13" s="28">
        <f>U12*0.35</f>
        <v>208565.63</v>
      </c>
      <c r="V13" s="27">
        <f>AF12/$U$12</f>
        <v>0.20300636862346697</v>
      </c>
      <c r="W13" s="27">
        <f>W12/$U$12</f>
        <v>0.74331893275032901</v>
      </c>
      <c r="X13" s="27">
        <f t="shared" ref="X13:AE13" si="18">X12/$U$12</f>
        <v>7.18446189456048E-3</v>
      </c>
      <c r="Y13" s="27">
        <f t="shared" si="18"/>
        <v>-2.2388606310637084E-2</v>
      </c>
      <c r="Z13" s="27">
        <f t="shared" si="18"/>
        <v>2.3078435995347719E-2</v>
      </c>
      <c r="AA13" s="27">
        <f t="shared" si="18"/>
        <v>2.0800407046932898E-2</v>
      </c>
      <c r="AB13" s="27">
        <f t="shared" si="18"/>
        <v>0.02</v>
      </c>
      <c r="AC13" s="27">
        <f t="shared" si="18"/>
        <v>5.0000000000000001E-3</v>
      </c>
      <c r="AD13" s="27">
        <f t="shared" si="18"/>
        <v>0</v>
      </c>
      <c r="AE13" s="27">
        <f t="shared" si="18"/>
        <v>0</v>
      </c>
      <c r="AG13" s="29"/>
      <c r="AH13" s="10"/>
    </row>
    <row r="14" spans="2:34" x14ac:dyDescent="0.25">
      <c r="N14" s="9"/>
    </row>
    <row r="15" spans="2:34" x14ac:dyDescent="0.25">
      <c r="N15" s="9"/>
      <c r="U15" s="26"/>
      <c r="V15" s="26"/>
    </row>
    <row r="16" spans="2:34" x14ac:dyDescent="0.25">
      <c r="N16" s="9"/>
      <c r="P16" s="20"/>
      <c r="Q16" s="20"/>
      <c r="R16" s="20"/>
      <c r="S16" s="20"/>
      <c r="T16" s="20"/>
      <c r="U16" s="9"/>
      <c r="V16" s="9"/>
      <c r="W16" s="20"/>
    </row>
    <row r="17" spans="16:23" x14ac:dyDescent="0.25">
      <c r="P17" s="11"/>
      <c r="Q17" s="11"/>
      <c r="R17" s="11"/>
      <c r="S17" s="11"/>
      <c r="T17" s="11"/>
      <c r="U17" s="11"/>
      <c r="V17" s="11"/>
    </row>
    <row r="18" spans="16:23" x14ac:dyDescent="0.25">
      <c r="U18" s="11"/>
      <c r="V18" s="11"/>
    </row>
    <row r="21" spans="16:23" x14ac:dyDescent="0.25">
      <c r="W21" s="21"/>
    </row>
    <row r="22" spans="16:23" x14ac:dyDescent="0.25">
      <c r="Q22" s="43"/>
    </row>
    <row r="23" spans="16:23" x14ac:dyDescent="0.25">
      <c r="Q23" s="43"/>
    </row>
  </sheetData>
  <mergeCells count="3">
    <mergeCell ref="Q5:Q11"/>
    <mergeCell ref="S5:S11"/>
    <mergeCell ref="V5:V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AFFF-7C7E-4C28-ACC6-363BE891C952}">
  <dimension ref="B1:S18"/>
  <sheetViews>
    <sheetView zoomScale="80" zoomScaleNormal="80" workbookViewId="0">
      <selection activeCell="B5" sqref="B5"/>
    </sheetView>
  </sheetViews>
  <sheetFormatPr defaultColWidth="6.28515625" defaultRowHeight="15" x14ac:dyDescent="0.25"/>
  <cols>
    <col min="2" max="2" width="28.7109375" bestFit="1" customWidth="1"/>
    <col min="3" max="3" width="6.5703125" bestFit="1" customWidth="1"/>
    <col min="4" max="5" width="28.140625" bestFit="1" customWidth="1"/>
    <col min="6" max="6" width="29.85546875" bestFit="1" customWidth="1"/>
    <col min="7" max="7" width="7.28515625" bestFit="1" customWidth="1"/>
    <col min="9" max="9" width="11.5703125" bestFit="1" customWidth="1"/>
    <col min="10" max="10" width="7.42578125" bestFit="1" customWidth="1"/>
    <col min="11" max="11" width="15.5703125" bestFit="1" customWidth="1"/>
    <col min="12" max="12" width="6.5703125" bestFit="1" customWidth="1"/>
    <col min="14" max="14" width="17.7109375" bestFit="1" customWidth="1"/>
    <col min="15" max="15" width="15.5703125" bestFit="1" customWidth="1"/>
    <col min="17" max="17" width="8.42578125" bestFit="1" customWidth="1"/>
    <col min="18" max="18" width="15.5703125" bestFit="1" customWidth="1"/>
    <col min="19" max="19" width="7.7109375" bestFit="1" customWidth="1"/>
  </cols>
  <sheetData>
    <row r="1" spans="2:19" ht="15.75" thickBot="1" x14ac:dyDescent="0.3"/>
    <row r="2" spans="2:19" ht="16.5" thickBot="1" x14ac:dyDescent="0.3">
      <c r="B2" s="59" t="s">
        <v>1</v>
      </c>
      <c r="C2" s="60"/>
      <c r="D2" s="60"/>
      <c r="E2" s="60"/>
      <c r="F2" s="61"/>
    </row>
    <row r="3" spans="2:19" ht="16.5" thickBot="1" x14ac:dyDescent="0.3">
      <c r="B3" s="59"/>
      <c r="C3" s="60"/>
      <c r="D3" s="60"/>
      <c r="E3" s="60"/>
      <c r="F3" s="61"/>
    </row>
    <row r="4" spans="2:19" ht="15.75" thickBot="1" x14ac:dyDescent="0.3">
      <c r="B4" s="1" t="s">
        <v>2</v>
      </c>
      <c r="C4" s="1" t="s">
        <v>0</v>
      </c>
      <c r="D4" s="1" t="s">
        <v>3</v>
      </c>
      <c r="E4" s="1" t="s">
        <v>4</v>
      </c>
      <c r="F4" s="1" t="s">
        <v>5</v>
      </c>
    </row>
    <row r="5" spans="2:19" ht="15.75" thickBot="1" x14ac:dyDescent="0.3">
      <c r="B5" s="2">
        <v>6600</v>
      </c>
      <c r="C5" s="3">
        <v>2.5000000000000001E-2</v>
      </c>
      <c r="D5" s="3">
        <v>0.04</v>
      </c>
      <c r="E5" s="5" t="s">
        <v>16</v>
      </c>
      <c r="F5" s="4">
        <f>ROUND((((920*(1+0%))-((920*(1+0%))*9.25%)-(920*0%))+((40*(1+0%))-((40*(1+0%))*9.25%)-(40*7%)))/(1-C5-D5-IF($E$5="ANTECIPADO",0%,IF(E5="ENTRADA + 28 DIAS",1.65%,IF(E5="ENTRADA + 28/56 DIAS",3%,4.5%)))-9.25%-15%),2)</f>
        <v>1341.16</v>
      </c>
      <c r="J5" t="s">
        <v>14</v>
      </c>
      <c r="K5" s="6">
        <f>F5*B5</f>
        <v>8851656</v>
      </c>
      <c r="N5" t="s">
        <v>7</v>
      </c>
      <c r="O5" s="6">
        <f>920*B5</f>
        <v>6072000</v>
      </c>
      <c r="Q5" t="s">
        <v>15</v>
      </c>
      <c r="R5" s="6">
        <f>K5-O5</f>
        <v>2779656</v>
      </c>
    </row>
    <row r="6" spans="2:19" x14ac:dyDescent="0.25">
      <c r="I6" t="s">
        <v>0</v>
      </c>
      <c r="K6" s="6">
        <f>$K$5*C5</f>
        <v>221291.40000000002</v>
      </c>
      <c r="L6" s="9">
        <f>K6/$K$5</f>
        <v>2.5000000000000001E-2</v>
      </c>
      <c r="O6" s="6">
        <f>40*B5</f>
        <v>264000</v>
      </c>
      <c r="R6" s="6">
        <f>K6+O6</f>
        <v>485291.4</v>
      </c>
    </row>
    <row r="7" spans="2:19" x14ac:dyDescent="0.25">
      <c r="I7" t="s">
        <v>12</v>
      </c>
      <c r="K7" s="6">
        <f>$K$5*D5</f>
        <v>354066.24</v>
      </c>
      <c r="L7" s="9">
        <f t="shared" ref="L7:L12" si="0">K7/$K$5</f>
        <v>0.04</v>
      </c>
      <c r="O7" s="6">
        <v>0</v>
      </c>
      <c r="R7" s="6">
        <f>K7+O7</f>
        <v>354066.24</v>
      </c>
    </row>
    <row r="8" spans="2:19" x14ac:dyDescent="0.25">
      <c r="E8" s="10"/>
      <c r="I8" t="s">
        <v>13</v>
      </c>
      <c r="K8" s="6">
        <f>$K$5*IF($E$5="ANTECIPADO",0%,IF(E5="ENTRADA + 28 DIAS",1.65%,IF(E5="ENTRADA + 28/56 DIAS",3%,4.55%)))</f>
        <v>402750.348</v>
      </c>
      <c r="L8" s="9">
        <f t="shared" si="0"/>
        <v>4.5499999999999999E-2</v>
      </c>
      <c r="O8" s="6">
        <v>0</v>
      </c>
      <c r="R8" s="6">
        <f>K8+O8</f>
        <v>402750.348</v>
      </c>
    </row>
    <row r="9" spans="2:19" x14ac:dyDescent="0.25">
      <c r="B9" s="15" t="s">
        <v>2</v>
      </c>
      <c r="C9" s="15" t="s">
        <v>0</v>
      </c>
      <c r="D9" s="15" t="s">
        <v>3</v>
      </c>
      <c r="E9" s="15" t="s">
        <v>4</v>
      </c>
      <c r="F9" s="15" t="s">
        <v>5</v>
      </c>
      <c r="I9" t="s">
        <v>8</v>
      </c>
      <c r="K9" s="6">
        <f>$K$5*0%</f>
        <v>0</v>
      </c>
      <c r="L9" s="9">
        <f t="shared" si="0"/>
        <v>0</v>
      </c>
      <c r="O9" s="6">
        <f>$O$5*0%</f>
        <v>0</v>
      </c>
      <c r="R9" s="6">
        <f>K9+O9</f>
        <v>0</v>
      </c>
    </row>
    <row r="10" spans="2:19" x14ac:dyDescent="0.25">
      <c r="B10" s="16">
        <v>6600</v>
      </c>
      <c r="C10" s="17"/>
      <c r="D10" s="17"/>
      <c r="E10" s="16" t="s">
        <v>6</v>
      </c>
      <c r="F10" s="18">
        <v>1146.4000000000001</v>
      </c>
      <c r="I10" t="s">
        <v>9</v>
      </c>
      <c r="K10" s="6">
        <f>$K$5*0%</f>
        <v>0</v>
      </c>
      <c r="L10" s="9">
        <f t="shared" si="0"/>
        <v>0</v>
      </c>
      <c r="O10" s="6">
        <f>($O$5*0%)+(O6*7%)</f>
        <v>18480</v>
      </c>
      <c r="R10" s="6">
        <f>K10-O10</f>
        <v>-18480</v>
      </c>
    </row>
    <row r="11" spans="2:19" x14ac:dyDescent="0.25">
      <c r="F11" s="11"/>
      <c r="I11" t="s">
        <v>10</v>
      </c>
      <c r="K11" s="6">
        <f>$K$5*1.65%</f>
        <v>146052.32399999999</v>
      </c>
      <c r="L11" s="9">
        <f t="shared" si="0"/>
        <v>1.6500000000000001E-2</v>
      </c>
      <c r="O11" s="6">
        <f>($O$5+$O$6+$O$9)*1.65%</f>
        <v>104544</v>
      </c>
      <c r="R11" s="6">
        <f t="shared" ref="R11:R12" si="1">K11-O11</f>
        <v>41508.323999999993</v>
      </c>
    </row>
    <row r="12" spans="2:19" x14ac:dyDescent="0.25">
      <c r="E12" s="10">
        <f>(((920*(1+0%))-((920*(1+0%))*9.25%)-(920*0%))+((40*(1+0%))-((40*(1+0%))*9.25%)-(40*7%)))</f>
        <v>868.4</v>
      </c>
      <c r="F12" s="20"/>
      <c r="I12" t="s">
        <v>11</v>
      </c>
      <c r="K12" s="6">
        <f>$K$5*7.6%</f>
        <v>672725.85600000003</v>
      </c>
      <c r="L12" s="9">
        <f t="shared" si="0"/>
        <v>7.5999999999999998E-2</v>
      </c>
      <c r="O12" s="6">
        <f>($O$5+$O$6+$O$9)*7.6%</f>
        <v>481536</v>
      </c>
      <c r="R12" s="6">
        <f t="shared" si="1"/>
        <v>191189.85600000003</v>
      </c>
    </row>
    <row r="13" spans="2:19" x14ac:dyDescent="0.25">
      <c r="F13" s="11"/>
      <c r="K13" s="7">
        <f>K5-SUM(K6:K12)</f>
        <v>7054769.8320000004</v>
      </c>
      <c r="L13" s="9"/>
      <c r="M13" s="8"/>
      <c r="N13" s="8"/>
      <c r="O13" s="7">
        <f>(O5+O6)-SUM(O7:O12)</f>
        <v>5731440</v>
      </c>
      <c r="P13" s="8"/>
      <c r="Q13" s="8"/>
      <c r="R13" s="7">
        <f>R5-SUM(R6:R12)</f>
        <v>1323329.8319999999</v>
      </c>
      <c r="S13" s="12">
        <f>R13/K5</f>
        <v>0.14950082018551103</v>
      </c>
    </row>
    <row r="14" spans="2:19" x14ac:dyDescent="0.25">
      <c r="O14" s="11"/>
    </row>
    <row r="15" spans="2:19" x14ac:dyDescent="0.25">
      <c r="F15" s="13"/>
    </row>
    <row r="16" spans="2:19" x14ac:dyDescent="0.25">
      <c r="E16" s="21"/>
      <c r="F16" s="14"/>
    </row>
    <row r="17" spans="6:7" x14ac:dyDescent="0.25">
      <c r="F17" s="14"/>
    </row>
    <row r="18" spans="6:7" x14ac:dyDescent="0.25">
      <c r="F18" s="14"/>
      <c r="G18" s="9"/>
    </row>
  </sheetData>
  <mergeCells count="2">
    <mergeCell ref="B2:F2"/>
    <mergeCell ref="B3:F3"/>
  </mergeCells>
  <dataValidations count="1">
    <dataValidation type="list" allowBlank="1" showInputMessage="1" showErrorMessage="1" sqref="E5" xr:uid="{58647A02-5A63-4556-A155-EC33B3CDFCD8}">
      <formula1>"ANTECIPADO,ENTRADA + 28 DIAS, ENTRADA + 28/56 DIAS, ENTRADA + 28/56/84 DIAS"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A9FC-2B28-4145-8D66-7982D42D2F94}">
  <dimension ref="A2:AA20"/>
  <sheetViews>
    <sheetView showGridLines="0" zoomScale="78" zoomScaleNormal="78" workbookViewId="0">
      <selection activeCell="K24" sqref="K24"/>
    </sheetView>
  </sheetViews>
  <sheetFormatPr defaultRowHeight="15" x14ac:dyDescent="0.25"/>
  <cols>
    <col min="1" max="1" width="6.7109375" bestFit="1" customWidth="1"/>
    <col min="2" max="2" width="13" bestFit="1" customWidth="1"/>
    <col min="3" max="3" width="6.140625" bestFit="1" customWidth="1"/>
    <col min="4" max="4" width="12.28515625" bestFit="1" customWidth="1"/>
    <col min="5" max="5" width="6.5703125" bestFit="1" customWidth="1"/>
    <col min="6" max="6" width="5.5703125" bestFit="1" customWidth="1"/>
    <col min="7" max="7" width="6.5703125" bestFit="1" customWidth="1"/>
    <col min="8" max="8" width="12.28515625" bestFit="1" customWidth="1"/>
    <col min="9" max="9" width="6.5703125" bestFit="1" customWidth="1"/>
    <col min="10" max="10" width="9.85546875" bestFit="1" customWidth="1"/>
    <col min="11" max="11" width="6.5703125" bestFit="1" customWidth="1"/>
    <col min="12" max="12" width="10.28515625" bestFit="1" customWidth="1"/>
    <col min="13" max="13" width="8.7109375" bestFit="1" customWidth="1"/>
    <col min="14" max="14" width="7.7109375" bestFit="1" customWidth="1"/>
    <col min="15" max="15" width="12.28515625" bestFit="1" customWidth="1"/>
    <col min="16" max="16" width="16.85546875" bestFit="1" customWidth="1"/>
    <col min="17" max="17" width="15.140625" bestFit="1" customWidth="1"/>
    <col min="18" max="18" width="13.28515625" bestFit="1" customWidth="1"/>
    <col min="19" max="19" width="12.7109375" bestFit="1" customWidth="1"/>
    <col min="20" max="20" width="13.28515625" bestFit="1" customWidth="1"/>
    <col min="21" max="21" width="12.28515625" bestFit="1" customWidth="1"/>
    <col min="22" max="22" width="13.28515625" bestFit="1" customWidth="1"/>
    <col min="23" max="23" width="12.28515625" bestFit="1" customWidth="1"/>
    <col min="24" max="24" width="15.140625" bestFit="1" customWidth="1"/>
    <col min="25" max="26" width="13.28515625" bestFit="1" customWidth="1"/>
    <col min="27" max="27" width="7.7109375" bestFit="1" customWidth="1"/>
  </cols>
  <sheetData>
    <row r="2" spans="1:27" x14ac:dyDescent="0.25">
      <c r="B2" s="10"/>
      <c r="C2" s="10"/>
    </row>
    <row r="3" spans="1:27" x14ac:dyDescent="0.25">
      <c r="B3" s="19"/>
      <c r="C3" s="19"/>
    </row>
    <row r="4" spans="1:27" s="10" customFormat="1" x14ac:dyDescent="0.25">
      <c r="A4" s="34" t="s">
        <v>34</v>
      </c>
      <c r="B4" s="34" t="s">
        <v>35</v>
      </c>
      <c r="C4" s="33" t="s">
        <v>19</v>
      </c>
      <c r="D4" s="34" t="s">
        <v>25</v>
      </c>
      <c r="E4" s="34" t="s">
        <v>8</v>
      </c>
      <c r="F4" s="34" t="s">
        <v>9</v>
      </c>
      <c r="G4" s="34" t="s">
        <v>26</v>
      </c>
      <c r="H4" s="34" t="s">
        <v>27</v>
      </c>
      <c r="I4" s="34" t="s">
        <v>0</v>
      </c>
      <c r="J4" s="34" t="s">
        <v>31</v>
      </c>
      <c r="K4" s="34" t="s">
        <v>32</v>
      </c>
      <c r="L4" s="35" t="s">
        <v>33</v>
      </c>
      <c r="M4" s="34" t="s">
        <v>28</v>
      </c>
      <c r="N4" s="35">
        <v>0.15</v>
      </c>
      <c r="O4" s="34" t="s">
        <v>29</v>
      </c>
      <c r="P4" s="34" t="s">
        <v>30</v>
      </c>
      <c r="Q4" s="34" t="s">
        <v>36</v>
      </c>
      <c r="R4" s="34" t="s">
        <v>8</v>
      </c>
      <c r="S4" s="34" t="s">
        <v>9</v>
      </c>
      <c r="T4" s="34" t="s">
        <v>26</v>
      </c>
      <c r="U4" s="34" t="s">
        <v>0</v>
      </c>
      <c r="V4" s="34" t="s">
        <v>31</v>
      </c>
      <c r="W4" s="34" t="s">
        <v>32</v>
      </c>
      <c r="X4" s="34" t="s">
        <v>33</v>
      </c>
      <c r="Y4" s="34" t="s">
        <v>28</v>
      </c>
      <c r="Z4" s="36" t="s">
        <v>37</v>
      </c>
    </row>
    <row r="5" spans="1:27" x14ac:dyDescent="0.25">
      <c r="A5" s="16">
        <v>29138</v>
      </c>
      <c r="B5" s="31" t="s">
        <v>18</v>
      </c>
      <c r="C5" s="23">
        <v>1852</v>
      </c>
      <c r="D5" s="24">
        <v>920</v>
      </c>
      <c r="E5" s="25">
        <v>0</v>
      </c>
      <c r="F5" s="25">
        <v>0</v>
      </c>
      <c r="G5" s="22">
        <v>9.2499999999999999E-2</v>
      </c>
      <c r="H5" s="24">
        <f>((D5*(1+E5))-((D5*(1+E5))*G5)-(D5*F5))+((40*(1+0%))-((40*(1+0%))*G5)-(40*7%))</f>
        <v>868.4</v>
      </c>
      <c r="I5" s="22">
        <v>0</v>
      </c>
      <c r="J5" s="22">
        <v>0.02</v>
      </c>
      <c r="K5" s="22">
        <v>5.0000000000000001E-3</v>
      </c>
      <c r="L5" s="22">
        <f>IF(M5=4.5%,16.71%,IF(M5=1.5%,18.6%,IF(M5=0,19%,0)))</f>
        <v>0.1671</v>
      </c>
      <c r="M5" s="22">
        <v>4.4999999999999998E-2</v>
      </c>
      <c r="N5" s="22">
        <f>$N$4</f>
        <v>0.15</v>
      </c>
      <c r="O5" s="24">
        <f>H5/(1-9.25%-I5-J5-K5-L5-M5-N5)</f>
        <v>1668.7163720215224</v>
      </c>
      <c r="P5" s="24">
        <f>C5*O5</f>
        <v>3090462.7209838596</v>
      </c>
      <c r="Q5" s="24">
        <f>C5*D5</f>
        <v>1703840</v>
      </c>
      <c r="R5" s="24">
        <f>Q5*E5</f>
        <v>0</v>
      </c>
      <c r="S5" s="24">
        <f>(P5*0%)-(Q5*0%)</f>
        <v>0</v>
      </c>
      <c r="T5" s="24">
        <f>(P5-(Q5+R5))*9.25%</f>
        <v>128262.60169100702</v>
      </c>
      <c r="U5" s="24">
        <f>(P5*I5)+(33.5*C5)</f>
        <v>62042</v>
      </c>
      <c r="V5" s="24">
        <f>P5*J5</f>
        <v>61809.254419677192</v>
      </c>
      <c r="W5" s="24">
        <f>P5*K5</f>
        <v>15452.313604919298</v>
      </c>
      <c r="X5" s="24">
        <f>P5*L5</f>
        <v>516416.32067640295</v>
      </c>
      <c r="Y5" s="24">
        <f>P5*M5</f>
        <v>139070.82244427368</v>
      </c>
      <c r="Z5" s="11">
        <f>P5-SUM(Q5:Y5)</f>
        <v>463569.40814757952</v>
      </c>
      <c r="AA5" s="9">
        <f>Z5/P5</f>
        <v>0.15000000000000019</v>
      </c>
    </row>
    <row r="6" spans="1:27" x14ac:dyDescent="0.25">
      <c r="A6" s="16">
        <v>26329</v>
      </c>
      <c r="B6" s="31" t="s">
        <v>20</v>
      </c>
      <c r="C6" s="23">
        <v>7</v>
      </c>
      <c r="D6" s="24">
        <v>36147.095999999998</v>
      </c>
      <c r="E6" s="22">
        <v>9.7500000000000003E-2</v>
      </c>
      <c r="F6" s="25">
        <v>7.0000000000000007E-2</v>
      </c>
      <c r="G6" s="22">
        <v>9.2499999999999999E-2</v>
      </c>
      <c r="H6" s="24">
        <f>(D6*(1+E6))-((D6*(1+E6))*G6)-(D6*12%)</f>
        <v>31664.178337949998</v>
      </c>
      <c r="I6" s="22">
        <v>0</v>
      </c>
      <c r="J6" s="22">
        <v>0.02</v>
      </c>
      <c r="K6" s="22">
        <v>5.0000000000000001E-3</v>
      </c>
      <c r="L6" s="22">
        <f t="shared" ref="L6:L10" si="0">IF(M6=4.5%,16.71%,IF(M6=1.5%,18.6%,IF(M6=0,16.71%,0)))</f>
        <v>0.1671</v>
      </c>
      <c r="M6" s="22">
        <v>4.4999999999999998E-2</v>
      </c>
      <c r="N6" s="22">
        <f t="shared" ref="N6:N10" si="1">$N$4</f>
        <v>0.15</v>
      </c>
      <c r="O6" s="24">
        <f t="shared" ref="O6:O10" si="2">H6/(1-9.25%-I6-J6-K6-L6-M6-N6)</f>
        <v>60845.846152863196</v>
      </c>
      <c r="P6" s="24">
        <f t="shared" ref="P6:P10" si="3">C6*O6</f>
        <v>425920.92307004239</v>
      </c>
      <c r="Q6" s="24">
        <f t="shared" ref="Q6:Q10" si="4">C6*D6</f>
        <v>253029.67199999999</v>
      </c>
      <c r="R6" s="24">
        <f t="shared" ref="R6:R10" si="5">Q6*E6</f>
        <v>24670.39302</v>
      </c>
      <c r="S6" s="24">
        <f>(P6*0%)-(Q6*12%)</f>
        <v>-30363.560639999996</v>
      </c>
      <c r="T6" s="24">
        <f t="shared" ref="T6:T10" si="6">(P6-(Q6+R6))*9.25%</f>
        <v>13710.429369628922</v>
      </c>
      <c r="U6" s="24">
        <f t="shared" ref="U6:U10" si="7">P6*I6</f>
        <v>0</v>
      </c>
      <c r="V6" s="24">
        <f t="shared" ref="V6:V10" si="8">P6*J6</f>
        <v>8518.4184614008482</v>
      </c>
      <c r="W6" s="24">
        <f t="shared" ref="W6:W10" si="9">P6*K6</f>
        <v>2129.604615350212</v>
      </c>
      <c r="X6" s="24">
        <f t="shared" ref="X6:X10" si="10">P6*L6</f>
        <v>71171.386245004091</v>
      </c>
      <c r="Y6" s="24">
        <f t="shared" ref="Y6:Y10" si="11">P6*M6</f>
        <v>19166.441538151907</v>
      </c>
      <c r="Z6" s="11">
        <f t="shared" ref="Z6:Z10" si="12">P6-SUM(Q6:Y6)</f>
        <v>63888.138460506452</v>
      </c>
      <c r="AA6" s="9">
        <f t="shared" ref="AA6:AA12" si="13">Z6/P6</f>
        <v>0.15000000000000022</v>
      </c>
    </row>
    <row r="7" spans="1:27" x14ac:dyDescent="0.25">
      <c r="A7" s="16">
        <v>24646</v>
      </c>
      <c r="B7" s="32" t="s">
        <v>21</v>
      </c>
      <c r="C7" s="23">
        <v>4000</v>
      </c>
      <c r="D7" s="24">
        <v>4.7</v>
      </c>
      <c r="E7" s="25">
        <v>0</v>
      </c>
      <c r="F7" s="25">
        <v>7.0000000000000007E-2</v>
      </c>
      <c r="G7" s="22">
        <v>9.2499999999999999E-2</v>
      </c>
      <c r="H7" s="24">
        <f t="shared" ref="H7:H10" si="14">(D7*(1+E7))-((D7*(1+E7))*G7)-(D7*12%)</f>
        <v>3.7012499999999999</v>
      </c>
      <c r="I7" s="22">
        <v>0</v>
      </c>
      <c r="J7" s="22">
        <v>0.02</v>
      </c>
      <c r="K7" s="22">
        <v>5.0000000000000001E-3</v>
      </c>
      <c r="L7" s="22">
        <f t="shared" si="0"/>
        <v>0.1671</v>
      </c>
      <c r="M7" s="22">
        <v>4.4999999999999998E-2</v>
      </c>
      <c r="N7" s="22">
        <f t="shared" si="1"/>
        <v>0.15</v>
      </c>
      <c r="O7" s="24">
        <f t="shared" si="2"/>
        <v>7.1123174481168352</v>
      </c>
      <c r="P7" s="24">
        <f t="shared" si="3"/>
        <v>28449.269792467341</v>
      </c>
      <c r="Q7" s="24">
        <f t="shared" si="4"/>
        <v>18800</v>
      </c>
      <c r="R7" s="24">
        <f t="shared" si="5"/>
        <v>0</v>
      </c>
      <c r="S7" s="24">
        <f t="shared" ref="S7:S10" si="15">(P7*0%)-(Q7*12%)</f>
        <v>-2256</v>
      </c>
      <c r="T7" s="24">
        <f t="shared" si="6"/>
        <v>892.557455803229</v>
      </c>
      <c r="U7" s="24">
        <f t="shared" si="7"/>
        <v>0</v>
      </c>
      <c r="V7" s="24">
        <f t="shared" si="8"/>
        <v>568.98539584934679</v>
      </c>
      <c r="W7" s="24">
        <f t="shared" si="9"/>
        <v>142.2463489623367</v>
      </c>
      <c r="X7" s="24">
        <f t="shared" si="10"/>
        <v>4753.8729823212925</v>
      </c>
      <c r="Y7" s="24">
        <f t="shared" si="11"/>
        <v>1280.2171406610303</v>
      </c>
      <c r="Z7" s="11">
        <f t="shared" si="12"/>
        <v>4267.3904688701077</v>
      </c>
      <c r="AA7" s="9">
        <f t="shared" si="13"/>
        <v>0.15000000000000022</v>
      </c>
    </row>
    <row r="8" spans="1:27" x14ac:dyDescent="0.25">
      <c r="A8" s="16">
        <v>24645</v>
      </c>
      <c r="B8" s="31" t="s">
        <v>22</v>
      </c>
      <c r="C8" s="23">
        <v>4000</v>
      </c>
      <c r="D8" s="24">
        <v>4.7</v>
      </c>
      <c r="E8" s="25">
        <v>0</v>
      </c>
      <c r="F8" s="25">
        <v>7.0000000000000007E-2</v>
      </c>
      <c r="G8" s="22">
        <v>9.2499999999999999E-2</v>
      </c>
      <c r="H8" s="24">
        <f t="shared" si="14"/>
        <v>3.7012499999999999</v>
      </c>
      <c r="I8" s="22">
        <v>0</v>
      </c>
      <c r="J8" s="22">
        <v>0.02</v>
      </c>
      <c r="K8" s="22">
        <v>5.0000000000000001E-3</v>
      </c>
      <c r="L8" s="22">
        <f t="shared" si="0"/>
        <v>0.1671</v>
      </c>
      <c r="M8" s="22">
        <v>4.4999999999999998E-2</v>
      </c>
      <c r="N8" s="22">
        <f t="shared" si="1"/>
        <v>0.15</v>
      </c>
      <c r="O8" s="24">
        <f t="shared" si="2"/>
        <v>7.1123174481168352</v>
      </c>
      <c r="P8" s="24">
        <f t="shared" si="3"/>
        <v>28449.269792467341</v>
      </c>
      <c r="Q8" s="24">
        <f t="shared" si="4"/>
        <v>18800</v>
      </c>
      <c r="R8" s="24">
        <f t="shared" si="5"/>
        <v>0</v>
      </c>
      <c r="S8" s="24">
        <f t="shared" si="15"/>
        <v>-2256</v>
      </c>
      <c r="T8" s="24">
        <f t="shared" si="6"/>
        <v>892.557455803229</v>
      </c>
      <c r="U8" s="24">
        <f t="shared" si="7"/>
        <v>0</v>
      </c>
      <c r="V8" s="24">
        <f t="shared" si="8"/>
        <v>568.98539584934679</v>
      </c>
      <c r="W8" s="24">
        <f t="shared" si="9"/>
        <v>142.2463489623367</v>
      </c>
      <c r="X8" s="24">
        <f t="shared" si="10"/>
        <v>4753.8729823212925</v>
      </c>
      <c r="Y8" s="24">
        <f t="shared" si="11"/>
        <v>1280.2171406610303</v>
      </c>
      <c r="Z8" s="11">
        <f t="shared" si="12"/>
        <v>4267.3904688701077</v>
      </c>
      <c r="AA8" s="9">
        <f t="shared" si="13"/>
        <v>0.15000000000000022</v>
      </c>
    </row>
    <row r="9" spans="1:27" x14ac:dyDescent="0.25">
      <c r="A9" s="16">
        <v>32066</v>
      </c>
      <c r="B9" s="31" t="s">
        <v>23</v>
      </c>
      <c r="C9" s="23">
        <v>230</v>
      </c>
      <c r="D9" s="24">
        <v>7.65</v>
      </c>
      <c r="E9" s="25">
        <v>0</v>
      </c>
      <c r="F9" s="25">
        <v>7.0000000000000007E-2</v>
      </c>
      <c r="G9" s="22">
        <v>9.2499999999999999E-2</v>
      </c>
      <c r="H9" s="24">
        <f t="shared" si="14"/>
        <v>6.024375</v>
      </c>
      <c r="I9" s="22">
        <v>0</v>
      </c>
      <c r="J9" s="22">
        <v>0.02</v>
      </c>
      <c r="K9" s="22">
        <v>5.0000000000000001E-3</v>
      </c>
      <c r="L9" s="22">
        <f t="shared" si="0"/>
        <v>0.1671</v>
      </c>
      <c r="M9" s="22">
        <v>4.4999999999999998E-2</v>
      </c>
      <c r="N9" s="22">
        <f t="shared" si="1"/>
        <v>0.15</v>
      </c>
      <c r="O9" s="24">
        <f t="shared" si="2"/>
        <v>11.576431591083784</v>
      </c>
      <c r="P9" s="24">
        <f t="shared" si="3"/>
        <v>2662.5792659492704</v>
      </c>
      <c r="Q9" s="24">
        <f t="shared" si="4"/>
        <v>1759.5</v>
      </c>
      <c r="R9" s="24">
        <f t="shared" si="5"/>
        <v>0</v>
      </c>
      <c r="S9" s="24">
        <f t="shared" si="15"/>
        <v>-211.14</v>
      </c>
      <c r="T9" s="24">
        <f t="shared" si="6"/>
        <v>83.534832100307511</v>
      </c>
      <c r="U9" s="24">
        <f t="shared" si="7"/>
        <v>0</v>
      </c>
      <c r="V9" s="24">
        <f t="shared" si="8"/>
        <v>53.251585318985406</v>
      </c>
      <c r="W9" s="24">
        <f t="shared" si="9"/>
        <v>13.312896329746351</v>
      </c>
      <c r="X9" s="24">
        <f t="shared" si="10"/>
        <v>444.91699534012309</v>
      </c>
      <c r="Y9" s="24">
        <f t="shared" si="11"/>
        <v>119.81606696771716</v>
      </c>
      <c r="Z9" s="11">
        <f t="shared" si="12"/>
        <v>399.38688989239063</v>
      </c>
      <c r="AA9" s="9">
        <f t="shared" si="13"/>
        <v>0.15000000000000002</v>
      </c>
    </row>
    <row r="10" spans="1:27" x14ac:dyDescent="0.25">
      <c r="A10" s="16">
        <v>26286</v>
      </c>
      <c r="B10" s="31" t="s">
        <v>24</v>
      </c>
      <c r="C10" s="23">
        <v>232</v>
      </c>
      <c r="D10" s="24">
        <v>1550</v>
      </c>
      <c r="E10" s="25">
        <v>0</v>
      </c>
      <c r="F10" s="25">
        <v>0</v>
      </c>
      <c r="G10" s="22">
        <v>9.2499999999999999E-2</v>
      </c>
      <c r="H10" s="24">
        <f t="shared" si="14"/>
        <v>1220.625</v>
      </c>
      <c r="I10" s="22">
        <v>0</v>
      </c>
      <c r="J10" s="22">
        <v>0.02</v>
      </c>
      <c r="K10" s="22">
        <v>5.0000000000000001E-3</v>
      </c>
      <c r="L10" s="22">
        <f t="shared" si="0"/>
        <v>0.1671</v>
      </c>
      <c r="M10" s="22">
        <v>4.4999999999999998E-2</v>
      </c>
      <c r="N10" s="22">
        <f t="shared" si="1"/>
        <v>0.15</v>
      </c>
      <c r="O10" s="24">
        <f t="shared" si="2"/>
        <v>2345.5514988470413</v>
      </c>
      <c r="P10" s="24">
        <f t="shared" si="3"/>
        <v>544167.94773251354</v>
      </c>
      <c r="Q10" s="24">
        <f t="shared" si="4"/>
        <v>359600</v>
      </c>
      <c r="R10" s="24">
        <f t="shared" si="5"/>
        <v>0</v>
      </c>
      <c r="S10" s="24">
        <f t="shared" si="15"/>
        <v>-43152</v>
      </c>
      <c r="T10" s="24">
        <f t="shared" si="6"/>
        <v>17072.535165257501</v>
      </c>
      <c r="U10" s="24">
        <f t="shared" si="7"/>
        <v>0</v>
      </c>
      <c r="V10" s="24">
        <f t="shared" si="8"/>
        <v>10883.358954650272</v>
      </c>
      <c r="W10" s="24">
        <f t="shared" si="9"/>
        <v>2720.8397386625679</v>
      </c>
      <c r="X10" s="24">
        <f t="shared" si="10"/>
        <v>90930.464066103013</v>
      </c>
      <c r="Y10" s="24">
        <f t="shared" si="11"/>
        <v>24487.557647963109</v>
      </c>
      <c r="Z10" s="11">
        <f t="shared" si="12"/>
        <v>81625.192159876984</v>
      </c>
      <c r="AA10" s="9">
        <f t="shared" si="13"/>
        <v>0.14999999999999991</v>
      </c>
    </row>
    <row r="11" spans="1:27" x14ac:dyDescent="0.25">
      <c r="P11" s="26">
        <f>SUM(P5:P10)</f>
        <v>4120112.7106372993</v>
      </c>
      <c r="Q11" s="28">
        <f t="shared" ref="Q11:Y11" si="16">SUM(Q5:Q10)</f>
        <v>2355829.1720000003</v>
      </c>
      <c r="R11" s="28">
        <f t="shared" si="16"/>
        <v>24670.39302</v>
      </c>
      <c r="S11" s="28">
        <f t="shared" si="16"/>
        <v>-78238.700639999995</v>
      </c>
      <c r="T11" s="28">
        <f t="shared" si="16"/>
        <v>160914.21596960019</v>
      </c>
      <c r="U11" s="28">
        <f t="shared" si="16"/>
        <v>62042</v>
      </c>
      <c r="V11" s="28">
        <f t="shared" si="16"/>
        <v>82402.254212745989</v>
      </c>
      <c r="W11" s="28">
        <f t="shared" si="16"/>
        <v>20600.563553186497</v>
      </c>
      <c r="X11" s="28">
        <f t="shared" si="16"/>
        <v>688470.83394749276</v>
      </c>
      <c r="Y11" s="28">
        <f t="shared" si="16"/>
        <v>185405.07197867849</v>
      </c>
      <c r="Z11" s="28">
        <f>SUM(Z5:Z10)</f>
        <v>618016.90659559541</v>
      </c>
      <c r="AA11" s="30">
        <f t="shared" si="13"/>
        <v>0.15000000000000013</v>
      </c>
    </row>
    <row r="12" spans="1:27" x14ac:dyDescent="0.25">
      <c r="P12" s="11">
        <f>P11*1.35</f>
        <v>5562152.1593603548</v>
      </c>
      <c r="Q12" s="27">
        <f>Q11/$P$11</f>
        <v>0.57178755472337561</v>
      </c>
      <c r="R12" s="27">
        <f t="shared" ref="R12:Z12" si="17">R11/$P$11</f>
        <v>5.9877956630424271E-3</v>
      </c>
      <c r="S12" s="27">
        <f t="shared" si="17"/>
        <v>-1.8989456389870953E-2</v>
      </c>
      <c r="T12" s="27">
        <f t="shared" si="17"/>
        <v>3.9055780089256337E-2</v>
      </c>
      <c r="U12" s="27">
        <f t="shared" si="17"/>
        <v>1.5058325914196492E-2</v>
      </c>
      <c r="V12" s="27">
        <f t="shared" si="17"/>
        <v>0.02</v>
      </c>
      <c r="W12" s="27">
        <f t="shared" si="17"/>
        <v>5.0000000000000001E-3</v>
      </c>
      <c r="X12" s="27">
        <f t="shared" si="17"/>
        <v>0.1671</v>
      </c>
      <c r="Y12" s="27">
        <f t="shared" si="17"/>
        <v>4.5000000000000005E-2</v>
      </c>
      <c r="Z12" s="27">
        <f t="shared" si="17"/>
        <v>0.15000000000000013</v>
      </c>
      <c r="AA12" s="29">
        <f t="shared" si="13"/>
        <v>2.6967978527442887E-8</v>
      </c>
    </row>
    <row r="13" spans="1:27" x14ac:dyDescent="0.25">
      <c r="L13">
        <f>19/35</f>
        <v>0.54285714285714282</v>
      </c>
      <c r="M13" s="9">
        <f>35%*L13</f>
        <v>0.18999999999999997</v>
      </c>
      <c r="O13" t="s">
        <v>47</v>
      </c>
      <c r="P13" t="s">
        <v>48</v>
      </c>
      <c r="Q13" t="s">
        <v>49</v>
      </c>
    </row>
    <row r="14" spans="1:27" x14ac:dyDescent="0.25">
      <c r="L14">
        <f>18.6/35</f>
        <v>0.53142857142857147</v>
      </c>
      <c r="M14" s="9">
        <f t="shared" ref="M14:M15" si="18">35%*L14</f>
        <v>0.186</v>
      </c>
      <c r="O14">
        <v>2927108.0609087376</v>
      </c>
      <c r="P14">
        <v>2988301.9576524743</v>
      </c>
      <c r="Q14">
        <v>3052109.116890606</v>
      </c>
    </row>
    <row r="15" spans="1:27" x14ac:dyDescent="0.25">
      <c r="L15">
        <f>16.71/35</f>
        <v>0.47742857142857148</v>
      </c>
      <c r="M15" s="9">
        <f t="shared" si="18"/>
        <v>0.1671</v>
      </c>
      <c r="O15" s="20">
        <f>$P$11/O14</f>
        <v>1.4075710991544967</v>
      </c>
      <c r="P15" s="20">
        <f t="shared" ref="P15:Q15" si="19">$P$11/P14</f>
        <v>1.3787471176018449</v>
      </c>
      <c r="Q15" s="20">
        <f t="shared" si="19"/>
        <v>1.3499231360491928</v>
      </c>
    </row>
    <row r="16" spans="1:27" x14ac:dyDescent="0.25">
      <c r="O16" s="11"/>
      <c r="P16" s="11"/>
    </row>
    <row r="17" spans="16:18" x14ac:dyDescent="0.25">
      <c r="P17" s="11"/>
    </row>
    <row r="20" spans="16:18" x14ac:dyDescent="0.25">
      <c r="P20">
        <v>868.4</v>
      </c>
      <c r="Q20" s="21">
        <f>1-9.25%-2.5%-4.5%-15%-5%</f>
        <v>0.63749999999999984</v>
      </c>
      <c r="R20">
        <f>P20/Q20</f>
        <v>1362.1960784313728</v>
      </c>
    </row>
  </sheetData>
  <pageMargins left="0.511811024" right="0.511811024" top="0.78740157499999996" bottom="0.78740157499999996" header="0.31496062000000002" footer="0.31496062000000002"/>
  <ignoredErrors>
    <ignoredError sqref="Q6:Q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6709-FEC7-46FE-BF20-333D2ECDC917}">
  <dimension ref="A2:AA20"/>
  <sheetViews>
    <sheetView showGridLines="0" zoomScale="80" zoomScaleNormal="80" workbookViewId="0">
      <selection activeCell="D34" sqref="D34"/>
    </sheetView>
  </sheetViews>
  <sheetFormatPr defaultRowHeight="15" x14ac:dyDescent="0.25"/>
  <cols>
    <col min="1" max="1" width="6.5703125" bestFit="1" customWidth="1"/>
    <col min="2" max="2" width="24.140625" bestFit="1" customWidth="1"/>
    <col min="3" max="3" width="6" bestFit="1" customWidth="1"/>
    <col min="4" max="4" width="12.140625" bestFit="1" customWidth="1"/>
    <col min="5" max="5" width="6.5703125" bestFit="1" customWidth="1"/>
    <col min="6" max="6" width="5.7109375" bestFit="1" customWidth="1"/>
    <col min="7" max="7" width="6.5703125" bestFit="1" customWidth="1"/>
    <col min="8" max="8" width="12.140625" bestFit="1" customWidth="1"/>
    <col min="9" max="9" width="6.5703125" bestFit="1" customWidth="1"/>
    <col min="10" max="10" width="9.85546875" bestFit="1" customWidth="1"/>
    <col min="11" max="11" width="6.5703125" bestFit="1" customWidth="1"/>
    <col min="12" max="12" width="10.28515625" bestFit="1" customWidth="1"/>
    <col min="13" max="13" width="8.7109375" bestFit="1" customWidth="1"/>
    <col min="14" max="14" width="7.7109375" bestFit="1" customWidth="1"/>
    <col min="15" max="15" width="12.140625" bestFit="1" customWidth="1"/>
    <col min="16" max="17" width="15" bestFit="1" customWidth="1"/>
    <col min="18" max="18" width="12.140625" bestFit="1" customWidth="1"/>
    <col min="19" max="19" width="12.85546875" bestFit="1" customWidth="1"/>
    <col min="20" max="24" width="12.140625" bestFit="1" customWidth="1"/>
    <col min="25" max="25" width="11" bestFit="1" customWidth="1"/>
    <col min="26" max="26" width="13.140625" bestFit="1" customWidth="1"/>
    <col min="27" max="27" width="8.140625" bestFit="1" customWidth="1"/>
  </cols>
  <sheetData>
    <row r="2" spans="1:27" x14ac:dyDescent="0.25">
      <c r="B2" s="10"/>
      <c r="C2" s="10"/>
    </row>
    <row r="3" spans="1:27" x14ac:dyDescent="0.25">
      <c r="B3" s="19"/>
      <c r="C3" s="19"/>
    </row>
    <row r="4" spans="1:27" s="10" customFormat="1" x14ac:dyDescent="0.25">
      <c r="A4" s="34" t="s">
        <v>34</v>
      </c>
      <c r="B4" s="34" t="s">
        <v>35</v>
      </c>
      <c r="C4" s="33" t="s">
        <v>19</v>
      </c>
      <c r="D4" s="34" t="s">
        <v>25</v>
      </c>
      <c r="E4" s="34" t="s">
        <v>8</v>
      </c>
      <c r="F4" s="34" t="s">
        <v>9</v>
      </c>
      <c r="G4" s="34" t="s">
        <v>26</v>
      </c>
      <c r="H4" s="34" t="s">
        <v>27</v>
      </c>
      <c r="I4" s="34" t="s">
        <v>0</v>
      </c>
      <c r="J4" s="34" t="s">
        <v>31</v>
      </c>
      <c r="K4" s="34" t="s">
        <v>32</v>
      </c>
      <c r="L4" s="34" t="s">
        <v>33</v>
      </c>
      <c r="M4" s="34" t="s">
        <v>28</v>
      </c>
      <c r="N4" s="35">
        <v>0.15</v>
      </c>
      <c r="O4" s="34" t="s">
        <v>29</v>
      </c>
      <c r="P4" s="34" t="s">
        <v>30</v>
      </c>
      <c r="Q4" s="34" t="s">
        <v>36</v>
      </c>
      <c r="R4" s="34" t="s">
        <v>8</v>
      </c>
      <c r="S4" s="34" t="s">
        <v>9</v>
      </c>
      <c r="T4" s="34" t="s">
        <v>26</v>
      </c>
      <c r="U4" s="34" t="s">
        <v>0</v>
      </c>
      <c r="V4" s="34" t="s">
        <v>31</v>
      </c>
      <c r="W4" s="34" t="s">
        <v>32</v>
      </c>
      <c r="X4" s="34" t="s">
        <v>33</v>
      </c>
      <c r="Y4" s="34" t="s">
        <v>28</v>
      </c>
      <c r="Z4" s="36" t="s">
        <v>37</v>
      </c>
    </row>
    <row r="5" spans="1:27" s="10" customFormat="1" x14ac:dyDescent="0.25">
      <c r="A5" s="16">
        <v>29138</v>
      </c>
      <c r="B5" s="31" t="s">
        <v>18</v>
      </c>
      <c r="C5" s="23">
        <v>44</v>
      </c>
      <c r="D5" s="24">
        <v>920</v>
      </c>
      <c r="E5" s="25">
        <v>0</v>
      </c>
      <c r="F5" s="25">
        <v>0</v>
      </c>
      <c r="G5" s="22">
        <v>9.2499999999999999E-2</v>
      </c>
      <c r="H5" s="24">
        <f t="shared" ref="H5" si="0">((D5*(1+E5))-((D5*(1+E5))*G5)-(D5*F5))+((40*(1+0%))-((40*(1+0%))*G5)-(40*7%))</f>
        <v>868.4</v>
      </c>
      <c r="I5" s="22">
        <v>0</v>
      </c>
      <c r="J5" s="22">
        <v>0.02</v>
      </c>
      <c r="K5" s="22">
        <v>5.0000000000000001E-3</v>
      </c>
      <c r="L5" s="22">
        <v>0.19</v>
      </c>
      <c r="M5" s="22">
        <v>0</v>
      </c>
      <c r="N5" s="22">
        <f t="shared" ref="N5:N9" si="1">$N$4</f>
        <v>0.15</v>
      </c>
      <c r="O5" s="24">
        <f>H5/(1-9.25%-I5-J5-K5-L5-M5-N5)</f>
        <v>1600.7373271889405</v>
      </c>
      <c r="P5" s="24">
        <f t="shared" ref="P5:P14" si="2">C5*O5</f>
        <v>70432.442396313389</v>
      </c>
      <c r="Q5" s="24">
        <f t="shared" ref="Q5:Q13" si="3">C5*D5</f>
        <v>40480</v>
      </c>
      <c r="R5" s="24">
        <f t="shared" ref="R5:R13" si="4">Q5*E5</f>
        <v>0</v>
      </c>
      <c r="S5" s="24">
        <f t="shared" ref="S5" si="5">(P5*0%)-(Q5*0%)</f>
        <v>0</v>
      </c>
      <c r="T5" s="24">
        <f t="shared" ref="T5:T13" si="6">(P5-(Q5+R5))*9.25%</f>
        <v>2770.6009216589882</v>
      </c>
      <c r="U5" s="24">
        <f t="shared" ref="U5" si="7">(P5*I5)+(33.5*C5)</f>
        <v>1474</v>
      </c>
      <c r="V5" s="24">
        <f t="shared" ref="V5:V13" si="8">P5*J5</f>
        <v>1408.6488479262678</v>
      </c>
      <c r="W5" s="24">
        <f t="shared" ref="W5:W13" si="9">P5*K5</f>
        <v>352.16221198156694</v>
      </c>
      <c r="X5" s="24">
        <f t="shared" ref="X5:X13" si="10">P5*L5</f>
        <v>13382.164055299543</v>
      </c>
      <c r="Y5" s="24">
        <f t="shared" ref="Y5:Y13" si="11">P5*M5</f>
        <v>0</v>
      </c>
      <c r="Z5" s="11">
        <f>P5-SUM(Q5:Y5)</f>
        <v>10564.86635944702</v>
      </c>
      <c r="AA5" s="9">
        <f>Z5/P5</f>
        <v>0.15000000000000016</v>
      </c>
    </row>
    <row r="6" spans="1:27" s="10" customFormat="1" x14ac:dyDescent="0.25">
      <c r="A6" s="16">
        <v>32631</v>
      </c>
      <c r="B6" s="31" t="s">
        <v>38</v>
      </c>
      <c r="C6" s="23">
        <v>44</v>
      </c>
      <c r="D6" s="24">
        <v>468.10292863117434</v>
      </c>
      <c r="E6" s="25">
        <v>7.283152827314919E-2</v>
      </c>
      <c r="F6" s="25">
        <v>0.12485969049063578</v>
      </c>
      <c r="G6" s="22">
        <v>9.5241000000000006E-2</v>
      </c>
      <c r="H6" s="24">
        <f t="shared" ref="H6:H13" si="12">(D6*(1+E6))-((D6*(1+E6))*G6)-(D6*12%)</f>
        <v>398.19361961223399</v>
      </c>
      <c r="I6" s="22">
        <v>0</v>
      </c>
      <c r="J6" s="22">
        <v>0.02</v>
      </c>
      <c r="K6" s="22">
        <v>5.0000000000000001E-3</v>
      </c>
      <c r="L6" s="22">
        <v>0.19</v>
      </c>
      <c r="M6" s="22">
        <v>0</v>
      </c>
      <c r="N6" s="22">
        <f t="shared" si="1"/>
        <v>0.15</v>
      </c>
      <c r="O6" s="24">
        <f t="shared" ref="O6:O14" si="13">H6/(1-9.25%-I6-J6-K6-L6-M6-N6)</f>
        <v>733.99745550642228</v>
      </c>
      <c r="P6" s="24">
        <f t="shared" si="2"/>
        <v>32295.888042282582</v>
      </c>
      <c r="Q6" s="24">
        <f t="shared" si="3"/>
        <v>20596.528859771672</v>
      </c>
      <c r="R6" s="24">
        <f t="shared" si="4"/>
        <v>1500.0766739791939</v>
      </c>
      <c r="S6" s="24">
        <f t="shared" ref="S6:S13" si="14">(P6*0%)-(Q6*12%)</f>
        <v>-2471.5834631726007</v>
      </c>
      <c r="T6" s="24">
        <f t="shared" si="6"/>
        <v>943.43363203918375</v>
      </c>
      <c r="U6" s="24">
        <f t="shared" ref="U6:U13" si="15">P6*I6</f>
        <v>0</v>
      </c>
      <c r="V6" s="24">
        <f t="shared" si="8"/>
        <v>645.91776084565163</v>
      </c>
      <c r="W6" s="24">
        <f t="shared" si="9"/>
        <v>161.47944021141291</v>
      </c>
      <c r="X6" s="24">
        <f t="shared" si="10"/>
        <v>6136.2187280336911</v>
      </c>
      <c r="Y6" s="24">
        <f t="shared" si="11"/>
        <v>0</v>
      </c>
      <c r="Z6" s="11">
        <f t="shared" ref="Z6:Z14" si="16">P6-SUM(Q6:Y6)</f>
        <v>4783.8164105743745</v>
      </c>
      <c r="AA6" s="9">
        <f t="shared" ref="AA6:AA16" si="17">Z6/P6</f>
        <v>0.14812462825952588</v>
      </c>
    </row>
    <row r="7" spans="1:27" s="10" customFormat="1" x14ac:dyDescent="0.25">
      <c r="A7" s="16">
        <v>29781</v>
      </c>
      <c r="B7" s="31" t="s">
        <v>39</v>
      </c>
      <c r="C7" s="23">
        <v>44</v>
      </c>
      <c r="D7" s="24">
        <v>3.1818</v>
      </c>
      <c r="E7" s="25">
        <v>0.1</v>
      </c>
      <c r="F7" s="25">
        <v>0.12</v>
      </c>
      <c r="G7" s="22">
        <v>9.2499999999999999E-2</v>
      </c>
      <c r="H7" s="24">
        <f t="shared" si="12"/>
        <v>2.79441585</v>
      </c>
      <c r="I7" s="22">
        <v>0</v>
      </c>
      <c r="J7" s="22">
        <v>0.02</v>
      </c>
      <c r="K7" s="22">
        <v>5.0000000000000001E-3</v>
      </c>
      <c r="L7" s="22">
        <v>0.19</v>
      </c>
      <c r="M7" s="22">
        <v>0</v>
      </c>
      <c r="N7" s="22">
        <f t="shared" si="1"/>
        <v>0.15</v>
      </c>
      <c r="O7" s="24">
        <f t="shared" si="13"/>
        <v>5.1509969585253472</v>
      </c>
      <c r="P7" s="24">
        <f t="shared" si="2"/>
        <v>226.64386617511528</v>
      </c>
      <c r="Q7" s="24">
        <f t="shared" si="3"/>
        <v>139.9992</v>
      </c>
      <c r="R7" s="24">
        <f t="shared" si="4"/>
        <v>13.999920000000001</v>
      </c>
      <c r="S7" s="24">
        <f t="shared" si="14"/>
        <v>-16.799903999999998</v>
      </c>
      <c r="T7" s="24">
        <f t="shared" si="6"/>
        <v>6.7196390211981623</v>
      </c>
      <c r="U7" s="24">
        <f t="shared" si="15"/>
        <v>0</v>
      </c>
      <c r="V7" s="24">
        <f t="shared" si="8"/>
        <v>4.5328773235023059</v>
      </c>
      <c r="W7" s="24">
        <f t="shared" si="9"/>
        <v>1.1332193308755765</v>
      </c>
      <c r="X7" s="24">
        <f t="shared" si="10"/>
        <v>43.062334573271905</v>
      </c>
      <c r="Y7" s="24">
        <f t="shared" si="11"/>
        <v>0</v>
      </c>
      <c r="Z7" s="11">
        <f t="shared" si="16"/>
        <v>33.996579926267316</v>
      </c>
      <c r="AA7" s="9">
        <f t="shared" si="17"/>
        <v>0.15000000000000011</v>
      </c>
    </row>
    <row r="8" spans="1:27" s="10" customFormat="1" x14ac:dyDescent="0.25">
      <c r="A8" s="16">
        <v>32638</v>
      </c>
      <c r="B8" s="31" t="s">
        <v>40</v>
      </c>
      <c r="C8" s="23">
        <v>44</v>
      </c>
      <c r="D8" s="24">
        <v>85.072435209429358</v>
      </c>
      <c r="E8" s="25">
        <v>3.8110380197525398E-2</v>
      </c>
      <c r="F8" s="25">
        <v>0.12052409168028039</v>
      </c>
      <c r="G8" s="22">
        <v>8.2924999999999999E-2</v>
      </c>
      <c r="H8" s="24">
        <f t="shared" si="12"/>
        <v>70.782399448867011</v>
      </c>
      <c r="I8" s="22">
        <v>0</v>
      </c>
      <c r="J8" s="22">
        <v>0.02</v>
      </c>
      <c r="K8" s="22">
        <v>5.0000000000000001E-3</v>
      </c>
      <c r="L8" s="22">
        <v>0.19</v>
      </c>
      <c r="M8" s="22">
        <v>0</v>
      </c>
      <c r="N8" s="22">
        <f t="shared" si="1"/>
        <v>0.15</v>
      </c>
      <c r="O8" s="24">
        <f t="shared" si="13"/>
        <v>130.47446903016964</v>
      </c>
      <c r="P8" s="24">
        <f t="shared" si="2"/>
        <v>5740.8766373274648</v>
      </c>
      <c r="Q8" s="24">
        <f t="shared" si="3"/>
        <v>3743.1871492148916</v>
      </c>
      <c r="R8" s="24">
        <f t="shared" si="4"/>
        <v>142.65428540707074</v>
      </c>
      <c r="S8" s="24">
        <f t="shared" si="14"/>
        <v>-449.18245790578698</v>
      </c>
      <c r="T8" s="24">
        <f t="shared" si="6"/>
        <v>171.59075625025898</v>
      </c>
      <c r="U8" s="24">
        <f t="shared" si="15"/>
        <v>0</v>
      </c>
      <c r="V8" s="24">
        <f t="shared" si="8"/>
        <v>114.8175327465493</v>
      </c>
      <c r="W8" s="24">
        <f t="shared" si="9"/>
        <v>28.704383186637326</v>
      </c>
      <c r="X8" s="24">
        <f t="shared" si="10"/>
        <v>1090.7665610922184</v>
      </c>
      <c r="Y8" s="24">
        <f t="shared" si="11"/>
        <v>0</v>
      </c>
      <c r="Z8" s="11">
        <f t="shared" si="16"/>
        <v>898.33842733562597</v>
      </c>
      <c r="AA8" s="9">
        <f t="shared" si="17"/>
        <v>0.15648105404226681</v>
      </c>
    </row>
    <row r="9" spans="1:27" s="10" customFormat="1" x14ac:dyDescent="0.25">
      <c r="A9" s="16">
        <v>32641</v>
      </c>
      <c r="B9" s="31" t="s">
        <v>41</v>
      </c>
      <c r="C9" s="23">
        <v>5</v>
      </c>
      <c r="D9" s="24">
        <v>62.604880280983551</v>
      </c>
      <c r="E9" s="25">
        <v>7.7047330565272659E-2</v>
      </c>
      <c r="F9" s="25">
        <v>0.12918144982561791</v>
      </c>
      <c r="G9" s="22">
        <v>8.0045000000000005E-2</v>
      </c>
      <c r="H9" s="24">
        <f t="shared" si="12"/>
        <v>54.518525739451022</v>
      </c>
      <c r="I9" s="22">
        <v>0</v>
      </c>
      <c r="J9" s="22">
        <v>0.02</v>
      </c>
      <c r="K9" s="22">
        <v>5.0000000000000001E-3</v>
      </c>
      <c r="L9" s="22">
        <v>0.19</v>
      </c>
      <c r="M9" s="22">
        <v>0</v>
      </c>
      <c r="N9" s="22">
        <f t="shared" si="1"/>
        <v>0.15</v>
      </c>
      <c r="O9" s="24">
        <f t="shared" si="13"/>
        <v>100.49497832156872</v>
      </c>
      <c r="P9" s="24">
        <f t="shared" si="2"/>
        <v>502.47489160784363</v>
      </c>
      <c r="Q9" s="24">
        <f t="shared" si="3"/>
        <v>313.02440140491774</v>
      </c>
      <c r="R9" s="24">
        <f t="shared" si="4"/>
        <v>24.117694530041298</v>
      </c>
      <c r="S9" s="24">
        <f t="shared" si="14"/>
        <v>-37.562928168590126</v>
      </c>
      <c r="T9" s="24">
        <f t="shared" si="6"/>
        <v>15.293283599741823</v>
      </c>
      <c r="U9" s="24">
        <f t="shared" si="15"/>
        <v>0</v>
      </c>
      <c r="V9" s="24">
        <f t="shared" si="8"/>
        <v>10.049497832156872</v>
      </c>
      <c r="W9" s="24">
        <f t="shared" si="9"/>
        <v>2.512374458039218</v>
      </c>
      <c r="X9" s="24">
        <f t="shared" si="10"/>
        <v>95.470229405490286</v>
      </c>
      <c r="Y9" s="24">
        <f t="shared" si="11"/>
        <v>0</v>
      </c>
      <c r="Z9" s="11">
        <f t="shared" si="16"/>
        <v>79.570338546046514</v>
      </c>
      <c r="AA9" s="9">
        <f t="shared" si="17"/>
        <v>0.15835684503843261</v>
      </c>
    </row>
    <row r="10" spans="1:27" x14ac:dyDescent="0.25">
      <c r="A10" s="16">
        <v>32636</v>
      </c>
      <c r="B10" s="31" t="s">
        <v>42</v>
      </c>
      <c r="C10" s="23">
        <v>5</v>
      </c>
      <c r="D10" s="24">
        <v>57.468874509911949</v>
      </c>
      <c r="E10" s="25">
        <v>5.4005461170615832E-2</v>
      </c>
      <c r="F10" s="25">
        <v>7.7578533476266615E-2</v>
      </c>
      <c r="G10" s="22">
        <v>9.0301000000000006E-2</v>
      </c>
      <c r="H10" s="24">
        <f t="shared" si="12"/>
        <v>48.206484632534902</v>
      </c>
      <c r="I10" s="22">
        <v>0</v>
      </c>
      <c r="J10" s="22">
        <v>0.02</v>
      </c>
      <c r="K10" s="22">
        <v>5.0000000000000001E-3</v>
      </c>
      <c r="L10" s="22">
        <v>0.19</v>
      </c>
      <c r="M10" s="22">
        <v>0</v>
      </c>
      <c r="N10" s="22">
        <f>$N$4</f>
        <v>0.15</v>
      </c>
      <c r="O10" s="24">
        <f t="shared" si="13"/>
        <v>88.859879506976796</v>
      </c>
      <c r="P10" s="24">
        <f t="shared" si="2"/>
        <v>444.29939753488395</v>
      </c>
      <c r="Q10" s="24">
        <f t="shared" si="3"/>
        <v>287.34437254955975</v>
      </c>
      <c r="R10" s="24">
        <f t="shared" si="4"/>
        <v>15.518165354320219</v>
      </c>
      <c r="S10" s="24">
        <f t="shared" si="14"/>
        <v>-34.481324705947166</v>
      </c>
      <c r="T10" s="24">
        <f t="shared" si="6"/>
        <v>13.082909515867868</v>
      </c>
      <c r="U10" s="24">
        <f t="shared" si="15"/>
        <v>0</v>
      </c>
      <c r="V10" s="24">
        <f t="shared" si="8"/>
        <v>8.8859879506976789</v>
      </c>
      <c r="W10" s="24">
        <f t="shared" si="9"/>
        <v>2.2214969876744197</v>
      </c>
      <c r="X10" s="24">
        <f t="shared" si="10"/>
        <v>84.416885531627955</v>
      </c>
      <c r="Y10" s="24">
        <f t="shared" si="11"/>
        <v>0</v>
      </c>
      <c r="Z10" s="11">
        <f t="shared" si="16"/>
        <v>67.310904351083252</v>
      </c>
      <c r="AA10" s="9">
        <f t="shared" si="17"/>
        <v>0.15149897732147694</v>
      </c>
    </row>
    <row r="11" spans="1:27" x14ac:dyDescent="0.25">
      <c r="A11" s="16">
        <v>32635</v>
      </c>
      <c r="B11" s="31" t="s">
        <v>43</v>
      </c>
      <c r="C11" s="23">
        <v>5</v>
      </c>
      <c r="D11" s="24">
        <v>57.470986482904031</v>
      </c>
      <c r="E11" s="22">
        <v>5.400366648504526E-2</v>
      </c>
      <c r="F11" s="25">
        <v>7.7576000864181899E-2</v>
      </c>
      <c r="G11" s="22">
        <v>9.0301000000000006E-2</v>
      </c>
      <c r="H11" s="24">
        <f t="shared" si="12"/>
        <v>48.208162385519124</v>
      </c>
      <c r="I11" s="22">
        <v>0</v>
      </c>
      <c r="J11" s="22">
        <v>0.02</v>
      </c>
      <c r="K11" s="22">
        <v>5.0000000000000001E-3</v>
      </c>
      <c r="L11" s="22">
        <v>0.19</v>
      </c>
      <c r="M11" s="22">
        <v>0</v>
      </c>
      <c r="N11" s="22">
        <f t="shared" ref="N11:N14" si="18">$N$4</f>
        <v>0.15</v>
      </c>
      <c r="O11" s="24">
        <f t="shared" si="13"/>
        <v>88.86297213920578</v>
      </c>
      <c r="P11" s="24">
        <f t="shared" si="2"/>
        <v>444.31486069602892</v>
      </c>
      <c r="Q11" s="24">
        <f t="shared" si="3"/>
        <v>287.35493241452014</v>
      </c>
      <c r="R11" s="24">
        <f t="shared" si="4"/>
        <v>15.518219932946467</v>
      </c>
      <c r="S11" s="24">
        <f t="shared" si="14"/>
        <v>-34.482591889742416</v>
      </c>
      <c r="T11" s="24">
        <f t="shared" si="6"/>
        <v>13.083358022242013</v>
      </c>
      <c r="U11" s="24">
        <f t="shared" si="15"/>
        <v>0</v>
      </c>
      <c r="V11" s="24">
        <f t="shared" si="8"/>
        <v>8.886297213920578</v>
      </c>
      <c r="W11" s="24">
        <f t="shared" si="9"/>
        <v>2.2215743034801445</v>
      </c>
      <c r="X11" s="24">
        <f t="shared" si="10"/>
        <v>84.419823532245502</v>
      </c>
      <c r="Y11" s="24">
        <f t="shared" si="11"/>
        <v>0</v>
      </c>
      <c r="Z11" s="11">
        <f t="shared" si="16"/>
        <v>67.313247166416488</v>
      </c>
      <c r="AA11" s="9">
        <f t="shared" si="17"/>
        <v>0.15149897768660903</v>
      </c>
    </row>
    <row r="12" spans="1:27" x14ac:dyDescent="0.25">
      <c r="A12" s="16">
        <v>32644</v>
      </c>
      <c r="B12" s="32" t="s">
        <v>44</v>
      </c>
      <c r="C12" s="23">
        <v>1</v>
      </c>
      <c r="D12" s="24">
        <v>1223.3018509553992</v>
      </c>
      <c r="E12" s="25">
        <v>7.4966443075223821E-2</v>
      </c>
      <c r="F12" s="25">
        <v>0.12755884883356086</v>
      </c>
      <c r="G12" s="22">
        <v>9.0301000000000006E-2</v>
      </c>
      <c r="H12" s="24">
        <f t="shared" si="12"/>
        <v>1049.4656403163194</v>
      </c>
      <c r="I12" s="22">
        <v>0</v>
      </c>
      <c r="J12" s="22">
        <v>0.02</v>
      </c>
      <c r="K12" s="22">
        <v>5.0000000000000001E-3</v>
      </c>
      <c r="L12" s="22">
        <v>0.19</v>
      </c>
      <c r="M12" s="22">
        <v>0</v>
      </c>
      <c r="N12" s="22">
        <f t="shared" si="18"/>
        <v>0.15</v>
      </c>
      <c r="O12" s="24">
        <f t="shared" si="13"/>
        <v>1934.4988761591146</v>
      </c>
      <c r="P12" s="24">
        <f t="shared" si="2"/>
        <v>1934.4988761591146</v>
      </c>
      <c r="Q12" s="24">
        <f t="shared" si="3"/>
        <v>1223.3018509553992</v>
      </c>
      <c r="R12" s="24">
        <f t="shared" si="4"/>
        <v>91.706588573463875</v>
      </c>
      <c r="S12" s="24">
        <f t="shared" si="14"/>
        <v>-146.79622211464789</v>
      </c>
      <c r="T12" s="24">
        <f t="shared" si="6"/>
        <v>57.302865388298258</v>
      </c>
      <c r="U12" s="24">
        <f t="shared" si="15"/>
        <v>0</v>
      </c>
      <c r="V12" s="24">
        <f t="shared" si="8"/>
        <v>38.689977523182293</v>
      </c>
      <c r="W12" s="24">
        <f t="shared" si="9"/>
        <v>9.6724943807955732</v>
      </c>
      <c r="X12" s="24">
        <f t="shared" si="10"/>
        <v>367.55478647023176</v>
      </c>
      <c r="Y12" s="24">
        <f t="shared" si="11"/>
        <v>0</v>
      </c>
      <c r="Z12" s="11">
        <f t="shared" si="16"/>
        <v>293.06653498239143</v>
      </c>
      <c r="AA12" s="9">
        <f t="shared" si="17"/>
        <v>0.15149480756704581</v>
      </c>
    </row>
    <row r="13" spans="1:27" x14ac:dyDescent="0.25">
      <c r="A13" s="16">
        <v>24802</v>
      </c>
      <c r="B13" s="31" t="s">
        <v>45</v>
      </c>
      <c r="C13" s="23">
        <v>6</v>
      </c>
      <c r="D13" s="24">
        <v>310</v>
      </c>
      <c r="E13" s="25">
        <v>0</v>
      </c>
      <c r="F13" s="25">
        <v>0.12</v>
      </c>
      <c r="G13" s="22">
        <v>9.2499999999999999E-2</v>
      </c>
      <c r="H13" s="24">
        <f t="shared" si="12"/>
        <v>244.125</v>
      </c>
      <c r="I13" s="22">
        <v>0</v>
      </c>
      <c r="J13" s="22">
        <v>0.02</v>
      </c>
      <c r="K13" s="22">
        <v>5.0000000000000001E-3</v>
      </c>
      <c r="L13" s="22">
        <v>0.19</v>
      </c>
      <c r="M13" s="22">
        <v>0</v>
      </c>
      <c r="N13" s="22">
        <f t="shared" si="18"/>
        <v>0.15</v>
      </c>
      <c r="O13" s="24">
        <f t="shared" si="13"/>
        <v>450.00000000000011</v>
      </c>
      <c r="P13" s="24">
        <f t="shared" si="2"/>
        <v>2700.0000000000009</v>
      </c>
      <c r="Q13" s="24">
        <f t="shared" si="3"/>
        <v>1860</v>
      </c>
      <c r="R13" s="24">
        <f t="shared" si="4"/>
        <v>0</v>
      </c>
      <c r="S13" s="24">
        <f t="shared" si="14"/>
        <v>-223.2</v>
      </c>
      <c r="T13" s="24">
        <f t="shared" si="6"/>
        <v>77.700000000000088</v>
      </c>
      <c r="U13" s="24">
        <f t="shared" si="15"/>
        <v>0</v>
      </c>
      <c r="V13" s="24">
        <f t="shared" si="8"/>
        <v>54.000000000000021</v>
      </c>
      <c r="W13" s="24">
        <f t="shared" si="9"/>
        <v>13.500000000000005</v>
      </c>
      <c r="X13" s="24">
        <f t="shared" si="10"/>
        <v>513.00000000000023</v>
      </c>
      <c r="Y13" s="24">
        <f t="shared" si="11"/>
        <v>0</v>
      </c>
      <c r="Z13" s="11">
        <f t="shared" si="16"/>
        <v>405.00000000000091</v>
      </c>
      <c r="AA13" s="9">
        <f t="shared" si="17"/>
        <v>0.1500000000000003</v>
      </c>
    </row>
    <row r="14" spans="1:27" x14ac:dyDescent="0.25">
      <c r="A14" s="16">
        <v>21827</v>
      </c>
      <c r="B14" s="31" t="s">
        <v>46</v>
      </c>
      <c r="C14" s="23">
        <v>6</v>
      </c>
      <c r="D14" s="24">
        <v>320</v>
      </c>
      <c r="E14" s="25">
        <v>0</v>
      </c>
      <c r="F14" s="25">
        <v>0.12</v>
      </c>
      <c r="G14" s="22">
        <v>9.2499999999999999E-2</v>
      </c>
      <c r="H14" s="24">
        <f t="shared" ref="H14" si="19">(D14*(1+E14))-((D14*(1+E14))*G14)-(D14*12%)</f>
        <v>251.99999999999997</v>
      </c>
      <c r="I14" s="22">
        <v>0</v>
      </c>
      <c r="J14" s="22">
        <v>0.02</v>
      </c>
      <c r="K14" s="22">
        <v>5.0000000000000001E-3</v>
      </c>
      <c r="L14" s="22">
        <v>0.19</v>
      </c>
      <c r="M14" s="22">
        <v>0</v>
      </c>
      <c r="N14" s="22">
        <f t="shared" si="18"/>
        <v>0.15</v>
      </c>
      <c r="O14" s="24">
        <f t="shared" si="13"/>
        <v>464.51612903225811</v>
      </c>
      <c r="P14" s="24">
        <f t="shared" si="2"/>
        <v>2787.0967741935488</v>
      </c>
      <c r="Q14" s="24">
        <f t="shared" ref="Q14" si="20">C14*D14</f>
        <v>1920</v>
      </c>
      <c r="R14" s="24">
        <f t="shared" ref="R14" si="21">Q14*E14</f>
        <v>0</v>
      </c>
      <c r="S14" s="24">
        <f t="shared" ref="S14" si="22">(P14*0%)-(Q14*12%)</f>
        <v>-230.39999999999998</v>
      </c>
      <c r="T14" s="24">
        <f t="shared" ref="T14" si="23">(P14-(Q14+R14))*9.25%</f>
        <v>80.206451612903265</v>
      </c>
      <c r="U14" s="24">
        <f t="shared" ref="U14" si="24">P14*I14</f>
        <v>0</v>
      </c>
      <c r="V14" s="24">
        <f t="shared" ref="V14" si="25">P14*J14</f>
        <v>55.741935483870975</v>
      </c>
      <c r="W14" s="24">
        <f t="shared" ref="W14" si="26">P14*K14</f>
        <v>13.935483870967744</v>
      </c>
      <c r="X14" s="24">
        <f t="shared" ref="X14" si="27">P14*L14</f>
        <v>529.54838709677426</v>
      </c>
      <c r="Y14" s="24">
        <f t="shared" ref="Y14" si="28">P14*M14</f>
        <v>0</v>
      </c>
      <c r="Z14" s="11">
        <f t="shared" si="16"/>
        <v>418.06451612903265</v>
      </c>
      <c r="AA14" s="9">
        <f t="shared" si="17"/>
        <v>0.15000000000000013</v>
      </c>
    </row>
    <row r="15" spans="1:27" x14ac:dyDescent="0.25">
      <c r="P15" s="28">
        <f>SUM(P5:P14)</f>
        <v>117508.53574228995</v>
      </c>
      <c r="Q15" s="28">
        <f t="shared" ref="Q15:Z15" si="29">SUM(Q5:Q14)</f>
        <v>70850.740766310948</v>
      </c>
      <c r="R15" s="28">
        <f t="shared" si="29"/>
        <v>1803.5915477770366</v>
      </c>
      <c r="S15" s="28">
        <f t="shared" si="29"/>
        <v>-3644.4888919573154</v>
      </c>
      <c r="T15" s="28">
        <f t="shared" si="29"/>
        <v>4149.0138171086828</v>
      </c>
      <c r="U15" s="28">
        <f t="shared" si="29"/>
        <v>1474</v>
      </c>
      <c r="V15" s="28">
        <f t="shared" si="29"/>
        <v>2350.170714845799</v>
      </c>
      <c r="W15" s="28">
        <f t="shared" si="29"/>
        <v>587.54267871144975</v>
      </c>
      <c r="X15" s="28">
        <f t="shared" si="29"/>
        <v>22326.62179103509</v>
      </c>
      <c r="Y15" s="28">
        <f t="shared" si="29"/>
        <v>0</v>
      </c>
      <c r="Z15" s="28">
        <f t="shared" si="29"/>
        <v>17611.343318458261</v>
      </c>
      <c r="AA15" s="9">
        <f t="shared" si="17"/>
        <v>0.14987288546495048</v>
      </c>
    </row>
    <row r="16" spans="1:27" x14ac:dyDescent="0.25">
      <c r="P16" s="11"/>
      <c r="Q16" s="27">
        <f>Q15/$P$15</f>
        <v>0.60294122736492062</v>
      </c>
      <c r="R16" s="27">
        <f t="shared" ref="R16:Z16" si="30">R15/$P$15</f>
        <v>1.5348600307066416E-2</v>
      </c>
      <c r="S16" s="27">
        <f t="shared" si="30"/>
        <v>-3.1014673691025379E-2</v>
      </c>
      <c r="T16" s="27">
        <f t="shared" si="30"/>
        <v>3.5308190940341204E-2</v>
      </c>
      <c r="U16" s="27">
        <f t="shared" si="30"/>
        <v>1.2543769613746659E-2</v>
      </c>
      <c r="V16" s="27">
        <f t="shared" si="30"/>
        <v>0.02</v>
      </c>
      <c r="W16" s="27">
        <f t="shared" si="30"/>
        <v>5.0000000000000001E-3</v>
      </c>
      <c r="X16" s="27">
        <f t="shared" si="30"/>
        <v>0.18999999999999997</v>
      </c>
      <c r="Y16" s="27">
        <f t="shared" si="30"/>
        <v>0</v>
      </c>
      <c r="Z16" s="27">
        <f t="shared" si="30"/>
        <v>0.14987288546495048</v>
      </c>
      <c r="AA16" s="29" t="e">
        <f t="shared" si="17"/>
        <v>#DIV/0!</v>
      </c>
    </row>
    <row r="17" spans="15:16" x14ac:dyDescent="0.25">
      <c r="P17" s="11">
        <v>92724.917294825151</v>
      </c>
    </row>
    <row r="18" spans="15:16" x14ac:dyDescent="0.25">
      <c r="P18" s="38">
        <f>P15/P17</f>
        <v>1.2672811059907836</v>
      </c>
    </row>
    <row r="19" spans="15:16" x14ac:dyDescent="0.25">
      <c r="O19" s="11"/>
    </row>
    <row r="20" spans="15:16" x14ac:dyDescent="0.25">
      <c r="O20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CC6E-FB9C-45E0-975D-0C35ADAE6BB0}">
  <dimension ref="F2:P18"/>
  <sheetViews>
    <sheetView showGridLines="0" workbookViewId="0">
      <selection activeCell="F4" sqref="F4"/>
    </sheetView>
  </sheetViews>
  <sheetFormatPr defaultRowHeight="15" x14ac:dyDescent="0.25"/>
  <cols>
    <col min="6" max="6" width="9.28515625" style="10" bestFit="1" customWidth="1"/>
    <col min="7" max="7" width="12.7109375" bestFit="1" customWidth="1"/>
    <col min="8" max="8" width="7.140625" style="10" bestFit="1" customWidth="1"/>
    <col min="9" max="9" width="11.7109375" bestFit="1" customWidth="1"/>
    <col min="12" max="12" width="9.28515625" bestFit="1" customWidth="1"/>
    <col min="13" max="13" width="14.42578125" bestFit="1" customWidth="1"/>
    <col min="14" max="14" width="9" customWidth="1"/>
    <col min="15" max="15" width="12.5703125" bestFit="1" customWidth="1"/>
    <col min="16" max="16" width="12.7109375" bestFit="1" customWidth="1"/>
  </cols>
  <sheetData>
    <row r="2" spans="6:16" s="10" customFormat="1" x14ac:dyDescent="0.25">
      <c r="F2" s="34" t="s">
        <v>53</v>
      </c>
      <c r="G2" s="34" t="s">
        <v>54</v>
      </c>
      <c r="H2" s="34" t="s">
        <v>56</v>
      </c>
      <c r="I2" s="34" t="s">
        <v>55</v>
      </c>
      <c r="L2" s="34" t="s">
        <v>53</v>
      </c>
      <c r="M2" s="34" t="s">
        <v>54</v>
      </c>
      <c r="N2" s="34" t="s">
        <v>56</v>
      </c>
      <c r="O2" s="34" t="s">
        <v>55</v>
      </c>
      <c r="P2" s="34" t="s">
        <v>69</v>
      </c>
    </row>
    <row r="3" spans="6:16" x14ac:dyDescent="0.25">
      <c r="F3" s="16">
        <v>19297</v>
      </c>
      <c r="G3" s="40">
        <v>80367.64</v>
      </c>
      <c r="H3" s="41">
        <v>0.1076</v>
      </c>
      <c r="I3" s="40">
        <f>G3*H3</f>
        <v>8647.5580640000007</v>
      </c>
      <c r="L3" s="16">
        <v>319879</v>
      </c>
      <c r="M3" s="40">
        <v>80367.64</v>
      </c>
      <c r="N3" s="41">
        <v>0.1076</v>
      </c>
      <c r="O3" s="40">
        <f>M3*N3</f>
        <v>8647.5580640000007</v>
      </c>
      <c r="P3" s="40">
        <f>ROUND(M3*$O$14,2)</f>
        <v>19790.47</v>
      </c>
    </row>
    <row r="4" spans="6:16" x14ac:dyDescent="0.25">
      <c r="F4" s="16">
        <v>19284</v>
      </c>
      <c r="G4" s="40">
        <v>29834.43</v>
      </c>
      <c r="H4" s="41">
        <v>0.129</v>
      </c>
      <c r="I4" s="40">
        <f t="shared" ref="I4:I11" si="0">G4*H4</f>
        <v>3848.64147</v>
      </c>
      <c r="L4" s="16">
        <v>319876</v>
      </c>
      <c r="M4" s="40">
        <v>29834.43</v>
      </c>
      <c r="N4" s="41">
        <v>0.129</v>
      </c>
      <c r="O4" s="40">
        <f t="shared" ref="O4:O11" si="1">M4*N4</f>
        <v>3848.64147</v>
      </c>
      <c r="P4" s="40">
        <f t="shared" ref="P4:P11" si="2">ROUND(M4*$O$14,2)</f>
        <v>7346.71</v>
      </c>
    </row>
    <row r="5" spans="6:16" x14ac:dyDescent="0.25">
      <c r="F5" s="16">
        <v>19278</v>
      </c>
      <c r="G5" s="40">
        <v>19505.939999999999</v>
      </c>
      <c r="H5" s="41">
        <v>0.1081</v>
      </c>
      <c r="I5" s="40">
        <f t="shared" si="0"/>
        <v>2108.592114</v>
      </c>
      <c r="L5" s="16">
        <v>319874</v>
      </c>
      <c r="M5" s="40">
        <v>19505.939999999999</v>
      </c>
      <c r="N5" s="41">
        <v>0.1081</v>
      </c>
      <c r="O5" s="40">
        <f t="shared" si="1"/>
        <v>2108.592114</v>
      </c>
      <c r="P5" s="40">
        <f t="shared" si="2"/>
        <v>4803.32</v>
      </c>
    </row>
    <row r="6" spans="6:16" x14ac:dyDescent="0.25">
      <c r="F6" s="16">
        <v>19278</v>
      </c>
      <c r="G6" s="40">
        <v>19505.939999999999</v>
      </c>
      <c r="H6" s="41">
        <v>0.1081</v>
      </c>
      <c r="I6" s="40">
        <f t="shared" si="0"/>
        <v>2108.592114</v>
      </c>
      <c r="L6" s="16">
        <v>319860</v>
      </c>
      <c r="M6" s="40">
        <v>19505.939999999999</v>
      </c>
      <c r="N6" s="41">
        <v>0.1081</v>
      </c>
      <c r="O6" s="40">
        <f t="shared" si="1"/>
        <v>2108.592114</v>
      </c>
      <c r="P6" s="40">
        <f t="shared" si="2"/>
        <v>4803.32</v>
      </c>
    </row>
    <row r="7" spans="6:16" x14ac:dyDescent="0.25">
      <c r="F7" s="16">
        <v>19293</v>
      </c>
      <c r="G7" s="40">
        <v>14477.07</v>
      </c>
      <c r="H7" s="41">
        <v>0.1075</v>
      </c>
      <c r="I7" s="40">
        <f t="shared" si="0"/>
        <v>1556.2850249999999</v>
      </c>
      <c r="L7" s="16">
        <v>319867</v>
      </c>
      <c r="M7" s="40">
        <v>14477.07</v>
      </c>
      <c r="N7" s="41">
        <v>0.1075</v>
      </c>
      <c r="O7" s="40">
        <f t="shared" si="1"/>
        <v>1556.2850249999999</v>
      </c>
      <c r="P7" s="40">
        <f t="shared" si="2"/>
        <v>3564.97</v>
      </c>
    </row>
    <row r="8" spans="6:16" x14ac:dyDescent="0.25">
      <c r="F8" s="16">
        <v>19270</v>
      </c>
      <c r="G8" s="40">
        <v>101744.07</v>
      </c>
      <c r="H8" s="41">
        <v>0.1043</v>
      </c>
      <c r="I8" s="40">
        <f t="shared" si="0"/>
        <v>10611.906501000001</v>
      </c>
      <c r="L8" s="16">
        <v>319881</v>
      </c>
      <c r="M8" s="40">
        <v>101744.07</v>
      </c>
      <c r="N8" s="41">
        <v>0.1043</v>
      </c>
      <c r="O8" s="40">
        <f t="shared" si="1"/>
        <v>10611.906501000001</v>
      </c>
      <c r="P8" s="40">
        <f t="shared" si="2"/>
        <v>25054.41</v>
      </c>
    </row>
    <row r="9" spans="6:16" x14ac:dyDescent="0.25">
      <c r="F9" s="16">
        <v>19273</v>
      </c>
      <c r="G9" s="40"/>
      <c r="H9" s="41">
        <v>0.1072</v>
      </c>
      <c r="I9" s="40">
        <f t="shared" si="0"/>
        <v>0</v>
      </c>
      <c r="L9" s="16">
        <v>319883</v>
      </c>
      <c r="M9" s="40">
        <v>183637.38</v>
      </c>
      <c r="N9" s="41">
        <v>0.1072</v>
      </c>
      <c r="O9" s="40">
        <f t="shared" si="1"/>
        <v>19685.927136000002</v>
      </c>
      <c r="P9" s="40">
        <f t="shared" si="2"/>
        <v>45220.58</v>
      </c>
    </row>
    <row r="10" spans="6:16" x14ac:dyDescent="0.25">
      <c r="F10" s="16">
        <v>19290</v>
      </c>
      <c r="G10" s="40">
        <v>22138.57</v>
      </c>
      <c r="H10" s="41">
        <v>0.13320000000000001</v>
      </c>
      <c r="I10" s="40">
        <f t="shared" si="0"/>
        <v>2948.8575240000005</v>
      </c>
      <c r="L10" s="16">
        <v>319873</v>
      </c>
      <c r="M10" s="40">
        <v>22138.57</v>
      </c>
      <c r="N10" s="41">
        <v>0.13320000000000001</v>
      </c>
      <c r="O10" s="40">
        <f t="shared" si="1"/>
        <v>2948.8575240000005</v>
      </c>
      <c r="P10" s="40">
        <f t="shared" si="2"/>
        <v>5451.61</v>
      </c>
    </row>
    <row r="11" spans="6:16" x14ac:dyDescent="0.25">
      <c r="F11" s="16">
        <v>19292</v>
      </c>
      <c r="G11" s="40">
        <v>16100</v>
      </c>
      <c r="H11" s="41">
        <v>0.1066</v>
      </c>
      <c r="I11" s="40">
        <f t="shared" si="0"/>
        <v>1716.26</v>
      </c>
      <c r="L11" s="16">
        <v>319857</v>
      </c>
      <c r="M11" s="40">
        <v>16100</v>
      </c>
      <c r="N11" s="41">
        <v>0.1066</v>
      </c>
      <c r="O11" s="40">
        <f t="shared" si="1"/>
        <v>1716.26</v>
      </c>
      <c r="P11" s="40">
        <f t="shared" si="2"/>
        <v>3964.61</v>
      </c>
    </row>
    <row r="12" spans="6:16" x14ac:dyDescent="0.25">
      <c r="F12" s="29" t="s">
        <v>57</v>
      </c>
      <c r="G12" s="42">
        <f>SUM(G3:G11)</f>
        <v>303673.66000000003</v>
      </c>
      <c r="H12" s="39">
        <f>I12/G12</f>
        <v>0.1104695508066126</v>
      </c>
      <c r="I12" s="42">
        <f>SUM(I3:I11)</f>
        <v>33546.692812000001</v>
      </c>
      <c r="L12" s="29" t="s">
        <v>57</v>
      </c>
      <c r="M12" s="42">
        <f>SUM(M3:M11)</f>
        <v>487311.04000000004</v>
      </c>
      <c r="N12" s="39">
        <f>O12/M12</f>
        <v>0.10923745940169959</v>
      </c>
      <c r="O12" s="42">
        <f>SUM(O3:O11)</f>
        <v>53232.619948000007</v>
      </c>
      <c r="P12" s="42">
        <f>SUM(P3:P11)</f>
        <v>120000</v>
      </c>
    </row>
    <row r="14" spans="6:16" x14ac:dyDescent="0.25">
      <c r="M14" s="53">
        <v>120000</v>
      </c>
      <c r="N14" s="54">
        <f>M14*L14</f>
        <v>0</v>
      </c>
      <c r="O14" s="56">
        <f>M14/$M$12</f>
        <v>0.24624929490618558</v>
      </c>
    </row>
    <row r="15" spans="6:16" x14ac:dyDescent="0.25">
      <c r="L15">
        <v>28</v>
      </c>
      <c r="M15" s="13">
        <f>($M$12-$M$14)/3</f>
        <v>122437.01333333335</v>
      </c>
      <c r="N15" s="54">
        <f t="shared" ref="N15:N17" si="3">M15*L15</f>
        <v>3428236.373333334</v>
      </c>
      <c r="O15" s="56">
        <f t="shared" ref="O15:O17" si="4">M15/$M$12</f>
        <v>0.25125023503127147</v>
      </c>
    </row>
    <row r="16" spans="6:16" x14ac:dyDescent="0.25">
      <c r="L16">
        <v>56</v>
      </c>
      <c r="M16" s="13">
        <f t="shared" ref="M16:M17" si="5">($M$12-$M$14)/3</f>
        <v>122437.01333333335</v>
      </c>
      <c r="N16" s="54">
        <f t="shared" si="3"/>
        <v>6856472.746666668</v>
      </c>
      <c r="O16" s="56">
        <f t="shared" si="4"/>
        <v>0.25125023503127147</v>
      </c>
    </row>
    <row r="17" spans="12:15" x14ac:dyDescent="0.25">
      <c r="L17">
        <v>84</v>
      </c>
      <c r="M17" s="13">
        <f t="shared" si="5"/>
        <v>122437.01333333335</v>
      </c>
      <c r="N17" s="54">
        <f t="shared" si="3"/>
        <v>10284709.120000001</v>
      </c>
      <c r="O17" s="56">
        <f t="shared" si="4"/>
        <v>0.25125023503127147</v>
      </c>
    </row>
    <row r="18" spans="12:15" x14ac:dyDescent="0.25">
      <c r="N18" s="55">
        <f>SUM(N14:N17)/M12</f>
        <v>42.21003948525361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H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052F-36B3-4445-9083-22933CEE8EE8}">
  <dimension ref="B2:AC89"/>
  <sheetViews>
    <sheetView showGridLines="0" topLeftCell="A52" zoomScale="80" zoomScaleNormal="80" workbookViewId="0">
      <selection activeCell="B80" sqref="B80:AB90"/>
    </sheetView>
  </sheetViews>
  <sheetFormatPr defaultRowHeight="15" x14ac:dyDescent="0.25"/>
  <cols>
    <col min="2" max="2" width="6.5703125" bestFit="1" customWidth="1"/>
    <col min="3" max="3" width="52" bestFit="1" customWidth="1"/>
    <col min="4" max="4" width="5.140625" bestFit="1" customWidth="1"/>
    <col min="5" max="5" width="12.140625" bestFit="1" customWidth="1"/>
    <col min="6" max="6" width="6.5703125" bestFit="1" customWidth="1"/>
    <col min="7" max="7" width="5.7109375" bestFit="1" customWidth="1"/>
    <col min="8" max="8" width="6.5703125" bestFit="1" customWidth="1"/>
    <col min="9" max="9" width="13" bestFit="1" customWidth="1"/>
    <col min="10" max="10" width="6.5703125" bestFit="1" customWidth="1"/>
    <col min="11" max="11" width="9.85546875" bestFit="1" customWidth="1"/>
    <col min="12" max="12" width="6.5703125" bestFit="1" customWidth="1"/>
    <col min="13" max="13" width="10.28515625" bestFit="1" customWidth="1"/>
    <col min="14" max="14" width="8.7109375" bestFit="1" customWidth="1"/>
    <col min="15" max="15" width="12.7109375" bestFit="1" customWidth="1"/>
    <col min="16" max="16" width="12.140625" bestFit="1" customWidth="1"/>
    <col min="17" max="17" width="13.7109375" bestFit="1" customWidth="1"/>
    <col min="18" max="18" width="13.140625" bestFit="1" customWidth="1"/>
    <col min="19" max="19" width="11" bestFit="1" customWidth="1"/>
    <col min="20" max="20" width="11.7109375" bestFit="1" customWidth="1"/>
    <col min="21" max="21" width="12.140625" bestFit="1" customWidth="1"/>
    <col min="22" max="22" width="7.28515625" bestFit="1" customWidth="1"/>
    <col min="23" max="24" width="11" bestFit="1" customWidth="1"/>
    <col min="25" max="25" width="14.28515625" bestFit="1" customWidth="1"/>
    <col min="26" max="26" width="8.7109375" bestFit="1" customWidth="1"/>
    <col min="27" max="27" width="13.140625" bestFit="1" customWidth="1"/>
    <col min="28" max="28" width="8.42578125" bestFit="1" customWidth="1"/>
  </cols>
  <sheetData>
    <row r="2" spans="2:29" x14ac:dyDescent="0.25">
      <c r="C2" s="10"/>
      <c r="D2" s="10"/>
    </row>
    <row r="3" spans="2:29" x14ac:dyDescent="0.25">
      <c r="C3" s="19"/>
      <c r="D3" s="19"/>
    </row>
    <row r="4" spans="2:29" s="10" customFormat="1" x14ac:dyDescent="0.25">
      <c r="B4" s="34" t="s">
        <v>34</v>
      </c>
      <c r="C4" s="34" t="s">
        <v>35</v>
      </c>
      <c r="D4" s="33" t="s">
        <v>19</v>
      </c>
      <c r="E4" s="34" t="s">
        <v>25</v>
      </c>
      <c r="F4" s="34" t="s">
        <v>8</v>
      </c>
      <c r="G4" s="34" t="s">
        <v>9</v>
      </c>
      <c r="H4" s="34" t="s">
        <v>26</v>
      </c>
      <c r="I4" s="34" t="s">
        <v>27</v>
      </c>
      <c r="J4" s="34" t="s">
        <v>0</v>
      </c>
      <c r="K4" s="34" t="s">
        <v>31</v>
      </c>
      <c r="L4" s="34" t="s">
        <v>32</v>
      </c>
      <c r="M4" s="35" t="s">
        <v>33</v>
      </c>
      <c r="N4" s="34" t="s">
        <v>28</v>
      </c>
      <c r="O4" s="35" t="s">
        <v>52</v>
      </c>
      <c r="P4" s="34" t="s">
        <v>29</v>
      </c>
      <c r="Q4" s="34" t="s">
        <v>30</v>
      </c>
      <c r="R4" s="34" t="s">
        <v>36</v>
      </c>
      <c r="S4" s="34" t="s">
        <v>8</v>
      </c>
      <c r="T4" s="34" t="s">
        <v>9</v>
      </c>
      <c r="U4" s="34" t="s">
        <v>26</v>
      </c>
      <c r="V4" s="34" t="s">
        <v>0</v>
      </c>
      <c r="W4" s="34" t="s">
        <v>31</v>
      </c>
      <c r="X4" s="34" t="s">
        <v>32</v>
      </c>
      <c r="Y4" s="34" t="s">
        <v>33</v>
      </c>
      <c r="Z4" s="34" t="s">
        <v>28</v>
      </c>
      <c r="AA4" s="36" t="s">
        <v>37</v>
      </c>
    </row>
    <row r="5" spans="2:29" x14ac:dyDescent="0.25">
      <c r="B5" s="16">
        <v>29138</v>
      </c>
      <c r="C5" s="31" t="s">
        <v>50</v>
      </c>
      <c r="D5" s="23">
        <v>75</v>
      </c>
      <c r="E5" s="24">
        <v>956.92</v>
      </c>
      <c r="F5" s="25">
        <v>0</v>
      </c>
      <c r="G5" s="25">
        <v>0</v>
      </c>
      <c r="H5" s="22">
        <v>9.2499999999999999E-2</v>
      </c>
      <c r="I5" s="58">
        <f>((E5*(1+F5))-((E5*(1+F5))*H5)-(E5*G5))+(Y5/D5)</f>
        <v>868.4049</v>
      </c>
      <c r="J5" s="22">
        <v>0</v>
      </c>
      <c r="K5" s="22">
        <v>0.02</v>
      </c>
      <c r="L5" s="22">
        <v>5.0000000000000001E-3</v>
      </c>
      <c r="M5" s="22">
        <f>Y5/Q5</f>
        <v>0</v>
      </c>
      <c r="N5" s="22">
        <v>0</v>
      </c>
      <c r="O5" s="22">
        <v>0.35099999999999998</v>
      </c>
      <c r="P5" s="24">
        <f>I5/(1-H5-0%-J5-K5-L5-N5-O5)</f>
        <v>1633.8756349952964</v>
      </c>
      <c r="Q5" s="24">
        <f>D5*P5</f>
        <v>122540.67262464724</v>
      </c>
      <c r="R5" s="24">
        <f>D5*E5</f>
        <v>71769</v>
      </c>
      <c r="S5" s="24">
        <f>R5*F5</f>
        <v>0</v>
      </c>
      <c r="T5" s="24">
        <f>(Q5*0%)</f>
        <v>0</v>
      </c>
      <c r="U5" s="24">
        <f>(Q5-(R5+S5))*9.25%</f>
        <v>4696.3797177798697</v>
      </c>
      <c r="V5" s="24">
        <f>(Q5*J5)</f>
        <v>0</v>
      </c>
      <c r="W5" s="24">
        <f>Q5*K5</f>
        <v>2450.8134524929446</v>
      </c>
      <c r="X5" s="24">
        <f>Q5*L5</f>
        <v>612.70336312323616</v>
      </c>
      <c r="Y5" s="24">
        <f t="shared" ref="Y5:Y11" si="0">((R5+S5)/($R$12+$S$12))*$Y$12</f>
        <v>0</v>
      </c>
      <c r="Z5" s="24">
        <f>Q5*N5</f>
        <v>0</v>
      </c>
      <c r="AA5" s="11">
        <f>Q5-SUM(R5:Z5)</f>
        <v>43011.776091251188</v>
      </c>
      <c r="AB5" s="9">
        <f t="shared" ref="AB5:AB12" si="1">IFERROR(AA5/Q5,0)</f>
        <v>0.35100000000000003</v>
      </c>
    </row>
    <row r="6" spans="2:29" x14ac:dyDescent="0.25">
      <c r="B6" s="16">
        <v>29529</v>
      </c>
      <c r="C6" s="31" t="s">
        <v>73</v>
      </c>
      <c r="D6" s="23">
        <v>1</v>
      </c>
      <c r="E6" s="24">
        <v>8969.48</v>
      </c>
      <c r="F6" s="22">
        <v>9.7500000000000003E-2</v>
      </c>
      <c r="G6" s="25">
        <v>0.12</v>
      </c>
      <c r="H6" s="22">
        <v>9.2499999999999999E-2</v>
      </c>
      <c r="I6" s="24">
        <f>(E6*(1+F6))-((E6*(1+F6))*H6)-(E6*12%)+(Y6/D6)</f>
        <v>7857.0963022499991</v>
      </c>
      <c r="J6" s="22">
        <v>0</v>
      </c>
      <c r="K6" s="22">
        <v>0.02</v>
      </c>
      <c r="L6" s="22">
        <v>5.0000000000000001E-3</v>
      </c>
      <c r="M6" s="22">
        <f t="shared" ref="M6:M11" si="2">Y6/Q6</f>
        <v>0</v>
      </c>
      <c r="N6" s="22">
        <v>0</v>
      </c>
      <c r="O6" s="22">
        <v>0.15</v>
      </c>
      <c r="P6" s="24">
        <f t="shared" ref="P6:P11" si="3">I6/(1-H6-0%-J6-K6-L6-N6-O6)</f>
        <v>10726.411334129692</v>
      </c>
      <c r="Q6" s="24">
        <f t="shared" ref="Q6:Q11" si="4">D6*P6</f>
        <v>10726.411334129692</v>
      </c>
      <c r="R6" s="24">
        <f t="shared" ref="R6:R11" si="5">D6*E6</f>
        <v>8969.48</v>
      </c>
      <c r="S6" s="24">
        <f t="shared" ref="S6:S11" si="6">R6*F6</f>
        <v>874.52430000000004</v>
      </c>
      <c r="T6" s="24">
        <f>(Q6*0%)-(R6*12%)</f>
        <v>-1076.3375999999998</v>
      </c>
      <c r="U6" s="24">
        <f t="shared" ref="U6:U11" si="7">(Q6-(R6+S6))*9.25%</f>
        <v>81.622650656996512</v>
      </c>
      <c r="V6" s="24">
        <f t="shared" ref="V6:V11" si="8">Q6*J6</f>
        <v>0</v>
      </c>
      <c r="W6" s="24">
        <f t="shared" ref="W6:W11" si="9">Q6*K6</f>
        <v>214.52822668259387</v>
      </c>
      <c r="X6" s="24">
        <f t="shared" ref="X6:X11" si="10">Q6*L6</f>
        <v>53.632056670648467</v>
      </c>
      <c r="Y6" s="24">
        <f t="shared" si="0"/>
        <v>0</v>
      </c>
      <c r="Z6" s="24">
        <f t="shared" ref="Z6:Z11" si="11">Q6*N6</f>
        <v>0</v>
      </c>
      <c r="AA6" s="11">
        <f t="shared" ref="AA6:AA11" si="12">Q6-SUM(R6:Z6)</f>
        <v>1608.9617001194511</v>
      </c>
      <c r="AB6" s="9">
        <f t="shared" si="1"/>
        <v>0.14999999999999974</v>
      </c>
    </row>
    <row r="7" spans="2:29" x14ac:dyDescent="0.25">
      <c r="B7" s="16">
        <v>27193</v>
      </c>
      <c r="C7" s="32" t="s">
        <v>74</v>
      </c>
      <c r="D7" s="23">
        <v>1</v>
      </c>
      <c r="E7" s="24">
        <v>534</v>
      </c>
      <c r="F7" s="25">
        <v>0</v>
      </c>
      <c r="G7" s="25">
        <v>0.12</v>
      </c>
      <c r="H7" s="22">
        <v>9.2499999999999999E-2</v>
      </c>
      <c r="I7" s="24">
        <f t="shared" ref="I7:I9" si="13">(E7*(1+F7))-((E7*(1+F7))*H7)-(E7*12%)+(Y7/D7)</f>
        <v>420.52500000000003</v>
      </c>
      <c r="J7" s="22">
        <v>0</v>
      </c>
      <c r="K7" s="22">
        <v>0.02</v>
      </c>
      <c r="L7" s="22">
        <v>5.0000000000000001E-3</v>
      </c>
      <c r="M7" s="22">
        <f t="shared" si="2"/>
        <v>0</v>
      </c>
      <c r="N7" s="22">
        <v>0</v>
      </c>
      <c r="O7" s="22">
        <v>0.15</v>
      </c>
      <c r="P7" s="24">
        <f t="shared" si="3"/>
        <v>574.09556313993187</v>
      </c>
      <c r="Q7" s="24">
        <f t="shared" si="4"/>
        <v>574.09556313993187</v>
      </c>
      <c r="R7" s="24">
        <f t="shared" si="5"/>
        <v>534</v>
      </c>
      <c r="S7" s="24">
        <f t="shared" si="6"/>
        <v>0</v>
      </c>
      <c r="T7" s="24">
        <f t="shared" ref="T7:T11" si="14">(Q7*0%)-(R7*12%)</f>
        <v>-64.08</v>
      </c>
      <c r="U7" s="24">
        <f t="shared" si="7"/>
        <v>3.7088395904436977</v>
      </c>
      <c r="V7" s="24">
        <f t="shared" si="8"/>
        <v>0</v>
      </c>
      <c r="W7" s="24">
        <f t="shared" si="9"/>
        <v>11.481911262798638</v>
      </c>
      <c r="X7" s="24">
        <f t="shared" si="10"/>
        <v>2.8704778156996595</v>
      </c>
      <c r="Y7" s="24">
        <f t="shared" si="0"/>
        <v>0</v>
      </c>
      <c r="Z7" s="24">
        <f t="shared" si="11"/>
        <v>0</v>
      </c>
      <c r="AA7" s="11">
        <f t="shared" si="12"/>
        <v>86.114334470989888</v>
      </c>
      <c r="AB7" s="9">
        <f t="shared" si="1"/>
        <v>0.15000000000000019</v>
      </c>
    </row>
    <row r="8" spans="2:29" x14ac:dyDescent="0.25">
      <c r="B8" s="16">
        <v>32334</v>
      </c>
      <c r="C8" s="32" t="s">
        <v>76</v>
      </c>
      <c r="D8" s="23">
        <v>160</v>
      </c>
      <c r="E8" s="24">
        <v>4.6906078000000004</v>
      </c>
      <c r="F8" s="25">
        <v>0</v>
      </c>
      <c r="G8" s="25">
        <v>0.12</v>
      </c>
      <c r="H8" s="22">
        <v>9.2499999999999999E-2</v>
      </c>
      <c r="I8" s="24">
        <f t="shared" si="13"/>
        <v>3.6938536425000006</v>
      </c>
      <c r="J8" s="22">
        <v>0</v>
      </c>
      <c r="K8" s="22">
        <v>0.02</v>
      </c>
      <c r="L8" s="22">
        <v>5.0000000000000001E-3</v>
      </c>
      <c r="M8" s="22">
        <f t="shared" si="2"/>
        <v>0</v>
      </c>
      <c r="N8" s="22">
        <v>0</v>
      </c>
      <c r="O8" s="22">
        <v>0.15</v>
      </c>
      <c r="P8" s="24">
        <f t="shared" si="3"/>
        <v>5.0428036075085334</v>
      </c>
      <c r="Q8" s="24">
        <f t="shared" si="4"/>
        <v>806.84857720136529</v>
      </c>
      <c r="R8" s="24">
        <f t="shared" si="5"/>
        <v>750.49724800000013</v>
      </c>
      <c r="S8" s="24">
        <f t="shared" si="6"/>
        <v>0</v>
      </c>
      <c r="T8" s="24">
        <f t="shared" si="14"/>
        <v>-90.059669760000006</v>
      </c>
      <c r="U8" s="24">
        <f t="shared" si="7"/>
        <v>5.2124979511262772</v>
      </c>
      <c r="V8" s="24">
        <f t="shared" si="8"/>
        <v>0</v>
      </c>
      <c r="W8" s="24">
        <f t="shared" si="9"/>
        <v>16.136971544027308</v>
      </c>
      <c r="X8" s="24">
        <f t="shared" si="10"/>
        <v>4.0342428860068269</v>
      </c>
      <c r="Y8" s="24">
        <f t="shared" si="0"/>
        <v>0</v>
      </c>
      <c r="Z8" s="24">
        <f t="shared" si="11"/>
        <v>0</v>
      </c>
      <c r="AA8" s="11">
        <f t="shared" si="12"/>
        <v>121.02728658020476</v>
      </c>
      <c r="AB8" s="9">
        <f t="shared" si="1"/>
        <v>0.14999999999999997</v>
      </c>
    </row>
    <row r="9" spans="2:29" x14ac:dyDescent="0.25">
      <c r="B9" s="16">
        <v>32333</v>
      </c>
      <c r="C9" s="31" t="s">
        <v>75</v>
      </c>
      <c r="D9" s="23">
        <v>160</v>
      </c>
      <c r="E9" s="24">
        <v>4.6906078000000004</v>
      </c>
      <c r="F9" s="25">
        <v>0</v>
      </c>
      <c r="G9" s="25">
        <v>0.12</v>
      </c>
      <c r="H9" s="22">
        <v>9.2499999999999999E-2</v>
      </c>
      <c r="I9" s="24">
        <f t="shared" si="13"/>
        <v>3.6938536425000006</v>
      </c>
      <c r="J9" s="22">
        <v>0</v>
      </c>
      <c r="K9" s="22">
        <v>0.02</v>
      </c>
      <c r="L9" s="22">
        <v>5.0000000000000001E-3</v>
      </c>
      <c r="M9" s="22">
        <f t="shared" si="2"/>
        <v>0</v>
      </c>
      <c r="N9" s="22">
        <v>0</v>
      </c>
      <c r="O9" s="22">
        <v>0.15</v>
      </c>
      <c r="P9" s="24">
        <f t="shared" si="3"/>
        <v>5.0428036075085334</v>
      </c>
      <c r="Q9" s="24">
        <f t="shared" si="4"/>
        <v>806.84857720136529</v>
      </c>
      <c r="R9" s="24">
        <f t="shared" si="5"/>
        <v>750.49724800000013</v>
      </c>
      <c r="S9" s="24">
        <f t="shared" si="6"/>
        <v>0</v>
      </c>
      <c r="T9" s="24">
        <f t="shared" si="14"/>
        <v>-90.059669760000006</v>
      </c>
      <c r="U9" s="24">
        <f t="shared" si="7"/>
        <v>5.2124979511262772</v>
      </c>
      <c r="V9" s="24">
        <f t="shared" si="8"/>
        <v>0</v>
      </c>
      <c r="W9" s="24">
        <f t="shared" si="9"/>
        <v>16.136971544027308</v>
      </c>
      <c r="X9" s="24">
        <f t="shared" si="10"/>
        <v>4.0342428860068269</v>
      </c>
      <c r="Y9" s="24">
        <f t="shared" si="0"/>
        <v>0</v>
      </c>
      <c r="Z9" s="24">
        <f t="shared" si="11"/>
        <v>0</v>
      </c>
      <c r="AA9" s="11">
        <f t="shared" si="12"/>
        <v>121.02728658020476</v>
      </c>
      <c r="AB9" s="9">
        <f t="shared" si="1"/>
        <v>0.14999999999999997</v>
      </c>
    </row>
    <row r="10" spans="2:29" x14ac:dyDescent="0.25">
      <c r="B10" s="16">
        <v>32066</v>
      </c>
      <c r="C10" s="31" t="s">
        <v>77</v>
      </c>
      <c r="D10" s="23">
        <v>1</v>
      </c>
      <c r="E10" s="24">
        <v>7.65</v>
      </c>
      <c r="F10" s="25">
        <v>3.2500000000000001E-2</v>
      </c>
      <c r="G10" s="25">
        <v>0.12</v>
      </c>
      <c r="H10" s="22">
        <v>9.2499999999999999E-2</v>
      </c>
      <c r="I10" s="24">
        <f t="shared" ref="I10" si="15">(E10*(1+F10))-((E10*(1+F10))*H10)-(E10*12%)+(Y10/D10)</f>
        <v>6.2500021874999998</v>
      </c>
      <c r="J10" s="22">
        <v>0</v>
      </c>
      <c r="K10" s="22">
        <v>0.02</v>
      </c>
      <c r="L10" s="22">
        <v>5.0000000000000001E-3</v>
      </c>
      <c r="M10" s="22">
        <f t="shared" ref="M10" si="16">Y10/Q10</f>
        <v>0</v>
      </c>
      <c r="N10" s="22">
        <v>0</v>
      </c>
      <c r="O10" s="22">
        <v>0.15</v>
      </c>
      <c r="P10" s="24">
        <f t="shared" ref="P10" si="17">I10/(1-H10-0%-J10-K10-L10-N10-O10)</f>
        <v>8.5324261945392497</v>
      </c>
      <c r="Q10" s="24">
        <f t="shared" ref="Q10" si="18">D10*P10</f>
        <v>8.5324261945392497</v>
      </c>
      <c r="R10" s="24">
        <f t="shared" ref="R10" si="19">D10*E10</f>
        <v>7.65</v>
      </c>
      <c r="S10" s="24">
        <f t="shared" ref="S10" si="20">R10*F10</f>
        <v>0.24862500000000001</v>
      </c>
      <c r="T10" s="24">
        <f t="shared" ref="T10" si="21">(Q10*0%)-(R10*12%)</f>
        <v>-0.91800000000000004</v>
      </c>
      <c r="U10" s="24">
        <f t="shared" ref="U10" si="22">(Q10-(R10+S10))*9.25%</f>
        <v>5.8626610494880591E-2</v>
      </c>
      <c r="V10" s="24">
        <f t="shared" ref="V10" si="23">Q10*J10</f>
        <v>0</v>
      </c>
      <c r="W10" s="24">
        <f t="shared" ref="W10" si="24">Q10*K10</f>
        <v>0.170648523890785</v>
      </c>
      <c r="X10" s="24">
        <f t="shared" ref="X10" si="25">Q10*L10</f>
        <v>4.2662130972696249E-2</v>
      </c>
      <c r="Y10" s="24">
        <f t="shared" si="0"/>
        <v>0</v>
      </c>
      <c r="Z10" s="24">
        <f t="shared" ref="Z10" si="26">Q10*N10</f>
        <v>0</v>
      </c>
      <c r="AA10" s="11">
        <f t="shared" ref="AA10" si="27">Q10-SUM(R10:Z10)</f>
        <v>1.2798639291808875</v>
      </c>
      <c r="AB10" s="9"/>
    </row>
    <row r="11" spans="2:29" x14ac:dyDescent="0.25">
      <c r="B11" s="16">
        <v>21867</v>
      </c>
      <c r="C11" s="31" t="s">
        <v>78</v>
      </c>
      <c r="D11" s="23">
        <v>19</v>
      </c>
      <c r="E11" s="24">
        <v>130</v>
      </c>
      <c r="F11" s="25">
        <v>0</v>
      </c>
      <c r="G11" s="25">
        <v>0.12</v>
      </c>
      <c r="H11" s="22">
        <v>9.2499999999999999E-2</v>
      </c>
      <c r="I11" s="24">
        <f>IFERROR((E11*(1+F11))-((E11*(1+F11))*H11)-(E11*12%)+(Y11/D11),0)</f>
        <v>102.375</v>
      </c>
      <c r="J11" s="22">
        <v>0</v>
      </c>
      <c r="K11" s="22">
        <v>0.02</v>
      </c>
      <c r="L11" s="22">
        <v>5.0000000000000001E-3</v>
      </c>
      <c r="M11" s="22">
        <f t="shared" si="2"/>
        <v>0</v>
      </c>
      <c r="N11" s="22">
        <v>0</v>
      </c>
      <c r="O11" s="22">
        <v>0.15</v>
      </c>
      <c r="P11" s="24">
        <f t="shared" si="3"/>
        <v>139.76109215017067</v>
      </c>
      <c r="Q11" s="24">
        <f t="shared" si="4"/>
        <v>2655.4607508532426</v>
      </c>
      <c r="R11" s="24">
        <f t="shared" si="5"/>
        <v>2470</v>
      </c>
      <c r="S11" s="24">
        <f t="shared" si="6"/>
        <v>0</v>
      </c>
      <c r="T11" s="24">
        <f t="shared" si="14"/>
        <v>-296.39999999999998</v>
      </c>
      <c r="U11" s="24">
        <f t="shared" si="7"/>
        <v>17.155119453924943</v>
      </c>
      <c r="V11" s="24">
        <f t="shared" si="8"/>
        <v>0</v>
      </c>
      <c r="W11" s="24">
        <f t="shared" si="9"/>
        <v>53.109215017064855</v>
      </c>
      <c r="X11" s="24">
        <f t="shared" si="10"/>
        <v>13.277303754266214</v>
      </c>
      <c r="Y11" s="24">
        <f t="shared" si="0"/>
        <v>0</v>
      </c>
      <c r="Z11" s="24">
        <f t="shared" si="11"/>
        <v>0</v>
      </c>
      <c r="AA11" s="11">
        <f t="shared" si="12"/>
        <v>398.31911262798712</v>
      </c>
      <c r="AB11" s="9">
        <f t="shared" si="1"/>
        <v>0.15000000000000027</v>
      </c>
    </row>
    <row r="12" spans="2:29" x14ac:dyDescent="0.25">
      <c r="Q12" s="28">
        <f t="shared" ref="Q12:X12" si="28">SUM(Q5:Q11)</f>
        <v>138118.86985336739</v>
      </c>
      <c r="R12" s="28">
        <f t="shared" si="28"/>
        <v>85251.124495999989</v>
      </c>
      <c r="S12" s="28">
        <f t="shared" si="28"/>
        <v>874.77292499999999</v>
      </c>
      <c r="T12" s="28">
        <f t="shared" si="28"/>
        <v>-1617.8549395199993</v>
      </c>
      <c r="U12" s="28">
        <f t="shared" si="28"/>
        <v>4809.3499499939826</v>
      </c>
      <c r="V12" s="28">
        <f t="shared" si="28"/>
        <v>0</v>
      </c>
      <c r="W12" s="28">
        <f t="shared" si="28"/>
        <v>2762.3773970673474</v>
      </c>
      <c r="X12" s="28">
        <f t="shared" si="28"/>
        <v>690.59434926683684</v>
      </c>
      <c r="Y12" s="37">
        <v>0</v>
      </c>
      <c r="Z12" s="28">
        <f>SUM(Z5:Z11)</f>
        <v>0</v>
      </c>
      <c r="AA12" s="28">
        <f>SUM(AA5:AA11)</f>
        <v>45348.505675559201</v>
      </c>
      <c r="AB12" s="12">
        <f t="shared" si="1"/>
        <v>0.32832954486018473</v>
      </c>
      <c r="AC12" s="10"/>
    </row>
    <row r="13" spans="2:29" x14ac:dyDescent="0.25">
      <c r="Q13" s="28">
        <f>Q12*0.35</f>
        <v>48341.604448678583</v>
      </c>
      <c r="R13" s="27">
        <f>R12/$Q$12</f>
        <v>0.61723010466640837</v>
      </c>
      <c r="S13" s="27">
        <f t="shared" ref="S13:AA13" si="29">S12/$Q$12</f>
        <v>6.3334787341417908E-3</v>
      </c>
      <c r="T13" s="27">
        <f t="shared" si="29"/>
        <v>-1.1713496796184185E-2</v>
      </c>
      <c r="U13" s="27">
        <f t="shared" si="29"/>
        <v>3.4820368535449099E-2</v>
      </c>
      <c r="V13" s="27">
        <f t="shared" si="29"/>
        <v>0</v>
      </c>
      <c r="W13" s="27">
        <f t="shared" si="29"/>
        <v>1.9999999999999997E-2</v>
      </c>
      <c r="X13" s="27">
        <f t="shared" si="29"/>
        <v>4.9999999999999992E-3</v>
      </c>
      <c r="Y13" s="27">
        <f t="shared" si="29"/>
        <v>0</v>
      </c>
      <c r="Z13" s="27">
        <f t="shared" si="29"/>
        <v>0</v>
      </c>
      <c r="AA13" s="27">
        <f t="shared" si="29"/>
        <v>0.32832954486018473</v>
      </c>
      <c r="AB13" s="29"/>
      <c r="AC13" s="10"/>
    </row>
    <row r="14" spans="2:29" x14ac:dyDescent="0.25">
      <c r="N14" s="9"/>
    </row>
    <row r="15" spans="2:29" x14ac:dyDescent="0.25">
      <c r="N15" s="9"/>
      <c r="Q15" s="26"/>
    </row>
    <row r="16" spans="2:29" x14ac:dyDescent="0.25">
      <c r="N16" s="9"/>
      <c r="P16" s="20"/>
      <c r="Q16" s="9"/>
      <c r="R16" s="20"/>
    </row>
    <row r="17" spans="2:28" x14ac:dyDescent="0.25">
      <c r="P17" s="11"/>
      <c r="Q17" s="11"/>
    </row>
    <row r="18" spans="2:28" x14ac:dyDescent="0.25">
      <c r="Q18" s="11"/>
    </row>
    <row r="22" spans="2:28" x14ac:dyDescent="0.25">
      <c r="B22" s="34" t="s">
        <v>34</v>
      </c>
      <c r="C22" s="34" t="s">
        <v>35</v>
      </c>
      <c r="D22" s="33" t="s">
        <v>19</v>
      </c>
      <c r="E22" s="34" t="s">
        <v>25</v>
      </c>
      <c r="F22" s="34" t="s">
        <v>8</v>
      </c>
      <c r="G22" s="34" t="s">
        <v>9</v>
      </c>
      <c r="H22" s="34" t="s">
        <v>26</v>
      </c>
      <c r="I22" s="34" t="s">
        <v>27</v>
      </c>
      <c r="J22" s="34" t="s">
        <v>0</v>
      </c>
      <c r="K22" s="34" t="s">
        <v>31</v>
      </c>
      <c r="L22" s="34" t="s">
        <v>32</v>
      </c>
      <c r="M22" s="35" t="s">
        <v>33</v>
      </c>
      <c r="N22" s="34" t="s">
        <v>28</v>
      </c>
      <c r="O22" s="35" t="s">
        <v>52</v>
      </c>
      <c r="P22" s="34" t="s">
        <v>29</v>
      </c>
      <c r="Q22" s="34" t="s">
        <v>30</v>
      </c>
      <c r="R22" s="34" t="s">
        <v>36</v>
      </c>
      <c r="S22" s="34" t="s">
        <v>8</v>
      </c>
      <c r="T22" s="34" t="s">
        <v>9</v>
      </c>
      <c r="U22" s="34" t="s">
        <v>26</v>
      </c>
      <c r="V22" s="34" t="s">
        <v>0</v>
      </c>
      <c r="W22" s="34" t="s">
        <v>31</v>
      </c>
      <c r="X22" s="34" t="s">
        <v>32</v>
      </c>
      <c r="Y22" s="34" t="s">
        <v>33</v>
      </c>
      <c r="Z22" s="34" t="s">
        <v>28</v>
      </c>
      <c r="AA22" s="36" t="s">
        <v>37</v>
      </c>
      <c r="AB22" s="10"/>
    </row>
    <row r="23" spans="2:28" x14ac:dyDescent="0.25">
      <c r="B23" s="16">
        <v>29138</v>
      </c>
      <c r="C23" s="31" t="s">
        <v>50</v>
      </c>
      <c r="D23" s="23">
        <v>108</v>
      </c>
      <c r="E23" s="24">
        <v>956.92</v>
      </c>
      <c r="F23" s="25">
        <v>0</v>
      </c>
      <c r="G23" s="25">
        <v>0</v>
      </c>
      <c r="H23" s="22">
        <v>9.2499999999999999E-2</v>
      </c>
      <c r="I23" s="40">
        <f>((E23*(1+F23))-((E23*(1+F23))*H23)-(E23*G23))+(Y23/D23)</f>
        <v>1632.7808535345998</v>
      </c>
      <c r="J23" s="22">
        <v>0</v>
      </c>
      <c r="K23" s="22">
        <v>0.02</v>
      </c>
      <c r="L23" s="22">
        <v>5.0000000000000001E-3</v>
      </c>
      <c r="M23" s="22">
        <f>Y23/Q23</f>
        <v>0.34291520797296604</v>
      </c>
      <c r="N23" s="22">
        <v>0</v>
      </c>
      <c r="O23" s="22">
        <v>0.15</v>
      </c>
      <c r="P23" s="24">
        <f>I23/(1-H23-0%-J23-K23-L23-N23-O23)</f>
        <v>2229.0523597741981</v>
      </c>
      <c r="Q23" s="24">
        <f>D23*P23</f>
        <v>240737.65485561339</v>
      </c>
      <c r="R23" s="24">
        <f>D23*E23</f>
        <v>103347.36</v>
      </c>
      <c r="S23" s="24">
        <f>R23*F23</f>
        <v>0</v>
      </c>
      <c r="T23" s="24">
        <f>(Q23*0%)</f>
        <v>0</v>
      </c>
      <c r="U23" s="24">
        <f>(Q23-(R23+S23))*9.25%</f>
        <v>12708.602274144238</v>
      </c>
      <c r="V23" s="24">
        <f>(Q23*J23)</f>
        <v>0</v>
      </c>
      <c r="W23" s="24">
        <f>Q23*K23</f>
        <v>4814.7530971122678</v>
      </c>
      <c r="X23" s="24">
        <f>Q23*L23</f>
        <v>1203.688274278067</v>
      </c>
      <c r="Y23" s="24">
        <f>((R23+S23)/($R$12+$S$12))*$Y$29</f>
        <v>82552.602981736782</v>
      </c>
      <c r="Z23" s="24">
        <f>Q23*N23</f>
        <v>0</v>
      </c>
      <c r="AA23" s="11">
        <f>Q23-SUM(R23:Z23)</f>
        <v>36110.648228342034</v>
      </c>
      <c r="AB23" s="9">
        <f t="shared" ref="AB23:AB27" si="30">IFERROR(AA23/Q23,0)</f>
        <v>0.15000000000000011</v>
      </c>
    </row>
    <row r="24" spans="2:28" x14ac:dyDescent="0.25">
      <c r="B24" s="16">
        <v>32800</v>
      </c>
      <c r="C24" s="31" t="s">
        <v>79</v>
      </c>
      <c r="D24" s="23">
        <v>1</v>
      </c>
      <c r="E24" s="24">
        <v>11571.76</v>
      </c>
      <c r="F24" s="22">
        <v>9.7500000000000003E-2</v>
      </c>
      <c r="G24" s="25">
        <v>0.12</v>
      </c>
      <c r="H24" s="22">
        <v>9.2499999999999999E-2</v>
      </c>
      <c r="I24" s="24">
        <f>(E24*(1+F24))-((E24*(1+F24))*H24)-(E24*12%)+(Y24/D24)</f>
        <v>20281.254218470771</v>
      </c>
      <c r="J24" s="22">
        <v>0</v>
      </c>
      <c r="K24" s="22">
        <v>0.02</v>
      </c>
      <c r="L24" s="22">
        <v>5.0000000000000001E-3</v>
      </c>
      <c r="M24" s="22">
        <f t="shared" ref="M24:M28" si="31">Y24/Q24</f>
        <v>0.36639382982308427</v>
      </c>
      <c r="N24" s="22">
        <v>0</v>
      </c>
      <c r="O24" s="22">
        <v>0.15</v>
      </c>
      <c r="P24" s="24">
        <f t="shared" ref="P24:P28" si="32">I24/(1-H24-0%-J24-K24-L24-N24-O24)</f>
        <v>27687.719069584673</v>
      </c>
      <c r="Q24" s="24">
        <f t="shared" ref="Q24:Q28" si="33">D24*P24</f>
        <v>27687.719069584673</v>
      </c>
      <c r="R24" s="24">
        <f t="shared" ref="R24:R28" si="34">D24*E24</f>
        <v>11571.76</v>
      </c>
      <c r="S24" s="24">
        <f t="shared" ref="S24:S28" si="35">R24*F24</f>
        <v>1128.2466000000002</v>
      </c>
      <c r="T24" s="24">
        <f>(Q24*0%)-(R24*12%)</f>
        <v>-1388.6112000000001</v>
      </c>
      <c r="U24" s="24">
        <f t="shared" ref="U24:U28" si="36">(Q24-(R24+S24))*9.25%</f>
        <v>1386.3634034365821</v>
      </c>
      <c r="V24" s="24">
        <f t="shared" ref="V24:V28" si="37">Q24*J24</f>
        <v>0</v>
      </c>
      <c r="W24" s="24">
        <f t="shared" ref="W24:W28" si="38">Q24*K24</f>
        <v>553.75438139169353</v>
      </c>
      <c r="X24" s="24">
        <f t="shared" ref="X24:X28" si="39">Q24*L24</f>
        <v>138.43859534792338</v>
      </c>
      <c r="Y24" s="24">
        <f t="shared" ref="Y24:Y28" si="40">((R24+S24)/($R$12+$S$12))*$Y$29</f>
        <v>10144.609428970773</v>
      </c>
      <c r="Z24" s="24">
        <f t="shared" ref="Z24:Z28" si="41">Q24*N24</f>
        <v>0</v>
      </c>
      <c r="AA24" s="11">
        <f t="shared" ref="AA24:AA28" si="42">Q24-SUM(R24:Z24)</f>
        <v>4153.1578604376991</v>
      </c>
      <c r="AB24" s="9">
        <f t="shared" si="30"/>
        <v>0.14999999999999994</v>
      </c>
    </row>
    <row r="25" spans="2:28" x14ac:dyDescent="0.25">
      <c r="B25" s="16">
        <v>32334</v>
      </c>
      <c r="C25" s="32" t="s">
        <v>76</v>
      </c>
      <c r="D25" s="23">
        <v>230</v>
      </c>
      <c r="E25" s="24">
        <v>4.6906078000000004</v>
      </c>
      <c r="F25" s="25">
        <v>0</v>
      </c>
      <c r="G25" s="25">
        <v>0.12</v>
      </c>
      <c r="H25" s="22">
        <v>9.2499999999999999E-2</v>
      </c>
      <c r="I25" s="24">
        <f t="shared" ref="I25:I27" si="43">(E25*(1+F25))-((E25*(1+F25))*H25)-(E25*12%)+(Y25/D25)</f>
        <v>7.4406535942011169</v>
      </c>
      <c r="J25" s="22">
        <v>0</v>
      </c>
      <c r="K25" s="22">
        <v>0.02</v>
      </c>
      <c r="L25" s="22">
        <v>5.0000000000000001E-3</v>
      </c>
      <c r="M25" s="22">
        <f t="shared" si="31"/>
        <v>0.36885616698511825</v>
      </c>
      <c r="N25" s="22">
        <v>0</v>
      </c>
      <c r="O25" s="22">
        <v>0.15</v>
      </c>
      <c r="P25" s="24">
        <f t="shared" si="32"/>
        <v>10.157888865803574</v>
      </c>
      <c r="Q25" s="24">
        <f t="shared" si="33"/>
        <v>2336.3144391348219</v>
      </c>
      <c r="R25" s="24">
        <f t="shared" si="34"/>
        <v>1078.8397940000002</v>
      </c>
      <c r="S25" s="24">
        <f t="shared" si="35"/>
        <v>0</v>
      </c>
      <c r="T25" s="24">
        <f t="shared" ref="T25:T28" si="44">(Q25*0%)-(R25*12%)</f>
        <v>-129.46077528000001</v>
      </c>
      <c r="U25" s="24">
        <f t="shared" si="36"/>
        <v>116.31640467497101</v>
      </c>
      <c r="V25" s="24">
        <f t="shared" si="37"/>
        <v>0</v>
      </c>
      <c r="W25" s="24">
        <f t="shared" si="38"/>
        <v>46.726288782696436</v>
      </c>
      <c r="X25" s="24">
        <f t="shared" si="39"/>
        <v>11.681572195674109</v>
      </c>
      <c r="Y25" s="24">
        <f t="shared" si="40"/>
        <v>861.76398889125676</v>
      </c>
      <c r="Z25" s="24">
        <f t="shared" si="41"/>
        <v>0</v>
      </c>
      <c r="AA25" s="11">
        <f t="shared" si="42"/>
        <v>350.44716587022344</v>
      </c>
      <c r="AB25" s="9">
        <f t="shared" si="30"/>
        <v>0.15000000000000008</v>
      </c>
    </row>
    <row r="26" spans="2:28" x14ac:dyDescent="0.25">
      <c r="B26" s="16">
        <v>32333</v>
      </c>
      <c r="C26" s="31" t="s">
        <v>75</v>
      </c>
      <c r="D26" s="23">
        <v>230</v>
      </c>
      <c r="E26" s="24">
        <v>4.6906078000000004</v>
      </c>
      <c r="F26" s="25">
        <v>0</v>
      </c>
      <c r="G26" s="25">
        <v>0.12</v>
      </c>
      <c r="H26" s="22">
        <v>9.2499999999999999E-2</v>
      </c>
      <c r="I26" s="24">
        <f t="shared" si="43"/>
        <v>7.4406535942011169</v>
      </c>
      <c r="J26" s="22">
        <v>0</v>
      </c>
      <c r="K26" s="22">
        <v>0.02</v>
      </c>
      <c r="L26" s="22">
        <v>5.0000000000000001E-3</v>
      </c>
      <c r="M26" s="22">
        <f t="shared" si="31"/>
        <v>0.36885616698511825</v>
      </c>
      <c r="N26" s="22">
        <v>0</v>
      </c>
      <c r="O26" s="22">
        <v>0.15</v>
      </c>
      <c r="P26" s="24">
        <f t="shared" si="32"/>
        <v>10.157888865803574</v>
      </c>
      <c r="Q26" s="24">
        <f t="shared" si="33"/>
        <v>2336.3144391348219</v>
      </c>
      <c r="R26" s="24">
        <f t="shared" si="34"/>
        <v>1078.8397940000002</v>
      </c>
      <c r="S26" s="24">
        <f t="shared" si="35"/>
        <v>0</v>
      </c>
      <c r="T26" s="24">
        <f t="shared" si="44"/>
        <v>-129.46077528000001</v>
      </c>
      <c r="U26" s="24">
        <f t="shared" si="36"/>
        <v>116.31640467497101</v>
      </c>
      <c r="V26" s="24">
        <f t="shared" si="37"/>
        <v>0</v>
      </c>
      <c r="W26" s="24">
        <f t="shared" si="38"/>
        <v>46.726288782696436</v>
      </c>
      <c r="X26" s="24">
        <f t="shared" si="39"/>
        <v>11.681572195674109</v>
      </c>
      <c r="Y26" s="24">
        <f t="shared" si="40"/>
        <v>861.76398889125676</v>
      </c>
      <c r="Z26" s="24">
        <f t="shared" si="41"/>
        <v>0</v>
      </c>
      <c r="AA26" s="11">
        <f t="shared" si="42"/>
        <v>350.44716587022344</v>
      </c>
      <c r="AB26" s="9">
        <f t="shared" si="30"/>
        <v>0.15000000000000008</v>
      </c>
    </row>
    <row r="27" spans="2:28" x14ac:dyDescent="0.25">
      <c r="B27" s="16">
        <v>32066</v>
      </c>
      <c r="C27" s="31" t="s">
        <v>77</v>
      </c>
      <c r="D27" s="23">
        <v>20</v>
      </c>
      <c r="E27" s="24">
        <v>7.65</v>
      </c>
      <c r="F27" s="25">
        <v>3.2500000000000001E-2</v>
      </c>
      <c r="G27" s="25">
        <v>0.12</v>
      </c>
      <c r="H27" s="22">
        <v>9.2499999999999999E-2</v>
      </c>
      <c r="I27" s="24">
        <f t="shared" si="43"/>
        <v>12.55932691264654</v>
      </c>
      <c r="J27" s="22">
        <v>0</v>
      </c>
      <c r="K27" s="22">
        <v>0.02</v>
      </c>
      <c r="L27" s="22">
        <v>5.0000000000000001E-3</v>
      </c>
      <c r="M27" s="22">
        <f t="shared" si="31"/>
        <v>0.36797993979407989</v>
      </c>
      <c r="N27" s="22">
        <v>0</v>
      </c>
      <c r="O27" s="22">
        <v>0.15</v>
      </c>
      <c r="P27" s="24">
        <f t="shared" si="32"/>
        <v>17.14583878859596</v>
      </c>
      <c r="Q27" s="24">
        <f t="shared" si="33"/>
        <v>342.91677577191922</v>
      </c>
      <c r="R27" s="24">
        <f t="shared" si="34"/>
        <v>153</v>
      </c>
      <c r="S27" s="24">
        <f t="shared" si="35"/>
        <v>4.9725000000000001</v>
      </c>
      <c r="T27" s="24">
        <f t="shared" si="44"/>
        <v>-18.36</v>
      </c>
      <c r="U27" s="24">
        <f t="shared" si="36"/>
        <v>17.107345508902529</v>
      </c>
      <c r="V27" s="24">
        <f t="shared" si="37"/>
        <v>0</v>
      </c>
      <c r="W27" s="24">
        <f t="shared" si="38"/>
        <v>6.8583355154383847</v>
      </c>
      <c r="X27" s="24">
        <f t="shared" si="39"/>
        <v>1.7145838788595962</v>
      </c>
      <c r="Y27" s="24">
        <f t="shared" si="40"/>
        <v>126.18649450293083</v>
      </c>
      <c r="Z27" s="24">
        <f t="shared" si="41"/>
        <v>0</v>
      </c>
      <c r="AA27" s="11">
        <f t="shared" si="42"/>
        <v>51.437516365787815</v>
      </c>
      <c r="AB27" s="9">
        <f t="shared" si="30"/>
        <v>0.1499999999999998</v>
      </c>
    </row>
    <row r="28" spans="2:28" x14ac:dyDescent="0.25">
      <c r="B28" s="16">
        <v>21867</v>
      </c>
      <c r="C28" s="31" t="s">
        <v>78</v>
      </c>
      <c r="D28" s="23">
        <v>27</v>
      </c>
      <c r="E28" s="24">
        <v>130</v>
      </c>
      <c r="F28" s="25">
        <v>0</v>
      </c>
      <c r="G28" s="25">
        <v>0.12</v>
      </c>
      <c r="H28" s="22">
        <v>9.2499999999999999E-2</v>
      </c>
      <c r="I28" s="24">
        <f>IFERROR((E28*(1+F28))-((E28*(1+F28))*H28)-(E28*12%)+(Y28/D28),0)</f>
        <v>206.21740475640388</v>
      </c>
      <c r="J28" s="22">
        <v>0</v>
      </c>
      <c r="K28" s="22">
        <v>0.02</v>
      </c>
      <c r="L28" s="22">
        <v>5.0000000000000001E-3</v>
      </c>
      <c r="M28" s="22">
        <f t="shared" si="31"/>
        <v>0.36885616698511819</v>
      </c>
      <c r="N28" s="22">
        <v>0</v>
      </c>
      <c r="O28" s="22">
        <v>0.15</v>
      </c>
      <c r="P28" s="24">
        <f t="shared" si="32"/>
        <v>281.5254672442374</v>
      </c>
      <c r="Q28" s="24">
        <f t="shared" si="33"/>
        <v>7601.1876155944101</v>
      </c>
      <c r="R28" s="24">
        <f t="shared" si="34"/>
        <v>3510</v>
      </c>
      <c r="S28" s="24">
        <f t="shared" si="35"/>
        <v>0</v>
      </c>
      <c r="T28" s="24">
        <f t="shared" si="44"/>
        <v>-421.2</v>
      </c>
      <c r="U28" s="24">
        <f t="shared" si="36"/>
        <v>378.4348544424829</v>
      </c>
      <c r="V28" s="24">
        <f t="shared" si="37"/>
        <v>0</v>
      </c>
      <c r="W28" s="24">
        <f t="shared" si="38"/>
        <v>152.02375231188822</v>
      </c>
      <c r="X28" s="24">
        <f t="shared" si="39"/>
        <v>38.005938077972054</v>
      </c>
      <c r="Y28" s="24">
        <f t="shared" si="40"/>
        <v>2803.7449284229042</v>
      </c>
      <c r="Z28" s="24">
        <f t="shared" si="41"/>
        <v>0</v>
      </c>
      <c r="AA28" s="11">
        <f t="shared" si="42"/>
        <v>1140.1781423391622</v>
      </c>
      <c r="AB28" s="9">
        <f t="shared" ref="AB28:AB29" si="45">IFERROR(AA28/Q28,0)</f>
        <v>0.15000000000000008</v>
      </c>
    </row>
    <row r="29" spans="2:28" x14ac:dyDescent="0.25">
      <c r="Q29" s="28">
        <f t="shared" ref="Q29:X29" si="46">SUM(Q23:Q28)</f>
        <v>281042.1071948341</v>
      </c>
      <c r="R29" s="28">
        <f t="shared" si="46"/>
        <v>120739.79958799999</v>
      </c>
      <c r="S29" s="28">
        <f t="shared" si="46"/>
        <v>1133.2191000000003</v>
      </c>
      <c r="T29" s="28">
        <f t="shared" si="46"/>
        <v>-2087.0927505599998</v>
      </c>
      <c r="U29" s="28">
        <f t="shared" si="46"/>
        <v>14723.140686882149</v>
      </c>
      <c r="V29" s="28">
        <f t="shared" si="46"/>
        <v>0</v>
      </c>
      <c r="W29" s="28">
        <f t="shared" si="46"/>
        <v>5620.8421438966816</v>
      </c>
      <c r="X29" s="28">
        <f t="shared" si="46"/>
        <v>1405.2105359741704</v>
      </c>
      <c r="Y29" s="37">
        <v>68796.31</v>
      </c>
      <c r="Z29" s="28">
        <f>SUM(Z23:Z28)</f>
        <v>0</v>
      </c>
      <c r="AA29" s="28">
        <f>SUM(AA23:AA28)</f>
        <v>42156.316079225129</v>
      </c>
      <c r="AB29" s="12">
        <f t="shared" si="45"/>
        <v>0.15000000000000005</v>
      </c>
    </row>
    <row r="30" spans="2:28" x14ac:dyDescent="0.25">
      <c r="Q30" s="28">
        <f>Q29*0.35</f>
        <v>98364.737518191934</v>
      </c>
      <c r="R30" s="27">
        <f>R29/$Q$12</f>
        <v>0.87417309246869945</v>
      </c>
      <c r="S30" s="27">
        <f t="shared" ref="S30:AA30" si="47">S29/$Q$12</f>
        <v>8.2046653089695252E-3</v>
      </c>
      <c r="T30" s="27">
        <f t="shared" si="47"/>
        <v>-1.5110844396393789E-2</v>
      </c>
      <c r="U30" s="27">
        <f t="shared" si="47"/>
        <v>0.10659760467568866</v>
      </c>
      <c r="V30" s="27">
        <f t="shared" si="47"/>
        <v>0</v>
      </c>
      <c r="W30" s="27">
        <f t="shared" si="47"/>
        <v>4.0695685896242825E-2</v>
      </c>
      <c r="X30" s="27">
        <f t="shared" si="47"/>
        <v>1.0173921474060706E-2</v>
      </c>
      <c r="Y30" s="27">
        <f t="shared" si="47"/>
        <v>0.49809493860641169</v>
      </c>
      <c r="Z30" s="27">
        <f t="shared" si="47"/>
        <v>0</v>
      </c>
      <c r="AA30" s="27">
        <f t="shared" si="47"/>
        <v>0.30521764422182129</v>
      </c>
      <c r="AB30" s="29"/>
    </row>
    <row r="31" spans="2:28" x14ac:dyDescent="0.25">
      <c r="O31" s="54">
        <v>68796.307710098656</v>
      </c>
    </row>
    <row r="32" spans="2:28" x14ac:dyDescent="0.25">
      <c r="Q32" s="54">
        <v>255529.14292322361</v>
      </c>
      <c r="R32" s="54">
        <f>Q32/196560.88</f>
        <v>1.2999999945219192</v>
      </c>
    </row>
    <row r="33" spans="2:28" x14ac:dyDescent="0.25">
      <c r="R33" s="54">
        <f>Q29/196560.88</f>
        <v>1.4297967489504224</v>
      </c>
    </row>
    <row r="35" spans="2:28" x14ac:dyDescent="0.25">
      <c r="B35" s="34" t="s">
        <v>34</v>
      </c>
      <c r="C35" s="34" t="s">
        <v>35</v>
      </c>
      <c r="D35" s="33" t="s">
        <v>19</v>
      </c>
      <c r="E35" s="34" t="s">
        <v>25</v>
      </c>
      <c r="F35" s="34" t="s">
        <v>8</v>
      </c>
      <c r="G35" s="34" t="s">
        <v>9</v>
      </c>
      <c r="H35" s="34" t="s">
        <v>26</v>
      </c>
      <c r="I35" s="34" t="s">
        <v>27</v>
      </c>
      <c r="J35" s="34" t="s">
        <v>0</v>
      </c>
      <c r="K35" s="34" t="s">
        <v>31</v>
      </c>
      <c r="L35" s="34" t="s">
        <v>32</v>
      </c>
      <c r="M35" s="35" t="s">
        <v>33</v>
      </c>
      <c r="N35" s="34" t="s">
        <v>28</v>
      </c>
      <c r="O35" s="35" t="s">
        <v>52</v>
      </c>
      <c r="P35" s="34" t="s">
        <v>29</v>
      </c>
      <c r="Q35" s="34" t="s">
        <v>30</v>
      </c>
      <c r="R35" s="34" t="s">
        <v>36</v>
      </c>
      <c r="S35" s="34" t="s">
        <v>8</v>
      </c>
      <c r="T35" s="34" t="s">
        <v>9</v>
      </c>
      <c r="U35" s="34" t="s">
        <v>26</v>
      </c>
      <c r="V35" s="34" t="s">
        <v>0</v>
      </c>
      <c r="W35" s="34" t="s">
        <v>31</v>
      </c>
      <c r="X35" s="34" t="s">
        <v>32</v>
      </c>
      <c r="Y35" s="34" t="s">
        <v>33</v>
      </c>
      <c r="Z35" s="34" t="s">
        <v>28</v>
      </c>
      <c r="AA35" s="36" t="s">
        <v>37</v>
      </c>
      <c r="AB35" s="10"/>
    </row>
    <row r="36" spans="2:28" x14ac:dyDescent="0.25">
      <c r="B36" s="16">
        <v>29138</v>
      </c>
      <c r="C36" s="31" t="s">
        <v>50</v>
      </c>
      <c r="D36" s="23">
        <v>30</v>
      </c>
      <c r="E36" s="24">
        <v>956.92</v>
      </c>
      <c r="F36" s="25">
        <v>0</v>
      </c>
      <c r="G36" s="25">
        <v>0</v>
      </c>
      <c r="H36" s="22">
        <v>9.2499999999999999E-2</v>
      </c>
      <c r="I36" s="58">
        <f>((E36*(1+F36))-((E36*(1+F36))*H36)-(E36*G36))+(Y36/D36)</f>
        <v>868.4049</v>
      </c>
      <c r="J36" s="22">
        <v>0</v>
      </c>
      <c r="K36" s="22">
        <v>0.02</v>
      </c>
      <c r="L36" s="22">
        <v>5.0000000000000001E-3</v>
      </c>
      <c r="M36" s="22">
        <f>Y36/Q36</f>
        <v>0</v>
      </c>
      <c r="N36" s="22">
        <v>0</v>
      </c>
      <c r="O36" s="22">
        <v>0.35099999999999998</v>
      </c>
      <c r="P36" s="24">
        <f>I36/(1-H36-0%-J36-K36-L36-N36-O36)</f>
        <v>1633.8756349952964</v>
      </c>
      <c r="Q36" s="24">
        <f>D36*P36</f>
        <v>49016.269049858893</v>
      </c>
      <c r="R36" s="24">
        <f>D36*E36</f>
        <v>28707.599999999999</v>
      </c>
      <c r="S36" s="24">
        <f>R36*F36</f>
        <v>0</v>
      </c>
      <c r="T36" s="24">
        <f>(Q36*0%)</f>
        <v>0</v>
      </c>
      <c r="U36" s="24">
        <f>(Q36-(R36+S36))*9.25%</f>
        <v>1878.5518871119477</v>
      </c>
      <c r="V36" s="24">
        <f>(Q36*J36)</f>
        <v>0</v>
      </c>
      <c r="W36" s="24">
        <f>Q36*K36</f>
        <v>980.32538099717783</v>
      </c>
      <c r="X36" s="24">
        <f>Q36*L36</f>
        <v>245.08134524929446</v>
      </c>
      <c r="Y36" s="24">
        <f t="shared" ref="Y36:Y42" si="48">((R36+S36)/($R$12+$S$12))*$Y$12</f>
        <v>0</v>
      </c>
      <c r="Z36" s="24">
        <f>Q36*N36</f>
        <v>0</v>
      </c>
      <c r="AA36" s="11">
        <f>Q36-SUM(R36:Z36)</f>
        <v>17204.710436500471</v>
      </c>
      <c r="AB36" s="9">
        <f t="shared" ref="AB36:AB40" si="49">IFERROR(AA36/Q36,0)</f>
        <v>0.35099999999999998</v>
      </c>
    </row>
    <row r="37" spans="2:28" x14ac:dyDescent="0.25">
      <c r="B37" s="16">
        <v>29526</v>
      </c>
      <c r="C37" s="31" t="s">
        <v>80</v>
      </c>
      <c r="D37" s="23">
        <v>1</v>
      </c>
      <c r="E37" s="24">
        <v>5333.94</v>
      </c>
      <c r="F37" s="22">
        <v>9.7500000000000003E-2</v>
      </c>
      <c r="G37" s="25">
        <v>0.12</v>
      </c>
      <c r="H37" s="22">
        <v>9.2499999999999999E-2</v>
      </c>
      <c r="I37" s="24">
        <f>(E37*(1+F37))-((E37*(1+F37))*H37)-(E37*12%)+(Y37/D37)</f>
        <v>4672.4314286249992</v>
      </c>
      <c r="J37" s="22">
        <v>0</v>
      </c>
      <c r="K37" s="22">
        <v>0.02</v>
      </c>
      <c r="L37" s="22">
        <v>5.0000000000000001E-3</v>
      </c>
      <c r="M37" s="22">
        <f t="shared" ref="M37:M42" si="50">Y37/Q37</f>
        <v>0</v>
      </c>
      <c r="N37" s="22">
        <v>0</v>
      </c>
      <c r="O37" s="22">
        <v>0.15</v>
      </c>
      <c r="P37" s="24">
        <f t="shared" ref="P37:P42" si="51">I37/(1-H37-0%-J37-K37-L37-N37-O37)</f>
        <v>6378.7459776450505</v>
      </c>
      <c r="Q37" s="24">
        <f t="shared" ref="Q37:Q42" si="52">D37*P37</f>
        <v>6378.7459776450505</v>
      </c>
      <c r="R37" s="24">
        <f t="shared" ref="R37:R42" si="53">D37*E37</f>
        <v>5333.94</v>
      </c>
      <c r="S37" s="24">
        <f t="shared" ref="S37:S42" si="54">R37*F37</f>
        <v>520.05914999999993</v>
      </c>
      <c r="T37" s="24">
        <f>(Q37*0%)-(R37*12%)</f>
        <v>-640.07279999999992</v>
      </c>
      <c r="U37" s="24">
        <f t="shared" ref="U37:U42" si="55">(Q37-(R37+S37))*9.25%</f>
        <v>48.539081557167208</v>
      </c>
      <c r="V37" s="24">
        <f t="shared" ref="V37:V42" si="56">Q37*J37</f>
        <v>0</v>
      </c>
      <c r="W37" s="24">
        <f t="shared" ref="W37:W42" si="57">Q37*K37</f>
        <v>127.57491955290101</v>
      </c>
      <c r="X37" s="24">
        <f t="shared" ref="X37:X42" si="58">Q37*L37</f>
        <v>31.893729888225252</v>
      </c>
      <c r="Y37" s="24">
        <f t="shared" si="48"/>
        <v>0</v>
      </c>
      <c r="Z37" s="24">
        <f t="shared" ref="Z37:Z42" si="59">Q37*N37</f>
        <v>0</v>
      </c>
      <c r="AA37" s="11">
        <f t="shared" ref="AA37:AA42" si="60">Q37-SUM(R37:Z37)</f>
        <v>956.8118966467573</v>
      </c>
      <c r="AB37" s="9">
        <f t="shared" si="49"/>
        <v>0.14999999999999997</v>
      </c>
    </row>
    <row r="38" spans="2:28" x14ac:dyDescent="0.25">
      <c r="B38" s="16">
        <v>27193</v>
      </c>
      <c r="C38" s="32" t="s">
        <v>74</v>
      </c>
      <c r="D38" s="23">
        <v>1</v>
      </c>
      <c r="E38" s="24">
        <v>534</v>
      </c>
      <c r="F38" s="25">
        <v>0</v>
      </c>
      <c r="G38" s="25">
        <v>0.12</v>
      </c>
      <c r="H38" s="22">
        <v>9.2499999999999999E-2</v>
      </c>
      <c r="I38" s="24">
        <f t="shared" ref="I38:I41" si="61">(E38*(1+F38))-((E38*(1+F38))*H38)-(E38*12%)+(Y38/D38)</f>
        <v>420.52500000000003</v>
      </c>
      <c r="J38" s="22">
        <v>0</v>
      </c>
      <c r="K38" s="22">
        <v>0.02</v>
      </c>
      <c r="L38" s="22">
        <v>5.0000000000000001E-3</v>
      </c>
      <c r="M38" s="22">
        <f t="shared" si="50"/>
        <v>0</v>
      </c>
      <c r="N38" s="22">
        <v>0</v>
      </c>
      <c r="O38" s="22">
        <v>0.15</v>
      </c>
      <c r="P38" s="24">
        <f t="shared" si="51"/>
        <v>574.09556313993187</v>
      </c>
      <c r="Q38" s="24">
        <f t="shared" si="52"/>
        <v>574.09556313993187</v>
      </c>
      <c r="R38" s="24">
        <f t="shared" si="53"/>
        <v>534</v>
      </c>
      <c r="S38" s="24">
        <f t="shared" si="54"/>
        <v>0</v>
      </c>
      <c r="T38" s="24">
        <f t="shared" ref="T38:T42" si="62">(Q38*0%)-(R38*12%)</f>
        <v>-64.08</v>
      </c>
      <c r="U38" s="24">
        <f t="shared" si="55"/>
        <v>3.7088395904436977</v>
      </c>
      <c r="V38" s="24">
        <f t="shared" si="56"/>
        <v>0</v>
      </c>
      <c r="W38" s="24">
        <f t="shared" si="57"/>
        <v>11.481911262798638</v>
      </c>
      <c r="X38" s="24">
        <f t="shared" si="58"/>
        <v>2.8704778156996595</v>
      </c>
      <c r="Y38" s="24">
        <f t="shared" si="48"/>
        <v>0</v>
      </c>
      <c r="Z38" s="24">
        <f t="shared" si="59"/>
        <v>0</v>
      </c>
      <c r="AA38" s="11">
        <f t="shared" si="60"/>
        <v>86.114334470989888</v>
      </c>
      <c r="AB38" s="9">
        <f t="shared" si="49"/>
        <v>0.15000000000000019</v>
      </c>
    </row>
    <row r="39" spans="2:28" x14ac:dyDescent="0.25">
      <c r="B39" s="16">
        <v>32334</v>
      </c>
      <c r="C39" s="32" t="s">
        <v>76</v>
      </c>
      <c r="D39" s="23">
        <v>70</v>
      </c>
      <c r="E39" s="24">
        <v>4.6906078000000004</v>
      </c>
      <c r="F39" s="25">
        <v>0</v>
      </c>
      <c r="G39" s="25">
        <v>0.12</v>
      </c>
      <c r="H39" s="22">
        <v>9.2499999999999999E-2</v>
      </c>
      <c r="I39" s="24">
        <f t="shared" si="61"/>
        <v>3.6938536425000006</v>
      </c>
      <c r="J39" s="22">
        <v>0</v>
      </c>
      <c r="K39" s="22">
        <v>0.02</v>
      </c>
      <c r="L39" s="22">
        <v>5.0000000000000001E-3</v>
      </c>
      <c r="M39" s="22">
        <f t="shared" si="50"/>
        <v>0</v>
      </c>
      <c r="N39" s="22">
        <v>0</v>
      </c>
      <c r="O39" s="22">
        <v>0.251</v>
      </c>
      <c r="P39" s="24">
        <f>I39/(1-H39-0%-J39-K39-L39-N39-O39)</f>
        <v>5.8493327672209041</v>
      </c>
      <c r="Q39" s="24">
        <f t="shared" si="52"/>
        <v>409.4532937054633</v>
      </c>
      <c r="R39" s="24">
        <f t="shared" si="53"/>
        <v>328.34254600000003</v>
      </c>
      <c r="S39" s="24">
        <f t="shared" si="54"/>
        <v>0</v>
      </c>
      <c r="T39" s="24">
        <f t="shared" si="62"/>
        <v>-39.401105520000002</v>
      </c>
      <c r="U39" s="24">
        <f t="shared" si="55"/>
        <v>7.5027441627553522</v>
      </c>
      <c r="V39" s="24">
        <f t="shared" si="56"/>
        <v>0</v>
      </c>
      <c r="W39" s="24">
        <f t="shared" si="57"/>
        <v>8.1890658741092661</v>
      </c>
      <c r="X39" s="24">
        <f t="shared" si="58"/>
        <v>2.0472664685273165</v>
      </c>
      <c r="Y39" s="24">
        <f t="shared" si="48"/>
        <v>0</v>
      </c>
      <c r="Z39" s="24">
        <f t="shared" si="59"/>
        <v>0</v>
      </c>
      <c r="AA39" s="11">
        <f t="shared" si="60"/>
        <v>102.77277672007136</v>
      </c>
      <c r="AB39" s="9">
        <f t="shared" si="49"/>
        <v>0.25100000000000017</v>
      </c>
    </row>
    <row r="40" spans="2:28" x14ac:dyDescent="0.25">
      <c r="B40" s="16">
        <v>32333</v>
      </c>
      <c r="C40" s="31" t="s">
        <v>75</v>
      </c>
      <c r="D40" s="23">
        <v>70</v>
      </c>
      <c r="E40" s="24">
        <v>4.6906078000000004</v>
      </c>
      <c r="F40" s="25">
        <v>0</v>
      </c>
      <c r="G40" s="25">
        <v>0.12</v>
      </c>
      <c r="H40" s="22">
        <v>9.2499999999999999E-2</v>
      </c>
      <c r="I40" s="24">
        <f t="shared" si="61"/>
        <v>3.6938536425000006</v>
      </c>
      <c r="J40" s="22">
        <v>0</v>
      </c>
      <c r="K40" s="22">
        <v>0.02</v>
      </c>
      <c r="L40" s="22">
        <v>5.0000000000000001E-3</v>
      </c>
      <c r="M40" s="22">
        <f t="shared" si="50"/>
        <v>0</v>
      </c>
      <c r="N40" s="22">
        <v>0</v>
      </c>
      <c r="O40" s="22">
        <v>0.251</v>
      </c>
      <c r="P40" s="24">
        <f>I40/(1-H40-0%-J40-K40-L40-N40-O40)</f>
        <v>5.8493327672209041</v>
      </c>
      <c r="Q40" s="24">
        <f t="shared" si="52"/>
        <v>409.4532937054633</v>
      </c>
      <c r="R40" s="24">
        <f t="shared" si="53"/>
        <v>328.34254600000003</v>
      </c>
      <c r="S40" s="24">
        <f t="shared" si="54"/>
        <v>0</v>
      </c>
      <c r="T40" s="24">
        <f t="shared" si="62"/>
        <v>-39.401105520000002</v>
      </c>
      <c r="U40" s="24">
        <f t="shared" si="55"/>
        <v>7.5027441627553522</v>
      </c>
      <c r="V40" s="24">
        <f t="shared" si="56"/>
        <v>0</v>
      </c>
      <c r="W40" s="24">
        <f t="shared" si="57"/>
        <v>8.1890658741092661</v>
      </c>
      <c r="X40" s="24">
        <f t="shared" si="58"/>
        <v>2.0472664685273165</v>
      </c>
      <c r="Y40" s="24">
        <f t="shared" si="48"/>
        <v>0</v>
      </c>
      <c r="Z40" s="24">
        <f t="shared" si="59"/>
        <v>0</v>
      </c>
      <c r="AA40" s="11">
        <f t="shared" si="60"/>
        <v>102.77277672007136</v>
      </c>
      <c r="AB40" s="9">
        <f t="shared" si="49"/>
        <v>0.25100000000000017</v>
      </c>
    </row>
    <row r="41" spans="2:28" x14ac:dyDescent="0.25">
      <c r="B41" s="16">
        <v>32066</v>
      </c>
      <c r="C41" s="31" t="s">
        <v>77</v>
      </c>
      <c r="D41" s="23">
        <v>10</v>
      </c>
      <c r="E41" s="24">
        <v>7.65</v>
      </c>
      <c r="F41" s="25">
        <v>3.2500000000000001E-2</v>
      </c>
      <c r="G41" s="25">
        <v>0.12</v>
      </c>
      <c r="H41" s="22">
        <v>9.2499999999999999E-2</v>
      </c>
      <c r="I41" s="24">
        <f t="shared" si="61"/>
        <v>6.2500021874999998</v>
      </c>
      <c r="J41" s="22">
        <v>0</v>
      </c>
      <c r="K41" s="22">
        <v>0.02</v>
      </c>
      <c r="L41" s="22">
        <v>5.0000000000000001E-3</v>
      </c>
      <c r="M41" s="22">
        <f t="shared" si="50"/>
        <v>0</v>
      </c>
      <c r="N41" s="22">
        <v>0</v>
      </c>
      <c r="O41" s="22">
        <v>0.15</v>
      </c>
      <c r="P41" s="24">
        <f t="shared" si="51"/>
        <v>8.5324261945392497</v>
      </c>
      <c r="Q41" s="24">
        <f t="shared" si="52"/>
        <v>85.324261945392493</v>
      </c>
      <c r="R41" s="24">
        <f t="shared" si="53"/>
        <v>76.5</v>
      </c>
      <c r="S41" s="24">
        <f t="shared" si="54"/>
        <v>2.4862500000000001</v>
      </c>
      <c r="T41" s="24">
        <f t="shared" si="62"/>
        <v>-9.18</v>
      </c>
      <c r="U41" s="24">
        <f t="shared" si="55"/>
        <v>0.58626610494880571</v>
      </c>
      <c r="V41" s="24">
        <f t="shared" si="56"/>
        <v>0</v>
      </c>
      <c r="W41" s="24">
        <f t="shared" si="57"/>
        <v>1.70648523890785</v>
      </c>
      <c r="X41" s="24">
        <f t="shared" si="58"/>
        <v>0.42662130972696249</v>
      </c>
      <c r="Y41" s="24">
        <f t="shared" si="48"/>
        <v>0</v>
      </c>
      <c r="Z41" s="24">
        <f t="shared" si="59"/>
        <v>0</v>
      </c>
      <c r="AA41" s="11">
        <f t="shared" si="60"/>
        <v>12.798639291808868</v>
      </c>
      <c r="AB41" s="9"/>
    </row>
    <row r="42" spans="2:28" x14ac:dyDescent="0.25">
      <c r="B42" s="16">
        <v>21867</v>
      </c>
      <c r="C42" s="31" t="s">
        <v>78</v>
      </c>
      <c r="D42" s="23">
        <v>8</v>
      </c>
      <c r="E42" s="24">
        <v>130</v>
      </c>
      <c r="F42" s="25">
        <v>0</v>
      </c>
      <c r="G42" s="25">
        <v>0.12</v>
      </c>
      <c r="H42" s="22">
        <v>9.2499999999999999E-2</v>
      </c>
      <c r="I42" s="24">
        <f>IFERROR((E42*(1+F42))-((E42*(1+F42))*H42)-(E42*12%)+(Y42/D42),0)</f>
        <v>102.375</v>
      </c>
      <c r="J42" s="22">
        <v>0</v>
      </c>
      <c r="K42" s="22">
        <v>0.02</v>
      </c>
      <c r="L42" s="22">
        <v>5.0000000000000001E-3</v>
      </c>
      <c r="M42" s="22">
        <f t="shared" si="50"/>
        <v>0</v>
      </c>
      <c r="N42" s="22">
        <v>0</v>
      </c>
      <c r="O42" s="22">
        <v>0.15</v>
      </c>
      <c r="P42" s="24">
        <f t="shared" si="51"/>
        <v>139.76109215017067</v>
      </c>
      <c r="Q42" s="24">
        <f t="shared" si="52"/>
        <v>1118.0887372013653</v>
      </c>
      <c r="R42" s="24">
        <f t="shared" si="53"/>
        <v>1040</v>
      </c>
      <c r="S42" s="24">
        <f t="shared" si="54"/>
        <v>0</v>
      </c>
      <c r="T42" s="24">
        <f t="shared" si="62"/>
        <v>-124.8</v>
      </c>
      <c r="U42" s="24">
        <f t="shared" si="55"/>
        <v>7.2232081911262949</v>
      </c>
      <c r="V42" s="24">
        <f t="shared" si="56"/>
        <v>0</v>
      </c>
      <c r="W42" s="24">
        <f t="shared" si="57"/>
        <v>22.361774744027308</v>
      </c>
      <c r="X42" s="24">
        <f t="shared" si="58"/>
        <v>5.590443686006827</v>
      </c>
      <c r="Y42" s="24">
        <f t="shared" si="48"/>
        <v>0</v>
      </c>
      <c r="Z42" s="24">
        <f t="shared" si="59"/>
        <v>0</v>
      </c>
      <c r="AA42" s="11">
        <f t="shared" si="60"/>
        <v>167.71331058020485</v>
      </c>
      <c r="AB42" s="9">
        <f t="shared" ref="AB42:AB43" si="63">IFERROR(AA42/Q42,0)</f>
        <v>0.15000000000000005</v>
      </c>
    </row>
    <row r="43" spans="2:28" x14ac:dyDescent="0.25">
      <c r="Q43" s="28">
        <f t="shared" ref="Q43:X43" si="64">SUM(Q36:Q42)</f>
        <v>57991.430177201561</v>
      </c>
      <c r="R43" s="28">
        <f t="shared" si="64"/>
        <v>36348.725092000001</v>
      </c>
      <c r="S43" s="28">
        <f t="shared" si="64"/>
        <v>522.54539999999997</v>
      </c>
      <c r="T43" s="28">
        <f t="shared" si="64"/>
        <v>-916.93501103999984</v>
      </c>
      <c r="U43" s="28">
        <f t="shared" si="64"/>
        <v>1953.6147708811445</v>
      </c>
      <c r="V43" s="28">
        <f t="shared" si="64"/>
        <v>0</v>
      </c>
      <c r="W43" s="28">
        <f t="shared" si="64"/>
        <v>1159.828603544031</v>
      </c>
      <c r="X43" s="28">
        <f t="shared" si="64"/>
        <v>289.95715088600775</v>
      </c>
      <c r="Y43" s="37">
        <v>0</v>
      </c>
      <c r="Z43" s="28">
        <f>SUM(Z36:Z42)</f>
        <v>0</v>
      </c>
      <c r="AA43" s="28">
        <f>SUM(AA36:AA42)</f>
        <v>18633.694170930376</v>
      </c>
      <c r="AB43" s="12">
        <f t="shared" si="63"/>
        <v>0.32131806568646976</v>
      </c>
    </row>
    <row r="44" spans="2:28" x14ac:dyDescent="0.25">
      <c r="Q44" s="28">
        <f>Q43*0.35</f>
        <v>20297.000562020545</v>
      </c>
      <c r="R44" s="27">
        <f>R43/$Q$12</f>
        <v>0.26316987049336044</v>
      </c>
      <c r="S44" s="27">
        <f t="shared" ref="S44:AA44" si="65">S43/$Q$12</f>
        <v>3.7833020249496353E-3</v>
      </c>
      <c r="T44" s="27">
        <f t="shared" si="65"/>
        <v>-6.6387381536893207E-3</v>
      </c>
      <c r="U44" s="27">
        <f t="shared" si="65"/>
        <v>1.4144445092514741E-2</v>
      </c>
      <c r="V44" s="27">
        <f t="shared" si="65"/>
        <v>0</v>
      </c>
      <c r="W44" s="27">
        <f t="shared" si="65"/>
        <v>8.3973218487477658E-3</v>
      </c>
      <c r="X44" s="27">
        <f t="shared" si="65"/>
        <v>2.0993304621869414E-3</v>
      </c>
      <c r="Y44" s="27">
        <f t="shared" si="65"/>
        <v>0</v>
      </c>
      <c r="Z44" s="27">
        <f t="shared" si="65"/>
        <v>0</v>
      </c>
      <c r="AA44" s="27">
        <f t="shared" si="65"/>
        <v>0.13491056066931811</v>
      </c>
      <c r="AB44" s="29"/>
    </row>
    <row r="50" spans="2:28" x14ac:dyDescent="0.25">
      <c r="B50" s="34" t="s">
        <v>34</v>
      </c>
      <c r="C50" s="34" t="s">
        <v>35</v>
      </c>
      <c r="D50" s="33" t="s">
        <v>19</v>
      </c>
      <c r="E50" s="34" t="s">
        <v>25</v>
      </c>
      <c r="F50" s="34" t="s">
        <v>8</v>
      </c>
      <c r="G50" s="34" t="s">
        <v>9</v>
      </c>
      <c r="H50" s="34" t="s">
        <v>26</v>
      </c>
      <c r="I50" s="34" t="s">
        <v>27</v>
      </c>
      <c r="J50" s="34" t="s">
        <v>0</v>
      </c>
      <c r="K50" s="34" t="s">
        <v>31</v>
      </c>
      <c r="L50" s="34" t="s">
        <v>32</v>
      </c>
      <c r="M50" s="35" t="s">
        <v>33</v>
      </c>
      <c r="N50" s="34" t="s">
        <v>28</v>
      </c>
      <c r="O50" s="35" t="s">
        <v>52</v>
      </c>
      <c r="P50" s="34" t="s">
        <v>29</v>
      </c>
      <c r="Q50" s="34" t="s">
        <v>30</v>
      </c>
      <c r="R50" s="34" t="s">
        <v>36</v>
      </c>
      <c r="S50" s="34" t="s">
        <v>8</v>
      </c>
      <c r="T50" s="34" t="s">
        <v>9</v>
      </c>
      <c r="U50" s="34" t="s">
        <v>26</v>
      </c>
      <c r="V50" s="34" t="s">
        <v>0</v>
      </c>
      <c r="W50" s="34" t="s">
        <v>31</v>
      </c>
      <c r="X50" s="34" t="s">
        <v>32</v>
      </c>
      <c r="Y50" s="34" t="s">
        <v>33</v>
      </c>
      <c r="Z50" s="34" t="s">
        <v>28</v>
      </c>
      <c r="AA50" s="36" t="s">
        <v>37</v>
      </c>
      <c r="AB50" s="10"/>
    </row>
    <row r="51" spans="2:28" x14ac:dyDescent="0.25">
      <c r="B51" s="16">
        <v>29138</v>
      </c>
      <c r="C51" s="31" t="s">
        <v>50</v>
      </c>
      <c r="D51" s="23">
        <v>52</v>
      </c>
      <c r="E51" s="24">
        <v>956.92</v>
      </c>
      <c r="F51" s="25">
        <v>0</v>
      </c>
      <c r="G51" s="25">
        <v>0</v>
      </c>
      <c r="H51" s="22">
        <v>9.2499999999999999E-2</v>
      </c>
      <c r="I51" s="58">
        <f>((E51*(1+F51))-((E51*(1+F51))*H51)-(E51*G51))+(Y51/D51)</f>
        <v>868.4049</v>
      </c>
      <c r="J51" s="22">
        <v>0</v>
      </c>
      <c r="K51" s="22">
        <v>0.02</v>
      </c>
      <c r="L51" s="22">
        <v>5.0000000000000001E-3</v>
      </c>
      <c r="M51" s="22">
        <f>Y51/Q51</f>
        <v>0</v>
      </c>
      <c r="N51" s="22">
        <v>0</v>
      </c>
      <c r="O51" s="22">
        <v>0.1</v>
      </c>
      <c r="P51" s="24">
        <f>I51/(1-H51-0%-J51-K51-L51-N51-O51)</f>
        <v>1109.7826198083067</v>
      </c>
      <c r="Q51" s="24">
        <f>D51*P51</f>
        <v>57708.696230031943</v>
      </c>
      <c r="R51" s="24">
        <f>D51*E51</f>
        <v>49759.839999999997</v>
      </c>
      <c r="S51" s="24">
        <f>R51*F51</f>
        <v>0</v>
      </c>
      <c r="T51" s="24">
        <f>(Q51*0%)</f>
        <v>0</v>
      </c>
      <c r="U51" s="24">
        <f>(Q51-(R51+S51))*9.25%</f>
        <v>735.26920127795506</v>
      </c>
      <c r="V51" s="24">
        <f>(Q51*J51)</f>
        <v>0</v>
      </c>
      <c r="W51" s="24">
        <f>Q51*K51</f>
        <v>1154.1739246006389</v>
      </c>
      <c r="X51" s="24">
        <f>Q51*L51</f>
        <v>288.54348115015972</v>
      </c>
      <c r="Y51" s="24">
        <f t="shared" ref="Y51:Y57" si="66">((R51+S51)/($R$12+$S$12))*$Y$12</f>
        <v>0</v>
      </c>
      <c r="Z51" s="24">
        <f>Q51*N51</f>
        <v>0</v>
      </c>
      <c r="AA51" s="11">
        <f>Q51-SUM(R51:Z51)</f>
        <v>5770.8696230031928</v>
      </c>
      <c r="AB51" s="9">
        <f t="shared" ref="AB51:AB55" si="67">IFERROR(AA51/Q51,0)</f>
        <v>9.9999999999999978E-2</v>
      </c>
    </row>
    <row r="52" spans="2:28" x14ac:dyDescent="0.25">
      <c r="B52" s="16">
        <v>21800</v>
      </c>
      <c r="C52" s="31" t="s">
        <v>82</v>
      </c>
      <c r="D52" s="23">
        <v>1</v>
      </c>
      <c r="E52" s="24">
        <v>13570</v>
      </c>
      <c r="F52" s="22">
        <v>9.7500000000000003E-2</v>
      </c>
      <c r="G52" s="25">
        <v>0.12</v>
      </c>
      <c r="H52" s="22">
        <v>9.2499999999999999E-2</v>
      </c>
      <c r="I52" s="24">
        <f>(E52*(1+F52))-((E52*(1+F52))*H52)-(E52*12%)+(Y52/D52)</f>
        <v>11887.0655625</v>
      </c>
      <c r="J52" s="22">
        <v>0</v>
      </c>
      <c r="K52" s="22">
        <v>0.02</v>
      </c>
      <c r="L52" s="22">
        <v>5.0000000000000001E-3</v>
      </c>
      <c r="M52" s="22">
        <f t="shared" ref="M52:M57" si="68">Y52/Q52</f>
        <v>0</v>
      </c>
      <c r="N52" s="22">
        <v>0</v>
      </c>
      <c r="O52" s="22">
        <v>0.1</v>
      </c>
      <c r="P52" s="24">
        <f t="shared" ref="P52:P57" si="69">I52/(1-H52-0%-J52-K52-L52-N52-O52)</f>
        <v>15191.138099041535</v>
      </c>
      <c r="Q52" s="24">
        <f t="shared" ref="Q52:Q57" si="70">D52*P52</f>
        <v>15191.138099041535</v>
      </c>
      <c r="R52" s="24">
        <f t="shared" ref="R52:R57" si="71">D52*E52</f>
        <v>13570</v>
      </c>
      <c r="S52" s="24">
        <f t="shared" ref="S52:S57" si="72">R52*F52</f>
        <v>1323.075</v>
      </c>
      <c r="T52" s="24">
        <f>(Q52*0%)-(R52*12%)</f>
        <v>-1628.3999999999999</v>
      </c>
      <c r="U52" s="24">
        <f t="shared" ref="U52:U57" si="73">(Q52-(R52+S52))*9.25%</f>
        <v>27.570836661341882</v>
      </c>
      <c r="V52" s="24">
        <f t="shared" ref="V52:V57" si="74">Q52*J52</f>
        <v>0</v>
      </c>
      <c r="W52" s="24">
        <f t="shared" ref="W52:W57" si="75">Q52*K52</f>
        <v>303.82276198083071</v>
      </c>
      <c r="X52" s="24">
        <f t="shared" ref="X52:X57" si="76">Q52*L52</f>
        <v>75.955690495207676</v>
      </c>
      <c r="Y52" s="24">
        <f t="shared" si="66"/>
        <v>0</v>
      </c>
      <c r="Z52" s="24">
        <f t="shared" ref="Z52:Z57" si="77">Q52*N52</f>
        <v>0</v>
      </c>
      <c r="AA52" s="11">
        <f t="shared" ref="AA52:AA57" si="78">Q52-SUM(R52:Z52)</f>
        <v>1519.1138099041527</v>
      </c>
      <c r="AB52" s="9">
        <f t="shared" si="67"/>
        <v>9.999999999999995E-2</v>
      </c>
    </row>
    <row r="53" spans="2:28" x14ac:dyDescent="0.25">
      <c r="B53" s="16">
        <v>24646</v>
      </c>
      <c r="C53" s="32" t="s">
        <v>83</v>
      </c>
      <c r="D53" s="23">
        <v>200</v>
      </c>
      <c r="E53" s="24">
        <v>4.7</v>
      </c>
      <c r="F53" s="25">
        <v>0</v>
      </c>
      <c r="G53" s="25">
        <v>0.12</v>
      </c>
      <c r="H53" s="22">
        <v>9.2499999999999999E-2</v>
      </c>
      <c r="I53" s="24">
        <f t="shared" ref="I53:I56" si="79">(E53*(1+F53))-((E53*(1+F53))*H53)-(E53*12%)+(Y53/D53)</f>
        <v>3.7012499999999999</v>
      </c>
      <c r="J53" s="22">
        <v>0</v>
      </c>
      <c r="K53" s="22">
        <v>0.02</v>
      </c>
      <c r="L53" s="22">
        <v>5.0000000000000001E-3</v>
      </c>
      <c r="M53" s="22">
        <f t="shared" si="68"/>
        <v>0</v>
      </c>
      <c r="N53" s="22">
        <v>0</v>
      </c>
      <c r="O53" s="22">
        <v>0.1</v>
      </c>
      <c r="P53" s="24">
        <f t="shared" si="69"/>
        <v>4.7300319488817895</v>
      </c>
      <c r="Q53" s="24">
        <f t="shared" si="70"/>
        <v>946.00638977635788</v>
      </c>
      <c r="R53" s="24">
        <f t="shared" si="71"/>
        <v>940</v>
      </c>
      <c r="S53" s="24">
        <f t="shared" si="72"/>
        <v>0</v>
      </c>
      <c r="T53" s="24">
        <f t="shared" ref="T53:T57" si="80">(Q53*0%)-(R53*12%)</f>
        <v>-112.8</v>
      </c>
      <c r="U53" s="24">
        <f t="shared" si="73"/>
        <v>0.55559105431310374</v>
      </c>
      <c r="V53" s="24">
        <f t="shared" si="74"/>
        <v>0</v>
      </c>
      <c r="W53" s="24">
        <f t="shared" si="75"/>
        <v>18.920127795527158</v>
      </c>
      <c r="X53" s="24">
        <f t="shared" si="76"/>
        <v>4.7300319488817895</v>
      </c>
      <c r="Y53" s="24">
        <f t="shared" si="66"/>
        <v>0</v>
      </c>
      <c r="Z53" s="24">
        <f t="shared" si="77"/>
        <v>0</v>
      </c>
      <c r="AA53" s="11">
        <f t="shared" si="78"/>
        <v>94.600638977635754</v>
      </c>
      <c r="AB53" s="9">
        <f t="shared" si="67"/>
        <v>9.9999999999999964E-2</v>
      </c>
    </row>
    <row r="54" spans="2:28" x14ac:dyDescent="0.25">
      <c r="B54" s="16">
        <v>24645</v>
      </c>
      <c r="C54" s="32" t="s">
        <v>84</v>
      </c>
      <c r="D54" s="23">
        <v>200</v>
      </c>
      <c r="E54" s="24">
        <v>4.7</v>
      </c>
      <c r="F54" s="25">
        <v>0</v>
      </c>
      <c r="G54" s="25">
        <v>0.12</v>
      </c>
      <c r="H54" s="22">
        <v>9.2499999999999999E-2</v>
      </c>
      <c r="I54" s="24">
        <f t="shared" si="79"/>
        <v>3.7012499999999999</v>
      </c>
      <c r="J54" s="22">
        <v>0</v>
      </c>
      <c r="K54" s="22">
        <v>0.02</v>
      </c>
      <c r="L54" s="22">
        <v>5.0000000000000001E-3</v>
      </c>
      <c r="M54" s="22">
        <f t="shared" si="68"/>
        <v>0</v>
      </c>
      <c r="N54" s="22">
        <v>0</v>
      </c>
      <c r="O54" s="22">
        <v>0.1</v>
      </c>
      <c r="P54" s="24">
        <f t="shared" si="69"/>
        <v>4.7300319488817895</v>
      </c>
      <c r="Q54" s="24">
        <f t="shared" si="70"/>
        <v>946.00638977635788</v>
      </c>
      <c r="R54" s="24">
        <f t="shared" si="71"/>
        <v>940</v>
      </c>
      <c r="S54" s="24">
        <f t="shared" si="72"/>
        <v>0</v>
      </c>
      <c r="T54" s="24">
        <f t="shared" si="80"/>
        <v>-112.8</v>
      </c>
      <c r="U54" s="24">
        <f t="shared" si="73"/>
        <v>0.55559105431310374</v>
      </c>
      <c r="V54" s="24">
        <f t="shared" si="74"/>
        <v>0</v>
      </c>
      <c r="W54" s="24">
        <f t="shared" si="75"/>
        <v>18.920127795527158</v>
      </c>
      <c r="X54" s="24">
        <f t="shared" si="76"/>
        <v>4.7300319488817895</v>
      </c>
      <c r="Y54" s="24">
        <f t="shared" si="66"/>
        <v>0</v>
      </c>
      <c r="Z54" s="24">
        <f t="shared" si="77"/>
        <v>0</v>
      </c>
      <c r="AA54" s="11">
        <f t="shared" si="78"/>
        <v>94.600638977635754</v>
      </c>
      <c r="AB54" s="9">
        <f t="shared" si="67"/>
        <v>9.9999999999999964E-2</v>
      </c>
    </row>
    <row r="55" spans="2:28" x14ac:dyDescent="0.25">
      <c r="B55" s="16">
        <v>32066</v>
      </c>
      <c r="C55" s="31" t="s">
        <v>81</v>
      </c>
      <c r="D55" s="23">
        <v>20</v>
      </c>
      <c r="E55" s="24">
        <v>7.65</v>
      </c>
      <c r="F55" s="25">
        <v>3.2500000000000001E-2</v>
      </c>
      <c r="G55" s="25">
        <v>0.12</v>
      </c>
      <c r="H55" s="22">
        <v>9.2499999999999999E-2</v>
      </c>
      <c r="I55" s="24">
        <f t="shared" si="79"/>
        <v>6.2500021874999998</v>
      </c>
      <c r="J55" s="22">
        <v>0</v>
      </c>
      <c r="K55" s="22">
        <v>0.02</v>
      </c>
      <c r="L55" s="22">
        <v>5.0000000000000001E-3</v>
      </c>
      <c r="M55" s="22">
        <f t="shared" si="68"/>
        <v>0</v>
      </c>
      <c r="N55" s="22">
        <v>0</v>
      </c>
      <c r="O55" s="22">
        <v>0.1</v>
      </c>
      <c r="P55" s="24">
        <f t="shared" si="69"/>
        <v>7.9872232428115018</v>
      </c>
      <c r="Q55" s="24">
        <f t="shared" si="70"/>
        <v>159.74446485623002</v>
      </c>
      <c r="R55" s="24">
        <f t="shared" si="71"/>
        <v>153</v>
      </c>
      <c r="S55" s="24">
        <f t="shared" si="72"/>
        <v>4.9725000000000001</v>
      </c>
      <c r="T55" s="24">
        <f t="shared" si="80"/>
        <v>-18.36</v>
      </c>
      <c r="U55" s="24">
        <f t="shared" si="73"/>
        <v>0.16390674920127757</v>
      </c>
      <c r="V55" s="24">
        <f t="shared" si="74"/>
        <v>0</v>
      </c>
      <c r="W55" s="24">
        <f t="shared" si="75"/>
        <v>3.1948892971246003</v>
      </c>
      <c r="X55" s="24">
        <f t="shared" si="76"/>
        <v>0.79872232428115009</v>
      </c>
      <c r="Y55" s="24">
        <f t="shared" si="66"/>
        <v>0</v>
      </c>
      <c r="Z55" s="24">
        <f t="shared" si="77"/>
        <v>0</v>
      </c>
      <c r="AA55" s="11">
        <f t="shared" si="78"/>
        <v>15.974446485622963</v>
      </c>
      <c r="AB55" s="9">
        <f t="shared" si="67"/>
        <v>9.9999999999999756E-2</v>
      </c>
    </row>
    <row r="56" spans="2:28" x14ac:dyDescent="0.25">
      <c r="B56" s="16">
        <v>21867</v>
      </c>
      <c r="C56" s="31" t="s">
        <v>78</v>
      </c>
      <c r="D56" s="23">
        <v>8</v>
      </c>
      <c r="E56" s="24">
        <v>130</v>
      </c>
      <c r="F56" s="25">
        <v>0</v>
      </c>
      <c r="G56" s="25">
        <v>0.12</v>
      </c>
      <c r="H56" s="22">
        <v>9.2499999999999999E-2</v>
      </c>
      <c r="I56" s="24">
        <f t="shared" si="79"/>
        <v>102.375</v>
      </c>
      <c r="J56" s="22">
        <v>0</v>
      </c>
      <c r="K56" s="22">
        <v>0.02</v>
      </c>
      <c r="L56" s="22">
        <v>5.0000000000000001E-3</v>
      </c>
      <c r="M56" s="22">
        <f t="shared" si="68"/>
        <v>0</v>
      </c>
      <c r="N56" s="22">
        <v>0</v>
      </c>
      <c r="O56" s="22">
        <v>0.1</v>
      </c>
      <c r="P56" s="24">
        <f t="shared" si="69"/>
        <v>130.83067092651757</v>
      </c>
      <c r="Q56" s="24">
        <f t="shared" si="70"/>
        <v>1046.6453674121406</v>
      </c>
      <c r="R56" s="24">
        <f t="shared" si="71"/>
        <v>1040</v>
      </c>
      <c r="S56" s="24">
        <f t="shared" si="72"/>
        <v>0</v>
      </c>
      <c r="T56" s="24">
        <f t="shared" si="80"/>
        <v>-124.8</v>
      </c>
      <c r="U56" s="24">
        <f t="shared" si="73"/>
        <v>0.61469648562300161</v>
      </c>
      <c r="V56" s="24">
        <f t="shared" si="74"/>
        <v>0</v>
      </c>
      <c r="W56" s="24">
        <f t="shared" si="75"/>
        <v>20.932907348242811</v>
      </c>
      <c r="X56" s="24">
        <f t="shared" si="76"/>
        <v>5.2332268370607027</v>
      </c>
      <c r="Y56" s="24">
        <f t="shared" si="66"/>
        <v>0</v>
      </c>
      <c r="Z56" s="24">
        <f t="shared" si="77"/>
        <v>0</v>
      </c>
      <c r="AA56" s="11">
        <f t="shared" si="78"/>
        <v>104.66453674121408</v>
      </c>
      <c r="AB56" s="9"/>
    </row>
    <row r="57" spans="2:28" x14ac:dyDescent="0.25">
      <c r="B57" s="16">
        <v>22396</v>
      </c>
      <c r="C57" s="31" t="s">
        <v>85</v>
      </c>
      <c r="D57" s="23">
        <v>2</v>
      </c>
      <c r="E57" s="24">
        <v>155</v>
      </c>
      <c r="F57" s="25">
        <v>0</v>
      </c>
      <c r="G57" s="25">
        <v>0.12</v>
      </c>
      <c r="H57" s="22">
        <v>9.2499999999999999E-2</v>
      </c>
      <c r="I57" s="24">
        <f>IFERROR((E57*(1+F57))-((E57*(1+F57))*H57)-(E57*12%)+(Y57/D57),0)</f>
        <v>122.0625</v>
      </c>
      <c r="J57" s="22">
        <v>0</v>
      </c>
      <c r="K57" s="22">
        <v>0.02</v>
      </c>
      <c r="L57" s="22">
        <v>5.0000000000000001E-3</v>
      </c>
      <c r="M57" s="22">
        <f t="shared" si="68"/>
        <v>0</v>
      </c>
      <c r="N57" s="22">
        <v>0</v>
      </c>
      <c r="O57" s="22">
        <v>0.1</v>
      </c>
      <c r="P57" s="24">
        <f t="shared" si="69"/>
        <v>155.99041533546327</v>
      </c>
      <c r="Q57" s="24">
        <f t="shared" si="70"/>
        <v>311.98083067092654</v>
      </c>
      <c r="R57" s="24">
        <f t="shared" si="71"/>
        <v>310</v>
      </c>
      <c r="S57" s="24">
        <f t="shared" si="72"/>
        <v>0</v>
      </c>
      <c r="T57" s="24">
        <f t="shared" si="80"/>
        <v>-37.199999999999996</v>
      </c>
      <c r="U57" s="24">
        <f t="shared" si="73"/>
        <v>0.18322683706070464</v>
      </c>
      <c r="V57" s="24">
        <f t="shared" si="74"/>
        <v>0</v>
      </c>
      <c r="W57" s="24">
        <f t="shared" si="75"/>
        <v>6.2396166134185309</v>
      </c>
      <c r="X57" s="24">
        <f t="shared" si="76"/>
        <v>1.5599041533546327</v>
      </c>
      <c r="Y57" s="24">
        <f t="shared" si="66"/>
        <v>0</v>
      </c>
      <c r="Z57" s="24">
        <f t="shared" si="77"/>
        <v>0</v>
      </c>
      <c r="AA57" s="11">
        <f t="shared" si="78"/>
        <v>31.198083067092625</v>
      </c>
      <c r="AB57" s="9">
        <f t="shared" ref="AB57:AB58" si="81">IFERROR(AA57/Q57,0)</f>
        <v>9.9999999999999908E-2</v>
      </c>
    </row>
    <row r="58" spans="2:28" x14ac:dyDescent="0.25">
      <c r="Q58" s="28">
        <f t="shared" ref="Q58:X58" si="82">SUM(Q51:Q57)</f>
        <v>76310.217771565498</v>
      </c>
      <c r="R58" s="28">
        <f t="shared" si="82"/>
        <v>66712.84</v>
      </c>
      <c r="S58" s="28">
        <f t="shared" si="82"/>
        <v>1328.0475000000001</v>
      </c>
      <c r="T58" s="28">
        <f t="shared" si="82"/>
        <v>-2034.3599999999997</v>
      </c>
      <c r="U58" s="28">
        <f t="shared" si="82"/>
        <v>764.91305011980819</v>
      </c>
      <c r="V58" s="28">
        <f t="shared" si="82"/>
        <v>0</v>
      </c>
      <c r="W58" s="28">
        <f t="shared" si="82"/>
        <v>1526.2043554313098</v>
      </c>
      <c r="X58" s="28">
        <f t="shared" si="82"/>
        <v>381.55108885782744</v>
      </c>
      <c r="Y58" s="37">
        <v>5000</v>
      </c>
      <c r="Z58" s="28">
        <f>SUM(Z51:Z57)</f>
        <v>0</v>
      </c>
      <c r="AA58" s="28">
        <f>SUM(AA51:AA57)</f>
        <v>7631.0217771565467</v>
      </c>
      <c r="AB58" s="12">
        <f t="shared" si="81"/>
        <v>9.9999999999999964E-2</v>
      </c>
    </row>
    <row r="59" spans="2:28" x14ac:dyDescent="0.25">
      <c r="Q59" s="28">
        <f>Q58/28.08</f>
        <v>2717.6003479902242</v>
      </c>
      <c r="R59" s="27">
        <f>R58/$Q$12</f>
        <v>0.48301032343245398</v>
      </c>
      <c r="S59" s="27">
        <f t="shared" ref="S59:AA59" si="83">S58/$Q$12</f>
        <v>9.6152502652961849E-3</v>
      </c>
      <c r="T59" s="27">
        <f t="shared" si="83"/>
        <v>-1.4729051882336997E-2</v>
      </c>
      <c r="U59" s="27">
        <f t="shared" si="83"/>
        <v>5.5380778233406558E-3</v>
      </c>
      <c r="V59" s="27">
        <f t="shared" si="83"/>
        <v>0</v>
      </c>
      <c r="W59" s="27">
        <f t="shared" si="83"/>
        <v>1.1049933706028657E-2</v>
      </c>
      <c r="X59" s="27">
        <f t="shared" si="83"/>
        <v>2.7624834265071643E-3</v>
      </c>
      <c r="Y59" s="27">
        <f t="shared" si="83"/>
        <v>3.6200701651470241E-2</v>
      </c>
      <c r="Z59" s="27">
        <f t="shared" si="83"/>
        <v>0</v>
      </c>
      <c r="AA59" s="27">
        <f t="shared" si="83"/>
        <v>5.5249668530143271E-2</v>
      </c>
      <c r="AB59" s="29"/>
    </row>
    <row r="61" spans="2:28" x14ac:dyDescent="0.25">
      <c r="Q61">
        <v>77309</v>
      </c>
    </row>
    <row r="62" spans="2:28" x14ac:dyDescent="0.25">
      <c r="Q62" s="9">
        <f>Q58/Q61-1</f>
        <v>-1.2919352577765886E-2</v>
      </c>
    </row>
    <row r="65" spans="2:28" x14ac:dyDescent="0.25">
      <c r="B65" s="34" t="s">
        <v>34</v>
      </c>
      <c r="C65" s="34" t="s">
        <v>35</v>
      </c>
      <c r="D65" s="33" t="s">
        <v>19</v>
      </c>
      <c r="E65" s="34" t="s">
        <v>25</v>
      </c>
      <c r="F65" s="34" t="s">
        <v>8</v>
      </c>
      <c r="G65" s="34" t="s">
        <v>9</v>
      </c>
      <c r="H65" s="34" t="s">
        <v>26</v>
      </c>
      <c r="I65" s="34" t="s">
        <v>27</v>
      </c>
      <c r="J65" s="34" t="s">
        <v>0</v>
      </c>
      <c r="K65" s="34" t="s">
        <v>31</v>
      </c>
      <c r="L65" s="34" t="s">
        <v>32</v>
      </c>
      <c r="M65" s="35" t="s">
        <v>33</v>
      </c>
      <c r="N65" s="34" t="s">
        <v>28</v>
      </c>
      <c r="O65" s="35" t="s">
        <v>52</v>
      </c>
      <c r="P65" s="34" t="s">
        <v>29</v>
      </c>
      <c r="Q65" s="34" t="s">
        <v>30</v>
      </c>
      <c r="R65" s="34" t="s">
        <v>36</v>
      </c>
      <c r="S65" s="34" t="s">
        <v>8</v>
      </c>
      <c r="T65" s="34" t="s">
        <v>9</v>
      </c>
      <c r="U65" s="34" t="s">
        <v>26</v>
      </c>
      <c r="V65" s="34" t="s">
        <v>0</v>
      </c>
      <c r="W65" s="34" t="s">
        <v>31</v>
      </c>
      <c r="X65" s="34" t="s">
        <v>32</v>
      </c>
      <c r="Y65" s="34" t="s">
        <v>33</v>
      </c>
      <c r="Z65" s="34" t="s">
        <v>28</v>
      </c>
      <c r="AA65" s="36" t="s">
        <v>37</v>
      </c>
      <c r="AB65" s="10"/>
    </row>
    <row r="66" spans="2:28" x14ac:dyDescent="0.25">
      <c r="B66" s="16">
        <v>29138</v>
      </c>
      <c r="C66" s="31" t="s">
        <v>50</v>
      </c>
      <c r="D66" s="23">
        <v>15</v>
      </c>
      <c r="E66" s="24">
        <v>956.92</v>
      </c>
      <c r="F66" s="25">
        <v>0</v>
      </c>
      <c r="G66" s="25">
        <v>0</v>
      </c>
      <c r="H66" s="22">
        <v>9.2499999999999999E-2</v>
      </c>
      <c r="I66" s="40">
        <f>((E66*(1+F66))-((E66*(1+F66))*H66)-(E66*G66))+(Y66/D66)</f>
        <v>868.4049</v>
      </c>
      <c r="J66" s="22">
        <v>0</v>
      </c>
      <c r="K66" s="22">
        <v>0.02</v>
      </c>
      <c r="L66" s="22">
        <v>5.0000000000000001E-3</v>
      </c>
      <c r="M66" s="22">
        <f>Y66/Q66</f>
        <v>0</v>
      </c>
      <c r="N66" s="22">
        <v>0</v>
      </c>
      <c r="O66" s="22">
        <v>0.15</v>
      </c>
      <c r="P66" s="24">
        <f>I66/(1-H66-0%-J66-K66-L66-N66-O66)</f>
        <v>1185.5356996587032</v>
      </c>
      <c r="Q66" s="24">
        <f>D66*P66</f>
        <v>17783.035494880547</v>
      </c>
      <c r="R66" s="24">
        <f>D66*E66</f>
        <v>14353.8</v>
      </c>
      <c r="S66" s="24">
        <f>R66*F66</f>
        <v>0</v>
      </c>
      <c r="T66" s="24">
        <f>(Q66*0%)</f>
        <v>0</v>
      </c>
      <c r="U66" s="24">
        <f>(Q66-(R66+S66))*9.25%</f>
        <v>317.20428327645067</v>
      </c>
      <c r="V66" s="24">
        <f>(Q66*J66)</f>
        <v>0</v>
      </c>
      <c r="W66" s="24">
        <f>Q66*K66</f>
        <v>355.66070989761096</v>
      </c>
      <c r="X66" s="24">
        <f>Q66*L66</f>
        <v>88.915177474402739</v>
      </c>
      <c r="Y66" s="24">
        <f>((R66+S66)/($R$73+$S$73))*$Y$73</f>
        <v>0</v>
      </c>
      <c r="Z66" s="24">
        <f>Q66*N66</f>
        <v>0</v>
      </c>
      <c r="AA66" s="11">
        <f>Q66-SUM(R66:Z66)</f>
        <v>2667.4553242320835</v>
      </c>
      <c r="AB66" s="9">
        <f t="shared" ref="AB66:AB73" si="84">IFERROR(AA66/Q66,0)</f>
        <v>0.15000000000000008</v>
      </c>
    </row>
    <row r="67" spans="2:28" x14ac:dyDescent="0.25">
      <c r="B67" s="16">
        <v>32801</v>
      </c>
      <c r="C67" s="31" t="s">
        <v>86</v>
      </c>
      <c r="D67" s="23">
        <v>1</v>
      </c>
      <c r="E67" s="24">
        <v>3910.4</v>
      </c>
      <c r="F67" s="22">
        <v>9.7500000000000003E-2</v>
      </c>
      <c r="G67" s="25">
        <v>0.12</v>
      </c>
      <c r="H67" s="22">
        <v>9.2499999999999999E-2</v>
      </c>
      <c r="I67" s="24">
        <f>(E67*(1+F67))-((E67*(1+F67))*H67)-(E67*12%)+(Y67/D67)</f>
        <v>3425.4370799999997</v>
      </c>
      <c r="J67" s="22">
        <v>0</v>
      </c>
      <c r="K67" s="22">
        <v>0.02</v>
      </c>
      <c r="L67" s="22">
        <v>5.0000000000000001E-3</v>
      </c>
      <c r="M67" s="22">
        <f t="shared" ref="M67:M72" si="85">Y67/Q67</f>
        <v>0</v>
      </c>
      <c r="N67" s="22">
        <v>0</v>
      </c>
      <c r="O67" s="22">
        <v>0.251</v>
      </c>
      <c r="P67" s="24">
        <f t="shared" ref="P67:P72" si="86">I67/(1-H67-0%-J67-K67-L67-N67-O67)</f>
        <v>5424.2867458432302</v>
      </c>
      <c r="Q67" s="24">
        <f t="shared" ref="Q67:Q72" si="87">D67*P67</f>
        <v>5424.2867458432302</v>
      </c>
      <c r="R67" s="24">
        <f t="shared" ref="R67:R72" si="88">D67*E67</f>
        <v>3910.4</v>
      </c>
      <c r="S67" s="24">
        <f t="shared" ref="S67:S72" si="89">R67*F67</f>
        <v>381.26400000000001</v>
      </c>
      <c r="T67" s="24">
        <f>(Q67*0%)-(R67*12%)</f>
        <v>-469.24799999999999</v>
      </c>
      <c r="U67" s="24">
        <f t="shared" ref="U67:U72" si="90">(Q67-(R67+S67))*9.25%</f>
        <v>104.76760399049881</v>
      </c>
      <c r="V67" s="24">
        <f t="shared" ref="V67:V72" si="91">Q67*J67</f>
        <v>0</v>
      </c>
      <c r="W67" s="24">
        <f t="shared" ref="W67:W72" si="92">Q67*K67</f>
        <v>108.4857349168646</v>
      </c>
      <c r="X67" s="24">
        <f t="shared" ref="X67:X72" si="93">Q67*L67</f>
        <v>27.12143372921615</v>
      </c>
      <c r="Y67" s="24">
        <f t="shared" ref="Y67:Y72" si="94">((R67+S67)/($R$73+$S$73))*$Y$73</f>
        <v>0</v>
      </c>
      <c r="Z67" s="24">
        <f t="shared" ref="Z67:Z72" si="95">Q67*N67</f>
        <v>0</v>
      </c>
      <c r="AA67" s="11">
        <f t="shared" ref="AA67:AA72" si="96">Q67-SUM(R67:Z67)</f>
        <v>1361.4959732066509</v>
      </c>
      <c r="AB67" s="9">
        <f t="shared" si="84"/>
        <v>0.251</v>
      </c>
    </row>
    <row r="68" spans="2:28" x14ac:dyDescent="0.25">
      <c r="B68" s="16">
        <v>30085</v>
      </c>
      <c r="C68" s="32" t="s">
        <v>87</v>
      </c>
      <c r="D68" s="23">
        <v>1</v>
      </c>
      <c r="E68" s="24">
        <v>425.4</v>
      </c>
      <c r="F68" s="25">
        <v>0</v>
      </c>
      <c r="G68" s="25">
        <v>0.12</v>
      </c>
      <c r="H68" s="22">
        <v>9.2499999999999999E-2</v>
      </c>
      <c r="I68" s="24">
        <f t="shared" ref="I68:I71" si="97">(E68*(1+F68))-((E68*(1+F68))*H68)-(E68*12%)+(Y68/D68)</f>
        <v>335.0025</v>
      </c>
      <c r="J68" s="22">
        <v>0</v>
      </c>
      <c r="K68" s="22">
        <v>0.02</v>
      </c>
      <c r="L68" s="22">
        <v>5.0000000000000001E-3</v>
      </c>
      <c r="M68" s="22">
        <f t="shared" si="85"/>
        <v>0</v>
      </c>
      <c r="N68" s="22">
        <v>0</v>
      </c>
      <c r="O68" s="22">
        <v>0.251</v>
      </c>
      <c r="P68" s="24">
        <f t="shared" si="86"/>
        <v>530.48693586698346</v>
      </c>
      <c r="Q68" s="24">
        <f t="shared" si="87"/>
        <v>530.48693586698346</v>
      </c>
      <c r="R68" s="24">
        <f t="shared" si="88"/>
        <v>425.4</v>
      </c>
      <c r="S68" s="24">
        <f t="shared" si="89"/>
        <v>0</v>
      </c>
      <c r="T68" s="24">
        <f t="shared" ref="T68:T72" si="98">(Q68*0%)-(R68*12%)</f>
        <v>-51.047999999999995</v>
      </c>
      <c r="U68" s="24">
        <f t="shared" si="90"/>
        <v>9.720541567695971</v>
      </c>
      <c r="V68" s="24">
        <f t="shared" si="91"/>
        <v>0</v>
      </c>
      <c r="W68" s="24">
        <f t="shared" si="92"/>
        <v>10.609738717339669</v>
      </c>
      <c r="X68" s="24">
        <f t="shared" si="93"/>
        <v>2.6524346793349172</v>
      </c>
      <c r="Y68" s="24">
        <f t="shared" si="94"/>
        <v>0</v>
      </c>
      <c r="Z68" s="24">
        <f t="shared" si="95"/>
        <v>0</v>
      </c>
      <c r="AA68" s="11">
        <f t="shared" si="96"/>
        <v>133.1522209026129</v>
      </c>
      <c r="AB68" s="9">
        <f t="shared" si="84"/>
        <v>0.25100000000000011</v>
      </c>
    </row>
    <row r="69" spans="2:28" x14ac:dyDescent="0.25">
      <c r="B69" s="16">
        <v>24646</v>
      </c>
      <c r="C69" s="32" t="s">
        <v>21</v>
      </c>
      <c r="D69" s="23">
        <v>40</v>
      </c>
      <c r="E69" s="24">
        <v>4.7</v>
      </c>
      <c r="F69" s="25">
        <v>0</v>
      </c>
      <c r="G69" s="25">
        <v>0.12</v>
      </c>
      <c r="H69" s="22">
        <v>9.2499999999999999E-2</v>
      </c>
      <c r="I69" s="24">
        <f t="shared" si="97"/>
        <v>3.7012499999999999</v>
      </c>
      <c r="J69" s="22">
        <v>0</v>
      </c>
      <c r="K69" s="22">
        <v>0.02</v>
      </c>
      <c r="L69" s="22">
        <v>5.0000000000000001E-3</v>
      </c>
      <c r="M69" s="22">
        <f t="shared" si="85"/>
        <v>0</v>
      </c>
      <c r="N69" s="22">
        <v>0</v>
      </c>
      <c r="O69" s="22">
        <v>0.3</v>
      </c>
      <c r="P69" s="24">
        <f t="shared" si="86"/>
        <v>6.3540772532188834</v>
      </c>
      <c r="Q69" s="24">
        <f t="shared" si="87"/>
        <v>254.16309012875533</v>
      </c>
      <c r="R69" s="24">
        <f t="shared" si="88"/>
        <v>188</v>
      </c>
      <c r="S69" s="24">
        <f t="shared" si="89"/>
        <v>0</v>
      </c>
      <c r="T69" s="24">
        <f t="shared" si="98"/>
        <v>-22.56</v>
      </c>
      <c r="U69" s="24">
        <f t="shared" si="90"/>
        <v>6.1200858369098681</v>
      </c>
      <c r="V69" s="24">
        <f t="shared" si="91"/>
        <v>0</v>
      </c>
      <c r="W69" s="24">
        <f t="shared" si="92"/>
        <v>5.0832618025751071</v>
      </c>
      <c r="X69" s="24">
        <f t="shared" si="93"/>
        <v>1.2708154506437768</v>
      </c>
      <c r="Y69" s="24">
        <f t="shared" si="94"/>
        <v>0</v>
      </c>
      <c r="Z69" s="24">
        <f t="shared" si="95"/>
        <v>0</v>
      </c>
      <c r="AA69" s="11">
        <f t="shared" si="96"/>
        <v>76.24892703862659</v>
      </c>
      <c r="AB69" s="9">
        <f t="shared" si="84"/>
        <v>0.3</v>
      </c>
    </row>
    <row r="70" spans="2:28" x14ac:dyDescent="0.25">
      <c r="B70" s="16">
        <v>24645</v>
      </c>
      <c r="C70" s="31" t="s">
        <v>22</v>
      </c>
      <c r="D70" s="23">
        <v>40</v>
      </c>
      <c r="E70" s="24">
        <v>4.7</v>
      </c>
      <c r="F70" s="25">
        <v>0</v>
      </c>
      <c r="G70" s="25">
        <v>0.12</v>
      </c>
      <c r="H70" s="22">
        <v>9.2499999999999999E-2</v>
      </c>
      <c r="I70" s="24">
        <f t="shared" si="97"/>
        <v>3.7012499999999999</v>
      </c>
      <c r="J70" s="22">
        <v>0</v>
      </c>
      <c r="K70" s="22">
        <v>0.02</v>
      </c>
      <c r="L70" s="22">
        <v>5.0000000000000001E-3</v>
      </c>
      <c r="M70" s="22">
        <f t="shared" si="85"/>
        <v>0</v>
      </c>
      <c r="N70" s="22">
        <v>0</v>
      </c>
      <c r="O70" s="22">
        <v>0.3</v>
      </c>
      <c r="P70" s="24">
        <f t="shared" si="86"/>
        <v>6.3540772532188834</v>
      </c>
      <c r="Q70" s="24">
        <f t="shared" si="87"/>
        <v>254.16309012875533</v>
      </c>
      <c r="R70" s="24">
        <f t="shared" si="88"/>
        <v>188</v>
      </c>
      <c r="S70" s="24">
        <f t="shared" si="89"/>
        <v>0</v>
      </c>
      <c r="T70" s="24">
        <f t="shared" si="98"/>
        <v>-22.56</v>
      </c>
      <c r="U70" s="24">
        <f t="shared" si="90"/>
        <v>6.1200858369098681</v>
      </c>
      <c r="V70" s="24">
        <f t="shared" si="91"/>
        <v>0</v>
      </c>
      <c r="W70" s="24">
        <f t="shared" si="92"/>
        <v>5.0832618025751071</v>
      </c>
      <c r="X70" s="24">
        <f t="shared" si="93"/>
        <v>1.2708154506437768</v>
      </c>
      <c r="Y70" s="24">
        <f t="shared" si="94"/>
        <v>0</v>
      </c>
      <c r="Z70" s="24">
        <f t="shared" si="95"/>
        <v>0</v>
      </c>
      <c r="AA70" s="11">
        <f t="shared" si="96"/>
        <v>76.24892703862659</v>
      </c>
      <c r="AB70" s="9">
        <f t="shared" si="84"/>
        <v>0.3</v>
      </c>
    </row>
    <row r="71" spans="2:28" x14ac:dyDescent="0.25">
      <c r="B71" s="16">
        <v>32066</v>
      </c>
      <c r="C71" s="31" t="s">
        <v>77</v>
      </c>
      <c r="D71" s="23">
        <v>3</v>
      </c>
      <c r="E71" s="24">
        <v>7.65</v>
      </c>
      <c r="F71" s="25">
        <v>3.2500000000000001E-2</v>
      </c>
      <c r="G71" s="25">
        <v>0.12</v>
      </c>
      <c r="H71" s="22">
        <v>9.2499999999999999E-2</v>
      </c>
      <c r="I71" s="24">
        <f t="shared" si="97"/>
        <v>6.2500021874999998</v>
      </c>
      <c r="J71" s="22">
        <v>0</v>
      </c>
      <c r="K71" s="22">
        <v>0.02</v>
      </c>
      <c r="L71" s="22">
        <v>5.0000000000000001E-3</v>
      </c>
      <c r="M71" s="22">
        <f t="shared" si="85"/>
        <v>0</v>
      </c>
      <c r="N71" s="22">
        <v>0</v>
      </c>
      <c r="O71" s="22">
        <v>0.251</v>
      </c>
      <c r="P71" s="24">
        <f t="shared" si="86"/>
        <v>9.89707393111639</v>
      </c>
      <c r="Q71" s="24">
        <f t="shared" si="87"/>
        <v>29.691221793349172</v>
      </c>
      <c r="R71" s="24">
        <f t="shared" si="88"/>
        <v>22.950000000000003</v>
      </c>
      <c r="S71" s="24">
        <f t="shared" si="89"/>
        <v>0.74587500000000007</v>
      </c>
      <c r="T71" s="24">
        <f t="shared" si="98"/>
        <v>-2.7540000000000004</v>
      </c>
      <c r="U71" s="24">
        <f t="shared" si="90"/>
        <v>0.55456957838479792</v>
      </c>
      <c r="V71" s="24">
        <f t="shared" si="91"/>
        <v>0</v>
      </c>
      <c r="W71" s="24">
        <f t="shared" si="92"/>
        <v>0.59382443586698341</v>
      </c>
      <c r="X71" s="24">
        <f t="shared" si="93"/>
        <v>0.14845610896674585</v>
      </c>
      <c r="Y71" s="24">
        <f t="shared" si="94"/>
        <v>0</v>
      </c>
      <c r="Z71" s="24">
        <f t="shared" si="95"/>
        <v>0</v>
      </c>
      <c r="AA71" s="11">
        <f t="shared" si="96"/>
        <v>7.4524966701306425</v>
      </c>
      <c r="AB71" s="9"/>
    </row>
    <row r="72" spans="2:28" x14ac:dyDescent="0.25">
      <c r="B72" s="16">
        <v>21827</v>
      </c>
      <c r="C72" s="31" t="s">
        <v>88</v>
      </c>
      <c r="D72" s="23">
        <v>4</v>
      </c>
      <c r="E72" s="24">
        <v>320</v>
      </c>
      <c r="F72" s="25">
        <v>0</v>
      </c>
      <c r="G72" s="25">
        <v>0.12</v>
      </c>
      <c r="H72" s="22">
        <v>9.2499999999999999E-2</v>
      </c>
      <c r="I72" s="24">
        <f>IFERROR((E72*(1+F72))-((E72*(1+F72))*H72)-(E72*12%)+(Y72/D72),0)</f>
        <v>251.99999999999997</v>
      </c>
      <c r="J72" s="22">
        <v>0</v>
      </c>
      <c r="K72" s="22">
        <v>0.02</v>
      </c>
      <c r="L72" s="22">
        <v>5.0000000000000001E-3</v>
      </c>
      <c r="M72" s="22">
        <f t="shared" si="85"/>
        <v>0</v>
      </c>
      <c r="N72" s="22">
        <v>0</v>
      </c>
      <c r="O72" s="22">
        <v>0.251</v>
      </c>
      <c r="P72" s="24">
        <f t="shared" si="86"/>
        <v>399.04988123515437</v>
      </c>
      <c r="Q72" s="24">
        <f t="shared" si="87"/>
        <v>1596.1995249406175</v>
      </c>
      <c r="R72" s="24">
        <f t="shared" si="88"/>
        <v>1280</v>
      </c>
      <c r="S72" s="24">
        <f t="shared" si="89"/>
        <v>0</v>
      </c>
      <c r="T72" s="24">
        <f t="shared" si="98"/>
        <v>-153.6</v>
      </c>
      <c r="U72" s="24">
        <f t="shared" si="90"/>
        <v>29.248456057007118</v>
      </c>
      <c r="V72" s="24">
        <f t="shared" si="91"/>
        <v>0</v>
      </c>
      <c r="W72" s="24">
        <f t="shared" si="92"/>
        <v>31.923990498812351</v>
      </c>
      <c r="X72" s="24">
        <f t="shared" si="93"/>
        <v>7.9809976247030878</v>
      </c>
      <c r="Y72" s="24">
        <f t="shared" si="94"/>
        <v>0</v>
      </c>
      <c r="Z72" s="24">
        <f t="shared" si="95"/>
        <v>0</v>
      </c>
      <c r="AA72" s="11">
        <f t="shared" si="96"/>
        <v>400.64608076009472</v>
      </c>
      <c r="AB72" s="9">
        <f t="shared" ref="AB72:AB74" si="99">IFERROR(AA72/Q72,0)</f>
        <v>0.25099999999999983</v>
      </c>
    </row>
    <row r="73" spans="2:28" x14ac:dyDescent="0.25">
      <c r="Q73" s="28">
        <f t="shared" ref="Q73:X73" si="100">SUM(Q66:Q72)</f>
        <v>25872.026103582233</v>
      </c>
      <c r="R73" s="28">
        <f t="shared" si="100"/>
        <v>20368.550000000003</v>
      </c>
      <c r="S73" s="28">
        <f t="shared" si="100"/>
        <v>382.00987500000002</v>
      </c>
      <c r="T73" s="28">
        <f t="shared" si="100"/>
        <v>-721.76999999999987</v>
      </c>
      <c r="U73" s="28">
        <f t="shared" si="100"/>
        <v>473.73562614385713</v>
      </c>
      <c r="V73" s="28">
        <f t="shared" si="100"/>
        <v>0</v>
      </c>
      <c r="W73" s="28">
        <f t="shared" si="100"/>
        <v>517.44052207164475</v>
      </c>
      <c r="X73" s="28">
        <f t="shared" si="100"/>
        <v>129.36013051791119</v>
      </c>
      <c r="Y73" s="37">
        <v>0</v>
      </c>
      <c r="Z73" s="28">
        <f>SUM(Z66:Z72)</f>
        <v>0</v>
      </c>
      <c r="AA73" s="28">
        <f>SUM(AA66:AA72)</f>
        <v>4722.6999498488258</v>
      </c>
      <c r="AB73" s="12">
        <f t="shared" si="99"/>
        <v>0.18254078482067249</v>
      </c>
    </row>
    <row r="74" spans="2:28" x14ac:dyDescent="0.25">
      <c r="Q74" s="28">
        <f>Q73*0.35</f>
        <v>9055.2091362537813</v>
      </c>
      <c r="R74" s="27">
        <f>R73/$Q$12</f>
        <v>0.14747116032461086</v>
      </c>
      <c r="S74" s="27">
        <f t="shared" ref="S74:AA74" si="101">S73/$Q$12</f>
        <v>2.765805102558088E-3</v>
      </c>
      <c r="T74" s="27">
        <f t="shared" si="101"/>
        <v>-5.225716086196334E-3</v>
      </c>
      <c r="U74" s="27">
        <f t="shared" si="101"/>
        <v>3.4299124127412433E-3</v>
      </c>
      <c r="V74" s="27">
        <f t="shared" si="101"/>
        <v>0</v>
      </c>
      <c r="W74" s="27">
        <f t="shared" si="101"/>
        <v>3.7463419923793226E-3</v>
      </c>
      <c r="X74" s="27">
        <f t="shared" si="101"/>
        <v>9.3658549809483066E-4</v>
      </c>
      <c r="Y74" s="27">
        <f t="shared" si="101"/>
        <v>0</v>
      </c>
      <c r="Z74" s="27">
        <f t="shared" si="101"/>
        <v>0</v>
      </c>
      <c r="AA74" s="27">
        <f t="shared" si="101"/>
        <v>3.4193010374778163E-2</v>
      </c>
      <c r="AB74" s="29"/>
    </row>
    <row r="75" spans="2:28" x14ac:dyDescent="0.25">
      <c r="Q75" s="54">
        <f>Q73+7761.15</f>
        <v>33633.176103582235</v>
      </c>
    </row>
    <row r="80" spans="2:28" x14ac:dyDescent="0.25">
      <c r="B80" s="34" t="s">
        <v>34</v>
      </c>
      <c r="C80" s="34" t="s">
        <v>35</v>
      </c>
      <c r="D80" s="33" t="s">
        <v>19</v>
      </c>
      <c r="E80" s="34" t="s">
        <v>25</v>
      </c>
      <c r="F80" s="34" t="s">
        <v>8</v>
      </c>
      <c r="G80" s="34" t="s">
        <v>9</v>
      </c>
      <c r="H80" s="34" t="s">
        <v>26</v>
      </c>
      <c r="I80" s="34" t="s">
        <v>27</v>
      </c>
      <c r="J80" s="34" t="s">
        <v>0</v>
      </c>
      <c r="K80" s="34" t="s">
        <v>31</v>
      </c>
      <c r="L80" s="34" t="s">
        <v>32</v>
      </c>
      <c r="M80" s="35" t="s">
        <v>33</v>
      </c>
      <c r="N80" s="34" t="s">
        <v>28</v>
      </c>
      <c r="O80" s="35" t="s">
        <v>52</v>
      </c>
      <c r="P80" s="34" t="s">
        <v>29</v>
      </c>
      <c r="Q80" s="34" t="s">
        <v>30</v>
      </c>
      <c r="R80" s="34" t="s">
        <v>36</v>
      </c>
      <c r="S80" s="34" t="s">
        <v>8</v>
      </c>
      <c r="T80" s="34" t="s">
        <v>9</v>
      </c>
      <c r="U80" s="34" t="s">
        <v>26</v>
      </c>
      <c r="V80" s="34" t="s">
        <v>0</v>
      </c>
      <c r="W80" s="34" t="s">
        <v>31</v>
      </c>
      <c r="X80" s="34" t="s">
        <v>32</v>
      </c>
      <c r="Y80" s="34" t="s">
        <v>89</v>
      </c>
      <c r="Z80" s="34" t="s">
        <v>28</v>
      </c>
      <c r="AA80" s="36" t="s">
        <v>37</v>
      </c>
      <c r="AB80" s="10"/>
    </row>
    <row r="81" spans="2:28" x14ac:dyDescent="0.25">
      <c r="B81" s="16">
        <v>29138</v>
      </c>
      <c r="C81" s="31" t="s">
        <v>50</v>
      </c>
      <c r="D81" s="23">
        <v>15</v>
      </c>
      <c r="E81" s="24">
        <v>956.92</v>
      </c>
      <c r="F81" s="25">
        <v>0</v>
      </c>
      <c r="G81" s="25">
        <v>0</v>
      </c>
      <c r="H81" s="22">
        <v>9.2499999999999999E-2</v>
      </c>
      <c r="I81" s="40">
        <f>((E81*(1+F81))-((E81*(1+F81))*H81)-(E81*G81))</f>
        <v>868.4049</v>
      </c>
      <c r="J81" s="22">
        <v>0</v>
      </c>
      <c r="K81" s="22">
        <v>0.02</v>
      </c>
      <c r="L81" s="22">
        <v>5.0000000000000001E-3</v>
      </c>
      <c r="M81" s="22">
        <f>Y81/Q81</f>
        <v>0.21506250570435564</v>
      </c>
      <c r="N81" s="22">
        <v>0</v>
      </c>
      <c r="O81" s="22">
        <v>0.15</v>
      </c>
      <c r="P81" s="24">
        <f>(I81/(1-H81-0%-J81-K81-L81-N81-O81))+(Y81/D81)</f>
        <v>1510.3568223894458</v>
      </c>
      <c r="Q81" s="24">
        <f>D81*P81</f>
        <v>22655.352335841686</v>
      </c>
      <c r="R81" s="24">
        <f>D81*E81</f>
        <v>14353.8</v>
      </c>
      <c r="S81" s="24">
        <f>R81*F81</f>
        <v>0</v>
      </c>
      <c r="T81" s="24">
        <f>(Q81*0%)</f>
        <v>0</v>
      </c>
      <c r="U81" s="24">
        <f>(Q81-(R81+S81))*9.25%</f>
        <v>767.89359106535596</v>
      </c>
      <c r="V81" s="24">
        <f>(Q81*J81)</f>
        <v>0</v>
      </c>
      <c r="W81" s="24">
        <f>Q81*K81</f>
        <v>453.10704671683374</v>
      </c>
      <c r="X81" s="24">
        <f>Q81*L81</f>
        <v>113.27676167920843</v>
      </c>
      <c r="Y81" s="24">
        <f>(((R81+S81)/($R$88+$S$88))*$Y$88)*(1-9.25%)</f>
        <v>4872.3168409611399</v>
      </c>
      <c r="Z81" s="24">
        <f>Q81*N81</f>
        <v>0</v>
      </c>
      <c r="AA81" s="11">
        <f>Q81-SUM(R81:Z81)</f>
        <v>2094.9580954191479</v>
      </c>
      <c r="AB81" s="9">
        <f t="shared" ref="AB81:AB88" si="102">IFERROR(AA81/Q81,0)</f>
        <v>9.2470779724084851E-2</v>
      </c>
    </row>
    <row r="82" spans="2:28" x14ac:dyDescent="0.25">
      <c r="B82" s="16">
        <v>32801</v>
      </c>
      <c r="C82" s="31" t="s">
        <v>86</v>
      </c>
      <c r="D82" s="23">
        <v>1</v>
      </c>
      <c r="E82" s="24">
        <v>3910.4</v>
      </c>
      <c r="F82" s="22">
        <v>9.7500000000000003E-2</v>
      </c>
      <c r="G82" s="25">
        <v>0.12</v>
      </c>
      <c r="H82" s="22">
        <v>9.2499999999999999E-2</v>
      </c>
      <c r="I82" s="40">
        <f t="shared" ref="I82:I87" si="103">((E82*(1+F82))-((E82*(1+F82))*H82)-(E82*G82))</f>
        <v>3425.4370799999997</v>
      </c>
      <c r="J82" s="22">
        <v>0</v>
      </c>
      <c r="K82" s="22">
        <v>0.02</v>
      </c>
      <c r="L82" s="22">
        <v>5.0000000000000001E-3</v>
      </c>
      <c r="M82" s="22">
        <f t="shared" ref="M82:M88" si="104">Y82/Q82</f>
        <v>0.21170859742878584</v>
      </c>
      <c r="N82" s="22">
        <v>0</v>
      </c>
      <c r="O82" s="22">
        <v>0.251</v>
      </c>
      <c r="P82" s="24">
        <f t="shared" ref="P82:P87" si="105">(I82/(1-H82-0%-J82-K82-L82-N82-O82))+(Y82/D82)</f>
        <v>6881.0680011865297</v>
      </c>
      <c r="Q82" s="24">
        <f t="shared" ref="Q82:Q87" si="106">D82*P82</f>
        <v>6881.0680011865297</v>
      </c>
      <c r="R82" s="24">
        <f t="shared" ref="R82:R87" si="107">D82*E82</f>
        <v>3910.4</v>
      </c>
      <c r="S82" s="24">
        <f t="shared" ref="S82:S87" si="108">R82*F82</f>
        <v>381.26400000000001</v>
      </c>
      <c r="T82" s="24">
        <f>(Q82*0%)-(R82*12%)</f>
        <v>-469.24799999999999</v>
      </c>
      <c r="U82" s="24">
        <f t="shared" ref="U82:U87" si="109">(Q82-(R82+S82))*9.25%</f>
        <v>239.51987010975401</v>
      </c>
      <c r="V82" s="24">
        <f t="shared" ref="V82:V87" si="110">Q82*J82</f>
        <v>0</v>
      </c>
      <c r="W82" s="24">
        <f t="shared" ref="W82:W87" si="111">Q82*K82</f>
        <v>137.6213600237306</v>
      </c>
      <c r="X82" s="24">
        <f t="shared" ref="X82:X87" si="112">Q82*L82</f>
        <v>34.405340005932651</v>
      </c>
      <c r="Y82" s="24">
        <f t="shared" ref="Y82:Y87" si="113">(((R82+S82)/($R$88+$S$88))*$Y$88)*(1-9.25%)</f>
        <v>1456.7812553432991</v>
      </c>
      <c r="Z82" s="24">
        <f t="shared" ref="Z82:Z87" si="114">Q82*N82</f>
        <v>0</v>
      </c>
      <c r="AA82" s="11">
        <f t="shared" ref="AA82:AA87" si="115">Q82-SUM(R82:Z82)</f>
        <v>1190.324175703814</v>
      </c>
      <c r="AB82" s="9">
        <f t="shared" si="102"/>
        <v>0.17298538184749254</v>
      </c>
    </row>
    <row r="83" spans="2:28" x14ac:dyDescent="0.25">
      <c r="B83" s="16">
        <v>30085</v>
      </c>
      <c r="C83" s="32" t="s">
        <v>87</v>
      </c>
      <c r="D83" s="23">
        <v>1</v>
      </c>
      <c r="E83" s="24">
        <v>425.4</v>
      </c>
      <c r="F83" s="25">
        <v>0</v>
      </c>
      <c r="G83" s="25">
        <v>0.12</v>
      </c>
      <c r="H83" s="22">
        <v>9.2499999999999999E-2</v>
      </c>
      <c r="I83" s="40">
        <f t="shared" si="103"/>
        <v>335.0025</v>
      </c>
      <c r="J83" s="22">
        <v>0</v>
      </c>
      <c r="K83" s="22">
        <v>0.02</v>
      </c>
      <c r="L83" s="22">
        <v>5.0000000000000001E-3</v>
      </c>
      <c r="M83" s="22">
        <f t="shared" si="104"/>
        <v>0.21396134830537658</v>
      </c>
      <c r="N83" s="22">
        <v>0</v>
      </c>
      <c r="O83" s="22">
        <v>0.251</v>
      </c>
      <c r="P83" s="24">
        <f t="shared" si="105"/>
        <v>674.88657806242077</v>
      </c>
      <c r="Q83" s="24">
        <f t="shared" si="106"/>
        <v>674.88657806242077</v>
      </c>
      <c r="R83" s="24">
        <f t="shared" si="107"/>
        <v>425.4</v>
      </c>
      <c r="S83" s="24">
        <f t="shared" si="108"/>
        <v>0</v>
      </c>
      <c r="T83" s="24">
        <f t="shared" ref="T83:T87" si="116">(Q83*0%)-(R83*12%)</f>
        <v>-51.047999999999995</v>
      </c>
      <c r="U83" s="24">
        <f t="shared" si="109"/>
        <v>23.077508470773921</v>
      </c>
      <c r="V83" s="24">
        <f t="shared" si="110"/>
        <v>0</v>
      </c>
      <c r="W83" s="24">
        <f t="shared" si="111"/>
        <v>13.497731561248415</v>
      </c>
      <c r="X83" s="24">
        <f t="shared" si="112"/>
        <v>3.3744328903121037</v>
      </c>
      <c r="Y83" s="24">
        <f t="shared" si="113"/>
        <v>144.39964219543734</v>
      </c>
      <c r="Z83" s="24">
        <f t="shared" si="114"/>
        <v>0</v>
      </c>
      <c r="AA83" s="11">
        <f t="shared" si="115"/>
        <v>116.18526294464903</v>
      </c>
      <c r="AB83" s="9">
        <f t="shared" si="102"/>
        <v>0.17215524314946884</v>
      </c>
    </row>
    <row r="84" spans="2:28" x14ac:dyDescent="0.25">
      <c r="B84" s="16">
        <v>24646</v>
      </c>
      <c r="C84" s="32" t="s">
        <v>21</v>
      </c>
      <c r="D84" s="23">
        <v>40</v>
      </c>
      <c r="E84" s="24">
        <v>4.7</v>
      </c>
      <c r="F84" s="25">
        <v>0</v>
      </c>
      <c r="G84" s="25">
        <v>0.12</v>
      </c>
      <c r="H84" s="22">
        <v>9.2499999999999999E-2</v>
      </c>
      <c r="I84" s="40">
        <f t="shared" si="103"/>
        <v>3.7012499999999999</v>
      </c>
      <c r="J84" s="22">
        <v>0</v>
      </c>
      <c r="K84" s="22">
        <v>0.02</v>
      </c>
      <c r="L84" s="22">
        <v>5.0000000000000001E-3</v>
      </c>
      <c r="M84" s="22">
        <f t="shared" si="104"/>
        <v>0.20069129728476948</v>
      </c>
      <c r="N84" s="22">
        <v>0</v>
      </c>
      <c r="O84" s="22">
        <v>0.3</v>
      </c>
      <c r="P84" s="24">
        <f t="shared" si="105"/>
        <v>7.9494658717392301</v>
      </c>
      <c r="Q84" s="24">
        <f t="shared" si="106"/>
        <v>317.97863486956919</v>
      </c>
      <c r="R84" s="24">
        <f t="shared" si="107"/>
        <v>188</v>
      </c>
      <c r="S84" s="24">
        <f t="shared" si="108"/>
        <v>0</v>
      </c>
      <c r="T84" s="24">
        <f t="shared" si="116"/>
        <v>-22.56</v>
      </c>
      <c r="U84" s="24">
        <f t="shared" si="109"/>
        <v>12.02302372543515</v>
      </c>
      <c r="V84" s="24">
        <f t="shared" si="110"/>
        <v>0</v>
      </c>
      <c r="W84" s="24">
        <f t="shared" si="111"/>
        <v>6.3595726973913838</v>
      </c>
      <c r="X84" s="24">
        <f t="shared" si="112"/>
        <v>1.5898931743478459</v>
      </c>
      <c r="Y84" s="24">
        <f t="shared" si="113"/>
        <v>63.815544740813877</v>
      </c>
      <c r="Z84" s="24">
        <f t="shared" si="114"/>
        <v>0</v>
      </c>
      <c r="AA84" s="11">
        <f t="shared" si="115"/>
        <v>68.750600531580972</v>
      </c>
      <c r="AB84" s="9">
        <f t="shared" si="102"/>
        <v>0.21621138338360876</v>
      </c>
    </row>
    <row r="85" spans="2:28" x14ac:dyDescent="0.25">
      <c r="B85" s="16">
        <v>24645</v>
      </c>
      <c r="C85" s="31" t="s">
        <v>22</v>
      </c>
      <c r="D85" s="23">
        <v>40</v>
      </c>
      <c r="E85" s="24">
        <v>4.7</v>
      </c>
      <c r="F85" s="25">
        <v>0</v>
      </c>
      <c r="G85" s="25">
        <v>0.12</v>
      </c>
      <c r="H85" s="22">
        <v>9.2499999999999999E-2</v>
      </c>
      <c r="I85" s="40">
        <f t="shared" si="103"/>
        <v>3.7012499999999999</v>
      </c>
      <c r="J85" s="22">
        <v>0</v>
      </c>
      <c r="K85" s="22">
        <v>0.02</v>
      </c>
      <c r="L85" s="22">
        <v>5.0000000000000001E-3</v>
      </c>
      <c r="M85" s="22">
        <f t="shared" si="104"/>
        <v>0.20069129728476948</v>
      </c>
      <c r="N85" s="22">
        <v>0</v>
      </c>
      <c r="O85" s="22">
        <v>0.3</v>
      </c>
      <c r="P85" s="24">
        <f t="shared" si="105"/>
        <v>7.9494658717392301</v>
      </c>
      <c r="Q85" s="24">
        <f t="shared" si="106"/>
        <v>317.97863486956919</v>
      </c>
      <c r="R85" s="24">
        <f t="shared" si="107"/>
        <v>188</v>
      </c>
      <c r="S85" s="24">
        <f t="shared" si="108"/>
        <v>0</v>
      </c>
      <c r="T85" s="24">
        <f t="shared" si="116"/>
        <v>-22.56</v>
      </c>
      <c r="U85" s="24">
        <f t="shared" si="109"/>
        <v>12.02302372543515</v>
      </c>
      <c r="V85" s="24">
        <f t="shared" si="110"/>
        <v>0</v>
      </c>
      <c r="W85" s="24">
        <f t="shared" si="111"/>
        <v>6.3595726973913838</v>
      </c>
      <c r="X85" s="24">
        <f t="shared" si="112"/>
        <v>1.5898931743478459</v>
      </c>
      <c r="Y85" s="24">
        <f t="shared" si="113"/>
        <v>63.815544740813877</v>
      </c>
      <c r="Z85" s="24">
        <f t="shared" si="114"/>
        <v>0</v>
      </c>
      <c r="AA85" s="11">
        <f t="shared" si="115"/>
        <v>68.750600531580972</v>
      </c>
      <c r="AB85" s="9">
        <f t="shared" si="102"/>
        <v>0.21621138338360876</v>
      </c>
    </row>
    <row r="86" spans="2:28" x14ac:dyDescent="0.25">
      <c r="B86" s="16">
        <v>32066</v>
      </c>
      <c r="C86" s="31" t="s">
        <v>77</v>
      </c>
      <c r="D86" s="23">
        <v>3</v>
      </c>
      <c r="E86" s="24">
        <v>7.65</v>
      </c>
      <c r="F86" s="25">
        <v>3.2500000000000001E-2</v>
      </c>
      <c r="G86" s="25">
        <v>0.12</v>
      </c>
      <c r="H86" s="22">
        <v>9.2499999999999999E-2</v>
      </c>
      <c r="I86" s="40">
        <f t="shared" si="103"/>
        <v>6.2500021874999998</v>
      </c>
      <c r="J86" s="22">
        <v>0</v>
      </c>
      <c r="K86" s="22">
        <v>0.02</v>
      </c>
      <c r="L86" s="22">
        <v>5.0000000000000001E-3</v>
      </c>
      <c r="M86" s="22">
        <f t="shared" si="104"/>
        <v>0.21315769469341975</v>
      </c>
      <c r="N86" s="22">
        <v>0</v>
      </c>
      <c r="O86" s="22">
        <v>0.251</v>
      </c>
      <c r="P86" s="24">
        <f t="shared" si="105"/>
        <v>12.578217851746237</v>
      </c>
      <c r="Q86" s="24">
        <f t="shared" si="106"/>
        <v>37.734653555238708</v>
      </c>
      <c r="R86" s="24">
        <f t="shared" si="107"/>
        <v>22.950000000000003</v>
      </c>
      <c r="S86" s="24">
        <f t="shared" si="108"/>
        <v>0.74587500000000007</v>
      </c>
      <c r="T86" s="24">
        <f t="shared" si="116"/>
        <v>-2.7540000000000004</v>
      </c>
      <c r="U86" s="24">
        <f t="shared" si="109"/>
        <v>1.2985870163595801</v>
      </c>
      <c r="V86" s="24">
        <f t="shared" si="110"/>
        <v>0</v>
      </c>
      <c r="W86" s="24">
        <f t="shared" si="111"/>
        <v>0.75469307110477413</v>
      </c>
      <c r="X86" s="24">
        <f t="shared" si="112"/>
        <v>0.18867326777619353</v>
      </c>
      <c r="Y86" s="24">
        <f t="shared" si="113"/>
        <v>8.0434317618895381</v>
      </c>
      <c r="Z86" s="24">
        <f t="shared" si="114"/>
        <v>0</v>
      </c>
      <c r="AA86" s="11">
        <f t="shared" si="115"/>
        <v>6.5073934381086218</v>
      </c>
      <c r="AB86" s="9">
        <f t="shared" si="102"/>
        <v>0.17245138950547484</v>
      </c>
    </row>
    <row r="87" spans="2:28" x14ac:dyDescent="0.25">
      <c r="B87" s="16">
        <v>21827</v>
      </c>
      <c r="C87" s="31" t="s">
        <v>88</v>
      </c>
      <c r="D87" s="23">
        <v>4</v>
      </c>
      <c r="E87" s="24">
        <v>320</v>
      </c>
      <c r="F87" s="25">
        <v>0</v>
      </c>
      <c r="G87" s="25">
        <v>0.12</v>
      </c>
      <c r="H87" s="22">
        <v>9.2499999999999999E-2</v>
      </c>
      <c r="I87" s="40">
        <f t="shared" si="103"/>
        <v>251.99999999999997</v>
      </c>
      <c r="J87" s="22">
        <v>0</v>
      </c>
      <c r="K87" s="22">
        <v>0.02</v>
      </c>
      <c r="L87" s="22">
        <v>5.0000000000000001E-3</v>
      </c>
      <c r="M87" s="22">
        <f t="shared" si="104"/>
        <v>0.21396134830537664</v>
      </c>
      <c r="N87" s="22">
        <v>0</v>
      </c>
      <c r="O87" s="22">
        <v>0.251</v>
      </c>
      <c r="P87" s="24">
        <f t="shared" si="105"/>
        <v>507.67208504930568</v>
      </c>
      <c r="Q87" s="24">
        <f t="shared" si="106"/>
        <v>2030.6883401972227</v>
      </c>
      <c r="R87" s="24">
        <f t="shared" si="107"/>
        <v>1280</v>
      </c>
      <c r="S87" s="24">
        <f t="shared" si="108"/>
        <v>0</v>
      </c>
      <c r="T87" s="24">
        <f t="shared" si="116"/>
        <v>-153.6</v>
      </c>
      <c r="U87" s="24">
        <f t="shared" si="109"/>
        <v>69.438671468243101</v>
      </c>
      <c r="V87" s="24">
        <f t="shared" si="110"/>
        <v>0</v>
      </c>
      <c r="W87" s="24">
        <f t="shared" si="111"/>
        <v>40.613766803944458</v>
      </c>
      <c r="X87" s="24">
        <f t="shared" si="112"/>
        <v>10.153441700986114</v>
      </c>
      <c r="Y87" s="24">
        <f t="shared" si="113"/>
        <v>434.48881525660511</v>
      </c>
      <c r="Z87" s="24">
        <f t="shared" si="114"/>
        <v>0</v>
      </c>
      <c r="AA87" s="11">
        <f t="shared" si="115"/>
        <v>349.59364496744411</v>
      </c>
      <c r="AB87" s="9">
        <f t="shared" ref="AB87:AB89" si="117">IFERROR(AA87/Q87,0)</f>
        <v>0.17215524314946881</v>
      </c>
    </row>
    <row r="88" spans="2:28" x14ac:dyDescent="0.25">
      <c r="M88" s="72"/>
      <c r="Q88" s="28">
        <f t="shared" ref="Q88:X88" si="118">SUM(Q81:Q87)</f>
        <v>32915.687178582244</v>
      </c>
      <c r="R88" s="28">
        <f t="shared" si="118"/>
        <v>20368.550000000003</v>
      </c>
      <c r="S88" s="28">
        <f t="shared" si="118"/>
        <v>382.00987500000002</v>
      </c>
      <c r="T88" s="28">
        <f t="shared" si="118"/>
        <v>-721.76999999999987</v>
      </c>
      <c r="U88" s="28">
        <f t="shared" si="118"/>
        <v>1125.274275581357</v>
      </c>
      <c r="V88" s="28">
        <f t="shared" si="118"/>
        <v>0</v>
      </c>
      <c r="W88" s="28">
        <f t="shared" si="118"/>
        <v>658.31374357164475</v>
      </c>
      <c r="X88" s="28">
        <f t="shared" si="118"/>
        <v>164.57843589291119</v>
      </c>
      <c r="Y88" s="37">
        <v>7761.61</v>
      </c>
      <c r="Z88" s="28">
        <f>SUM(Z81:Z87)</f>
        <v>0</v>
      </c>
      <c r="AA88" s="28">
        <f>SUM(AA81:AA87)</f>
        <v>3895.0697735363251</v>
      </c>
      <c r="AB88" s="12">
        <f t="shared" si="117"/>
        <v>0.11833475486639057</v>
      </c>
    </row>
    <row r="89" spans="2:28" x14ac:dyDescent="0.25">
      <c r="Q89" s="28">
        <f>Q88*0.35</f>
        <v>11520.490512503784</v>
      </c>
      <c r="R89" s="27">
        <f>R88/$Q$12</f>
        <v>0.14747116032461086</v>
      </c>
      <c r="S89" s="27">
        <f t="shared" ref="S89:AA89" si="119">S88/$Q$12</f>
        <v>2.765805102558088E-3</v>
      </c>
      <c r="T89" s="27">
        <f t="shared" si="119"/>
        <v>-5.225716086196334E-3</v>
      </c>
      <c r="U89" s="27">
        <f t="shared" si="119"/>
        <v>8.1471436652790011E-3</v>
      </c>
      <c r="V89" s="27">
        <f t="shared" si="119"/>
        <v>0</v>
      </c>
      <c r="W89" s="27">
        <f t="shared" si="119"/>
        <v>4.7662838848199192E-3</v>
      </c>
      <c r="X89" s="27">
        <f t="shared" si="119"/>
        <v>1.1915709712049798E-3</v>
      </c>
      <c r="Y89" s="27">
        <f t="shared" si="119"/>
        <v>5.6195145589013583E-2</v>
      </c>
      <c r="Z89" s="27">
        <f t="shared" si="119"/>
        <v>0</v>
      </c>
      <c r="AA89" s="27">
        <f t="shared" si="119"/>
        <v>2.8200851756689651E-2</v>
      </c>
      <c r="AB89" s="29"/>
    </row>
  </sheetData>
  <dataValidations disablePrompts="1" count="1">
    <dataValidation type="list" allowBlank="1" showInputMessage="1" showErrorMessage="1" sqref="Y80" xr:uid="{D81EF111-A667-4A74-8E5E-0D4DFC16045B}">
      <formula1>"Com Comissão,Sem Comissão"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10D9-CE2B-4B2E-B4B5-E8193319137E}">
  <dimension ref="C4:AC14"/>
  <sheetViews>
    <sheetView showGridLines="0" tabSelected="1" zoomScale="80" zoomScaleNormal="80" workbookViewId="0">
      <selection activeCell="Z5" sqref="Z5"/>
    </sheetView>
  </sheetViews>
  <sheetFormatPr defaultRowHeight="15" x14ac:dyDescent="0.25"/>
  <cols>
    <col min="3" max="3" width="6.5703125" bestFit="1" customWidth="1"/>
    <col min="4" max="4" width="40" bestFit="1" customWidth="1"/>
    <col min="5" max="5" width="5.140625" bestFit="1" customWidth="1"/>
    <col min="6" max="6" width="11" bestFit="1" customWidth="1"/>
    <col min="7" max="7" width="6.5703125" bestFit="1" customWidth="1"/>
    <col min="8" max="8" width="5.7109375" bestFit="1" customWidth="1"/>
    <col min="9" max="9" width="6.5703125" bestFit="1" customWidth="1"/>
    <col min="10" max="10" width="11.5703125" bestFit="1" customWidth="1"/>
    <col min="11" max="11" width="6.5703125" bestFit="1" customWidth="1"/>
    <col min="12" max="12" width="9.85546875" bestFit="1" customWidth="1"/>
    <col min="13" max="13" width="6.5703125" bestFit="1" customWidth="1"/>
    <col min="14" max="14" width="10.28515625" bestFit="1" customWidth="1"/>
    <col min="15" max="15" width="8.7109375" bestFit="1" customWidth="1"/>
    <col min="16" max="16" width="7.7109375" bestFit="1" customWidth="1"/>
    <col min="17" max="17" width="11" bestFit="1" customWidth="1"/>
    <col min="18" max="19" width="12.140625" bestFit="1" customWidth="1"/>
    <col min="20" max="20" width="9.42578125" bestFit="1" customWidth="1"/>
    <col min="21" max="21" width="10.140625" bestFit="1" customWidth="1"/>
    <col min="22" max="22" width="11" bestFit="1" customWidth="1"/>
    <col min="23" max="23" width="7.28515625" bestFit="1" customWidth="1"/>
    <col min="24" max="24" width="9.85546875" bestFit="1" customWidth="1"/>
    <col min="25" max="25" width="9.42578125" bestFit="1" customWidth="1"/>
    <col min="26" max="26" width="14.28515625" bestFit="1" customWidth="1"/>
    <col min="27" max="27" width="8.7109375" bestFit="1" customWidth="1"/>
    <col min="28" max="28" width="11" bestFit="1" customWidth="1"/>
    <col min="29" max="29" width="7.7109375" bestFit="1" customWidth="1"/>
  </cols>
  <sheetData>
    <row r="4" spans="3:29" x14ac:dyDescent="0.25">
      <c r="Z4" s="73">
        <v>7761.61</v>
      </c>
    </row>
    <row r="5" spans="3:29" x14ac:dyDescent="0.25">
      <c r="C5" s="34" t="s">
        <v>34</v>
      </c>
      <c r="D5" s="34" t="s">
        <v>35</v>
      </c>
      <c r="E5" s="33" t="s">
        <v>19</v>
      </c>
      <c r="F5" s="34" t="s">
        <v>25</v>
      </c>
      <c r="G5" s="34" t="s">
        <v>8</v>
      </c>
      <c r="H5" s="34" t="s">
        <v>9</v>
      </c>
      <c r="I5" s="34" t="s">
        <v>26</v>
      </c>
      <c r="J5" s="34" t="s">
        <v>27</v>
      </c>
      <c r="K5" s="34" t="s">
        <v>0</v>
      </c>
      <c r="L5" s="34" t="s">
        <v>31</v>
      </c>
      <c r="M5" s="34" t="s">
        <v>32</v>
      </c>
      <c r="N5" s="35" t="s">
        <v>33</v>
      </c>
      <c r="O5" s="34" t="s">
        <v>28</v>
      </c>
      <c r="P5" s="35" t="s">
        <v>52</v>
      </c>
      <c r="Q5" s="34" t="s">
        <v>29</v>
      </c>
      <c r="R5" s="34" t="s">
        <v>30</v>
      </c>
      <c r="S5" s="34" t="s">
        <v>36</v>
      </c>
      <c r="T5" s="34" t="s">
        <v>8</v>
      </c>
      <c r="U5" s="34" t="s">
        <v>9</v>
      </c>
      <c r="V5" s="34" t="s">
        <v>26</v>
      </c>
      <c r="W5" s="34" t="s">
        <v>0</v>
      </c>
      <c r="X5" s="34" t="s">
        <v>31</v>
      </c>
      <c r="Y5" s="34" t="s">
        <v>32</v>
      </c>
      <c r="Z5" s="34" t="s">
        <v>89</v>
      </c>
      <c r="AA5" s="34" t="s">
        <v>28</v>
      </c>
      <c r="AB5" s="36" t="s">
        <v>37</v>
      </c>
      <c r="AC5" s="10"/>
    </row>
    <row r="6" spans="3:29" x14ac:dyDescent="0.25">
      <c r="C6" s="16">
        <v>29138</v>
      </c>
      <c r="D6" s="31" t="s">
        <v>50</v>
      </c>
      <c r="E6" s="23">
        <v>15</v>
      </c>
      <c r="F6" s="24">
        <v>956.92</v>
      </c>
      <c r="G6" s="25">
        <v>0</v>
      </c>
      <c r="H6" s="25">
        <v>0</v>
      </c>
      <c r="I6" s="22">
        <v>9.2499999999999999E-2</v>
      </c>
      <c r="J6" s="40">
        <f>((F6*(1+G6))-((F6*(1+G6))*I6)-(F6*H6))</f>
        <v>868.4049</v>
      </c>
      <c r="K6" s="22">
        <v>0</v>
      </c>
      <c r="L6" s="22">
        <v>0.02</v>
      </c>
      <c r="M6" s="22">
        <v>5.0000000000000001E-3</v>
      </c>
      <c r="N6" s="22">
        <f>Z6/R6</f>
        <v>0.21506250570435564</v>
      </c>
      <c r="O6" s="22">
        <v>0</v>
      </c>
      <c r="P6" s="22">
        <v>0.15</v>
      </c>
      <c r="Q6" s="24">
        <f>(J6/(1-I6-0%-K6-L6-M6-O6-P6))+(Z6/E6)</f>
        <v>1510.3568223894458</v>
      </c>
      <c r="R6" s="24">
        <f>E6*Q6</f>
        <v>22655.352335841686</v>
      </c>
      <c r="S6" s="24">
        <f>E6*F6</f>
        <v>14353.8</v>
      </c>
      <c r="T6" s="24">
        <f>S6*G6</f>
        <v>0</v>
      </c>
      <c r="U6" s="24">
        <f>(R6*0%)</f>
        <v>0</v>
      </c>
      <c r="V6" s="24">
        <f>(R6-(S6+T6))*9.25%</f>
        <v>767.89359106535596</v>
      </c>
      <c r="W6" s="24">
        <f>(R6*K6)</f>
        <v>0</v>
      </c>
      <c r="X6" s="24">
        <f>R6*L6</f>
        <v>453.10704671683374</v>
      </c>
      <c r="Y6" s="24">
        <f>R6*M6</f>
        <v>113.27676167920843</v>
      </c>
      <c r="Z6" s="24">
        <f>IF($Z$5="Com Comissão",(((S6+T6)/($S$13+$T$13))*$Z$4)*(1-9.25%),0)</f>
        <v>4872.3168409611399</v>
      </c>
      <c r="AA6" s="24">
        <f>R6*O6</f>
        <v>0</v>
      </c>
      <c r="AB6" s="11">
        <f>R6-SUM(S6:AA6)</f>
        <v>2094.9580954191479</v>
      </c>
      <c r="AC6" s="12">
        <f t="shared" ref="AC6:AC13" si="0">IFERROR(AB6/R6,0)</f>
        <v>9.2470779724084851E-2</v>
      </c>
    </row>
    <row r="7" spans="3:29" x14ac:dyDescent="0.25">
      <c r="C7" s="16">
        <v>32801</v>
      </c>
      <c r="D7" s="31" t="s">
        <v>86</v>
      </c>
      <c r="E7" s="23">
        <v>1</v>
      </c>
      <c r="F7" s="24">
        <v>3910.4</v>
      </c>
      <c r="G7" s="22">
        <v>9.7500000000000003E-2</v>
      </c>
      <c r="H7" s="25">
        <v>0.12</v>
      </c>
      <c r="I7" s="22">
        <v>9.2499999999999999E-2</v>
      </c>
      <c r="J7" s="40">
        <f t="shared" ref="J7:J12" si="1">((F7*(1+G7))-((F7*(1+G7))*I7)-(F7*H7))</f>
        <v>3425.4370799999997</v>
      </c>
      <c r="K7" s="22">
        <v>0</v>
      </c>
      <c r="L7" s="22">
        <v>0.02</v>
      </c>
      <c r="M7" s="22">
        <v>5.0000000000000001E-3</v>
      </c>
      <c r="N7" s="22">
        <f t="shared" ref="N7:N13" si="2">Z7/R7</f>
        <v>0.21170859742878584</v>
      </c>
      <c r="O7" s="22">
        <v>0</v>
      </c>
      <c r="P7" s="22">
        <v>0.251</v>
      </c>
      <c r="Q7" s="24">
        <f t="shared" ref="Q7:Q12" si="3">(J7/(1-I7-0%-K7-L7-M7-O7-P7))+(Z7/E7)</f>
        <v>6881.0680011865297</v>
      </c>
      <c r="R7" s="24">
        <f t="shared" ref="R7:R12" si="4">E7*Q7</f>
        <v>6881.0680011865297</v>
      </c>
      <c r="S7" s="24">
        <f t="shared" ref="S7:S12" si="5">E7*F7</f>
        <v>3910.4</v>
      </c>
      <c r="T7" s="24">
        <f t="shared" ref="T7:T12" si="6">S7*G7</f>
        <v>381.26400000000001</v>
      </c>
      <c r="U7" s="24">
        <f>(R7*0%)-(S7*12%)</f>
        <v>-469.24799999999999</v>
      </c>
      <c r="V7" s="24">
        <f t="shared" ref="V7:V12" si="7">(R7-(S7+T7))*9.25%</f>
        <v>239.51987010975401</v>
      </c>
      <c r="W7" s="24">
        <f t="shared" ref="W7:W12" si="8">R7*K7</f>
        <v>0</v>
      </c>
      <c r="X7" s="24">
        <f t="shared" ref="X7:X12" si="9">R7*L7</f>
        <v>137.6213600237306</v>
      </c>
      <c r="Y7" s="24">
        <f t="shared" ref="Y7:Y12" si="10">R7*M7</f>
        <v>34.405340005932651</v>
      </c>
      <c r="Z7" s="24">
        <f t="shared" ref="Z7:Z12" si="11">IF($Z$5="Com Comissão",(((S7+T7)/($S$13+$T$13))*$Z$4)*(1-9.25%),0)</f>
        <v>1456.7812553432991</v>
      </c>
      <c r="AA7" s="24">
        <f t="shared" ref="AA7:AA12" si="12">R7*O7</f>
        <v>0</v>
      </c>
      <c r="AB7" s="11">
        <f t="shared" ref="AB7:AB12" si="13">R7-SUM(S7:AA7)</f>
        <v>1190.324175703814</v>
      </c>
      <c r="AC7" s="12">
        <f t="shared" si="0"/>
        <v>0.17298538184749254</v>
      </c>
    </row>
    <row r="8" spans="3:29" x14ac:dyDescent="0.25">
      <c r="C8" s="16">
        <v>30085</v>
      </c>
      <c r="D8" s="32" t="s">
        <v>87</v>
      </c>
      <c r="E8" s="23">
        <v>1</v>
      </c>
      <c r="F8" s="24">
        <v>425.4</v>
      </c>
      <c r="G8" s="25">
        <v>0</v>
      </c>
      <c r="H8" s="25">
        <v>0.12</v>
      </c>
      <c r="I8" s="22">
        <v>9.2499999999999999E-2</v>
      </c>
      <c r="J8" s="40">
        <f t="shared" si="1"/>
        <v>335.0025</v>
      </c>
      <c r="K8" s="22">
        <v>0</v>
      </c>
      <c r="L8" s="22">
        <v>0.02</v>
      </c>
      <c r="M8" s="22">
        <v>5.0000000000000001E-3</v>
      </c>
      <c r="N8" s="22">
        <f t="shared" si="2"/>
        <v>0.21396134830537658</v>
      </c>
      <c r="O8" s="22">
        <v>0</v>
      </c>
      <c r="P8" s="22">
        <v>0.251</v>
      </c>
      <c r="Q8" s="24">
        <f t="shared" si="3"/>
        <v>674.88657806242077</v>
      </c>
      <c r="R8" s="24">
        <f t="shared" si="4"/>
        <v>674.88657806242077</v>
      </c>
      <c r="S8" s="24">
        <f t="shared" si="5"/>
        <v>425.4</v>
      </c>
      <c r="T8" s="24">
        <f t="shared" si="6"/>
        <v>0</v>
      </c>
      <c r="U8" s="24">
        <f t="shared" ref="U8:U12" si="14">(R8*0%)-(S8*12%)</f>
        <v>-51.047999999999995</v>
      </c>
      <c r="V8" s="24">
        <f t="shared" si="7"/>
        <v>23.077508470773921</v>
      </c>
      <c r="W8" s="24">
        <f t="shared" si="8"/>
        <v>0</v>
      </c>
      <c r="X8" s="24">
        <f t="shared" si="9"/>
        <v>13.497731561248415</v>
      </c>
      <c r="Y8" s="24">
        <f t="shared" si="10"/>
        <v>3.3744328903121037</v>
      </c>
      <c r="Z8" s="24">
        <f t="shared" si="11"/>
        <v>144.39964219543734</v>
      </c>
      <c r="AA8" s="24">
        <f t="shared" si="12"/>
        <v>0</v>
      </c>
      <c r="AB8" s="11">
        <f t="shared" si="13"/>
        <v>116.18526294464903</v>
      </c>
      <c r="AC8" s="12">
        <f t="shared" si="0"/>
        <v>0.17215524314946884</v>
      </c>
    </row>
    <row r="9" spans="3:29" x14ac:dyDescent="0.25">
      <c r="C9" s="16">
        <v>24646</v>
      </c>
      <c r="D9" s="32" t="s">
        <v>21</v>
      </c>
      <c r="E9" s="23">
        <v>40</v>
      </c>
      <c r="F9" s="24">
        <v>4.7</v>
      </c>
      <c r="G9" s="25">
        <v>0</v>
      </c>
      <c r="H9" s="25">
        <v>0.12</v>
      </c>
      <c r="I9" s="22">
        <v>9.2499999999999999E-2</v>
      </c>
      <c r="J9" s="40">
        <f t="shared" si="1"/>
        <v>3.7012499999999999</v>
      </c>
      <c r="K9" s="22">
        <v>0</v>
      </c>
      <c r="L9" s="22">
        <v>0.02</v>
      </c>
      <c r="M9" s="22">
        <v>5.0000000000000001E-3</v>
      </c>
      <c r="N9" s="22">
        <f t="shared" si="2"/>
        <v>0.20069129728476948</v>
      </c>
      <c r="O9" s="22">
        <v>0</v>
      </c>
      <c r="P9" s="22">
        <v>0.3</v>
      </c>
      <c r="Q9" s="24">
        <f t="shared" si="3"/>
        <v>7.9494658717392301</v>
      </c>
      <c r="R9" s="24">
        <f t="shared" si="4"/>
        <v>317.97863486956919</v>
      </c>
      <c r="S9" s="24">
        <f t="shared" si="5"/>
        <v>188</v>
      </c>
      <c r="T9" s="24">
        <f t="shared" si="6"/>
        <v>0</v>
      </c>
      <c r="U9" s="24">
        <f t="shared" si="14"/>
        <v>-22.56</v>
      </c>
      <c r="V9" s="24">
        <f t="shared" si="7"/>
        <v>12.02302372543515</v>
      </c>
      <c r="W9" s="24">
        <f t="shared" si="8"/>
        <v>0</v>
      </c>
      <c r="X9" s="24">
        <f t="shared" si="9"/>
        <v>6.3595726973913838</v>
      </c>
      <c r="Y9" s="24">
        <f t="shared" si="10"/>
        <v>1.5898931743478459</v>
      </c>
      <c r="Z9" s="24">
        <f t="shared" si="11"/>
        <v>63.815544740813877</v>
      </c>
      <c r="AA9" s="24">
        <f t="shared" si="12"/>
        <v>0</v>
      </c>
      <c r="AB9" s="11">
        <f t="shared" si="13"/>
        <v>68.750600531580972</v>
      </c>
      <c r="AC9" s="12">
        <f t="shared" si="0"/>
        <v>0.21621138338360876</v>
      </c>
    </row>
    <row r="10" spans="3:29" x14ac:dyDescent="0.25">
      <c r="C10" s="16">
        <v>24645</v>
      </c>
      <c r="D10" s="31" t="s">
        <v>22</v>
      </c>
      <c r="E10" s="23">
        <v>40</v>
      </c>
      <c r="F10" s="24">
        <v>4.7</v>
      </c>
      <c r="G10" s="25">
        <v>0</v>
      </c>
      <c r="H10" s="25">
        <v>0.12</v>
      </c>
      <c r="I10" s="22">
        <v>9.2499999999999999E-2</v>
      </c>
      <c r="J10" s="40">
        <f t="shared" si="1"/>
        <v>3.7012499999999999</v>
      </c>
      <c r="K10" s="22">
        <v>0</v>
      </c>
      <c r="L10" s="22">
        <v>0.02</v>
      </c>
      <c r="M10" s="22">
        <v>5.0000000000000001E-3</v>
      </c>
      <c r="N10" s="22">
        <f t="shared" si="2"/>
        <v>0.20069129728476948</v>
      </c>
      <c r="O10" s="22">
        <v>0</v>
      </c>
      <c r="P10" s="22">
        <v>0.3</v>
      </c>
      <c r="Q10" s="24">
        <f t="shared" si="3"/>
        <v>7.9494658717392301</v>
      </c>
      <c r="R10" s="24">
        <f t="shared" si="4"/>
        <v>317.97863486956919</v>
      </c>
      <c r="S10" s="24">
        <f t="shared" si="5"/>
        <v>188</v>
      </c>
      <c r="T10" s="24">
        <f t="shared" si="6"/>
        <v>0</v>
      </c>
      <c r="U10" s="24">
        <f t="shared" si="14"/>
        <v>-22.56</v>
      </c>
      <c r="V10" s="24">
        <f t="shared" si="7"/>
        <v>12.02302372543515</v>
      </c>
      <c r="W10" s="24">
        <f t="shared" si="8"/>
        <v>0</v>
      </c>
      <c r="X10" s="24">
        <f t="shared" si="9"/>
        <v>6.3595726973913838</v>
      </c>
      <c r="Y10" s="24">
        <f t="shared" si="10"/>
        <v>1.5898931743478459</v>
      </c>
      <c r="Z10" s="24">
        <f t="shared" si="11"/>
        <v>63.815544740813877</v>
      </c>
      <c r="AA10" s="24">
        <f t="shared" si="12"/>
        <v>0</v>
      </c>
      <c r="AB10" s="11">
        <f t="shared" si="13"/>
        <v>68.750600531580972</v>
      </c>
      <c r="AC10" s="12">
        <f t="shared" si="0"/>
        <v>0.21621138338360876</v>
      </c>
    </row>
    <row r="11" spans="3:29" x14ac:dyDescent="0.25">
      <c r="C11" s="16">
        <v>32066</v>
      </c>
      <c r="D11" s="31" t="s">
        <v>77</v>
      </c>
      <c r="E11" s="23">
        <v>3</v>
      </c>
      <c r="F11" s="24">
        <v>7.65</v>
      </c>
      <c r="G11" s="25">
        <v>3.2500000000000001E-2</v>
      </c>
      <c r="H11" s="25">
        <v>0.12</v>
      </c>
      <c r="I11" s="22">
        <v>9.2499999999999999E-2</v>
      </c>
      <c r="J11" s="40">
        <f t="shared" si="1"/>
        <v>6.2500021874999998</v>
      </c>
      <c r="K11" s="22">
        <v>0</v>
      </c>
      <c r="L11" s="22">
        <v>0.02</v>
      </c>
      <c r="M11" s="22">
        <v>5.0000000000000001E-3</v>
      </c>
      <c r="N11" s="22">
        <f t="shared" si="2"/>
        <v>0.21315769469341975</v>
      </c>
      <c r="O11" s="22">
        <v>0</v>
      </c>
      <c r="P11" s="22">
        <v>0.251</v>
      </c>
      <c r="Q11" s="24">
        <f t="shared" si="3"/>
        <v>12.578217851746237</v>
      </c>
      <c r="R11" s="24">
        <f t="shared" si="4"/>
        <v>37.734653555238708</v>
      </c>
      <c r="S11" s="24">
        <f t="shared" si="5"/>
        <v>22.950000000000003</v>
      </c>
      <c r="T11" s="24">
        <f t="shared" si="6"/>
        <v>0.74587500000000007</v>
      </c>
      <c r="U11" s="24">
        <f t="shared" si="14"/>
        <v>-2.7540000000000004</v>
      </c>
      <c r="V11" s="24">
        <f t="shared" si="7"/>
        <v>1.2985870163595801</v>
      </c>
      <c r="W11" s="24">
        <f t="shared" si="8"/>
        <v>0</v>
      </c>
      <c r="X11" s="24">
        <f t="shared" si="9"/>
        <v>0.75469307110477413</v>
      </c>
      <c r="Y11" s="24">
        <f t="shared" si="10"/>
        <v>0.18867326777619353</v>
      </c>
      <c r="Z11" s="24">
        <f t="shared" si="11"/>
        <v>8.0434317618895381</v>
      </c>
      <c r="AA11" s="24">
        <f t="shared" si="12"/>
        <v>0</v>
      </c>
      <c r="AB11" s="11">
        <f t="shared" si="13"/>
        <v>6.5073934381086218</v>
      </c>
      <c r="AC11" s="12">
        <f t="shared" si="0"/>
        <v>0.17245138950547484</v>
      </c>
    </row>
    <row r="12" spans="3:29" x14ac:dyDescent="0.25">
      <c r="C12" s="16">
        <v>21827</v>
      </c>
      <c r="D12" s="31" t="s">
        <v>88</v>
      </c>
      <c r="E12" s="23">
        <v>4</v>
      </c>
      <c r="F12" s="24">
        <v>320</v>
      </c>
      <c r="G12" s="25">
        <v>0</v>
      </c>
      <c r="H12" s="25">
        <v>0.12</v>
      </c>
      <c r="I12" s="22">
        <v>9.2499999999999999E-2</v>
      </c>
      <c r="J12" s="40">
        <f t="shared" si="1"/>
        <v>251.99999999999997</v>
      </c>
      <c r="K12" s="22">
        <v>0</v>
      </c>
      <c r="L12" s="22">
        <v>0.02</v>
      </c>
      <c r="M12" s="22">
        <v>5.0000000000000001E-3</v>
      </c>
      <c r="N12" s="22">
        <f t="shared" si="2"/>
        <v>0.21396134830537664</v>
      </c>
      <c r="O12" s="22">
        <v>0</v>
      </c>
      <c r="P12" s="22">
        <v>0.251</v>
      </c>
      <c r="Q12" s="24">
        <f t="shared" si="3"/>
        <v>507.67208504930568</v>
      </c>
      <c r="R12" s="24">
        <f t="shared" si="4"/>
        <v>2030.6883401972227</v>
      </c>
      <c r="S12" s="24">
        <f t="shared" si="5"/>
        <v>1280</v>
      </c>
      <c r="T12" s="24">
        <f t="shared" si="6"/>
        <v>0</v>
      </c>
      <c r="U12" s="24">
        <f t="shared" si="14"/>
        <v>-153.6</v>
      </c>
      <c r="V12" s="24">
        <f t="shared" si="7"/>
        <v>69.438671468243101</v>
      </c>
      <c r="W12" s="24">
        <f t="shared" si="8"/>
        <v>0</v>
      </c>
      <c r="X12" s="24">
        <f t="shared" si="9"/>
        <v>40.613766803944458</v>
      </c>
      <c r="Y12" s="24">
        <f t="shared" si="10"/>
        <v>10.153441700986114</v>
      </c>
      <c r="Z12" s="24">
        <f t="shared" si="11"/>
        <v>434.48881525660511</v>
      </c>
      <c r="AA12" s="24">
        <f t="shared" si="12"/>
        <v>0</v>
      </c>
      <c r="AB12" s="11">
        <f t="shared" si="13"/>
        <v>349.59364496744411</v>
      </c>
      <c r="AC12" s="12">
        <f t="shared" si="0"/>
        <v>0.17215524314946881</v>
      </c>
    </row>
    <row r="13" spans="3:29" x14ac:dyDescent="0.25">
      <c r="N13" s="72"/>
      <c r="R13" s="28">
        <f t="shared" ref="R13:Y13" si="15">SUM(R6:R12)</f>
        <v>32915.687178582244</v>
      </c>
      <c r="S13" s="28">
        <f t="shared" si="15"/>
        <v>20368.550000000003</v>
      </c>
      <c r="T13" s="28">
        <f t="shared" si="15"/>
        <v>382.00987500000002</v>
      </c>
      <c r="U13" s="28">
        <f t="shared" si="15"/>
        <v>-721.76999999999987</v>
      </c>
      <c r="V13" s="28">
        <f t="shared" si="15"/>
        <v>1125.274275581357</v>
      </c>
      <c r="W13" s="28">
        <f t="shared" si="15"/>
        <v>0</v>
      </c>
      <c r="X13" s="28">
        <f t="shared" si="15"/>
        <v>658.31374357164475</v>
      </c>
      <c r="Y13" s="28">
        <f t="shared" si="15"/>
        <v>164.57843589291119</v>
      </c>
      <c r="Z13" s="37">
        <f>SUM(Z6:Z12)</f>
        <v>7043.6610749999973</v>
      </c>
      <c r="AA13" s="28">
        <f>SUM(AA6:AA12)</f>
        <v>0</v>
      </c>
      <c r="AB13" s="28">
        <f>SUM(AB6:AB12)</f>
        <v>3895.0697735363251</v>
      </c>
      <c r="AC13" s="12">
        <f t="shared" si="0"/>
        <v>0.11833475486639057</v>
      </c>
    </row>
    <row r="14" spans="3:29" x14ac:dyDescent="0.25">
      <c r="R14" s="28"/>
      <c r="S14" s="27">
        <f>S13/$R$13</f>
        <v>0.61880980608095948</v>
      </c>
      <c r="T14" s="27">
        <f t="shared" ref="T14:AA14" si="16">T13/$R$13</f>
        <v>1.1605708637569269E-2</v>
      </c>
      <c r="U14" s="27">
        <f t="shared" si="16"/>
        <v>-2.1927842371452753E-2</v>
      </c>
      <c r="V14" s="27">
        <f t="shared" si="16"/>
        <v>3.4186564888536081E-2</v>
      </c>
      <c r="W14" s="27">
        <f t="shared" si="16"/>
        <v>0</v>
      </c>
      <c r="X14" s="27">
        <f t="shared" si="16"/>
        <v>1.9999999999999997E-2</v>
      </c>
      <c r="Y14" s="27">
        <f t="shared" si="16"/>
        <v>4.9999999999999992E-3</v>
      </c>
      <c r="Z14" s="27">
        <f t="shared" si="16"/>
        <v>0.21399100789799716</v>
      </c>
      <c r="AA14" s="27">
        <f t="shared" si="16"/>
        <v>0</v>
      </c>
      <c r="AB14" s="27">
        <f>AB13/$R$13</f>
        <v>0.11833475486639057</v>
      </c>
      <c r="AC14" s="29"/>
    </row>
  </sheetData>
  <dataValidations count="1">
    <dataValidation type="list" allowBlank="1" showInputMessage="1" showErrorMessage="1" sqref="Z5" xr:uid="{97031841-236B-40AC-B9A6-27E43900BC7D}">
      <formula1>"Com Comissão,Sem Comissão"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2484-1DD3-464A-9D25-7FE2FB471E0C}">
  <dimension ref="B2:AC21"/>
  <sheetViews>
    <sheetView showGridLines="0" zoomScale="80" zoomScaleNormal="80" workbookViewId="0">
      <selection activeCell="L27" sqref="L27"/>
    </sheetView>
  </sheetViews>
  <sheetFormatPr defaultRowHeight="15" x14ac:dyDescent="0.25"/>
  <cols>
    <col min="2" max="2" width="6.7109375" bestFit="1" customWidth="1"/>
    <col min="3" max="3" width="21.5703125" bestFit="1" customWidth="1"/>
    <col min="4" max="4" width="6.140625" bestFit="1" customWidth="1"/>
    <col min="5" max="5" width="12.28515625" bestFit="1" customWidth="1"/>
    <col min="6" max="6" width="6.5703125" bestFit="1" customWidth="1"/>
    <col min="7" max="7" width="5.5703125" bestFit="1" customWidth="1"/>
    <col min="8" max="8" width="6.5703125" bestFit="1" customWidth="1"/>
    <col min="9" max="9" width="12.28515625" bestFit="1" customWidth="1"/>
    <col min="10" max="10" width="6.5703125" bestFit="1" customWidth="1"/>
    <col min="11" max="11" width="9.85546875" bestFit="1" customWidth="1"/>
    <col min="12" max="12" width="6.5703125" bestFit="1" customWidth="1"/>
    <col min="13" max="13" width="10.28515625" bestFit="1" customWidth="1"/>
    <col min="14" max="14" width="8.7109375" bestFit="1" customWidth="1"/>
    <col min="15" max="15" width="7.7109375" bestFit="1" customWidth="1"/>
    <col min="16" max="16" width="13.140625" bestFit="1" customWidth="1"/>
    <col min="17" max="17" width="16.85546875" bestFit="1" customWidth="1"/>
    <col min="18" max="18" width="15.140625" bestFit="1" customWidth="1"/>
    <col min="19" max="19" width="13.28515625" bestFit="1" customWidth="1"/>
    <col min="20" max="20" width="13.85546875" bestFit="1" customWidth="1"/>
    <col min="21" max="21" width="13.28515625" bestFit="1" customWidth="1"/>
    <col min="22" max="22" width="12.28515625" bestFit="1" customWidth="1"/>
    <col min="23" max="23" width="13.28515625" bestFit="1" customWidth="1"/>
    <col min="24" max="24" width="12.28515625" bestFit="1" customWidth="1"/>
    <col min="25" max="25" width="15.140625" bestFit="1" customWidth="1"/>
    <col min="26" max="26" width="13.28515625" bestFit="1" customWidth="1"/>
    <col min="27" max="27" width="15" bestFit="1" customWidth="1"/>
    <col min="28" max="28" width="8.140625" bestFit="1" customWidth="1"/>
  </cols>
  <sheetData>
    <row r="2" spans="2:29" x14ac:dyDescent="0.25">
      <c r="C2" s="10"/>
      <c r="D2" s="10"/>
    </row>
    <row r="3" spans="2:29" x14ac:dyDescent="0.25">
      <c r="C3" s="19"/>
      <c r="D3" s="19"/>
    </row>
    <row r="4" spans="2:29" s="10" customFormat="1" x14ac:dyDescent="0.25">
      <c r="B4" s="34" t="s">
        <v>34</v>
      </c>
      <c r="C4" s="34" t="s">
        <v>35</v>
      </c>
      <c r="D4" s="33" t="s">
        <v>19</v>
      </c>
      <c r="E4" s="34" t="s">
        <v>25</v>
      </c>
      <c r="F4" s="34" t="s">
        <v>8</v>
      </c>
      <c r="G4" s="34" t="s">
        <v>9</v>
      </c>
      <c r="H4" s="34" t="s">
        <v>26</v>
      </c>
      <c r="I4" s="34" t="s">
        <v>27</v>
      </c>
      <c r="J4" s="34" t="s">
        <v>0</v>
      </c>
      <c r="K4" s="34" t="s">
        <v>31</v>
      </c>
      <c r="L4" s="34" t="s">
        <v>32</v>
      </c>
      <c r="M4" s="35" t="s">
        <v>33</v>
      </c>
      <c r="N4" s="34" t="s">
        <v>28</v>
      </c>
      <c r="O4" s="35" t="s">
        <v>52</v>
      </c>
      <c r="P4" s="34" t="s">
        <v>29</v>
      </c>
      <c r="Q4" s="34" t="s">
        <v>30</v>
      </c>
      <c r="R4" s="34" t="s">
        <v>36</v>
      </c>
      <c r="S4" s="34" t="s">
        <v>8</v>
      </c>
      <c r="T4" s="34" t="s">
        <v>9</v>
      </c>
      <c r="U4" s="34" t="s">
        <v>26</v>
      </c>
      <c r="V4" s="34" t="s">
        <v>0</v>
      </c>
      <c r="W4" s="34" t="s">
        <v>31</v>
      </c>
      <c r="X4" s="34" t="s">
        <v>32</v>
      </c>
      <c r="Y4" s="34" t="s">
        <v>33</v>
      </c>
      <c r="Z4" s="34" t="s">
        <v>28</v>
      </c>
      <c r="AA4" s="36" t="s">
        <v>37</v>
      </c>
    </row>
    <row r="5" spans="2:29" x14ac:dyDescent="0.25">
      <c r="B5" s="16">
        <v>29138</v>
      </c>
      <c r="C5" s="31" t="s">
        <v>50</v>
      </c>
      <c r="D5" s="23">
        <v>370</v>
      </c>
      <c r="E5" s="24">
        <v>920</v>
      </c>
      <c r="F5" s="25">
        <v>0</v>
      </c>
      <c r="G5" s="25">
        <v>0</v>
      </c>
      <c r="H5" s="22">
        <v>9.2499999999999999E-2</v>
      </c>
      <c r="I5" s="24">
        <f>((E5*(1+F5))-((E5*(1+F5))*H5)-(E5*G5))+((40*(1+0%))-((40*(1+0%))*9.25%)-(40*7%))</f>
        <v>868.4</v>
      </c>
      <c r="J5" s="22">
        <v>0</v>
      </c>
      <c r="K5" s="22">
        <v>0.02</v>
      </c>
      <c r="L5" s="22">
        <v>5.0000000000000001E-3</v>
      </c>
      <c r="M5" s="22">
        <f>Y5/Q5</f>
        <v>0</v>
      </c>
      <c r="N5" s="22">
        <v>0</v>
      </c>
      <c r="O5" s="22">
        <v>0.15</v>
      </c>
      <c r="P5" s="24">
        <f>I5/(1-H5-0%-J5-K5-L5-N5-O5)</f>
        <v>1185.5290102389079</v>
      </c>
      <c r="Q5" s="24">
        <f>D5*P5</f>
        <v>438645.73378839588</v>
      </c>
      <c r="R5" s="24">
        <f>D5*E5</f>
        <v>340400</v>
      </c>
      <c r="S5" s="24">
        <f>R5*F5</f>
        <v>0</v>
      </c>
      <c r="T5" s="24">
        <f>(Q5*0%)-(40*7%*D5)</f>
        <v>-1036</v>
      </c>
      <c r="U5" s="24">
        <f>(Q5-(R5+S5))*9.25%</f>
        <v>9087.7303754266195</v>
      </c>
      <c r="V5" s="24">
        <f>(Q5*J5)+(33.5*D5)</f>
        <v>12395</v>
      </c>
      <c r="W5" s="24">
        <f>Q5*K5</f>
        <v>8772.9146757679173</v>
      </c>
      <c r="X5" s="24">
        <f>Q5*L5</f>
        <v>2193.2286689419793</v>
      </c>
      <c r="Y5" s="24">
        <f t="shared" ref="Y5:Y11" si="0">((R5+S5)/($R$12+$S$12))*$Y$12</f>
        <v>0</v>
      </c>
      <c r="Z5" s="24">
        <f>Q5*N5</f>
        <v>0</v>
      </c>
      <c r="AA5" s="11">
        <f>Q5-SUM(R5:Z5)</f>
        <v>66832.860068259295</v>
      </c>
      <c r="AB5" s="9">
        <f>AA5/Q5</f>
        <v>0.15236181483187453</v>
      </c>
    </row>
    <row r="6" spans="2:29" x14ac:dyDescent="0.25">
      <c r="B6" s="16">
        <v>32800</v>
      </c>
      <c r="C6" s="31" t="s">
        <v>60</v>
      </c>
      <c r="D6" s="23">
        <v>3</v>
      </c>
      <c r="E6" s="24">
        <v>11628.09</v>
      </c>
      <c r="F6" s="22">
        <v>9.7500000000000003E-2</v>
      </c>
      <c r="G6" s="25">
        <v>0.12</v>
      </c>
      <c r="H6" s="22">
        <v>9.2499999999999999E-2</v>
      </c>
      <c r="I6" s="24">
        <f>(E6*(1+F6))-((E6*(1+F6))*H6)-(E6*12%)</f>
        <v>10185.988813312499</v>
      </c>
      <c r="J6" s="22">
        <v>0</v>
      </c>
      <c r="K6" s="22">
        <v>0.02</v>
      </c>
      <c r="L6" s="22">
        <v>5.0000000000000001E-3</v>
      </c>
      <c r="M6" s="22">
        <f t="shared" ref="M6:M11" si="1">Y6/Q6</f>
        <v>0</v>
      </c>
      <c r="N6" s="22">
        <v>0</v>
      </c>
      <c r="O6" s="22">
        <v>0.15</v>
      </c>
      <c r="P6" s="24">
        <f t="shared" ref="P6:P11" si="2">I6/(1-H6-0%-J6-K6-L6-N6-O6)</f>
        <v>13905.786775853241</v>
      </c>
      <c r="Q6" s="24">
        <f t="shared" ref="Q6:Q11" si="3">D6*P6</f>
        <v>41717.360327559727</v>
      </c>
      <c r="R6" s="24">
        <f t="shared" ref="R6:R11" si="4">D6*E6</f>
        <v>34884.270000000004</v>
      </c>
      <c r="S6" s="24">
        <f t="shared" ref="S6:S11" si="5">R6*F6</f>
        <v>3401.2163250000003</v>
      </c>
      <c r="T6" s="24">
        <f>(Q6*0%)-(R6*12%)</f>
        <v>-4186.1124</v>
      </c>
      <c r="U6" s="24">
        <f t="shared" ref="U6:U11" si="6">(Q6-(R6+S6))*9.25%</f>
        <v>317.44834523677423</v>
      </c>
      <c r="V6" s="24">
        <f t="shared" ref="V6:V11" si="7">Q6*J6</f>
        <v>0</v>
      </c>
      <c r="W6" s="24">
        <f t="shared" ref="W6:W11" si="8">Q6*K6</f>
        <v>834.34720655119452</v>
      </c>
      <c r="X6" s="24">
        <f t="shared" ref="X6:X11" si="9">Q6*L6</f>
        <v>208.58680163779863</v>
      </c>
      <c r="Y6" s="24">
        <f t="shared" si="0"/>
        <v>0</v>
      </c>
      <c r="Z6" s="24">
        <f t="shared" ref="Z6:Z11" si="10">Q6*N6</f>
        <v>0</v>
      </c>
      <c r="AA6" s="11">
        <f t="shared" ref="AA6:AA11" si="11">Q6-SUM(R6:Z6)</f>
        <v>6257.6040491339518</v>
      </c>
      <c r="AB6" s="9">
        <f t="shared" ref="AB6:AB12" si="12">AA6/Q6</f>
        <v>0.14999999999999983</v>
      </c>
    </row>
    <row r="7" spans="2:29" x14ac:dyDescent="0.25">
      <c r="B7" s="16">
        <v>24646</v>
      </c>
      <c r="C7" s="32" t="s">
        <v>59</v>
      </c>
      <c r="D7" s="23">
        <v>780</v>
      </c>
      <c r="E7" s="24">
        <v>4.7</v>
      </c>
      <c r="F7" s="25">
        <v>0</v>
      </c>
      <c r="G7" s="25">
        <v>7.0000000000000007E-2</v>
      </c>
      <c r="H7" s="22">
        <v>9.2499999999999999E-2</v>
      </c>
      <c r="I7" s="24">
        <f t="shared" ref="I7:I11" si="13">(E7*(1+F7))-((E7*(1+F7))*H7)-(E7*12%)</f>
        <v>3.7012499999999999</v>
      </c>
      <c r="J7" s="22">
        <v>0</v>
      </c>
      <c r="K7" s="22">
        <v>0.02</v>
      </c>
      <c r="L7" s="22">
        <v>5.0000000000000001E-3</v>
      </c>
      <c r="M7" s="22">
        <f t="shared" si="1"/>
        <v>0</v>
      </c>
      <c r="N7" s="22">
        <v>0</v>
      </c>
      <c r="O7" s="22">
        <v>0.15</v>
      </c>
      <c r="P7" s="24">
        <f t="shared" si="2"/>
        <v>5.0529010238907857</v>
      </c>
      <c r="Q7" s="24">
        <f t="shared" si="3"/>
        <v>3941.262798634813</v>
      </c>
      <c r="R7" s="24">
        <f t="shared" si="4"/>
        <v>3666</v>
      </c>
      <c r="S7" s="24">
        <f t="shared" si="5"/>
        <v>0</v>
      </c>
      <c r="T7" s="24">
        <f t="shared" ref="T7:T11" si="14">(Q7*0%)-(R7*12%)</f>
        <v>-439.91999999999996</v>
      </c>
      <c r="U7" s="24">
        <f t="shared" si="6"/>
        <v>25.461808873720198</v>
      </c>
      <c r="V7" s="24">
        <f t="shared" si="7"/>
        <v>0</v>
      </c>
      <c r="W7" s="24">
        <f t="shared" si="8"/>
        <v>78.825255972696255</v>
      </c>
      <c r="X7" s="24">
        <f t="shared" si="9"/>
        <v>19.706313993174064</v>
      </c>
      <c r="Y7" s="24">
        <f t="shared" si="0"/>
        <v>0</v>
      </c>
      <c r="Z7" s="24">
        <f t="shared" si="10"/>
        <v>0</v>
      </c>
      <c r="AA7" s="11">
        <f t="shared" si="11"/>
        <v>591.18941979522242</v>
      </c>
      <c r="AB7" s="9">
        <f t="shared" si="12"/>
        <v>0.15000000000000013</v>
      </c>
    </row>
    <row r="8" spans="2:29" x14ac:dyDescent="0.25">
      <c r="B8" s="16">
        <v>24646</v>
      </c>
      <c r="C8" s="32" t="s">
        <v>58</v>
      </c>
      <c r="D8" s="23">
        <v>780</v>
      </c>
      <c r="E8" s="24">
        <v>4.7</v>
      </c>
      <c r="F8" s="25">
        <v>0</v>
      </c>
      <c r="G8" s="25">
        <v>7.0000000000000007E-2</v>
      </c>
      <c r="H8" s="22">
        <v>9.2499999999999999E-2</v>
      </c>
      <c r="I8" s="24">
        <f t="shared" si="13"/>
        <v>3.7012499999999999</v>
      </c>
      <c r="J8" s="22">
        <v>0</v>
      </c>
      <c r="K8" s="22">
        <v>0.02</v>
      </c>
      <c r="L8" s="22">
        <v>5.0000000000000001E-3</v>
      </c>
      <c r="M8" s="22">
        <f t="shared" si="1"/>
        <v>0</v>
      </c>
      <c r="N8" s="22">
        <v>0</v>
      </c>
      <c r="O8" s="22">
        <v>0.15</v>
      </c>
      <c r="P8" s="24">
        <f t="shared" si="2"/>
        <v>5.0529010238907857</v>
      </c>
      <c r="Q8" s="24">
        <f t="shared" si="3"/>
        <v>3941.262798634813</v>
      </c>
      <c r="R8" s="24">
        <f t="shared" si="4"/>
        <v>3666</v>
      </c>
      <c r="S8" s="24">
        <f t="shared" si="5"/>
        <v>0</v>
      </c>
      <c r="T8" s="24">
        <f t="shared" si="14"/>
        <v>-439.91999999999996</v>
      </c>
      <c r="U8" s="24">
        <f t="shared" si="6"/>
        <v>25.461808873720198</v>
      </c>
      <c r="V8" s="24">
        <f t="shared" si="7"/>
        <v>0</v>
      </c>
      <c r="W8" s="24">
        <f t="shared" si="8"/>
        <v>78.825255972696255</v>
      </c>
      <c r="X8" s="24">
        <f t="shared" si="9"/>
        <v>19.706313993174064</v>
      </c>
      <c r="Y8" s="24">
        <f t="shared" si="0"/>
        <v>0</v>
      </c>
      <c r="Z8" s="24">
        <f t="shared" si="10"/>
        <v>0</v>
      </c>
      <c r="AA8" s="11">
        <f t="shared" si="11"/>
        <v>591.18941979522242</v>
      </c>
      <c r="AB8" s="9">
        <f t="shared" si="12"/>
        <v>0.15000000000000013</v>
      </c>
    </row>
    <row r="9" spans="2:29" x14ac:dyDescent="0.25">
      <c r="B9" s="16">
        <v>32066</v>
      </c>
      <c r="C9" s="31" t="s">
        <v>51</v>
      </c>
      <c r="D9" s="23">
        <v>20</v>
      </c>
      <c r="E9" s="24">
        <v>7.65</v>
      </c>
      <c r="F9" s="25">
        <v>0</v>
      </c>
      <c r="G9" s="25">
        <v>7.0000000000000007E-2</v>
      </c>
      <c r="H9" s="22">
        <v>9.2499999999999999E-2</v>
      </c>
      <c r="I9" s="24">
        <f t="shared" si="13"/>
        <v>6.024375</v>
      </c>
      <c r="J9" s="22">
        <v>0</v>
      </c>
      <c r="K9" s="22">
        <v>0.02</v>
      </c>
      <c r="L9" s="22">
        <v>5.0000000000000001E-3</v>
      </c>
      <c r="M9" s="22">
        <f t="shared" si="1"/>
        <v>0</v>
      </c>
      <c r="N9" s="22">
        <v>0</v>
      </c>
      <c r="O9" s="22">
        <v>0.15</v>
      </c>
      <c r="P9" s="24">
        <f t="shared" si="2"/>
        <v>8.2244027303754272</v>
      </c>
      <c r="Q9" s="24">
        <f t="shared" si="3"/>
        <v>164.48805460750856</v>
      </c>
      <c r="R9" s="24">
        <f t="shared" si="4"/>
        <v>153</v>
      </c>
      <c r="S9" s="24">
        <f t="shared" si="5"/>
        <v>0</v>
      </c>
      <c r="T9" s="24">
        <f t="shared" si="14"/>
        <v>-18.36</v>
      </c>
      <c r="U9" s="24">
        <f t="shared" si="6"/>
        <v>1.0626450511945418</v>
      </c>
      <c r="V9" s="24">
        <f t="shared" si="7"/>
        <v>0</v>
      </c>
      <c r="W9" s="24">
        <f t="shared" si="8"/>
        <v>3.2897610921501714</v>
      </c>
      <c r="X9" s="24">
        <f t="shared" si="9"/>
        <v>0.82244027303754286</v>
      </c>
      <c r="Y9" s="24">
        <f t="shared" si="0"/>
        <v>0</v>
      </c>
      <c r="Z9" s="24">
        <f t="shared" si="10"/>
        <v>0</v>
      </c>
      <c r="AA9" s="11">
        <f t="shared" si="11"/>
        <v>24.673208191126321</v>
      </c>
      <c r="AB9" s="9">
        <f t="shared" si="12"/>
        <v>0.15000000000000022</v>
      </c>
    </row>
    <row r="10" spans="2:29" x14ac:dyDescent="0.25">
      <c r="B10" s="16">
        <v>26601</v>
      </c>
      <c r="C10" s="31" t="s">
        <v>61</v>
      </c>
      <c r="D10" s="23">
        <v>93</v>
      </c>
      <c r="E10" s="24">
        <v>550</v>
      </c>
      <c r="F10" s="25">
        <v>0</v>
      </c>
      <c r="G10" s="25">
        <v>0</v>
      </c>
      <c r="H10" s="22">
        <v>9.2499999999999999E-2</v>
      </c>
      <c r="I10" s="24">
        <f t="shared" ref="I10" si="15">(E10*(1+F10))-((E10*(1+F10))*H10)-(E10*12%)</f>
        <v>433.125</v>
      </c>
      <c r="J10" s="22">
        <v>0</v>
      </c>
      <c r="K10" s="22">
        <v>0.02</v>
      </c>
      <c r="L10" s="22">
        <v>5.0000000000000001E-3</v>
      </c>
      <c r="M10" s="22">
        <f t="shared" ref="M10" si="16">Y10/Q10</f>
        <v>0</v>
      </c>
      <c r="N10" s="22">
        <v>0</v>
      </c>
      <c r="O10" s="22">
        <v>0.15</v>
      </c>
      <c r="P10" s="24">
        <f t="shared" ref="P10" si="17">I10/(1-H10-0%-J10-K10-L10-N10-O10)</f>
        <v>591.29692832764511</v>
      </c>
      <c r="Q10" s="24">
        <f t="shared" ref="Q10" si="18">D10*P10</f>
        <v>54990.614334470993</v>
      </c>
      <c r="R10" s="24">
        <f t="shared" ref="R10" si="19">D10*E10</f>
        <v>51150</v>
      </c>
      <c r="S10" s="24">
        <f t="shared" ref="S10" si="20">R10*F10</f>
        <v>0</v>
      </c>
      <c r="T10" s="24">
        <f t="shared" ref="T10" si="21">(Q10*0%)-(R10*12%)</f>
        <v>-6138</v>
      </c>
      <c r="U10" s="24">
        <f t="shared" ref="U10" si="22">(Q10-(R10+S10))*9.25%</f>
        <v>355.25682593856681</v>
      </c>
      <c r="V10" s="24">
        <f t="shared" ref="V10" si="23">Q10*J10</f>
        <v>0</v>
      </c>
      <c r="W10" s="24">
        <f t="shared" ref="W10" si="24">Q10*K10</f>
        <v>1099.8122866894198</v>
      </c>
      <c r="X10" s="24">
        <f t="shared" ref="X10" si="25">Q10*L10</f>
        <v>274.95307167235495</v>
      </c>
      <c r="Y10" s="24">
        <f t="shared" si="0"/>
        <v>0</v>
      </c>
      <c r="Z10" s="24">
        <f t="shared" ref="Z10" si="26">Q10*N10</f>
        <v>0</v>
      </c>
      <c r="AA10" s="11">
        <f t="shared" ref="AA10" si="27">Q10-SUM(R10:Z10)</f>
        <v>8248.5921501706543</v>
      </c>
      <c r="AB10" s="9">
        <f t="shared" ref="AB10" si="28">AA10/Q10</f>
        <v>0.15000000000000011</v>
      </c>
    </row>
    <row r="11" spans="2:29" x14ac:dyDescent="0.25">
      <c r="B11" s="16">
        <v>29529</v>
      </c>
      <c r="C11" s="31" t="s">
        <v>62</v>
      </c>
      <c r="D11" s="23">
        <v>1</v>
      </c>
      <c r="E11" s="24">
        <v>9025.82</v>
      </c>
      <c r="F11" s="22">
        <v>9.7500000000000003E-2</v>
      </c>
      <c r="G11" s="25">
        <v>0.12</v>
      </c>
      <c r="H11" s="22">
        <v>9.2499999999999999E-2</v>
      </c>
      <c r="I11" s="24">
        <f t="shared" si="13"/>
        <v>7906.4490858749987</v>
      </c>
      <c r="J11" s="22">
        <v>0</v>
      </c>
      <c r="K11" s="22">
        <v>0.02</v>
      </c>
      <c r="L11" s="22">
        <v>5.0000000000000001E-3</v>
      </c>
      <c r="M11" s="22">
        <f t="shared" si="1"/>
        <v>0</v>
      </c>
      <c r="N11" s="22">
        <v>0</v>
      </c>
      <c r="O11" s="22">
        <v>0.15</v>
      </c>
      <c r="P11" s="24">
        <f t="shared" si="2"/>
        <v>10793.787147952218</v>
      </c>
      <c r="Q11" s="24">
        <f t="shared" si="3"/>
        <v>10793.787147952218</v>
      </c>
      <c r="R11" s="24">
        <f t="shared" si="4"/>
        <v>9025.82</v>
      </c>
      <c r="S11" s="24">
        <f t="shared" si="5"/>
        <v>880.01745000000005</v>
      </c>
      <c r="T11" s="24">
        <f t="shared" si="14"/>
        <v>-1083.0983999999999</v>
      </c>
      <c r="U11" s="24">
        <f t="shared" si="6"/>
        <v>82.135347060580273</v>
      </c>
      <c r="V11" s="24">
        <f t="shared" si="7"/>
        <v>0</v>
      </c>
      <c r="W11" s="24">
        <f t="shared" si="8"/>
        <v>215.87574295904437</v>
      </c>
      <c r="X11" s="24">
        <f t="shared" si="9"/>
        <v>53.968935739761093</v>
      </c>
      <c r="Y11" s="24">
        <f t="shared" si="0"/>
        <v>0</v>
      </c>
      <c r="Z11" s="24">
        <f t="shared" si="10"/>
        <v>0</v>
      </c>
      <c r="AA11" s="11">
        <f t="shared" si="11"/>
        <v>1619.0680721928311</v>
      </c>
      <c r="AB11" s="9">
        <f t="shared" si="12"/>
        <v>0.14999999999999986</v>
      </c>
    </row>
    <row r="12" spans="2:29" x14ac:dyDescent="0.25">
      <c r="Q12" s="28">
        <f>SUM(Q5:Q11)</f>
        <v>554194.509250256</v>
      </c>
      <c r="R12" s="28">
        <f t="shared" ref="R12:Z12" si="29">SUM(R5:R11)</f>
        <v>442945.09</v>
      </c>
      <c r="S12" s="28">
        <f t="shared" si="29"/>
        <v>4281.2337750000006</v>
      </c>
      <c r="T12" s="28">
        <f t="shared" si="29"/>
        <v>-13341.410799999998</v>
      </c>
      <c r="U12" s="28">
        <f t="shared" si="29"/>
        <v>9894.5571564611782</v>
      </c>
      <c r="V12" s="28">
        <f t="shared" si="29"/>
        <v>12395</v>
      </c>
      <c r="W12" s="28">
        <f t="shared" si="29"/>
        <v>11083.890185005119</v>
      </c>
      <c r="X12" s="28">
        <f t="shared" si="29"/>
        <v>2770.9725462512797</v>
      </c>
      <c r="Y12" s="37">
        <v>0</v>
      </c>
      <c r="Z12" s="28">
        <f t="shared" si="29"/>
        <v>0</v>
      </c>
      <c r="AA12" s="28">
        <f>SUM(AA5:AA11)</f>
        <v>84165.176387538319</v>
      </c>
      <c r="AB12" s="39">
        <f t="shared" si="12"/>
        <v>0.1518693797623536</v>
      </c>
      <c r="AC12" s="10"/>
    </row>
    <row r="13" spans="2:29" x14ac:dyDescent="0.25">
      <c r="Q13" s="28">
        <f>Q12*0.35</f>
        <v>193968.07823758959</v>
      </c>
      <c r="R13" s="27">
        <f>R12/$Q$12</f>
        <v>0.79925925393818831</v>
      </c>
      <c r="S13" s="27">
        <f t="shared" ref="S13:AA13" si="30">S12/$Q$12</f>
        <v>7.7251465027899369E-3</v>
      </c>
      <c r="T13" s="27">
        <f t="shared" si="30"/>
        <v>-2.4073516747845396E-2</v>
      </c>
      <c r="U13" s="27">
        <f t="shared" si="30"/>
        <v>1.7853942959209512E-2</v>
      </c>
      <c r="V13" s="27">
        <f t="shared" si="30"/>
        <v>2.2365793585303866E-2</v>
      </c>
      <c r="W13" s="27">
        <f t="shared" si="30"/>
        <v>1.9999999999999997E-2</v>
      </c>
      <c r="X13" s="27">
        <f t="shared" si="30"/>
        <v>4.9999999999999992E-3</v>
      </c>
      <c r="Y13" s="27">
        <f t="shared" si="30"/>
        <v>0</v>
      </c>
      <c r="Z13" s="27">
        <f t="shared" si="30"/>
        <v>0</v>
      </c>
      <c r="AA13" s="27">
        <f t="shared" si="30"/>
        <v>0.1518693797623536</v>
      </c>
      <c r="AB13" s="29"/>
      <c r="AC13" s="10"/>
    </row>
    <row r="14" spans="2:29" x14ac:dyDescent="0.25">
      <c r="N14" s="9"/>
    </row>
    <row r="15" spans="2:29" x14ac:dyDescent="0.25">
      <c r="N15" s="9"/>
      <c r="Q15" s="26">
        <v>554194.509250256</v>
      </c>
    </row>
    <row r="16" spans="2:29" x14ac:dyDescent="0.25">
      <c r="N16" s="9"/>
      <c r="P16" s="20"/>
      <c r="Q16" s="9">
        <f>Q12/Q15-1</f>
        <v>0</v>
      </c>
      <c r="R16" s="20"/>
    </row>
    <row r="17" spans="16:18" x14ac:dyDescent="0.25">
      <c r="P17" s="11"/>
      <c r="Q17" s="11"/>
    </row>
    <row r="18" spans="16:18" x14ac:dyDescent="0.25">
      <c r="Q18" s="11"/>
    </row>
    <row r="21" spans="16:18" x14ac:dyDescent="0.25">
      <c r="R21" s="2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054A-D4B0-4A42-A528-E4AF6DED8F87}">
  <dimension ref="B2:AH22"/>
  <sheetViews>
    <sheetView showGridLines="0" zoomScale="80" zoomScaleNormal="80" workbookViewId="0">
      <selection activeCell="E4" sqref="E4"/>
    </sheetView>
  </sheetViews>
  <sheetFormatPr defaultRowHeight="15" x14ac:dyDescent="0.25"/>
  <cols>
    <col min="2" max="2" width="6.5703125" bestFit="1" customWidth="1"/>
    <col min="3" max="3" width="21.5703125" bestFit="1" customWidth="1"/>
    <col min="4" max="4" width="5.140625" bestFit="1" customWidth="1"/>
    <col min="5" max="5" width="12.140625" bestFit="1" customWidth="1"/>
    <col min="6" max="6" width="6.5703125" bestFit="1" customWidth="1"/>
    <col min="7" max="7" width="5.7109375" bestFit="1" customWidth="1"/>
    <col min="8" max="8" width="6.5703125" bestFit="1" customWidth="1"/>
    <col min="9" max="9" width="12.140625" bestFit="1" customWidth="1"/>
    <col min="10" max="10" width="9.85546875" bestFit="1" customWidth="1"/>
    <col min="11" max="11" width="6.5703125" bestFit="1" customWidth="1"/>
    <col min="12" max="12" width="8.7109375" bestFit="1" customWidth="1"/>
    <col min="13" max="13" width="20.140625" bestFit="1" customWidth="1"/>
    <col min="14" max="14" width="12.140625" bestFit="1" customWidth="1"/>
    <col min="15" max="15" width="18.42578125" bestFit="1" customWidth="1"/>
    <col min="16" max="16" width="12.140625" bestFit="1" customWidth="1"/>
    <col min="17" max="17" width="7.7109375" bestFit="1" customWidth="1"/>
    <col min="18" max="18" width="12.140625" bestFit="1" customWidth="1"/>
    <col min="19" max="21" width="13.140625" bestFit="1" customWidth="1"/>
    <col min="22" max="22" width="11" bestFit="1" customWidth="1"/>
    <col min="23" max="23" width="12.85546875" bestFit="1" customWidth="1"/>
    <col min="24" max="25" width="12.140625" bestFit="1" customWidth="1"/>
    <col min="26" max="26" width="12.140625" customWidth="1"/>
    <col min="27" max="27" width="12.140625" bestFit="1" customWidth="1"/>
    <col min="28" max="28" width="11" bestFit="1" customWidth="1"/>
    <col min="29" max="30" width="12.140625" bestFit="1" customWidth="1"/>
    <col min="31" max="31" width="8.7109375" bestFit="1" customWidth="1"/>
    <col min="32" max="32" width="13.140625" bestFit="1" customWidth="1"/>
    <col min="33" max="33" width="7.7109375" bestFit="1" customWidth="1"/>
    <col min="34" max="34" width="0" hidden="1" customWidth="1"/>
  </cols>
  <sheetData>
    <row r="2" spans="2:34" x14ac:dyDescent="0.25">
      <c r="C2" s="10"/>
      <c r="D2" s="10"/>
    </row>
    <row r="3" spans="2:34" x14ac:dyDescent="0.25">
      <c r="C3" s="19"/>
      <c r="D3" s="19"/>
    </row>
    <row r="4" spans="2:34" s="10" customFormat="1" x14ac:dyDescent="0.25">
      <c r="B4" s="44" t="s">
        <v>34</v>
      </c>
      <c r="C4" s="44" t="s">
        <v>35</v>
      </c>
      <c r="D4" s="45" t="s">
        <v>19</v>
      </c>
      <c r="E4" s="46" t="s">
        <v>25</v>
      </c>
      <c r="F4" s="46" t="s">
        <v>8</v>
      </c>
      <c r="G4" s="46" t="s">
        <v>9</v>
      </c>
      <c r="H4" s="46" t="s">
        <v>26</v>
      </c>
      <c r="I4" s="34" t="s">
        <v>27</v>
      </c>
      <c r="J4" s="46" t="s">
        <v>31</v>
      </c>
      <c r="K4" s="46" t="s">
        <v>32</v>
      </c>
      <c r="L4" s="45" t="s">
        <v>28</v>
      </c>
      <c r="M4" s="50" t="s">
        <v>70</v>
      </c>
      <c r="N4" s="34" t="s">
        <v>64</v>
      </c>
      <c r="O4" s="51" t="s">
        <v>68</v>
      </c>
      <c r="P4" s="49" t="s">
        <v>65</v>
      </c>
      <c r="Q4" s="52" t="s">
        <v>66</v>
      </c>
      <c r="R4" s="34" t="s">
        <v>29</v>
      </c>
      <c r="S4" s="34" t="s">
        <v>30</v>
      </c>
      <c r="T4" s="44" t="s">
        <v>67</v>
      </c>
      <c r="U4" s="34" t="s">
        <v>36</v>
      </c>
      <c r="V4" s="34" t="s">
        <v>8</v>
      </c>
      <c r="W4" s="34" t="s">
        <v>9</v>
      </c>
      <c r="X4" s="34" t="s">
        <v>26</v>
      </c>
      <c r="Y4" s="34" t="s">
        <v>0</v>
      </c>
      <c r="Z4" s="44" t="s">
        <v>0</v>
      </c>
      <c r="AA4" s="34" t="s">
        <v>31</v>
      </c>
      <c r="AB4" s="34" t="s">
        <v>32</v>
      </c>
      <c r="AC4" s="34" t="s">
        <v>33</v>
      </c>
      <c r="AD4" s="44" t="s">
        <v>33</v>
      </c>
      <c r="AE4" s="34" t="s">
        <v>28</v>
      </c>
      <c r="AF4" s="34" t="s">
        <v>37</v>
      </c>
    </row>
    <row r="5" spans="2:34" x14ac:dyDescent="0.25">
      <c r="B5" s="16">
        <v>29138</v>
      </c>
      <c r="C5" s="31" t="s">
        <v>50</v>
      </c>
      <c r="D5" s="23">
        <v>20</v>
      </c>
      <c r="E5" s="24">
        <v>956.92</v>
      </c>
      <c r="F5" s="25">
        <v>0</v>
      </c>
      <c r="G5" s="25">
        <v>0</v>
      </c>
      <c r="H5" s="22">
        <v>9.2499999999999999E-2</v>
      </c>
      <c r="I5" s="24">
        <f t="shared" ref="I5:I10" si="0">((E5*(1+F5))-((E5*(1+F5))*H5)-(E5*G5))+(Y5/D5)+(AC5/D5)</f>
        <v>1166.744389692213</v>
      </c>
      <c r="J5" s="22">
        <v>0.02</v>
      </c>
      <c r="K5" s="22">
        <v>5.0000000000000001E-3</v>
      </c>
      <c r="L5" s="22">
        <v>0</v>
      </c>
      <c r="M5" s="65">
        <f>IF(M4="Gerador Fotovoltaico",15%,22%)</f>
        <v>0.15</v>
      </c>
      <c r="N5" s="24">
        <f t="shared" ref="N5:N10" si="1">I5/(1-H5-0%-J5-K5-L5-$M$5)</f>
        <v>1592.8251053818608</v>
      </c>
      <c r="O5" s="63">
        <v>0</v>
      </c>
      <c r="P5" s="24">
        <f>ROUND((N5*1)/(1-$O$5),2)</f>
        <v>1592.83</v>
      </c>
      <c r="Q5" s="63">
        <v>0</v>
      </c>
      <c r="R5" s="24">
        <f>ROUND(P5*(1-$Q$5),2)</f>
        <v>1592.83</v>
      </c>
      <c r="S5" s="24">
        <f t="shared" ref="S5:S10" si="2">D5*R5</f>
        <v>31856.6</v>
      </c>
      <c r="T5" s="62">
        <f>SUMPRODUCT(D5:D10,R5:R10)</f>
        <v>46980.74</v>
      </c>
      <c r="U5" s="24">
        <f t="shared" ref="U5:U10" si="3">D5*E5</f>
        <v>19138.399999999998</v>
      </c>
      <c r="V5" s="24">
        <f t="shared" ref="V5:V10" si="4">U5*F5</f>
        <v>0</v>
      </c>
      <c r="W5" s="24">
        <f>(S5*0%)</f>
        <v>0</v>
      </c>
      <c r="X5" s="24">
        <f>(S5-(U5+V5))*9.25%</f>
        <v>1176.4335000000001</v>
      </c>
      <c r="Y5" s="24">
        <f t="shared" ref="Y5:Y10" si="5">((U5+V5)/($U$11+$V$11))*$Z$5</f>
        <v>0</v>
      </c>
      <c r="Z5" s="64">
        <v>0</v>
      </c>
      <c r="AA5" s="24">
        <f t="shared" ref="AA5:AA10" si="6">S5*J5</f>
        <v>637.13199999999995</v>
      </c>
      <c r="AB5" s="24">
        <f t="shared" ref="AB5:AB10" si="7">S5*K5</f>
        <v>159.28299999999999</v>
      </c>
      <c r="AC5" s="24">
        <f t="shared" ref="AC5:AC10" si="8">((U5+V5)/($U$11+$V$11))*$AD$5</f>
        <v>5966.7897938442593</v>
      </c>
      <c r="AD5" s="64">
        <v>9089.1334273305092</v>
      </c>
      <c r="AE5" s="24">
        <f>S5*L5</f>
        <v>0</v>
      </c>
      <c r="AF5" s="57">
        <f>S5-SUM(U5:Y5,AA5:AC5,AE5)</f>
        <v>4778.5617061557423</v>
      </c>
      <c r="AG5" s="9">
        <f>AF5/S5</f>
        <v>0.15000225090423155</v>
      </c>
    </row>
    <row r="6" spans="2:34" x14ac:dyDescent="0.25">
      <c r="B6" s="16">
        <v>29525</v>
      </c>
      <c r="C6" s="31" t="s">
        <v>71</v>
      </c>
      <c r="D6" s="23">
        <v>1</v>
      </c>
      <c r="E6" s="24">
        <v>5949.5</v>
      </c>
      <c r="F6" s="22">
        <v>9.7500000000000003E-2</v>
      </c>
      <c r="G6" s="25">
        <v>0.12</v>
      </c>
      <c r="H6" s="22">
        <v>9.2499999999999999E-2</v>
      </c>
      <c r="I6" s="24">
        <f t="shared" si="0"/>
        <v>7247.3801278633728</v>
      </c>
      <c r="J6" s="22">
        <v>0.02</v>
      </c>
      <c r="K6" s="22">
        <v>5.0000000000000001E-3</v>
      </c>
      <c r="L6" s="22">
        <v>0</v>
      </c>
      <c r="M6" s="65"/>
      <c r="N6" s="24">
        <f t="shared" si="1"/>
        <v>9894.0343042503391</v>
      </c>
      <c r="O6" s="63"/>
      <c r="P6" s="24">
        <f t="shared" ref="P6:P10" si="9">ROUND((N6*1)/(1-$O$5),2)</f>
        <v>9894.0300000000007</v>
      </c>
      <c r="Q6" s="63"/>
      <c r="R6" s="24">
        <f t="shared" ref="R6:R10" si="10">ROUND(P6*(1-$Q$5),2)</f>
        <v>9894.0300000000007</v>
      </c>
      <c r="S6" s="24">
        <f t="shared" si="2"/>
        <v>9894.0300000000007</v>
      </c>
      <c r="T6" s="62"/>
      <c r="U6" s="24">
        <f t="shared" si="3"/>
        <v>5949.5</v>
      </c>
      <c r="V6" s="24">
        <f t="shared" si="4"/>
        <v>580.07625000000007</v>
      </c>
      <c r="W6" s="24">
        <f>(S6*0%)-(U6*12%)</f>
        <v>-713.93999999999994</v>
      </c>
      <c r="X6" s="24">
        <f t="shared" ref="X6:X10" si="11">(S6-(U6+V6))*9.25%</f>
        <v>311.21197187500007</v>
      </c>
      <c r="Y6" s="24">
        <f t="shared" si="5"/>
        <v>0</v>
      </c>
      <c r="Z6" s="64"/>
      <c r="AA6" s="24">
        <f t="shared" si="6"/>
        <v>197.88060000000002</v>
      </c>
      <c r="AB6" s="24">
        <f t="shared" si="7"/>
        <v>49.470150000000004</v>
      </c>
      <c r="AC6" s="24">
        <f t="shared" si="8"/>
        <v>2035.7296809883726</v>
      </c>
      <c r="AD6" s="64"/>
      <c r="AE6" s="24">
        <f t="shared" ref="AE6:AE10" si="12">S6*L6</f>
        <v>0</v>
      </c>
      <c r="AF6" s="57">
        <f t="shared" ref="AF6:AF10" si="13">S6-SUM(U6:Y6,AA6:AC6,AE6)</f>
        <v>1484.1013471366277</v>
      </c>
      <c r="AG6" s="9">
        <f t="shared" ref="AG6:AG11" si="14">AF6/S6</f>
        <v>0.1499996813367887</v>
      </c>
    </row>
    <row r="7" spans="2:34" x14ac:dyDescent="0.25">
      <c r="B7" s="16">
        <v>24646</v>
      </c>
      <c r="C7" s="32" t="s">
        <v>59</v>
      </c>
      <c r="D7" s="23">
        <v>50</v>
      </c>
      <c r="E7" s="24">
        <v>4.7</v>
      </c>
      <c r="F7" s="25">
        <v>0</v>
      </c>
      <c r="G7" s="25">
        <v>0.12</v>
      </c>
      <c r="H7" s="22">
        <v>9.2499999999999999E-2</v>
      </c>
      <c r="I7" s="24">
        <f t="shared" si="0"/>
        <v>5.1665716586061539</v>
      </c>
      <c r="J7" s="22">
        <v>0.02</v>
      </c>
      <c r="K7" s="22">
        <v>5.0000000000000001E-3</v>
      </c>
      <c r="L7" s="22">
        <v>0</v>
      </c>
      <c r="M7" s="65"/>
      <c r="N7" s="24">
        <f t="shared" si="1"/>
        <v>7.0533401482677878</v>
      </c>
      <c r="O7" s="63"/>
      <c r="P7" s="24">
        <f t="shared" si="9"/>
        <v>7.05</v>
      </c>
      <c r="Q7" s="63"/>
      <c r="R7" s="24">
        <f t="shared" si="10"/>
        <v>7.05</v>
      </c>
      <c r="S7" s="24">
        <f t="shared" si="2"/>
        <v>352.5</v>
      </c>
      <c r="T7" s="62"/>
      <c r="U7" s="24">
        <f t="shared" si="3"/>
        <v>235</v>
      </c>
      <c r="V7" s="24">
        <f t="shared" si="4"/>
        <v>0</v>
      </c>
      <c r="W7" s="24">
        <f t="shared" ref="W7:W10" si="15">(S7*0%)-(U7*12%)</f>
        <v>-28.2</v>
      </c>
      <c r="X7" s="24">
        <f t="shared" si="11"/>
        <v>10.86875</v>
      </c>
      <c r="Y7" s="24">
        <f t="shared" si="5"/>
        <v>0</v>
      </c>
      <c r="Z7" s="64"/>
      <c r="AA7" s="24">
        <f t="shared" si="6"/>
        <v>7.05</v>
      </c>
      <c r="AB7" s="24">
        <f t="shared" si="7"/>
        <v>1.7625</v>
      </c>
      <c r="AC7" s="24">
        <f t="shared" si="8"/>
        <v>73.266082930307704</v>
      </c>
      <c r="AD7" s="64"/>
      <c r="AE7" s="24">
        <f t="shared" si="12"/>
        <v>0</v>
      </c>
      <c r="AF7" s="57">
        <f t="shared" si="13"/>
        <v>52.752667069692279</v>
      </c>
      <c r="AG7" s="9">
        <f t="shared" si="14"/>
        <v>0.14965295622607738</v>
      </c>
    </row>
    <row r="8" spans="2:34" x14ac:dyDescent="0.25">
      <c r="B8" s="16">
        <v>24646</v>
      </c>
      <c r="C8" s="32" t="s">
        <v>58</v>
      </c>
      <c r="D8" s="23">
        <v>50</v>
      </c>
      <c r="E8" s="24">
        <v>4.7</v>
      </c>
      <c r="F8" s="25">
        <v>0</v>
      </c>
      <c r="G8" s="25">
        <v>0.12</v>
      </c>
      <c r="H8" s="22">
        <v>9.2499999999999999E-2</v>
      </c>
      <c r="I8" s="24">
        <f t="shared" si="0"/>
        <v>5.1665716586061539</v>
      </c>
      <c r="J8" s="22">
        <v>0.02</v>
      </c>
      <c r="K8" s="22">
        <v>5.0000000000000001E-3</v>
      </c>
      <c r="L8" s="22">
        <v>0</v>
      </c>
      <c r="M8" s="65"/>
      <c r="N8" s="24">
        <f t="shared" si="1"/>
        <v>7.0533401482677878</v>
      </c>
      <c r="O8" s="63"/>
      <c r="P8" s="24">
        <f t="shared" si="9"/>
        <v>7.05</v>
      </c>
      <c r="Q8" s="63"/>
      <c r="R8" s="24">
        <f t="shared" si="10"/>
        <v>7.05</v>
      </c>
      <c r="S8" s="24">
        <f t="shared" si="2"/>
        <v>352.5</v>
      </c>
      <c r="T8" s="62"/>
      <c r="U8" s="24">
        <f t="shared" si="3"/>
        <v>235</v>
      </c>
      <c r="V8" s="24">
        <f t="shared" si="4"/>
        <v>0</v>
      </c>
      <c r="W8" s="24">
        <f t="shared" si="15"/>
        <v>-28.2</v>
      </c>
      <c r="X8" s="24">
        <f t="shared" si="11"/>
        <v>10.86875</v>
      </c>
      <c r="Y8" s="24">
        <f t="shared" si="5"/>
        <v>0</v>
      </c>
      <c r="Z8" s="64"/>
      <c r="AA8" s="24">
        <f t="shared" si="6"/>
        <v>7.05</v>
      </c>
      <c r="AB8" s="24">
        <f t="shared" si="7"/>
        <v>1.7625</v>
      </c>
      <c r="AC8" s="24">
        <f t="shared" si="8"/>
        <v>73.266082930307704</v>
      </c>
      <c r="AD8" s="64"/>
      <c r="AE8" s="24">
        <f t="shared" si="12"/>
        <v>0</v>
      </c>
      <c r="AF8" s="57">
        <f t="shared" si="13"/>
        <v>52.752667069692279</v>
      </c>
      <c r="AG8" s="9">
        <f t="shared" si="14"/>
        <v>0.14965295622607738</v>
      </c>
    </row>
    <row r="9" spans="2:34" x14ac:dyDescent="0.25">
      <c r="B9" s="16">
        <v>32066</v>
      </c>
      <c r="C9" s="31" t="s">
        <v>51</v>
      </c>
      <c r="D9" s="23">
        <v>2</v>
      </c>
      <c r="E9" s="24">
        <v>7.65</v>
      </c>
      <c r="F9" s="25">
        <v>0</v>
      </c>
      <c r="G9" s="25">
        <v>0.12</v>
      </c>
      <c r="H9" s="22">
        <v>9.2499999999999999E-2</v>
      </c>
      <c r="I9" s="24">
        <f t="shared" si="0"/>
        <v>8.4094198273057614</v>
      </c>
      <c r="J9" s="22">
        <v>0.02</v>
      </c>
      <c r="K9" s="22">
        <v>5.0000000000000001E-3</v>
      </c>
      <c r="L9" s="22">
        <v>0</v>
      </c>
      <c r="M9" s="65"/>
      <c r="N9" s="24">
        <f t="shared" si="1"/>
        <v>11.480436624308208</v>
      </c>
      <c r="O9" s="63"/>
      <c r="P9" s="24">
        <f t="shared" si="9"/>
        <v>11.48</v>
      </c>
      <c r="Q9" s="63"/>
      <c r="R9" s="24">
        <f t="shared" si="10"/>
        <v>11.48</v>
      </c>
      <c r="S9" s="24">
        <f t="shared" si="2"/>
        <v>22.96</v>
      </c>
      <c r="T9" s="62"/>
      <c r="U9" s="24">
        <f t="shared" si="3"/>
        <v>15.3</v>
      </c>
      <c r="V9" s="24">
        <f t="shared" si="4"/>
        <v>0</v>
      </c>
      <c r="W9" s="24">
        <f t="shared" si="15"/>
        <v>-1.8360000000000001</v>
      </c>
      <c r="X9" s="24">
        <f t="shared" si="11"/>
        <v>0.70855000000000001</v>
      </c>
      <c r="Y9" s="24">
        <f t="shared" si="5"/>
        <v>0</v>
      </c>
      <c r="Z9" s="64"/>
      <c r="AA9" s="24">
        <f t="shared" si="6"/>
        <v>0.45920000000000005</v>
      </c>
      <c r="AB9" s="24">
        <f t="shared" si="7"/>
        <v>0.11480000000000001</v>
      </c>
      <c r="AC9" s="24">
        <f t="shared" si="8"/>
        <v>4.7700896546115237</v>
      </c>
      <c r="AD9" s="64"/>
      <c r="AE9" s="24">
        <f t="shared" si="12"/>
        <v>0</v>
      </c>
      <c r="AF9" s="57">
        <f t="shared" si="13"/>
        <v>3.4433603453884771</v>
      </c>
      <c r="AG9" s="9">
        <f t="shared" si="14"/>
        <v>0.1499721404785922</v>
      </c>
    </row>
    <row r="10" spans="2:34" x14ac:dyDescent="0.25">
      <c r="B10" s="16">
        <v>22234</v>
      </c>
      <c r="C10" s="31" t="s">
        <v>72</v>
      </c>
      <c r="D10" s="23">
        <v>5</v>
      </c>
      <c r="E10" s="24">
        <v>600</v>
      </c>
      <c r="F10" s="25">
        <v>0</v>
      </c>
      <c r="G10" s="25">
        <v>0.12</v>
      </c>
      <c r="H10" s="22">
        <v>9.2499999999999999E-2</v>
      </c>
      <c r="I10" s="24">
        <f t="shared" si="0"/>
        <v>659.56233939653032</v>
      </c>
      <c r="J10" s="22">
        <v>0.02</v>
      </c>
      <c r="K10" s="22">
        <v>5.0000000000000001E-3</v>
      </c>
      <c r="L10" s="22">
        <v>0</v>
      </c>
      <c r="M10" s="65"/>
      <c r="N10" s="24">
        <f t="shared" si="1"/>
        <v>900.42640190652617</v>
      </c>
      <c r="O10" s="63"/>
      <c r="P10" s="24">
        <f t="shared" si="9"/>
        <v>900.43</v>
      </c>
      <c r="Q10" s="63"/>
      <c r="R10" s="24">
        <f t="shared" si="10"/>
        <v>900.43</v>
      </c>
      <c r="S10" s="24">
        <f t="shared" si="2"/>
        <v>4502.1499999999996</v>
      </c>
      <c r="T10" s="62"/>
      <c r="U10" s="24">
        <f t="shared" si="3"/>
        <v>3000</v>
      </c>
      <c r="V10" s="24">
        <f t="shared" si="4"/>
        <v>0</v>
      </c>
      <c r="W10" s="24">
        <f t="shared" si="15"/>
        <v>-360</v>
      </c>
      <c r="X10" s="24">
        <f t="shared" si="11"/>
        <v>138.94887499999996</v>
      </c>
      <c r="Y10" s="24">
        <f t="shared" si="5"/>
        <v>0</v>
      </c>
      <c r="Z10" s="64"/>
      <c r="AA10" s="24">
        <f t="shared" si="6"/>
        <v>90.042999999999992</v>
      </c>
      <c r="AB10" s="24">
        <f t="shared" si="7"/>
        <v>22.510749999999998</v>
      </c>
      <c r="AC10" s="24">
        <f t="shared" si="8"/>
        <v>935.31169698265148</v>
      </c>
      <c r="AD10" s="64"/>
      <c r="AE10" s="24">
        <f t="shared" si="12"/>
        <v>0</v>
      </c>
      <c r="AF10" s="57">
        <f t="shared" si="13"/>
        <v>675.33567801734807</v>
      </c>
      <c r="AG10" s="9">
        <f t="shared" si="14"/>
        <v>0.15000292704982021</v>
      </c>
    </row>
    <row r="11" spans="2:34" x14ac:dyDescent="0.25">
      <c r="S11" s="28">
        <f>SUM(S5:S10)</f>
        <v>46980.74</v>
      </c>
      <c r="T11" s="28"/>
      <c r="U11" s="28">
        <f>SUM(U5:U10)</f>
        <v>28573.199999999997</v>
      </c>
      <c r="V11" s="28">
        <f>SUM(V5:V10)</f>
        <v>580.07625000000007</v>
      </c>
      <c r="W11" s="28">
        <f>SUM(W5:W10)</f>
        <v>-1132.1759999999999</v>
      </c>
      <c r="X11" s="28">
        <f>SUM(X5:X10)</f>
        <v>1649.0403968750004</v>
      </c>
      <c r="Y11" s="28">
        <f>SUM(Y5:Y10)</f>
        <v>0</v>
      </c>
      <c r="Z11" s="28"/>
      <c r="AA11" s="28">
        <f>SUM(AA5:AA10)</f>
        <v>939.61479999999995</v>
      </c>
      <c r="AB11" s="28">
        <f>SUM(AB5:AB10)</f>
        <v>234.90369999999999</v>
      </c>
      <c r="AC11" s="28">
        <f>SUM(AC5:AC10)</f>
        <v>9089.133427330511</v>
      </c>
      <c r="AD11" s="48"/>
      <c r="AE11" s="28">
        <f>SUM(AE5:AE10)</f>
        <v>0</v>
      </c>
      <c r="AF11" s="28">
        <f>SUM(AF5:AF10)</f>
        <v>7046.9474257944912</v>
      </c>
      <c r="AG11" s="39">
        <f t="shared" si="14"/>
        <v>0.14999651827098703</v>
      </c>
      <c r="AH11" s="10"/>
    </row>
    <row r="12" spans="2:34" x14ac:dyDescent="0.25">
      <c r="S12" s="28">
        <f>S11*0.35</f>
        <v>16443.258999999998</v>
      </c>
      <c r="T12" s="47">
        <f>AF11/$S$11</f>
        <v>0.14999651827098703</v>
      </c>
      <c r="U12" s="27">
        <f>U11/$S$11</f>
        <v>0.60818965388795487</v>
      </c>
      <c r="V12" s="27">
        <f>V11/$S$11</f>
        <v>1.2347107559395618E-2</v>
      </c>
      <c r="W12" s="27">
        <f>W11/$S$11</f>
        <v>-2.4098726414271038E-2</v>
      </c>
      <c r="X12" s="27">
        <f>X11/$S$11</f>
        <v>3.5100349566120084E-2</v>
      </c>
      <c r="Y12" s="27">
        <f>Y11/$S$11</f>
        <v>0</v>
      </c>
      <c r="Z12" s="27"/>
      <c r="AA12" s="27">
        <f>AA11/$S$11</f>
        <v>0.02</v>
      </c>
      <c r="AB12" s="27">
        <f>AB11/$S$11</f>
        <v>5.0000000000000001E-3</v>
      </c>
      <c r="AC12" s="27">
        <f>AC11/$S$11</f>
        <v>0.19346509712981344</v>
      </c>
      <c r="AD12" s="27"/>
      <c r="AE12" s="27">
        <f>AE11/$S$11</f>
        <v>0</v>
      </c>
      <c r="AF12" s="10"/>
      <c r="AG12" s="29"/>
      <c r="AH12" s="10"/>
    </row>
    <row r="13" spans="2:34" x14ac:dyDescent="0.25">
      <c r="L13" s="9"/>
    </row>
    <row r="14" spans="2:34" x14ac:dyDescent="0.25">
      <c r="L14" s="9"/>
      <c r="S14" s="26">
        <v>34572.5</v>
      </c>
      <c r="T14" s="26"/>
    </row>
    <row r="15" spans="2:34" x14ac:dyDescent="0.25">
      <c r="L15" s="9"/>
      <c r="N15" s="20"/>
      <c r="O15" s="20"/>
      <c r="P15" s="20"/>
      <c r="Q15" s="20"/>
      <c r="R15" s="20"/>
      <c r="S15" s="9">
        <f>S11/S14</f>
        <v>1.3589049099717982</v>
      </c>
      <c r="T15" s="9"/>
      <c r="U15" s="20"/>
    </row>
    <row r="16" spans="2:34" x14ac:dyDescent="0.25">
      <c r="N16" s="11"/>
      <c r="O16" s="11"/>
      <c r="P16" s="11"/>
      <c r="Q16" s="11"/>
      <c r="R16" s="11"/>
      <c r="S16" s="11"/>
      <c r="T16" s="11"/>
    </row>
    <row r="17" spans="15:21" x14ac:dyDescent="0.25">
      <c r="S17" s="11"/>
      <c r="T17" s="11"/>
    </row>
    <row r="20" spans="15:21" x14ac:dyDescent="0.25">
      <c r="U20" s="21"/>
    </row>
    <row r="21" spans="15:21" x14ac:dyDescent="0.25">
      <c r="O21" s="43"/>
    </row>
    <row r="22" spans="15:21" x14ac:dyDescent="0.25">
      <c r="O22" s="43"/>
    </row>
  </sheetData>
  <mergeCells count="6">
    <mergeCell ref="T5:T10"/>
    <mergeCell ref="O5:O10"/>
    <mergeCell ref="Q5:Q10"/>
    <mergeCell ref="AD5:AD10"/>
    <mergeCell ref="M5:M10"/>
    <mergeCell ref="Z5:Z10"/>
  </mergeCells>
  <conditionalFormatting sqref="T1:T1048576">
    <cfRule type="expression" dxfId="1" priority="2">
      <formula>$M$4&lt;&gt;"Gerador Fotovoltaico"</formula>
    </cfRule>
  </conditionalFormatting>
  <conditionalFormatting sqref="R1:R1048576">
    <cfRule type="expression" dxfId="0" priority="1">
      <formula>$M$4="Gerador Fotovoltaico"</formula>
    </cfRule>
  </conditionalFormatting>
  <dataValidations count="1">
    <dataValidation type="list" allowBlank="1" showInputMessage="1" showErrorMessage="1" sqref="M4" xr:uid="{C48B1714-8975-4775-B784-A7BE45735064}">
      <formula1>"Gerador Fotovoltaico, Preço Unitario"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Painel</vt:lpstr>
      <vt:lpstr>Inversor</vt:lpstr>
      <vt:lpstr>Planilha1</vt:lpstr>
      <vt:lpstr>19297</vt:lpstr>
      <vt:lpstr>ASC ENG</vt:lpstr>
      <vt:lpstr>Planilha3</vt:lpstr>
      <vt:lpstr>Comissao</vt:lpstr>
      <vt:lpstr>Planilha4</vt:lpstr>
      <vt:lpstr>Site KIT</vt:lpstr>
      <vt:lpstr>Site 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Viana - Horus - Suporte</dc:creator>
  <cp:lastModifiedBy>Fábio Santiago - Horus - Controladoria</cp:lastModifiedBy>
  <dcterms:created xsi:type="dcterms:W3CDTF">2022-11-03T13:25:36Z</dcterms:created>
  <dcterms:modified xsi:type="dcterms:W3CDTF">2022-12-06T17:36:16Z</dcterms:modified>
</cp:coreProperties>
</file>