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Z:\fc\task\"/>
    </mc:Choice>
  </mc:AlternateContent>
  <xr:revisionPtr revIDLastSave="0" documentId="8_{F2966F44-AC6C-46FF-979F-E3A6A1EA4AB8}" xr6:coauthVersionLast="47" xr6:coauthVersionMax="47" xr10:uidLastSave="{00000000-0000-0000-0000-000000000000}"/>
  <workbookProtection workbookAlgorithmName="SHA-512" workbookHashValue="e8J97W2aYh9QMO6XAI3dOwQptV1iD38h7v0b9Ij3g0ArVJ9ufMfRowrTT3faP/NlNCR1htt1dyISXNGNs0uJaQ==" workbookSaltValue="TqQ9sPdFRSP1q5NJDJ4uqg==" workbookSpinCount="100000" lockStructure="1"/>
  <bookViews>
    <workbookView xWindow="2340" yWindow="2340" windowWidth="14400" windowHeight="8235" tabRatio="718" xr2:uid="{B0CA37CE-3348-4AC4-91C4-4DC91BC6EBCA}"/>
  </bookViews>
  <sheets>
    <sheet name="Planejamento" sheetId="2" r:id="rId1"/>
    <sheet name="Indicadores" sheetId="6" state="hidden" r:id="rId2"/>
    <sheet name="IATF x Touro" sheetId="4" r:id="rId3"/>
    <sheet name="1 IATF + Touro" sheetId="5" r:id="rId4"/>
    <sheet name="2 IATF + Touro" sheetId="3" r:id="rId5"/>
    <sheet name="Reprodutivo LANÇAR" sheetId="7" r:id="rId6"/>
    <sheet name="Ficha Reprodutivo IMPRIMIR" sheetId="8" r:id="rId7"/>
    <sheet name="Formulação suplementos" sheetId="9" r:id="rId8"/>
    <sheet name="CHUVAS" sheetId="17" r:id="rId9"/>
    <sheet name="Cadastro pastos" sheetId="10" r:id="rId10"/>
    <sheet name="Planejamento de lotação" sheetId="11" r:id="rId11"/>
    <sheet name="Resultado lotação" sheetId="12" r:id="rId12"/>
    <sheet name="Resumo materiais" sheetId="20" r:id="rId13"/>
    <sheet name="Dimensionamento de água" sheetId="19" r:id="rId14"/>
    <sheet name="Adubação" sheetId="18" r:id="rId15"/>
    <sheet name="Evolução dos anos - Avançado" sheetId="13" r:id="rId16"/>
    <sheet name="Potencial dos pastos" sheetId="14"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20" l="1"/>
  <c r="O29" i="20"/>
  <c r="G29" i="20"/>
  <c r="W28" i="20"/>
  <c r="O28" i="20"/>
  <c r="G28" i="20"/>
  <c r="W27" i="20"/>
  <c r="O27" i="20"/>
  <c r="F27" i="20"/>
  <c r="G27" i="20" s="1"/>
  <c r="W26" i="20"/>
  <c r="O26" i="20"/>
  <c r="W25" i="20"/>
  <c r="O25" i="20"/>
  <c r="W24" i="20"/>
  <c r="O24" i="20"/>
  <c r="G24" i="20"/>
  <c r="W23" i="20"/>
  <c r="O23" i="20"/>
  <c r="F23" i="20"/>
  <c r="G23" i="20" s="1"/>
  <c r="W22" i="20"/>
  <c r="O22" i="20"/>
  <c r="W21" i="20"/>
  <c r="N21" i="20"/>
  <c r="O21" i="20" s="1"/>
  <c r="W20" i="20"/>
  <c r="F20" i="20"/>
  <c r="F22" i="20" s="1"/>
  <c r="G22" i="20" s="1"/>
  <c r="W19" i="20"/>
  <c r="W18" i="20"/>
  <c r="F18" i="20"/>
  <c r="G18" i="20" s="1"/>
  <c r="W17" i="20"/>
  <c r="W30" i="20" s="1"/>
  <c r="O17" i="20"/>
  <c r="O30" i="20" s="1"/>
  <c r="N17" i="20"/>
  <c r="F17" i="20"/>
  <c r="G17" i="20" s="1"/>
  <c r="G30" i="20" s="1"/>
  <c r="G12" i="20"/>
  <c r="G11" i="20"/>
  <c r="D24" i="20" s="1"/>
  <c r="G10" i="20"/>
  <c r="F19" i="20" s="1"/>
  <c r="G19" i="20" s="1"/>
  <c r="O9" i="20"/>
  <c r="O8" i="20" s="1"/>
  <c r="N20" i="20" s="1"/>
  <c r="O20" i="20" s="1"/>
  <c r="G9" i="20"/>
  <c r="F26" i="20" s="1"/>
  <c r="G26" i="20" s="1"/>
  <c r="G8" i="20"/>
  <c r="O7" i="20"/>
  <c r="N18" i="20" s="1"/>
  <c r="O18" i="20" s="1"/>
  <c r="G7" i="20"/>
  <c r="O6" i="20"/>
  <c r="G6" i="20"/>
  <c r="C31" i="19"/>
  <c r="C32" i="19" s="1"/>
  <c r="C26" i="19"/>
  <c r="D21" i="19" s="1"/>
  <c r="AC21" i="19"/>
  <c r="AD12" i="19" s="1"/>
  <c r="AC33" i="19" s="1"/>
  <c r="C21" i="19"/>
  <c r="C23" i="19" s="1"/>
  <c r="C27" i="19" s="1"/>
  <c r="C28" i="19" s="1"/>
  <c r="AC19" i="19"/>
  <c r="AD17" i="19"/>
  <c r="AD16" i="19"/>
  <c r="C16" i="19"/>
  <c r="D11" i="19" s="1"/>
  <c r="AD15" i="19"/>
  <c r="AD14" i="19"/>
  <c r="AD13" i="19"/>
  <c r="C13" i="19"/>
  <c r="AD6" i="19" s="1"/>
  <c r="C8" i="19"/>
  <c r="AD7" i="19"/>
  <c r="N19" i="20" l="1"/>
  <c r="O19" i="20" s="1"/>
  <c r="G13" i="20"/>
  <c r="F25" i="20" s="1"/>
  <c r="G25" i="20" s="1"/>
  <c r="G20" i="20"/>
  <c r="F21" i="20"/>
  <c r="G21" i="20" s="1"/>
  <c r="AD10" i="19"/>
  <c r="AC32" i="19"/>
  <c r="AC34" i="19" s="1"/>
  <c r="C17" i="19"/>
  <c r="C18" i="19" s="1"/>
  <c r="AC20" i="19"/>
  <c r="AC22" i="19"/>
  <c r="AC29" i="19" s="1"/>
  <c r="AC28" i="19" l="1"/>
  <c r="AC30" i="19" l="1"/>
  <c r="AC31" i="19" s="1"/>
  <c r="AC35" i="19" s="1"/>
  <c r="AC36" i="19" s="1"/>
  <c r="AC38" i="19"/>
  <c r="AC39" i="19" s="1"/>
  <c r="C7" i="19" s="1"/>
  <c r="B69" i="18" l="1"/>
  <c r="B68" i="18"/>
  <c r="B67" i="18"/>
  <c r="B66" i="18"/>
  <c r="B65" i="18"/>
  <c r="J54" i="18"/>
  <c r="I54" i="18"/>
  <c r="H54" i="18"/>
  <c r="F54" i="18"/>
  <c r="D54" i="18"/>
  <c r="J53" i="18"/>
  <c r="I53" i="18"/>
  <c r="H53" i="18"/>
  <c r="F53" i="18"/>
  <c r="D53" i="18"/>
  <c r="J52" i="18"/>
  <c r="I52" i="18"/>
  <c r="H52" i="18"/>
  <c r="F52" i="18"/>
  <c r="D52" i="18"/>
  <c r="J51" i="18"/>
  <c r="I51" i="18"/>
  <c r="H51" i="18"/>
  <c r="F51" i="18"/>
  <c r="D51" i="18"/>
  <c r="J50" i="18"/>
  <c r="I50" i="18"/>
  <c r="H50" i="18"/>
  <c r="F50" i="18"/>
  <c r="F47" i="18" s="1"/>
  <c r="D50" i="18"/>
  <c r="H47" i="18"/>
  <c r="J44" i="18"/>
  <c r="I44" i="18"/>
  <c r="H44" i="18"/>
  <c r="F44" i="18"/>
  <c r="D44" i="18"/>
  <c r="J43" i="18"/>
  <c r="I43" i="18"/>
  <c r="H43" i="18"/>
  <c r="F43" i="18"/>
  <c r="D43" i="18"/>
  <c r="J42" i="18"/>
  <c r="I42" i="18"/>
  <c r="H42" i="18"/>
  <c r="H37" i="18" s="1"/>
  <c r="F42" i="18"/>
  <c r="F37" i="18" s="1"/>
  <c r="D42" i="18"/>
  <c r="J41" i="18"/>
  <c r="I41" i="18"/>
  <c r="H41" i="18"/>
  <c r="F41" i="18"/>
  <c r="D41" i="18"/>
  <c r="J40" i="18"/>
  <c r="I40" i="18"/>
  <c r="H40" i="18"/>
  <c r="F40" i="18"/>
  <c r="D40" i="18"/>
  <c r="I34" i="18"/>
  <c r="J34" i="18" s="1"/>
  <c r="H29" i="18"/>
  <c r="I29" i="18" s="1"/>
  <c r="F29" i="18"/>
  <c r="D29" i="18"/>
  <c r="J29" i="18" s="1"/>
  <c r="H28" i="18"/>
  <c r="I28" i="18" s="1"/>
  <c r="F28" i="18"/>
  <c r="D28" i="18"/>
  <c r="J28" i="18" s="1"/>
  <c r="I27" i="18"/>
  <c r="H27" i="18"/>
  <c r="F27" i="18"/>
  <c r="D27" i="18"/>
  <c r="J27" i="18" s="1"/>
  <c r="I26" i="18"/>
  <c r="H26" i="18"/>
  <c r="F26" i="18"/>
  <c r="D26" i="18"/>
  <c r="I31" i="18" s="1"/>
  <c r="J31" i="18" s="1"/>
  <c r="I25" i="18"/>
  <c r="H25" i="18"/>
  <c r="F25" i="18"/>
  <c r="F22" i="18" s="1"/>
  <c r="D25" i="18"/>
  <c r="I30" i="18" s="1"/>
  <c r="J30" i="18" s="1"/>
  <c r="F19" i="18"/>
  <c r="H19" i="18" s="1"/>
  <c r="I19" i="18" s="1"/>
  <c r="E19" i="18"/>
  <c r="D19" i="18"/>
  <c r="J19" i="18" s="1"/>
  <c r="F18" i="18"/>
  <c r="H18" i="18" s="1"/>
  <c r="I18" i="18" s="1"/>
  <c r="E18" i="18"/>
  <c r="D18" i="18"/>
  <c r="J18" i="18" s="1"/>
  <c r="J17" i="18"/>
  <c r="I17" i="18"/>
  <c r="H17" i="18"/>
  <c r="F17" i="18"/>
  <c r="E17" i="18"/>
  <c r="D17" i="18"/>
  <c r="F16" i="18"/>
  <c r="H16" i="18" s="1"/>
  <c r="I16" i="18" s="1"/>
  <c r="E16" i="18"/>
  <c r="D16" i="18"/>
  <c r="J16" i="18" s="1"/>
  <c r="H15" i="18"/>
  <c r="I15" i="18" s="1"/>
  <c r="F15" i="18"/>
  <c r="F12" i="18" s="1"/>
  <c r="E15" i="18"/>
  <c r="D15" i="18"/>
  <c r="J15" i="18" s="1"/>
  <c r="C71" i="18" l="1"/>
  <c r="H12" i="18"/>
  <c r="H22" i="18"/>
  <c r="I33" i="18"/>
  <c r="J33" i="18" s="1"/>
  <c r="J25" i="18"/>
  <c r="J26" i="18"/>
  <c r="I32" i="18"/>
  <c r="J32" i="18" s="1"/>
  <c r="D4" i="10" l="1"/>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3" i="10"/>
  <c r="D20" i="17"/>
  <c r="C20" i="17"/>
  <c r="B20" i="17"/>
  <c r="R19" i="17"/>
  <c r="S19" i="17" s="1"/>
  <c r="T19" i="17" s="1"/>
  <c r="Q19" i="17"/>
  <c r="G19" i="17"/>
  <c r="F19" i="17"/>
  <c r="H19" i="17" s="1"/>
  <c r="R18" i="17"/>
  <c r="S18" i="17" s="1"/>
  <c r="T18" i="17" s="1"/>
  <c r="Q18" i="17"/>
  <c r="G18" i="17"/>
  <c r="H18" i="17" s="1"/>
  <c r="F18" i="17"/>
  <c r="R17" i="17"/>
  <c r="S17" i="17" s="1"/>
  <c r="T17" i="17" s="1"/>
  <c r="Q17" i="17"/>
  <c r="G17" i="17"/>
  <c r="F17" i="17"/>
  <c r="H17" i="17" s="1"/>
  <c r="R16" i="17"/>
  <c r="S16" i="17" s="1"/>
  <c r="T16" i="17" s="1"/>
  <c r="Q16" i="17"/>
  <c r="G16" i="17"/>
  <c r="H16" i="17" s="1"/>
  <c r="F16" i="17"/>
  <c r="R15" i="17"/>
  <c r="S15" i="17" s="1"/>
  <c r="T15" i="17" s="1"/>
  <c r="Q15" i="17"/>
  <c r="H15" i="17"/>
  <c r="G15" i="17"/>
  <c r="F15" i="17"/>
  <c r="R14" i="17"/>
  <c r="S14" i="17" s="1"/>
  <c r="T14" i="17" s="1"/>
  <c r="Q14" i="17"/>
  <c r="G14" i="17"/>
  <c r="F14" i="17"/>
  <c r="H14" i="17" s="1"/>
  <c r="R13" i="17"/>
  <c r="S13" i="17" s="1"/>
  <c r="T13" i="17" s="1"/>
  <c r="Q13" i="17"/>
  <c r="G13" i="17"/>
  <c r="F13" i="17"/>
  <c r="H13" i="17" s="1"/>
  <c r="S12" i="17"/>
  <c r="T12" i="17" s="1"/>
  <c r="R12" i="17"/>
  <c r="Q12" i="17"/>
  <c r="G12" i="17"/>
  <c r="F12" i="17"/>
  <c r="H12" i="17" s="1"/>
  <c r="R11" i="17"/>
  <c r="S11" i="17" s="1"/>
  <c r="T11" i="17" s="1"/>
  <c r="Q11" i="17"/>
  <c r="G11" i="17"/>
  <c r="F11" i="17"/>
  <c r="H11" i="17" s="1"/>
  <c r="S10" i="17"/>
  <c r="T10" i="17" s="1"/>
  <c r="R10" i="17"/>
  <c r="Q10" i="17"/>
  <c r="G10" i="17"/>
  <c r="F10" i="17"/>
  <c r="H10" i="17" s="1"/>
  <c r="R9" i="17"/>
  <c r="S9" i="17" s="1"/>
  <c r="T9" i="17" s="1"/>
  <c r="Q9" i="17"/>
  <c r="H9" i="17"/>
  <c r="G9" i="17"/>
  <c r="F9" i="17"/>
  <c r="S8" i="17"/>
  <c r="T8" i="17" s="1"/>
  <c r="R8" i="17"/>
  <c r="Q8" i="17"/>
  <c r="G8" i="17"/>
  <c r="F8" i="17"/>
  <c r="H8" i="17" s="1"/>
  <c r="E40" i="17" l="1"/>
  <c r="E39" i="17"/>
  <c r="B64" i="14" l="1"/>
  <c r="F64" i="14" s="1"/>
  <c r="I64" i="14" s="1"/>
  <c r="A64" i="14"/>
  <c r="B63" i="14"/>
  <c r="F63" i="14" s="1"/>
  <c r="I63" i="14" s="1"/>
  <c r="A63" i="14"/>
  <c r="H62" i="14"/>
  <c r="F62" i="14"/>
  <c r="I62" i="14" s="1"/>
  <c r="E62" i="14"/>
  <c r="B62" i="14"/>
  <c r="A62" i="14"/>
  <c r="F61" i="14"/>
  <c r="I61" i="14" s="1"/>
  <c r="B61" i="14"/>
  <c r="E61" i="14" s="1"/>
  <c r="H61" i="14" s="1"/>
  <c r="A61" i="14"/>
  <c r="B60" i="14"/>
  <c r="F60" i="14" s="1"/>
  <c r="I60" i="14" s="1"/>
  <c r="A60" i="14"/>
  <c r="I59" i="14"/>
  <c r="H59" i="14"/>
  <c r="F59" i="14"/>
  <c r="E59" i="14"/>
  <c r="B59" i="14"/>
  <c r="A59" i="14"/>
  <c r="B58" i="14"/>
  <c r="F58" i="14" s="1"/>
  <c r="I58" i="14" s="1"/>
  <c r="A58" i="14"/>
  <c r="B57" i="14"/>
  <c r="F57" i="14" s="1"/>
  <c r="I57" i="14" s="1"/>
  <c r="A57" i="14"/>
  <c r="B56" i="14"/>
  <c r="F56" i="14" s="1"/>
  <c r="I56" i="14" s="1"/>
  <c r="A56" i="14"/>
  <c r="B55" i="14"/>
  <c r="F55" i="14" s="1"/>
  <c r="I55" i="14" s="1"/>
  <c r="A55" i="14"/>
  <c r="H54" i="14"/>
  <c r="F54" i="14"/>
  <c r="I54" i="14" s="1"/>
  <c r="E54" i="14"/>
  <c r="B54" i="14"/>
  <c r="A54" i="14"/>
  <c r="F53" i="14"/>
  <c r="I53" i="14" s="1"/>
  <c r="B53" i="14"/>
  <c r="E53" i="14" s="1"/>
  <c r="H53" i="14" s="1"/>
  <c r="A53" i="14"/>
  <c r="B52" i="14"/>
  <c r="F52" i="14" s="1"/>
  <c r="I52" i="14" s="1"/>
  <c r="A52" i="14"/>
  <c r="I51" i="14"/>
  <c r="H51" i="14"/>
  <c r="F51" i="14"/>
  <c r="E51" i="14"/>
  <c r="B51" i="14"/>
  <c r="A51" i="14"/>
  <c r="B50" i="14"/>
  <c r="F50" i="14" s="1"/>
  <c r="I50" i="14" s="1"/>
  <c r="A50" i="14"/>
  <c r="B49" i="14"/>
  <c r="F49" i="14" s="1"/>
  <c r="I49" i="14" s="1"/>
  <c r="A49" i="14"/>
  <c r="B48" i="14"/>
  <c r="F48" i="14" s="1"/>
  <c r="I48" i="14" s="1"/>
  <c r="A48" i="14"/>
  <c r="B47" i="14"/>
  <c r="F47" i="14" s="1"/>
  <c r="I47" i="14" s="1"/>
  <c r="A47" i="14"/>
  <c r="H46" i="14"/>
  <c r="F46" i="14"/>
  <c r="I46" i="14" s="1"/>
  <c r="E46" i="14"/>
  <c r="B46" i="14"/>
  <c r="A46" i="14"/>
  <c r="F45" i="14"/>
  <c r="I45" i="14" s="1"/>
  <c r="B45" i="14"/>
  <c r="E45" i="14" s="1"/>
  <c r="H45" i="14" s="1"/>
  <c r="A45" i="14"/>
  <c r="B44" i="14"/>
  <c r="F44" i="14" s="1"/>
  <c r="I44" i="14" s="1"/>
  <c r="A44" i="14"/>
  <c r="I43" i="14"/>
  <c r="H43" i="14"/>
  <c r="F43" i="14"/>
  <c r="E43" i="14"/>
  <c r="B43" i="14"/>
  <c r="A43" i="14"/>
  <c r="B42" i="14"/>
  <c r="F42" i="14" s="1"/>
  <c r="I42" i="14" s="1"/>
  <c r="A42" i="14"/>
  <c r="B41" i="14"/>
  <c r="F41" i="14" s="1"/>
  <c r="I41" i="14" s="1"/>
  <c r="A41" i="14"/>
  <c r="B40" i="14"/>
  <c r="F40" i="14" s="1"/>
  <c r="I40" i="14" s="1"/>
  <c r="A40" i="14"/>
  <c r="B39" i="14"/>
  <c r="F39" i="14" s="1"/>
  <c r="I39" i="14" s="1"/>
  <c r="A39" i="14"/>
  <c r="H38" i="14"/>
  <c r="F38" i="14"/>
  <c r="I38" i="14" s="1"/>
  <c r="E38" i="14"/>
  <c r="B38" i="14"/>
  <c r="A38" i="14"/>
  <c r="F37" i="14"/>
  <c r="I37" i="14" s="1"/>
  <c r="B37" i="14"/>
  <c r="E37" i="14" s="1"/>
  <c r="H37" i="14" s="1"/>
  <c r="A37" i="14"/>
  <c r="B36" i="14"/>
  <c r="F36" i="14" s="1"/>
  <c r="I36" i="14" s="1"/>
  <c r="A36" i="14"/>
  <c r="I35" i="14"/>
  <c r="H35" i="14"/>
  <c r="F35" i="14"/>
  <c r="E35" i="14"/>
  <c r="B35" i="14"/>
  <c r="A35" i="14"/>
  <c r="B34" i="14"/>
  <c r="F34" i="14" s="1"/>
  <c r="I34" i="14" s="1"/>
  <c r="A34" i="14"/>
  <c r="B33" i="14"/>
  <c r="F33" i="14" s="1"/>
  <c r="I33" i="14" s="1"/>
  <c r="A33" i="14"/>
  <c r="B32" i="14"/>
  <c r="F32" i="14" s="1"/>
  <c r="I32" i="14" s="1"/>
  <c r="A32" i="14"/>
  <c r="B31" i="14"/>
  <c r="F31" i="14" s="1"/>
  <c r="I31" i="14" s="1"/>
  <c r="A31" i="14"/>
  <c r="H30" i="14"/>
  <c r="F30" i="14"/>
  <c r="I30" i="14" s="1"/>
  <c r="E30" i="14"/>
  <c r="B30" i="14"/>
  <c r="A30" i="14"/>
  <c r="F29" i="14"/>
  <c r="I29" i="14" s="1"/>
  <c r="B29" i="14"/>
  <c r="E29" i="14" s="1"/>
  <c r="H29" i="14" s="1"/>
  <c r="A29" i="14"/>
  <c r="B28" i="14"/>
  <c r="F28" i="14" s="1"/>
  <c r="I28" i="14" s="1"/>
  <c r="A28" i="14"/>
  <c r="I27" i="14"/>
  <c r="H27" i="14"/>
  <c r="F27" i="14"/>
  <c r="E27" i="14"/>
  <c r="B27" i="14"/>
  <c r="A27" i="14"/>
  <c r="B26" i="14"/>
  <c r="F26" i="14" s="1"/>
  <c r="I26" i="14" s="1"/>
  <c r="A26" i="14"/>
  <c r="B25" i="14"/>
  <c r="F25" i="14" s="1"/>
  <c r="I25" i="14" s="1"/>
  <c r="A25" i="14"/>
  <c r="B24" i="14"/>
  <c r="F24" i="14" s="1"/>
  <c r="I24" i="14" s="1"/>
  <c r="A24" i="14"/>
  <c r="B23" i="14"/>
  <c r="F23" i="14" s="1"/>
  <c r="I23" i="14" s="1"/>
  <c r="A23" i="14"/>
  <c r="H22" i="14"/>
  <c r="F22" i="14"/>
  <c r="I22" i="14" s="1"/>
  <c r="E22" i="14"/>
  <c r="B22" i="14"/>
  <c r="A22" i="14"/>
  <c r="F21" i="14"/>
  <c r="I21" i="14" s="1"/>
  <c r="B21" i="14"/>
  <c r="E21" i="14" s="1"/>
  <c r="H21" i="14" s="1"/>
  <c r="A21" i="14"/>
  <c r="B20" i="14"/>
  <c r="F20" i="14" s="1"/>
  <c r="I20" i="14" s="1"/>
  <c r="A20" i="14"/>
  <c r="I19" i="14"/>
  <c r="H19" i="14"/>
  <c r="F19" i="14"/>
  <c r="E19" i="14"/>
  <c r="B19" i="14"/>
  <c r="A19" i="14"/>
  <c r="B18" i="14"/>
  <c r="F18" i="14" s="1"/>
  <c r="I18" i="14" s="1"/>
  <c r="A18" i="14"/>
  <c r="B17" i="14"/>
  <c r="F17" i="14" s="1"/>
  <c r="I17" i="14" s="1"/>
  <c r="A17" i="14"/>
  <c r="B16" i="14"/>
  <c r="F16" i="14" s="1"/>
  <c r="I16" i="14" s="1"/>
  <c r="A16" i="14"/>
  <c r="B15" i="14"/>
  <c r="F15" i="14" s="1"/>
  <c r="I15" i="14" s="1"/>
  <c r="A15" i="14"/>
  <c r="H14" i="14"/>
  <c r="F14" i="14"/>
  <c r="I14" i="14" s="1"/>
  <c r="E14" i="14"/>
  <c r="B14" i="14"/>
  <c r="A14" i="14"/>
  <c r="F13" i="14"/>
  <c r="I13" i="14" s="1"/>
  <c r="B13" i="14"/>
  <c r="E13" i="14" s="1"/>
  <c r="H13" i="14" s="1"/>
  <c r="A13" i="14"/>
  <c r="B12" i="14"/>
  <c r="F12" i="14" s="1"/>
  <c r="I12" i="14" s="1"/>
  <c r="A12" i="14"/>
  <c r="I11" i="14"/>
  <c r="F11" i="14"/>
  <c r="B11" i="14"/>
  <c r="E11" i="14" s="1"/>
  <c r="H11" i="14" s="1"/>
  <c r="A11" i="14"/>
  <c r="B10" i="14"/>
  <c r="F10" i="14" s="1"/>
  <c r="I10" i="14" s="1"/>
  <c r="A10" i="14"/>
  <c r="B9" i="14"/>
  <c r="F9" i="14" s="1"/>
  <c r="I9" i="14" s="1"/>
  <c r="A9" i="14"/>
  <c r="B8" i="14"/>
  <c r="F8" i="14" s="1"/>
  <c r="I8" i="14" s="1"/>
  <c r="A8" i="14"/>
  <c r="B7" i="14"/>
  <c r="D3" i="14" s="1"/>
  <c r="A7" i="14"/>
  <c r="G3" i="14"/>
  <c r="E34" i="13"/>
  <c r="F34" i="13" s="1"/>
  <c r="G34" i="13" s="1"/>
  <c r="H34" i="13" s="1"/>
  <c r="I34" i="13" s="1"/>
  <c r="J34" i="13" s="1"/>
  <c r="K34" i="13" s="1"/>
  <c r="D34" i="13"/>
  <c r="C34" i="13"/>
  <c r="B21" i="13"/>
  <c r="B20" i="13"/>
  <c r="C19" i="13"/>
  <c r="B19" i="13"/>
  <c r="L14" i="13"/>
  <c r="D14" i="13"/>
  <c r="E14" i="13" s="1"/>
  <c r="C13" i="13"/>
  <c r="D12" i="13" s="1"/>
  <c r="C12" i="13"/>
  <c r="C20" i="13" s="1"/>
  <c r="D11" i="13"/>
  <c r="D19" i="13" s="1"/>
  <c r="C11" i="13"/>
  <c r="C10" i="13"/>
  <c r="C24" i="13" s="1"/>
  <c r="C29" i="13" s="1"/>
  <c r="C30" i="13" s="1"/>
  <c r="C32" i="13" s="1"/>
  <c r="C33" i="13" s="1"/>
  <c r="C35" i="13" s="1"/>
  <c r="C37" i="13" s="1"/>
  <c r="B4" i="13"/>
  <c r="B18" i="13" s="1"/>
  <c r="B22" i="13" s="1"/>
  <c r="B23" i="13" s="1"/>
  <c r="M19" i="12"/>
  <c r="L19" i="12"/>
  <c r="K19" i="12"/>
  <c r="J19" i="12"/>
  <c r="I19" i="12"/>
  <c r="H19" i="12"/>
  <c r="G19" i="12"/>
  <c r="F19" i="12"/>
  <c r="E19" i="12"/>
  <c r="D19" i="12"/>
  <c r="C19" i="12"/>
  <c r="B19" i="12"/>
  <c r="N18" i="12"/>
  <c r="N17" i="12"/>
  <c r="A14" i="12"/>
  <c r="A13" i="12"/>
  <c r="M12" i="12"/>
  <c r="L12" i="12"/>
  <c r="K12" i="12"/>
  <c r="J12" i="12"/>
  <c r="I12" i="12"/>
  <c r="H12" i="12"/>
  <c r="G12" i="12"/>
  <c r="F12" i="12"/>
  <c r="E12" i="12"/>
  <c r="D12" i="12"/>
  <c r="C12" i="12"/>
  <c r="B12" i="12"/>
  <c r="M11" i="12"/>
  <c r="L11" i="12"/>
  <c r="K11" i="12"/>
  <c r="J11" i="12"/>
  <c r="I11" i="12"/>
  <c r="H11" i="12"/>
  <c r="G11" i="12"/>
  <c r="F11" i="12"/>
  <c r="E11" i="12"/>
  <c r="D11" i="12"/>
  <c r="C11" i="12"/>
  <c r="B11" i="12"/>
  <c r="N20" i="12" s="1"/>
  <c r="B24" i="11"/>
  <c r="BU22" i="11"/>
  <c r="BT22" i="11"/>
  <c r="BS22" i="11"/>
  <c r="BR22" i="11"/>
  <c r="BQ22" i="11"/>
  <c r="BP22" i="11"/>
  <c r="BO22" i="11"/>
  <c r="BN22" i="11"/>
  <c r="BM22" i="11"/>
  <c r="BL22" i="11"/>
  <c r="BJ22" i="11"/>
  <c r="BK22" i="11" s="1"/>
  <c r="BI22" i="11"/>
  <c r="BH22" i="11"/>
  <c r="BG22" i="11"/>
  <c r="BF22" i="11"/>
  <c r="BD22" i="11"/>
  <c r="BE22" i="11" s="1"/>
  <c r="BC22" i="11"/>
  <c r="BB22" i="11"/>
  <c r="BA22" i="11"/>
  <c r="AZ22" i="11"/>
  <c r="AX22" i="11"/>
  <c r="AY22" i="11" s="1"/>
  <c r="AW22" i="11"/>
  <c r="AV22" i="11"/>
  <c r="AU22" i="11"/>
  <c r="AT22" i="11"/>
  <c r="AS22" i="11"/>
  <c r="AR22" i="11"/>
  <c r="AQ22" i="11"/>
  <c r="AP22" i="11"/>
  <c r="AO22" i="11"/>
  <c r="AN22" i="11"/>
  <c r="AM22" i="11"/>
  <c r="AL22" i="11"/>
  <c r="AK22" i="11"/>
  <c r="AJ22" i="11"/>
  <c r="AI22" i="11"/>
  <c r="AH22" i="11"/>
  <c r="AF22" i="11"/>
  <c r="AG22" i="11" s="1"/>
  <c r="AE22" i="11"/>
  <c r="AD22" i="11"/>
  <c r="AC22" i="11"/>
  <c r="AB22" i="11"/>
  <c r="AA22" i="11"/>
  <c r="Z22" i="11"/>
  <c r="Y22" i="11"/>
  <c r="X22" i="11"/>
  <c r="W22" i="11"/>
  <c r="V22" i="11"/>
  <c r="U22" i="11"/>
  <c r="T22" i="11"/>
  <c r="S22" i="11"/>
  <c r="R22" i="11"/>
  <c r="Q22" i="11"/>
  <c r="P22" i="11"/>
  <c r="N22" i="11"/>
  <c r="O22" i="11" s="1"/>
  <c r="M22" i="11"/>
  <c r="L22" i="11"/>
  <c r="K22" i="11"/>
  <c r="J22" i="11"/>
  <c r="H22" i="11"/>
  <c r="I22" i="11" s="1"/>
  <c r="F22" i="11"/>
  <c r="E22" i="11"/>
  <c r="G22" i="11" s="1"/>
  <c r="BU21" i="11"/>
  <c r="BT21" i="11"/>
  <c r="BS21" i="11"/>
  <c r="BR21" i="11"/>
  <c r="BP21" i="11"/>
  <c r="BQ21" i="11" s="1"/>
  <c r="BO21" i="11"/>
  <c r="BN21" i="11"/>
  <c r="BM21" i="11"/>
  <c r="BL21" i="11"/>
  <c r="BJ21" i="11"/>
  <c r="BK21" i="11" s="1"/>
  <c r="BI21" i="11"/>
  <c r="BH21" i="11"/>
  <c r="BG21" i="11"/>
  <c r="BF21" i="11"/>
  <c r="BD21" i="11"/>
  <c r="BE21" i="11" s="1"/>
  <c r="BC21" i="11"/>
  <c r="BB21" i="11"/>
  <c r="BA21" i="11"/>
  <c r="AZ21" i="11"/>
  <c r="AY21" i="11"/>
  <c r="AX21" i="11"/>
  <c r="AW21" i="11"/>
  <c r="AV21" i="11"/>
  <c r="AU21" i="11"/>
  <c r="AT21" i="11"/>
  <c r="AS21" i="11"/>
  <c r="AR21" i="11"/>
  <c r="AQ21" i="11"/>
  <c r="AP21" i="11"/>
  <c r="AO21" i="11"/>
  <c r="AN21" i="11"/>
  <c r="AL21" i="11"/>
  <c r="AM21" i="11" s="1"/>
  <c r="AK21" i="11"/>
  <c r="AJ21" i="11"/>
  <c r="AI21" i="11"/>
  <c r="AH21" i="11"/>
  <c r="AF21" i="11"/>
  <c r="AG21" i="11" s="1"/>
  <c r="AE21" i="11"/>
  <c r="AD21" i="11"/>
  <c r="AC21" i="11"/>
  <c r="AB21" i="11"/>
  <c r="Z21" i="11"/>
  <c r="AA21" i="11" s="1"/>
  <c r="Y21" i="11"/>
  <c r="X21" i="11"/>
  <c r="W21" i="11"/>
  <c r="V21" i="11"/>
  <c r="T21" i="11"/>
  <c r="U21" i="11" s="1"/>
  <c r="S21" i="11"/>
  <c r="R21" i="11"/>
  <c r="Q21" i="11"/>
  <c r="P21" i="11"/>
  <c r="N21" i="11"/>
  <c r="O21" i="11" s="1"/>
  <c r="M21" i="11"/>
  <c r="L21" i="11"/>
  <c r="K21" i="11"/>
  <c r="J21" i="11"/>
  <c r="H21" i="11"/>
  <c r="I21" i="11" s="1"/>
  <c r="F21" i="11"/>
  <c r="E21" i="11"/>
  <c r="G21" i="11" s="1"/>
  <c r="BU20" i="11"/>
  <c r="BT20" i="11"/>
  <c r="BS20" i="11"/>
  <c r="BR20" i="11"/>
  <c r="BQ20" i="11"/>
  <c r="BP20" i="11"/>
  <c r="BO20" i="11"/>
  <c r="BN20" i="11"/>
  <c r="BM20" i="11"/>
  <c r="BL20" i="11"/>
  <c r="BK20" i="11"/>
  <c r="BJ20" i="11"/>
  <c r="BI20" i="11"/>
  <c r="BH20" i="11"/>
  <c r="BG20" i="11"/>
  <c r="BF20" i="11"/>
  <c r="BD20" i="11"/>
  <c r="BE20" i="11" s="1"/>
  <c r="BC20" i="11"/>
  <c r="BB20" i="11"/>
  <c r="BA20" i="11"/>
  <c r="AZ20" i="11"/>
  <c r="AX20" i="11"/>
  <c r="AY20" i="11" s="1"/>
  <c r="AW20" i="11"/>
  <c r="AV20" i="11"/>
  <c r="AU20" i="11"/>
  <c r="AT20" i="11"/>
  <c r="AR20" i="11"/>
  <c r="AS20" i="11" s="1"/>
  <c r="AQ20" i="11"/>
  <c r="AP20" i="11"/>
  <c r="AO20" i="11"/>
  <c r="AN20" i="11"/>
  <c r="AM20" i="11"/>
  <c r="AL20" i="11"/>
  <c r="AK20" i="11"/>
  <c r="AJ20" i="11"/>
  <c r="AI20" i="11"/>
  <c r="AH20" i="11"/>
  <c r="AG20" i="11"/>
  <c r="AF20" i="11"/>
  <c r="AE20" i="11"/>
  <c r="AD20" i="11"/>
  <c r="AC20" i="11"/>
  <c r="AB20" i="11"/>
  <c r="Z20" i="11"/>
  <c r="AA20" i="11" s="1"/>
  <c r="Y20" i="11"/>
  <c r="X20" i="11"/>
  <c r="W20" i="11"/>
  <c r="V20" i="11"/>
  <c r="U20" i="11"/>
  <c r="T20" i="11"/>
  <c r="S20" i="11"/>
  <c r="R20" i="11"/>
  <c r="Q20" i="11"/>
  <c r="P20" i="11"/>
  <c r="O20" i="11"/>
  <c r="N20" i="11"/>
  <c r="M20" i="11"/>
  <c r="L20" i="11"/>
  <c r="K20" i="11"/>
  <c r="J20" i="11"/>
  <c r="H20" i="11"/>
  <c r="I20" i="11" s="1"/>
  <c r="G20" i="11"/>
  <c r="F20" i="11"/>
  <c r="E20" i="11"/>
  <c r="BU19" i="11"/>
  <c r="BT19" i="11"/>
  <c r="BS19" i="11"/>
  <c r="BR19" i="11"/>
  <c r="BP19" i="11"/>
  <c r="BQ19" i="11" s="1"/>
  <c r="BO19" i="11"/>
  <c r="BN19" i="11"/>
  <c r="BM19" i="11"/>
  <c r="BL19" i="11"/>
  <c r="BJ19" i="11"/>
  <c r="BK19" i="11" s="1"/>
  <c r="BI19" i="11"/>
  <c r="BH19" i="11"/>
  <c r="BG19" i="11"/>
  <c r="BF19" i="11"/>
  <c r="BD19" i="11"/>
  <c r="BE19" i="11" s="1"/>
  <c r="BC19" i="11"/>
  <c r="BB19" i="11"/>
  <c r="BA19" i="11"/>
  <c r="AZ19" i="11"/>
  <c r="AX19" i="11"/>
  <c r="AY19" i="11" s="1"/>
  <c r="AW19" i="11"/>
  <c r="AV19" i="11"/>
  <c r="AU19" i="11"/>
  <c r="AT19" i="11"/>
  <c r="AS19" i="11"/>
  <c r="AR19" i="11"/>
  <c r="AQ19" i="11"/>
  <c r="AP19" i="11"/>
  <c r="AO19" i="11"/>
  <c r="AN19" i="11"/>
  <c r="AM19" i="11"/>
  <c r="AL19" i="11"/>
  <c r="AK19" i="11"/>
  <c r="AJ19" i="11"/>
  <c r="AI19" i="11"/>
  <c r="AH19" i="11"/>
  <c r="AF19" i="11"/>
  <c r="AG19" i="11" s="1"/>
  <c r="AE19" i="11"/>
  <c r="AD19" i="11"/>
  <c r="AC19" i="11"/>
  <c r="AB19" i="11"/>
  <c r="Z19" i="11"/>
  <c r="AA19" i="11" s="1"/>
  <c r="Y19" i="11"/>
  <c r="X19" i="11"/>
  <c r="W19" i="11"/>
  <c r="V19" i="11"/>
  <c r="T19" i="11"/>
  <c r="U19" i="11" s="1"/>
  <c r="S19" i="11"/>
  <c r="R19" i="11"/>
  <c r="Q19" i="11"/>
  <c r="P19" i="11"/>
  <c r="N19" i="11"/>
  <c r="O19" i="11" s="1"/>
  <c r="M19" i="11"/>
  <c r="L19" i="11"/>
  <c r="K19" i="11"/>
  <c r="J19" i="11"/>
  <c r="H19" i="11"/>
  <c r="I19" i="11" s="1"/>
  <c r="G19" i="11"/>
  <c r="F19" i="11"/>
  <c r="E19" i="11"/>
  <c r="BU18" i="11"/>
  <c r="BT18" i="11"/>
  <c r="BS18" i="11"/>
  <c r="BR18" i="11"/>
  <c r="BP18" i="11"/>
  <c r="BQ18" i="11" s="1"/>
  <c r="BO18" i="11"/>
  <c r="BN18" i="11"/>
  <c r="BM18" i="11"/>
  <c r="BL18" i="11"/>
  <c r="BK18" i="11"/>
  <c r="BJ18" i="11"/>
  <c r="BI18" i="11"/>
  <c r="BH18" i="11"/>
  <c r="BG18" i="11"/>
  <c r="BF18" i="11"/>
  <c r="BE18" i="11"/>
  <c r="BD18" i="11"/>
  <c r="BC18" i="11"/>
  <c r="BB18" i="11"/>
  <c r="BA18" i="11"/>
  <c r="AZ18" i="11"/>
  <c r="AX18" i="11"/>
  <c r="AY18" i="11" s="1"/>
  <c r="AW18" i="11"/>
  <c r="AV18" i="11"/>
  <c r="AU18" i="11"/>
  <c r="AT18" i="11"/>
  <c r="AR18" i="11"/>
  <c r="AS18" i="11" s="1"/>
  <c r="AQ18" i="11"/>
  <c r="AP18" i="11"/>
  <c r="AO18" i="11"/>
  <c r="AN18" i="11"/>
  <c r="AL18" i="11"/>
  <c r="AM18" i="11" s="1"/>
  <c r="AK18" i="11"/>
  <c r="AJ18" i="11"/>
  <c r="AI18" i="11"/>
  <c r="AH18" i="11"/>
  <c r="AG18" i="11"/>
  <c r="AF18" i="11"/>
  <c r="AE18" i="11"/>
  <c r="AD18" i="11"/>
  <c r="AC18" i="11"/>
  <c r="AB18" i="11"/>
  <c r="AA18" i="11"/>
  <c r="Z18" i="11"/>
  <c r="Y18" i="11"/>
  <c r="X18" i="11"/>
  <c r="W18" i="11"/>
  <c r="V18" i="11"/>
  <c r="T18" i="11"/>
  <c r="U18" i="11" s="1"/>
  <c r="S18" i="11"/>
  <c r="R18" i="11"/>
  <c r="Q18" i="11"/>
  <c r="P18" i="11"/>
  <c r="O18" i="11"/>
  <c r="N18" i="11"/>
  <c r="M18" i="11"/>
  <c r="L18" i="11"/>
  <c r="K18" i="11"/>
  <c r="J18" i="11"/>
  <c r="I18" i="11"/>
  <c r="H18" i="11"/>
  <c r="F18" i="11"/>
  <c r="E18" i="11"/>
  <c r="G18" i="11" s="1"/>
  <c r="BU17" i="11"/>
  <c r="BT17" i="11"/>
  <c r="BS17" i="11"/>
  <c r="BR17" i="11"/>
  <c r="BP17" i="11"/>
  <c r="BQ17" i="11" s="1"/>
  <c r="BO17" i="11"/>
  <c r="BN17" i="11"/>
  <c r="BM17" i="11"/>
  <c r="BL17" i="11"/>
  <c r="BJ17" i="11"/>
  <c r="BK17" i="11" s="1"/>
  <c r="BI17" i="11"/>
  <c r="BH17" i="11"/>
  <c r="BG17" i="11"/>
  <c r="BF17" i="11"/>
  <c r="BD17" i="11"/>
  <c r="BE17" i="11" s="1"/>
  <c r="BC17" i="11"/>
  <c r="BB17" i="11"/>
  <c r="BA17" i="11"/>
  <c r="AZ17" i="11"/>
  <c r="AX17" i="11"/>
  <c r="AY17" i="11" s="1"/>
  <c r="AW17" i="11"/>
  <c r="AV17" i="11"/>
  <c r="AU17" i="11"/>
  <c r="AT17" i="11"/>
  <c r="AR17" i="11"/>
  <c r="AS17" i="11" s="1"/>
  <c r="AQ17" i="11"/>
  <c r="AP17" i="11"/>
  <c r="AO17" i="11"/>
  <c r="AN17" i="11"/>
  <c r="AM17" i="11"/>
  <c r="AL17" i="11"/>
  <c r="AK17" i="11"/>
  <c r="AJ17" i="11"/>
  <c r="AI17" i="11"/>
  <c r="AH17" i="11"/>
  <c r="AG17" i="11"/>
  <c r="AF17" i="11"/>
  <c r="AE17" i="11"/>
  <c r="AD17" i="11"/>
  <c r="AC17" i="11"/>
  <c r="AB17" i="11"/>
  <c r="Z17" i="11"/>
  <c r="AA17" i="11" s="1"/>
  <c r="Y17" i="11"/>
  <c r="X17" i="11"/>
  <c r="W17" i="11"/>
  <c r="V17" i="11"/>
  <c r="T17" i="11"/>
  <c r="U17" i="11" s="1"/>
  <c r="S17" i="11"/>
  <c r="R17" i="11"/>
  <c r="Q17" i="11"/>
  <c r="P17" i="11"/>
  <c r="N17" i="11"/>
  <c r="O17" i="11" s="1"/>
  <c r="M17" i="11"/>
  <c r="L17" i="11"/>
  <c r="K17" i="11"/>
  <c r="J17" i="11"/>
  <c r="H17" i="11"/>
  <c r="I17" i="11" s="1"/>
  <c r="G17" i="11"/>
  <c r="F17" i="11"/>
  <c r="E17" i="11"/>
  <c r="BU16" i="11"/>
  <c r="BT16" i="11"/>
  <c r="BS16" i="11"/>
  <c r="BR16" i="11"/>
  <c r="BQ16" i="11"/>
  <c r="BP16" i="11"/>
  <c r="BO16" i="11"/>
  <c r="BN16" i="11"/>
  <c r="BM16" i="11"/>
  <c r="BL16" i="11"/>
  <c r="BJ16" i="11"/>
  <c r="BK16" i="11" s="1"/>
  <c r="BI16" i="11"/>
  <c r="BH16" i="11"/>
  <c r="BG16" i="11"/>
  <c r="BF16" i="11"/>
  <c r="BE16" i="11"/>
  <c r="BD16" i="11"/>
  <c r="BC16" i="11"/>
  <c r="BB16" i="11"/>
  <c r="BA16" i="11"/>
  <c r="AZ16" i="11"/>
  <c r="AY16" i="11"/>
  <c r="AX16" i="11"/>
  <c r="AW16" i="11"/>
  <c r="AV16" i="11"/>
  <c r="AU16" i="11"/>
  <c r="AT16" i="11"/>
  <c r="AR16" i="11"/>
  <c r="AS16" i="11" s="1"/>
  <c r="AQ16" i="11"/>
  <c r="AP16" i="11"/>
  <c r="AO16" i="11"/>
  <c r="AN16" i="11"/>
  <c r="AL16" i="11"/>
  <c r="AM16" i="11" s="1"/>
  <c r="AK16" i="11"/>
  <c r="AJ16" i="11"/>
  <c r="AI16" i="11"/>
  <c r="AH16" i="11"/>
  <c r="AF16" i="11"/>
  <c r="AG16" i="11" s="1"/>
  <c r="AE16" i="11"/>
  <c r="AD16" i="11"/>
  <c r="AC16" i="11"/>
  <c r="AB16" i="11"/>
  <c r="AA16" i="11"/>
  <c r="Z16" i="11"/>
  <c r="Y16" i="11"/>
  <c r="X16" i="11"/>
  <c r="W16" i="11"/>
  <c r="V16" i="11"/>
  <c r="T16" i="11"/>
  <c r="U16" i="11" s="1"/>
  <c r="S16" i="11"/>
  <c r="R16" i="11"/>
  <c r="Q16" i="11"/>
  <c r="P16" i="11"/>
  <c r="N16" i="11"/>
  <c r="O16" i="11" s="1"/>
  <c r="M16" i="11"/>
  <c r="L16" i="11"/>
  <c r="K16" i="11"/>
  <c r="J16" i="11"/>
  <c r="I16" i="11"/>
  <c r="H16" i="11"/>
  <c r="G16" i="11"/>
  <c r="F16" i="11"/>
  <c r="E16" i="11"/>
  <c r="BU15" i="11"/>
  <c r="BT15" i="11"/>
  <c r="BS15" i="11"/>
  <c r="BR15" i="11"/>
  <c r="BP15" i="11"/>
  <c r="BQ15" i="11" s="1"/>
  <c r="BO15" i="11"/>
  <c r="BN15" i="11"/>
  <c r="BM15" i="11"/>
  <c r="BL15" i="11"/>
  <c r="BJ15" i="11"/>
  <c r="BK15" i="11" s="1"/>
  <c r="BI15" i="11"/>
  <c r="BH15" i="11"/>
  <c r="BG15" i="11"/>
  <c r="BF15" i="11"/>
  <c r="BD15" i="11"/>
  <c r="BE15" i="11" s="1"/>
  <c r="BC15" i="11"/>
  <c r="BB15" i="11"/>
  <c r="BA15" i="11"/>
  <c r="AZ15" i="11"/>
  <c r="AX15" i="11"/>
  <c r="AY15" i="11" s="1"/>
  <c r="AW15" i="11"/>
  <c r="AV15" i="11"/>
  <c r="AU15" i="11"/>
  <c r="AT15" i="11"/>
  <c r="AR15" i="11"/>
  <c r="AS15" i="11" s="1"/>
  <c r="AQ15" i="11"/>
  <c r="AP15" i="11"/>
  <c r="AO15" i="11"/>
  <c r="AN15" i="11"/>
  <c r="AL15" i="11"/>
  <c r="AM15" i="11" s="1"/>
  <c r="AK15" i="11"/>
  <c r="AJ15" i="11"/>
  <c r="AI15" i="11"/>
  <c r="AH15" i="11"/>
  <c r="AG15" i="11"/>
  <c r="AF15" i="11"/>
  <c r="AE15" i="11"/>
  <c r="AD15" i="11"/>
  <c r="AC15" i="11"/>
  <c r="AB15" i="11"/>
  <c r="AA15" i="11"/>
  <c r="Z15" i="11"/>
  <c r="Y15" i="11"/>
  <c r="X15" i="11"/>
  <c r="W15" i="11"/>
  <c r="V15" i="11"/>
  <c r="T15" i="11"/>
  <c r="U15" i="11" s="1"/>
  <c r="S15" i="11"/>
  <c r="R15" i="11"/>
  <c r="Q15" i="11"/>
  <c r="P15" i="11"/>
  <c r="N15" i="11"/>
  <c r="O15" i="11" s="1"/>
  <c r="M15" i="11"/>
  <c r="L15" i="11"/>
  <c r="K15" i="11"/>
  <c r="J15" i="11"/>
  <c r="H15" i="11"/>
  <c r="I15" i="11" s="1"/>
  <c r="F15" i="11"/>
  <c r="E15" i="11"/>
  <c r="G15" i="11" s="1"/>
  <c r="BU14" i="11"/>
  <c r="BT14" i="11"/>
  <c r="BS14" i="11"/>
  <c r="BR14" i="11"/>
  <c r="BQ14" i="11"/>
  <c r="BP14" i="11"/>
  <c r="BO14" i="11"/>
  <c r="BN14" i="11"/>
  <c r="BM14" i="11"/>
  <c r="BL14" i="11"/>
  <c r="BJ14" i="11"/>
  <c r="BK14" i="11" s="1"/>
  <c r="BI14" i="11"/>
  <c r="BH14" i="11"/>
  <c r="BG14" i="11"/>
  <c r="BF14" i="11"/>
  <c r="BD14" i="11"/>
  <c r="BE14" i="11" s="1"/>
  <c r="BC14" i="11"/>
  <c r="BB14" i="11"/>
  <c r="BA14" i="11"/>
  <c r="AZ14" i="11"/>
  <c r="AY14" i="11"/>
  <c r="AX14" i="11"/>
  <c r="AW14" i="11"/>
  <c r="AV14" i="11"/>
  <c r="AU14" i="11"/>
  <c r="AT14" i="11"/>
  <c r="AS14" i="11"/>
  <c r="AR14" i="11"/>
  <c r="AQ14" i="11"/>
  <c r="AP14" i="11"/>
  <c r="AO14" i="11"/>
  <c r="AN14" i="11"/>
  <c r="AL14" i="11"/>
  <c r="AM14" i="11" s="1"/>
  <c r="AK14" i="11"/>
  <c r="AJ14" i="11"/>
  <c r="AI14" i="11"/>
  <c r="AH14" i="11"/>
  <c r="AF14" i="11"/>
  <c r="AG14" i="11" s="1"/>
  <c r="AE14" i="11"/>
  <c r="AD14" i="11"/>
  <c r="AC14" i="11"/>
  <c r="AB14" i="11"/>
  <c r="AA14" i="11"/>
  <c r="Z14" i="11"/>
  <c r="Y14" i="11"/>
  <c r="X14" i="11"/>
  <c r="W14" i="11"/>
  <c r="V14" i="11"/>
  <c r="U14" i="11"/>
  <c r="T14" i="11"/>
  <c r="S14" i="11"/>
  <c r="R14" i="11"/>
  <c r="Q14" i="11"/>
  <c r="P14" i="11"/>
  <c r="N14" i="11"/>
  <c r="O14" i="11" s="1"/>
  <c r="M14" i="11"/>
  <c r="L14" i="11"/>
  <c r="K14" i="11"/>
  <c r="J14" i="11"/>
  <c r="H14" i="11"/>
  <c r="I14" i="11" s="1"/>
  <c r="G14" i="11"/>
  <c r="F14" i="11"/>
  <c r="E14" i="11"/>
  <c r="BU13" i="11"/>
  <c r="BT13" i="11"/>
  <c r="BS13" i="11"/>
  <c r="BR13" i="11"/>
  <c r="BQ13" i="11"/>
  <c r="BP13" i="11"/>
  <c r="BO13" i="11"/>
  <c r="BN13" i="11"/>
  <c r="BM13" i="11"/>
  <c r="BL13" i="11"/>
  <c r="BJ13" i="11"/>
  <c r="BK13" i="11" s="1"/>
  <c r="BI13" i="11"/>
  <c r="BH13" i="11"/>
  <c r="BG13" i="11"/>
  <c r="BF13" i="11"/>
  <c r="BD13" i="11"/>
  <c r="BE13" i="11" s="1"/>
  <c r="BC13" i="11"/>
  <c r="BB13" i="11"/>
  <c r="BA13" i="11"/>
  <c r="AZ13" i="11"/>
  <c r="AX13" i="11"/>
  <c r="AY13" i="11" s="1"/>
  <c r="AW13" i="11"/>
  <c r="AV13" i="11"/>
  <c r="AU13" i="11"/>
  <c r="AT13" i="11"/>
  <c r="AR13" i="11"/>
  <c r="AS13" i="11" s="1"/>
  <c r="AQ13" i="11"/>
  <c r="AP13" i="11"/>
  <c r="AO13" i="11"/>
  <c r="AN13" i="11"/>
  <c r="AL13" i="11"/>
  <c r="AM13" i="11" s="1"/>
  <c r="AK13" i="11"/>
  <c r="AJ13" i="11"/>
  <c r="AI13" i="11"/>
  <c r="AH13" i="11"/>
  <c r="AF13" i="11"/>
  <c r="AG13" i="11" s="1"/>
  <c r="AE13" i="11"/>
  <c r="AD13" i="11"/>
  <c r="AC13" i="11"/>
  <c r="AB13" i="11"/>
  <c r="AA13" i="11"/>
  <c r="Z13" i="11"/>
  <c r="Y13" i="11"/>
  <c r="X13" i="11"/>
  <c r="W13" i="11"/>
  <c r="V13" i="11"/>
  <c r="U13" i="11"/>
  <c r="T13" i="11"/>
  <c r="S13" i="11"/>
  <c r="R13" i="11"/>
  <c r="Q13" i="11"/>
  <c r="P13" i="11"/>
  <c r="N13" i="11"/>
  <c r="O13" i="11" s="1"/>
  <c r="M13" i="11"/>
  <c r="L13" i="11"/>
  <c r="K13" i="11"/>
  <c r="J13" i="11"/>
  <c r="H13" i="11"/>
  <c r="I13" i="11" s="1"/>
  <c r="F13" i="11"/>
  <c r="E13" i="11"/>
  <c r="G13" i="11" s="1"/>
  <c r="BU12" i="11"/>
  <c r="BT12" i="11"/>
  <c r="BS12" i="11"/>
  <c r="BR12" i="11"/>
  <c r="BQ12" i="11"/>
  <c r="BP12" i="11"/>
  <c r="BO12" i="11"/>
  <c r="BN12" i="11"/>
  <c r="BM12" i="11"/>
  <c r="BL12" i="11"/>
  <c r="BK12" i="11"/>
  <c r="BJ12" i="11"/>
  <c r="BI12" i="11"/>
  <c r="BH12" i="11"/>
  <c r="BG12" i="11"/>
  <c r="BF12" i="11"/>
  <c r="BD12" i="11"/>
  <c r="BE12" i="11" s="1"/>
  <c r="BC12" i="11"/>
  <c r="BB12" i="11"/>
  <c r="BA12" i="11"/>
  <c r="AZ12" i="11"/>
  <c r="AX12" i="11"/>
  <c r="AY12" i="11" s="1"/>
  <c r="AW12" i="11"/>
  <c r="AV12" i="11"/>
  <c r="AU12" i="11"/>
  <c r="AT12" i="11"/>
  <c r="AS12" i="11"/>
  <c r="AR12" i="11"/>
  <c r="AQ12" i="11"/>
  <c r="AP12" i="11"/>
  <c r="AO12" i="11"/>
  <c r="AN12" i="11"/>
  <c r="AM12" i="11"/>
  <c r="AL12" i="11"/>
  <c r="AK12" i="11"/>
  <c r="AJ12" i="11"/>
  <c r="AI12" i="11"/>
  <c r="AH12" i="11"/>
  <c r="AF12" i="11"/>
  <c r="AG12" i="11" s="1"/>
  <c r="AE12" i="11"/>
  <c r="AD12" i="11"/>
  <c r="AC12" i="11"/>
  <c r="AB12" i="11"/>
  <c r="Z12" i="11"/>
  <c r="AA12" i="11" s="1"/>
  <c r="Y12" i="11"/>
  <c r="X12" i="11"/>
  <c r="W12" i="11"/>
  <c r="V12" i="11"/>
  <c r="U12" i="11"/>
  <c r="T12" i="11"/>
  <c r="S12" i="11"/>
  <c r="R12" i="11"/>
  <c r="Q12" i="11"/>
  <c r="P12" i="11"/>
  <c r="O12" i="11"/>
  <c r="N12" i="11"/>
  <c r="M12" i="11"/>
  <c r="L12" i="11"/>
  <c r="K12" i="11"/>
  <c r="J12" i="11"/>
  <c r="H12" i="11"/>
  <c r="I12" i="11" s="1"/>
  <c r="F12" i="11"/>
  <c r="E12" i="11"/>
  <c r="G12" i="11" s="1"/>
  <c r="BU11" i="11"/>
  <c r="BT11" i="11"/>
  <c r="BS11" i="11"/>
  <c r="BR11" i="11"/>
  <c r="BQ11" i="11"/>
  <c r="BP11" i="11"/>
  <c r="BO11" i="11"/>
  <c r="BN11" i="11"/>
  <c r="BM11" i="11"/>
  <c r="BL11" i="11"/>
  <c r="BK11" i="11"/>
  <c r="BJ11" i="11"/>
  <c r="BI11" i="11"/>
  <c r="BH11" i="11"/>
  <c r="BG11" i="11"/>
  <c r="BF11" i="11"/>
  <c r="BD11" i="11"/>
  <c r="BE11" i="11" s="1"/>
  <c r="BC11" i="11"/>
  <c r="BB11" i="11"/>
  <c r="BA11" i="11"/>
  <c r="AZ11" i="11"/>
  <c r="AX11" i="11"/>
  <c r="AY11" i="11" s="1"/>
  <c r="AW11" i="11"/>
  <c r="AV11" i="11"/>
  <c r="AU11" i="11"/>
  <c r="AT11" i="11"/>
  <c r="AR11" i="11"/>
  <c r="AS11" i="11" s="1"/>
  <c r="AQ11" i="11"/>
  <c r="AP11" i="11"/>
  <c r="AO11" i="11"/>
  <c r="AN11" i="11"/>
  <c r="AL11" i="11"/>
  <c r="AM11" i="11" s="1"/>
  <c r="AK11" i="11"/>
  <c r="AJ11" i="11"/>
  <c r="AI11" i="11"/>
  <c r="AH11" i="11"/>
  <c r="AF11" i="11"/>
  <c r="AG11" i="11" s="1"/>
  <c r="AE11" i="11"/>
  <c r="AD11" i="11"/>
  <c r="AC11" i="11"/>
  <c r="AB11" i="11"/>
  <c r="Z11" i="11"/>
  <c r="AA11" i="11" s="1"/>
  <c r="Y11" i="11"/>
  <c r="X11" i="11"/>
  <c r="W11" i="11"/>
  <c r="V11" i="11"/>
  <c r="U11" i="11"/>
  <c r="T11" i="11"/>
  <c r="S11" i="11"/>
  <c r="R11" i="11"/>
  <c r="Q11" i="11"/>
  <c r="P11" i="11"/>
  <c r="O11" i="11"/>
  <c r="N11" i="11"/>
  <c r="M11" i="11"/>
  <c r="L11" i="11"/>
  <c r="K11" i="11"/>
  <c r="J11" i="11"/>
  <c r="H11" i="11"/>
  <c r="I11" i="11" s="1"/>
  <c r="F11" i="11"/>
  <c r="E11" i="11"/>
  <c r="G11" i="11" s="1"/>
  <c r="BU10" i="11"/>
  <c r="BT10" i="11"/>
  <c r="BS10" i="11"/>
  <c r="BR10" i="11"/>
  <c r="BP10" i="11"/>
  <c r="BQ10" i="11" s="1"/>
  <c r="BO10" i="11"/>
  <c r="BN10" i="11"/>
  <c r="BM10" i="11"/>
  <c r="BL10" i="11"/>
  <c r="BK10" i="11"/>
  <c r="BJ10" i="11"/>
  <c r="BI10" i="11"/>
  <c r="BH10" i="11"/>
  <c r="BG10" i="11"/>
  <c r="BF10" i="11"/>
  <c r="BE10" i="11"/>
  <c r="BD10" i="11"/>
  <c r="BC10" i="11"/>
  <c r="BB10" i="11"/>
  <c r="BA10" i="11"/>
  <c r="AZ10" i="11"/>
  <c r="AX10" i="11"/>
  <c r="AY10" i="11" s="1"/>
  <c r="AW10" i="11"/>
  <c r="AV10" i="11"/>
  <c r="AU10" i="11"/>
  <c r="AT10" i="11"/>
  <c r="AR10" i="11"/>
  <c r="AS10" i="11" s="1"/>
  <c r="AQ10" i="11"/>
  <c r="AP10" i="11"/>
  <c r="AO10" i="11"/>
  <c r="AN10" i="11"/>
  <c r="AM10" i="11"/>
  <c r="AL10" i="11"/>
  <c r="AK10" i="11"/>
  <c r="AJ10" i="11"/>
  <c r="AI10" i="11"/>
  <c r="AH10" i="11"/>
  <c r="AG10" i="11"/>
  <c r="AF10" i="11"/>
  <c r="AE10" i="11"/>
  <c r="AD10" i="11"/>
  <c r="AC10" i="11"/>
  <c r="AB10" i="11"/>
  <c r="Z10" i="11"/>
  <c r="AA10" i="11" s="1"/>
  <c r="Y10" i="11"/>
  <c r="X10" i="11"/>
  <c r="W10" i="11"/>
  <c r="V10" i="11"/>
  <c r="T10" i="11"/>
  <c r="U10" i="11" s="1"/>
  <c r="S10" i="11"/>
  <c r="R10" i="11"/>
  <c r="Q10" i="11"/>
  <c r="P10" i="11"/>
  <c r="O10" i="11"/>
  <c r="N10" i="11"/>
  <c r="M10" i="11"/>
  <c r="L10" i="11"/>
  <c r="K10" i="11"/>
  <c r="J10" i="11"/>
  <c r="I10" i="11"/>
  <c r="H10" i="11"/>
  <c r="G10" i="11"/>
  <c r="F10" i="11"/>
  <c r="E10" i="11"/>
  <c r="BU9" i="11"/>
  <c r="BT9" i="11"/>
  <c r="BS9" i="11"/>
  <c r="BR9" i="11"/>
  <c r="BP9" i="11"/>
  <c r="BQ9" i="11" s="1"/>
  <c r="BO9" i="11"/>
  <c r="BN9" i="11"/>
  <c r="BM9" i="11"/>
  <c r="BL9" i="11"/>
  <c r="BK9" i="11"/>
  <c r="BJ9" i="11"/>
  <c r="BI9" i="11"/>
  <c r="BH9" i="11"/>
  <c r="BG9" i="11"/>
  <c r="BF9" i="11"/>
  <c r="BE9" i="11"/>
  <c r="BD9" i="11"/>
  <c r="BC9" i="11"/>
  <c r="BB9" i="11"/>
  <c r="BA9" i="11"/>
  <c r="AZ9" i="11"/>
  <c r="AX9" i="11"/>
  <c r="AY9" i="11" s="1"/>
  <c r="AW9" i="11"/>
  <c r="AV9" i="11"/>
  <c r="AU9" i="11"/>
  <c r="AT9" i="11"/>
  <c r="AR9" i="11"/>
  <c r="AS9" i="11" s="1"/>
  <c r="AQ9" i="11"/>
  <c r="AP9" i="11"/>
  <c r="AO9" i="11"/>
  <c r="AN9" i="11"/>
  <c r="AL9" i="11"/>
  <c r="AM9" i="11" s="1"/>
  <c r="AK9" i="11"/>
  <c r="AJ9" i="11"/>
  <c r="AI9" i="11"/>
  <c r="AH9" i="11"/>
  <c r="AF9" i="11"/>
  <c r="AG9" i="11" s="1"/>
  <c r="AE9" i="11"/>
  <c r="AD9" i="11"/>
  <c r="AC9" i="11"/>
  <c r="AB9" i="11"/>
  <c r="Z9" i="11"/>
  <c r="AA9" i="11" s="1"/>
  <c r="Y9" i="11"/>
  <c r="X9" i="11"/>
  <c r="W9" i="11"/>
  <c r="V9" i="11"/>
  <c r="T9" i="11"/>
  <c r="U9" i="11" s="1"/>
  <c r="S9" i="11"/>
  <c r="R9" i="11"/>
  <c r="Q9" i="11"/>
  <c r="P9" i="11"/>
  <c r="O9" i="11"/>
  <c r="N9" i="11"/>
  <c r="M9" i="11"/>
  <c r="L9" i="11"/>
  <c r="K9" i="11"/>
  <c r="J9" i="11"/>
  <c r="I9" i="11"/>
  <c r="H9" i="11"/>
  <c r="F9" i="11"/>
  <c r="E9" i="11"/>
  <c r="G9" i="11" s="1"/>
  <c r="BU8" i="11"/>
  <c r="BT8" i="11"/>
  <c r="BS8" i="11"/>
  <c r="BR8" i="11"/>
  <c r="BP8" i="11"/>
  <c r="BQ8" i="11" s="1"/>
  <c r="BO8" i="11"/>
  <c r="BN8" i="11"/>
  <c r="BM8" i="11"/>
  <c r="BL8" i="11"/>
  <c r="BJ8" i="11"/>
  <c r="BK8" i="11" s="1"/>
  <c r="BI8" i="11"/>
  <c r="BH8" i="11"/>
  <c r="BG8" i="11"/>
  <c r="BF8" i="11"/>
  <c r="BE8" i="11"/>
  <c r="BD8" i="11"/>
  <c r="BC8" i="11"/>
  <c r="BB8" i="11"/>
  <c r="BA8" i="11"/>
  <c r="AZ8" i="11"/>
  <c r="AY8" i="11"/>
  <c r="AX8" i="11"/>
  <c r="AW8" i="11"/>
  <c r="AV8" i="11"/>
  <c r="AU8" i="11"/>
  <c r="AT8" i="11"/>
  <c r="AR8" i="11"/>
  <c r="AS8" i="11" s="1"/>
  <c r="AQ8" i="11"/>
  <c r="AP8" i="11"/>
  <c r="AO8" i="11"/>
  <c r="AN8" i="11"/>
  <c r="AL8" i="11"/>
  <c r="AM8" i="11" s="1"/>
  <c r="AK8" i="11"/>
  <c r="AJ8" i="11"/>
  <c r="AI8" i="11"/>
  <c r="AH8" i="11"/>
  <c r="AG8" i="11"/>
  <c r="AF8" i="11"/>
  <c r="AE8" i="11"/>
  <c r="AD8" i="11"/>
  <c r="AC8" i="11"/>
  <c r="AB8" i="11"/>
  <c r="AA8" i="11"/>
  <c r="Z8" i="11"/>
  <c r="Y8" i="11"/>
  <c r="X8" i="11"/>
  <c r="W8" i="11"/>
  <c r="V8" i="11"/>
  <c r="T8" i="11"/>
  <c r="U8" i="11" s="1"/>
  <c r="S8" i="11"/>
  <c r="R8" i="11"/>
  <c r="Q8" i="11"/>
  <c r="P8" i="11"/>
  <c r="N8" i="11"/>
  <c r="O8" i="11" s="1"/>
  <c r="M8" i="11"/>
  <c r="L8" i="11"/>
  <c r="K8" i="11"/>
  <c r="J8" i="11"/>
  <c r="H8" i="11"/>
  <c r="I8" i="11" s="1"/>
  <c r="F8" i="11"/>
  <c r="E8" i="11"/>
  <c r="G8" i="11" s="1"/>
  <c r="BU7" i="11"/>
  <c r="BT7" i="11"/>
  <c r="BS7" i="11"/>
  <c r="BR7" i="11"/>
  <c r="BP7" i="11"/>
  <c r="BQ7" i="11" s="1"/>
  <c r="BO7" i="11"/>
  <c r="BN7" i="11"/>
  <c r="BM7" i="11"/>
  <c r="BL7" i="11"/>
  <c r="BJ7" i="11"/>
  <c r="BK7" i="11" s="1"/>
  <c r="BI7" i="11"/>
  <c r="BH7" i="11"/>
  <c r="BG7" i="11"/>
  <c r="BF7" i="11"/>
  <c r="BE7" i="11"/>
  <c r="BD7" i="11"/>
  <c r="BC7" i="11"/>
  <c r="BB7" i="11"/>
  <c r="BA7" i="11"/>
  <c r="AZ7" i="11"/>
  <c r="AY7" i="11"/>
  <c r="AX7" i="11"/>
  <c r="AW7" i="11"/>
  <c r="AV7" i="11"/>
  <c r="AU7" i="11"/>
  <c r="AT7" i="11"/>
  <c r="AS7" i="11"/>
  <c r="AR7" i="11"/>
  <c r="AQ7" i="11"/>
  <c r="AP7" i="11"/>
  <c r="AO7" i="11"/>
  <c r="AN7" i="11"/>
  <c r="AL7" i="11"/>
  <c r="AM7" i="11" s="1"/>
  <c r="AK7" i="11"/>
  <c r="AJ7" i="11"/>
  <c r="AI7" i="11"/>
  <c r="AH7" i="11"/>
  <c r="AF7" i="11"/>
  <c r="AG7" i="11" s="1"/>
  <c r="AE7" i="11"/>
  <c r="AD7" i="11"/>
  <c r="AC7" i="11"/>
  <c r="AB7" i="11"/>
  <c r="Z7" i="11"/>
  <c r="AA7" i="11" s="1"/>
  <c r="Y7" i="11"/>
  <c r="X7" i="11"/>
  <c r="W7" i="11"/>
  <c r="V7" i="11"/>
  <c r="T7" i="11"/>
  <c r="U7" i="11" s="1"/>
  <c r="S7" i="11"/>
  <c r="R7" i="11"/>
  <c r="Q7" i="11"/>
  <c r="P7" i="11"/>
  <c r="N7" i="11"/>
  <c r="O7" i="11" s="1"/>
  <c r="M7" i="11"/>
  <c r="L7" i="11"/>
  <c r="K7" i="11"/>
  <c r="J7" i="11"/>
  <c r="I7" i="11"/>
  <c r="H7" i="11"/>
  <c r="F7" i="11"/>
  <c r="E7" i="11"/>
  <c r="G7" i="11" s="1"/>
  <c r="BU6" i="11"/>
  <c r="BT6" i="11"/>
  <c r="BS6" i="11"/>
  <c r="BR6" i="11"/>
  <c r="BQ6" i="11"/>
  <c r="BP6" i="11"/>
  <c r="BO6" i="11"/>
  <c r="BN6" i="11"/>
  <c r="BM6" i="11"/>
  <c r="BL6" i="11"/>
  <c r="BJ6" i="11"/>
  <c r="BK6" i="11" s="1"/>
  <c r="BI6" i="11"/>
  <c r="BH6" i="11"/>
  <c r="BG6" i="11"/>
  <c r="BF6" i="11"/>
  <c r="BD6" i="11"/>
  <c r="BE6" i="11" s="1"/>
  <c r="BC6" i="11"/>
  <c r="BB6" i="11"/>
  <c r="BA6" i="11"/>
  <c r="AZ6" i="11"/>
  <c r="AX6" i="11"/>
  <c r="AY6" i="11" s="1"/>
  <c r="AW6" i="11"/>
  <c r="AV6" i="11"/>
  <c r="AU6" i="11"/>
  <c r="AT6" i="11"/>
  <c r="AS6" i="11"/>
  <c r="AR6" i="11"/>
  <c r="AQ6" i="11"/>
  <c r="AP6" i="11"/>
  <c r="AO6" i="11"/>
  <c r="AN6" i="11"/>
  <c r="AL6" i="11"/>
  <c r="AM6" i="11" s="1"/>
  <c r="AK6" i="11"/>
  <c r="AJ6" i="11"/>
  <c r="AI6" i="11"/>
  <c r="AH6" i="11"/>
  <c r="AF6" i="11"/>
  <c r="AG6" i="11" s="1"/>
  <c r="AE6" i="11"/>
  <c r="AD6" i="11"/>
  <c r="AC6" i="11"/>
  <c r="AB6" i="11"/>
  <c r="AA6" i="11"/>
  <c r="Z6" i="11"/>
  <c r="Y6" i="11"/>
  <c r="X6" i="11"/>
  <c r="W6" i="11"/>
  <c r="V6" i="11"/>
  <c r="U6" i="11"/>
  <c r="T6" i="11"/>
  <c r="S6" i="11"/>
  <c r="R6" i="11"/>
  <c r="Q6" i="11"/>
  <c r="P6" i="11"/>
  <c r="N6" i="11"/>
  <c r="O6" i="11" s="1"/>
  <c r="M6" i="11"/>
  <c r="L6" i="11"/>
  <c r="K6" i="11"/>
  <c r="J6" i="11"/>
  <c r="H6" i="11"/>
  <c r="I6" i="11" s="1"/>
  <c r="F6" i="11"/>
  <c r="E6" i="11"/>
  <c r="G6" i="11" s="1"/>
  <c r="V5" i="11"/>
  <c r="AB5" i="11" s="1"/>
  <c r="P5" i="11"/>
  <c r="J5" i="11"/>
  <c r="H5" i="11"/>
  <c r="H24" i="11" s="1"/>
  <c r="G5" i="11"/>
  <c r="F5" i="11"/>
  <c r="E5" i="11"/>
  <c r="BP3" i="11"/>
  <c r="BJ3" i="11"/>
  <c r="BD3" i="11"/>
  <c r="AX3" i="11"/>
  <c r="AR3" i="11"/>
  <c r="AL3" i="11"/>
  <c r="AF3" i="11"/>
  <c r="Z3" i="11"/>
  <c r="T3" i="11"/>
  <c r="N3" i="11"/>
  <c r="H3" i="11"/>
  <c r="B3" i="11"/>
  <c r="B61" i="10"/>
  <c r="G6" i="10"/>
  <c r="G5" i="10"/>
  <c r="G4" i="10"/>
  <c r="G3" i="10"/>
  <c r="D61" i="10"/>
  <c r="CA318" i="9"/>
  <c r="CA312" i="9"/>
  <c r="CA306" i="9"/>
  <c r="CA300" i="9"/>
  <c r="CA294" i="9"/>
  <c r="CA288" i="9"/>
  <c r="CA282" i="9"/>
  <c r="CA276" i="9"/>
  <c r="CA270" i="9"/>
  <c r="CA265" i="9"/>
  <c r="CA264" i="9"/>
  <c r="CA263" i="9"/>
  <c r="CA259" i="9"/>
  <c r="CA258" i="9"/>
  <c r="CA257" i="9"/>
  <c r="CA250" i="9"/>
  <c r="CA244" i="9"/>
  <c r="CA239" i="9"/>
  <c r="CA240" i="9" s="1"/>
  <c r="CA242" i="9" s="1"/>
  <c r="DE25" i="9" s="1"/>
  <c r="CA238" i="9"/>
  <c r="CA230" i="9"/>
  <c r="CA224" i="9"/>
  <c r="CA215" i="9"/>
  <c r="CA214" i="9"/>
  <c r="CA188" i="9"/>
  <c r="CA245" i="9" s="1"/>
  <c r="CA246" i="9" s="1"/>
  <c r="CA248" i="9" s="1"/>
  <c r="DE27" i="9" s="1"/>
  <c r="CA186" i="9"/>
  <c r="CY34" i="9" s="1"/>
  <c r="CA185" i="9"/>
  <c r="CA184" i="9"/>
  <c r="CA183" i="9"/>
  <c r="CA179" i="9"/>
  <c r="CA178" i="9"/>
  <c r="CA172" i="9"/>
  <c r="CA171" i="9"/>
  <c r="CA162" i="9"/>
  <c r="CA156" i="9"/>
  <c r="CA147" i="9"/>
  <c r="CA140" i="9"/>
  <c r="CA133" i="9"/>
  <c r="CA128" i="9"/>
  <c r="CA126" i="9"/>
  <c r="CA119" i="9"/>
  <c r="CA112" i="9"/>
  <c r="CA105" i="9"/>
  <c r="CA98" i="9"/>
  <c r="CA91" i="9"/>
  <c r="CA84" i="9"/>
  <c r="CA75" i="9"/>
  <c r="CA69" i="9"/>
  <c r="W68" i="9"/>
  <c r="W67" i="9"/>
  <c r="W66" i="9"/>
  <c r="W65" i="9"/>
  <c r="W64" i="9"/>
  <c r="W63" i="9"/>
  <c r="W62" i="9"/>
  <c r="W61" i="9"/>
  <c r="W60" i="9"/>
  <c r="W59" i="9"/>
  <c r="W58" i="9"/>
  <c r="W57" i="9"/>
  <c r="X54" i="9"/>
  <c r="W54" i="9"/>
  <c r="X53" i="9"/>
  <c r="W53" i="9"/>
  <c r="X52" i="9"/>
  <c r="W52" i="9"/>
  <c r="X51" i="9"/>
  <c r="W51" i="9"/>
  <c r="X50" i="9"/>
  <c r="W50" i="9"/>
  <c r="X49" i="9"/>
  <c r="W49" i="9"/>
  <c r="X48" i="9"/>
  <c r="W48" i="9"/>
  <c r="X47" i="9"/>
  <c r="W47" i="9"/>
  <c r="X46" i="9"/>
  <c r="W46" i="9"/>
  <c r="X45" i="9"/>
  <c r="W45" i="9"/>
  <c r="X44" i="9"/>
  <c r="W44" i="9"/>
  <c r="X43" i="9"/>
  <c r="W43" i="9"/>
  <c r="CY41" i="9"/>
  <c r="CA37" i="9"/>
  <c r="CA35" i="9"/>
  <c r="CM34" i="9" s="1"/>
  <c r="CA30" i="9"/>
  <c r="CY29" i="9"/>
  <c r="CA29" i="9"/>
  <c r="E25" i="9"/>
  <c r="GA24" i="9"/>
  <c r="FR24" i="9"/>
  <c r="FH24" i="9"/>
  <c r="GA23" i="9"/>
  <c r="FR23" i="9"/>
  <c r="FH23" i="9"/>
  <c r="P23" i="9"/>
  <c r="K23" i="9"/>
  <c r="GA22" i="9"/>
  <c r="FR22" i="9"/>
  <c r="FH22" i="9"/>
  <c r="CM22" i="9"/>
  <c r="CA149" i="9" s="1"/>
  <c r="GA21" i="9"/>
  <c r="FR21" i="9"/>
  <c r="FH21" i="9"/>
  <c r="F21" i="9"/>
  <c r="GA20" i="9"/>
  <c r="FR20" i="9"/>
  <c r="FH20" i="9"/>
  <c r="CY20" i="9"/>
  <c r="CY21" i="9" s="1"/>
  <c r="R20" i="9"/>
  <c r="S20" i="9" s="1"/>
  <c r="H20" i="9"/>
  <c r="GA19" i="9"/>
  <c r="FR19" i="9"/>
  <c r="FH19" i="9"/>
  <c r="AZ19" i="9"/>
  <c r="AY19" i="9"/>
  <c r="AH19" i="9"/>
  <c r="R19" i="9"/>
  <c r="H19" i="9"/>
  <c r="GA18" i="9"/>
  <c r="FR18" i="9"/>
  <c r="FH18" i="9"/>
  <c r="AH18" i="9"/>
  <c r="X18" i="9"/>
  <c r="W18" i="9"/>
  <c r="S18" i="9"/>
  <c r="T18" i="9" s="1"/>
  <c r="R18" i="9"/>
  <c r="H18" i="9"/>
  <c r="GA17" i="9"/>
  <c r="FR17" i="9"/>
  <c r="FH17" i="9"/>
  <c r="AH17" i="9"/>
  <c r="R17" i="9"/>
  <c r="H17" i="9"/>
  <c r="GA16" i="9"/>
  <c r="FR16" i="9"/>
  <c r="FH16" i="9"/>
  <c r="AH16" i="9"/>
  <c r="R16" i="9"/>
  <c r="S16" i="9" s="1"/>
  <c r="H16" i="9"/>
  <c r="GA15" i="9"/>
  <c r="FR15" i="9"/>
  <c r="FH15" i="9"/>
  <c r="BM15" i="9"/>
  <c r="BK15" i="9"/>
  <c r="BJ15" i="9"/>
  <c r="AW15" i="9"/>
  <c r="AH15" i="9"/>
  <c r="AF15" i="9"/>
  <c r="U15" i="9"/>
  <c r="T15" i="9"/>
  <c r="AX19" i="9" s="1"/>
  <c r="S15" i="9"/>
  <c r="X15" i="9" s="1"/>
  <c r="W15" i="9" s="1"/>
  <c r="R15" i="9"/>
  <c r="H15" i="9"/>
  <c r="GA14" i="9"/>
  <c r="FR14" i="9"/>
  <c r="FH14" i="9"/>
  <c r="AH14" i="9"/>
  <c r="R14" i="9"/>
  <c r="H14" i="9"/>
  <c r="GA13" i="9"/>
  <c r="FR13" i="9"/>
  <c r="FH13" i="9"/>
  <c r="AH13" i="9"/>
  <c r="S13" i="9"/>
  <c r="X13" i="9" s="1"/>
  <c r="W13" i="9" s="1"/>
  <c r="R13" i="9"/>
  <c r="H13" i="9"/>
  <c r="GA12" i="9"/>
  <c r="FR12" i="9"/>
  <c r="FH12" i="9"/>
  <c r="AH12" i="9"/>
  <c r="AF12" i="9"/>
  <c r="X12" i="9"/>
  <c r="W12" i="9" s="1"/>
  <c r="T12" i="9"/>
  <c r="BI15" i="9" s="1"/>
  <c r="S12" i="9"/>
  <c r="R12" i="9"/>
  <c r="H12" i="9"/>
  <c r="GA11" i="9"/>
  <c r="FR11" i="9"/>
  <c r="FH11" i="9"/>
  <c r="AH11" i="9"/>
  <c r="X11" i="9"/>
  <c r="W11" i="9" s="1"/>
  <c r="S11" i="9"/>
  <c r="R11" i="9"/>
  <c r="T11" i="9" s="1"/>
  <c r="H11" i="9"/>
  <c r="GB10" i="9"/>
  <c r="GA10" i="9"/>
  <c r="FS10" i="9"/>
  <c r="FR10" i="9"/>
  <c r="FI10" i="9"/>
  <c r="FH10" i="9"/>
  <c r="AH10" i="9"/>
  <c r="S10" i="9"/>
  <c r="T10" i="9" s="1"/>
  <c r="R10" i="9"/>
  <c r="H10" i="9"/>
  <c r="GB9" i="9"/>
  <c r="GA9" i="9"/>
  <c r="FS9" i="9"/>
  <c r="FR9" i="9"/>
  <c r="FI9" i="9"/>
  <c r="FH9" i="9"/>
  <c r="AH9" i="9"/>
  <c r="R9" i="9"/>
  <c r="L9" i="9"/>
  <c r="H9" i="9"/>
  <c r="GC8" i="9"/>
  <c r="GB8" i="9"/>
  <c r="GA8" i="9"/>
  <c r="FT8" i="9"/>
  <c r="FS8" i="9"/>
  <c r="FR8" i="9"/>
  <c r="FJ8" i="9"/>
  <c r="FI8" i="9"/>
  <c r="FH8" i="9"/>
  <c r="AH8" i="9"/>
  <c r="X8" i="9"/>
  <c r="W8" i="9"/>
  <c r="T8" i="9"/>
  <c r="BM11" i="9" s="1"/>
  <c r="S8" i="9"/>
  <c r="R8" i="9"/>
  <c r="P8" i="9"/>
  <c r="K8" i="9"/>
  <c r="H8" i="9"/>
  <c r="H21" i="9" s="1"/>
  <c r="H23" i="9" s="1"/>
  <c r="GB7" i="9"/>
  <c r="GA7" i="9"/>
  <c r="FS7" i="9"/>
  <c r="FR7" i="9"/>
  <c r="FI7" i="9"/>
  <c r="FH7" i="9"/>
  <c r="AW7" i="9"/>
  <c r="AX7" i="9" s="1"/>
  <c r="AY7" i="9" s="1"/>
  <c r="AZ7" i="9" s="1"/>
  <c r="BA7" i="9" s="1"/>
  <c r="BB7" i="9" s="1"/>
  <c r="BC7" i="9" s="1"/>
  <c r="BD7" i="9" s="1"/>
  <c r="BE7" i="9" s="1"/>
  <c r="BF7" i="9" s="1"/>
  <c r="BG7" i="9" s="1"/>
  <c r="BH7" i="9" s="1"/>
  <c r="BI7" i="9" s="1"/>
  <c r="BJ7" i="9" s="1"/>
  <c r="BK7" i="9" s="1"/>
  <c r="BL7" i="9" s="1"/>
  <c r="BM7" i="9" s="1"/>
  <c r="AH7" i="9"/>
  <c r="AH20" i="9" s="1"/>
  <c r="R7" i="9"/>
  <c r="AM7" i="9" s="1"/>
  <c r="H7" i="9"/>
  <c r="GB6" i="9"/>
  <c r="GA6" i="9"/>
  <c r="FS6" i="9"/>
  <c r="FR6" i="9"/>
  <c r="FI6" i="9"/>
  <c r="FH6" i="9"/>
  <c r="GA5" i="9"/>
  <c r="FR5" i="9"/>
  <c r="FH5" i="9"/>
  <c r="H3" i="10" l="1"/>
  <c r="H5" i="10"/>
  <c r="H4" i="10"/>
  <c r="H6" i="10"/>
  <c r="E24" i="12"/>
  <c r="D24" i="12"/>
  <c r="C24" i="12"/>
  <c r="B24" i="12"/>
  <c r="G24" i="12"/>
  <c r="M24" i="12"/>
  <c r="L24" i="12"/>
  <c r="K24" i="12"/>
  <c r="B26" i="11"/>
  <c r="B14" i="12" s="1"/>
  <c r="J24" i="12"/>
  <c r="I24" i="12"/>
  <c r="H24" i="12"/>
  <c r="F24" i="12"/>
  <c r="AH5" i="11"/>
  <c r="F3" i="14"/>
  <c r="D20" i="13"/>
  <c r="E11" i="13"/>
  <c r="E19" i="13"/>
  <c r="F14" i="13"/>
  <c r="E9" i="14"/>
  <c r="H9" i="14" s="1"/>
  <c r="E17" i="14"/>
  <c r="H17" i="14" s="1"/>
  <c r="E25" i="14"/>
  <c r="H25" i="14" s="1"/>
  <c r="E33" i="14"/>
  <c r="H33" i="14" s="1"/>
  <c r="E41" i="14"/>
  <c r="H41" i="14" s="1"/>
  <c r="E49" i="14"/>
  <c r="H49" i="14" s="1"/>
  <c r="E57" i="14"/>
  <c r="H57" i="14" s="1"/>
  <c r="E12" i="14"/>
  <c r="H12" i="14" s="1"/>
  <c r="E20" i="14"/>
  <c r="H20" i="14" s="1"/>
  <c r="E28" i="14"/>
  <c r="H28" i="14" s="1"/>
  <c r="E36" i="14"/>
  <c r="H36" i="14" s="1"/>
  <c r="E44" i="14"/>
  <c r="H44" i="14" s="1"/>
  <c r="E52" i="14"/>
  <c r="H52" i="14" s="1"/>
  <c r="E60" i="14"/>
  <c r="H60" i="14" s="1"/>
  <c r="D13" i="13"/>
  <c r="E13" i="13" s="1"/>
  <c r="F13" i="13" s="1"/>
  <c r="G13" i="13" s="1"/>
  <c r="H13" i="13" s="1"/>
  <c r="I13" i="13" s="1"/>
  <c r="J13" i="13" s="1"/>
  <c r="K13" i="13" s="1"/>
  <c r="L13" i="13" s="1"/>
  <c r="E7" i="14"/>
  <c r="H7" i="14" s="1"/>
  <c r="E15" i="14"/>
  <c r="H15" i="14" s="1"/>
  <c r="E23" i="14"/>
  <c r="H23" i="14" s="1"/>
  <c r="E31" i="14"/>
  <c r="H31" i="14" s="1"/>
  <c r="E39" i="14"/>
  <c r="H39" i="14" s="1"/>
  <c r="E47" i="14"/>
  <c r="H47" i="14" s="1"/>
  <c r="E55" i="14"/>
  <c r="H55" i="14" s="1"/>
  <c r="E63" i="14"/>
  <c r="H63" i="14" s="1"/>
  <c r="I5" i="11"/>
  <c r="L5" i="11" s="1"/>
  <c r="D10" i="13"/>
  <c r="C18" i="13"/>
  <c r="C22" i="13" s="1"/>
  <c r="C23" i="13" s="1"/>
  <c r="F7" i="14"/>
  <c r="I7" i="14" s="1"/>
  <c r="I3" i="14" s="1"/>
  <c r="C21" i="13"/>
  <c r="B24" i="13"/>
  <c r="B29" i="13" s="1"/>
  <c r="B30" i="13" s="1"/>
  <c r="B32" i="13" s="1"/>
  <c r="B33" i="13" s="1"/>
  <c r="B35" i="13" s="1"/>
  <c r="B37" i="13" s="1"/>
  <c r="E10" i="14"/>
  <c r="H10" i="14" s="1"/>
  <c r="E18" i="14"/>
  <c r="H18" i="14" s="1"/>
  <c r="E26" i="14"/>
  <c r="H26" i="14" s="1"/>
  <c r="E34" i="14"/>
  <c r="H34" i="14" s="1"/>
  <c r="E42" i="14"/>
  <c r="H42" i="14" s="1"/>
  <c r="E50" i="14"/>
  <c r="H50" i="14" s="1"/>
  <c r="E58" i="14"/>
  <c r="H58" i="14" s="1"/>
  <c r="B25" i="11"/>
  <c r="B13" i="12" s="1"/>
  <c r="N5" i="11"/>
  <c r="E8" i="14"/>
  <c r="H8" i="14" s="1"/>
  <c r="E16" i="14"/>
  <c r="H16" i="14" s="1"/>
  <c r="E24" i="14"/>
  <c r="H24" i="14" s="1"/>
  <c r="E32" i="14"/>
  <c r="H32" i="14" s="1"/>
  <c r="E40" i="14"/>
  <c r="H40" i="14" s="1"/>
  <c r="E48" i="14"/>
  <c r="H48" i="14" s="1"/>
  <c r="E56" i="14"/>
  <c r="H56" i="14" s="1"/>
  <c r="E64" i="14"/>
  <c r="H64" i="14" s="1"/>
  <c r="BJ22" i="9"/>
  <c r="BI22" i="9"/>
  <c r="U18" i="9"/>
  <c r="BH22" i="9"/>
  <c r="BG22" i="9"/>
  <c r="BF22" i="9"/>
  <c r="BE22" i="9"/>
  <c r="BD22" i="9"/>
  <c r="BC22" i="9"/>
  <c r="BB22" i="9"/>
  <c r="BK22" i="9"/>
  <c r="BA22" i="9"/>
  <c r="AZ22" i="9"/>
  <c r="AY22" i="9"/>
  <c r="AX22" i="9"/>
  <c r="BM22" i="9"/>
  <c r="AW22" i="9"/>
  <c r="AF18" i="9"/>
  <c r="BL22" i="9"/>
  <c r="AV22" i="9"/>
  <c r="T20" i="9"/>
  <c r="X20" i="9"/>
  <c r="W20" i="9" s="1"/>
  <c r="X16" i="9"/>
  <c r="W16" i="9" s="1"/>
  <c r="T16" i="9"/>
  <c r="AX14" i="9"/>
  <c r="BK14" i="9"/>
  <c r="BM14" i="9"/>
  <c r="AW14" i="9"/>
  <c r="BL14" i="9"/>
  <c r="AV14" i="9"/>
  <c r="AF11" i="9"/>
  <c r="BJ14" i="9"/>
  <c r="BI14" i="9"/>
  <c r="BH14" i="9"/>
  <c r="BG14" i="9"/>
  <c r="U11" i="9"/>
  <c r="BF14" i="9"/>
  <c r="BE14" i="9"/>
  <c r="AZ14" i="9"/>
  <c r="BD14" i="9"/>
  <c r="BB14" i="9"/>
  <c r="AY14" i="9"/>
  <c r="BC14" i="9"/>
  <c r="BA14" i="9"/>
  <c r="BC13" i="9"/>
  <c r="BE13" i="9"/>
  <c r="BB13" i="9"/>
  <c r="AZ13" i="9"/>
  <c r="BA13" i="9"/>
  <c r="AY13" i="9"/>
  <c r="AX13" i="9"/>
  <c r="BM13" i="9"/>
  <c r="AW13" i="9"/>
  <c r="AF10" i="9"/>
  <c r="BG13" i="9"/>
  <c r="BD13" i="9"/>
  <c r="BL13" i="9"/>
  <c r="AV13" i="9"/>
  <c r="BK13" i="9"/>
  <c r="BJ13" i="9"/>
  <c r="BI13" i="9"/>
  <c r="BH13" i="9"/>
  <c r="BF13" i="9"/>
  <c r="U10" i="9"/>
  <c r="AY11" i="9"/>
  <c r="T13" i="9"/>
  <c r="AZ11" i="9"/>
  <c r="AV15" i="9"/>
  <c r="BL15" i="9"/>
  <c r="BA19" i="9"/>
  <c r="BB19" i="9"/>
  <c r="CA85" i="9"/>
  <c r="AX11" i="9"/>
  <c r="BB11" i="9"/>
  <c r="AX15" i="9"/>
  <c r="BC19" i="9"/>
  <c r="CA56" i="9"/>
  <c r="CM35" i="9" s="1"/>
  <c r="CA92" i="9"/>
  <c r="CA134" i="9"/>
  <c r="BA11" i="9"/>
  <c r="AF8" i="9"/>
  <c r="X10" i="9"/>
  <c r="W10" i="9" s="1"/>
  <c r="BC11" i="9"/>
  <c r="S14" i="9"/>
  <c r="AY15" i="9"/>
  <c r="S17" i="9"/>
  <c r="S19" i="9"/>
  <c r="BD19" i="9"/>
  <c r="CY22" i="9"/>
  <c r="CA194" i="9" s="1"/>
  <c r="CM26" i="9"/>
  <c r="CM29" i="9" s="1"/>
  <c r="CA99" i="9"/>
  <c r="CA135" i="9"/>
  <c r="CA187" i="9"/>
  <c r="BD11" i="9"/>
  <c r="AZ15" i="9"/>
  <c r="BE19" i="9"/>
  <c r="BE11" i="9"/>
  <c r="BA15" i="9"/>
  <c r="BF19" i="9"/>
  <c r="CA113" i="9"/>
  <c r="CA163" i="9"/>
  <c r="CA164" i="9" s="1"/>
  <c r="CA166" i="9" s="1"/>
  <c r="CS48" i="9" s="1"/>
  <c r="K21" i="9" s="1"/>
  <c r="S9" i="9"/>
  <c r="X9" i="9" s="1"/>
  <c r="W9" i="9" s="1"/>
  <c r="BF11" i="9"/>
  <c r="BB15" i="9"/>
  <c r="BG19" i="9"/>
  <c r="CA33" i="9"/>
  <c r="K7" i="9" s="1"/>
  <c r="CA86" i="9"/>
  <c r="CA87" i="9" s="1"/>
  <c r="CA89" i="9" s="1"/>
  <c r="CS25" i="9" s="1"/>
  <c r="K14" i="9" s="1"/>
  <c r="T9" i="9"/>
  <c r="AF9" i="9" s="1"/>
  <c r="BG11" i="9"/>
  <c r="BC15" i="9"/>
  <c r="BH19" i="9"/>
  <c r="CA93" i="9"/>
  <c r="BH11" i="9"/>
  <c r="BD15" i="9"/>
  <c r="BI19" i="9"/>
  <c r="CA100" i="9"/>
  <c r="CA101" i="9" s="1"/>
  <c r="CA103" i="9" s="1"/>
  <c r="CS29" i="9" s="1"/>
  <c r="K15" i="9" s="1"/>
  <c r="CA120" i="9"/>
  <c r="CA142" i="9"/>
  <c r="BI11" i="9"/>
  <c r="BE15" i="9"/>
  <c r="BJ19" i="9"/>
  <c r="CA107" i="9"/>
  <c r="CA121" i="9"/>
  <c r="BF15" i="9"/>
  <c r="BK19" i="9"/>
  <c r="CA36" i="9"/>
  <c r="CA141" i="9" s="1"/>
  <c r="CA114" i="9"/>
  <c r="CA115" i="9" s="1"/>
  <c r="CA117" i="9" s="1"/>
  <c r="CS34" i="9" s="1"/>
  <c r="K19" i="9" s="1"/>
  <c r="CA173" i="9"/>
  <c r="CA180" i="9" s="1"/>
  <c r="AK7" i="9"/>
  <c r="BK11" i="9"/>
  <c r="U12" i="9"/>
  <c r="BG15" i="9"/>
  <c r="AV19" i="9"/>
  <c r="BL19" i="9"/>
  <c r="CM25" i="9"/>
  <c r="CM28" i="9" s="1"/>
  <c r="CM36" i="9"/>
  <c r="CM37" i="9" s="1"/>
  <c r="CA70" i="9"/>
  <c r="U8" i="9"/>
  <c r="BJ11" i="9"/>
  <c r="AL7" i="9"/>
  <c r="AV11" i="9"/>
  <c r="BL11" i="9"/>
  <c r="BH15" i="9"/>
  <c r="AW19" i="9"/>
  <c r="BM19" i="9"/>
  <c r="CA77" i="9"/>
  <c r="CA148" i="9"/>
  <c r="CA150" i="9" s="1"/>
  <c r="CA152" i="9" s="1"/>
  <c r="CS44" i="9" s="1"/>
  <c r="K22" i="9" s="1"/>
  <c r="AW11" i="9"/>
  <c r="E12" i="13" l="1"/>
  <c r="D24" i="13"/>
  <c r="D29" i="13" s="1"/>
  <c r="D30" i="13" s="1"/>
  <c r="D32" i="13" s="1"/>
  <c r="D33" i="13" s="1"/>
  <c r="D35" i="13" s="1"/>
  <c r="D37" i="13" s="1"/>
  <c r="D21" i="13"/>
  <c r="D18" i="13"/>
  <c r="D22" i="13" s="1"/>
  <c r="D23" i="13" s="1"/>
  <c r="E10" i="13"/>
  <c r="AN5" i="11"/>
  <c r="K5" i="11"/>
  <c r="M5" i="11" s="1"/>
  <c r="H26" i="11" s="1"/>
  <c r="C14" i="12" s="1"/>
  <c r="H3" i="14"/>
  <c r="N24" i="11"/>
  <c r="O5" i="11"/>
  <c r="T5" i="11"/>
  <c r="G14" i="13"/>
  <c r="B22" i="12"/>
  <c r="B23" i="12" s="1"/>
  <c r="B25" i="12" s="1"/>
  <c r="E3" i="14"/>
  <c r="L22" i="9"/>
  <c r="BD16" i="9"/>
  <c r="BC16" i="9"/>
  <c r="BB16" i="9"/>
  <c r="BE16" i="9"/>
  <c r="BA16" i="9"/>
  <c r="AZ16" i="9"/>
  <c r="AY16" i="9"/>
  <c r="AX16" i="9"/>
  <c r="BM16" i="9"/>
  <c r="AW16" i="9"/>
  <c r="AF13" i="9"/>
  <c r="BL16" i="9"/>
  <c r="AV16" i="9"/>
  <c r="BF16" i="9"/>
  <c r="BK16" i="9"/>
  <c r="BJ16" i="9"/>
  <c r="BI16" i="9"/>
  <c r="BH16" i="9"/>
  <c r="BG16" i="9"/>
  <c r="U13" i="9"/>
  <c r="CY25" i="9"/>
  <c r="CA211" i="9"/>
  <c r="CA210" i="9"/>
  <c r="CY35" i="9" s="1"/>
  <c r="CY36" i="9" s="1"/>
  <c r="CY26" i="9"/>
  <c r="CA307" i="9"/>
  <c r="CA308" i="9" s="1"/>
  <c r="CA310" i="9" s="1"/>
  <c r="DE44" i="9" s="1"/>
  <c r="CA283" i="9"/>
  <c r="CA284" i="9" s="1"/>
  <c r="CA286" i="9" s="1"/>
  <c r="DE36" i="9" s="1"/>
  <c r="CA251" i="9"/>
  <c r="CA252" i="9" s="1"/>
  <c r="CA254" i="9" s="1"/>
  <c r="DE29" i="9" s="1"/>
  <c r="CY24" i="9"/>
  <c r="CA225" i="9"/>
  <c r="CA226" i="9" s="1"/>
  <c r="CA228" i="9" s="1"/>
  <c r="CA301" i="9"/>
  <c r="CA302" i="9" s="1"/>
  <c r="CA304" i="9" s="1"/>
  <c r="DE42" i="9" s="1"/>
  <c r="CA277" i="9"/>
  <c r="CA278" i="9" s="1"/>
  <c r="CA280" i="9" s="1"/>
  <c r="DE34" i="9" s="1"/>
  <c r="CA136" i="9"/>
  <c r="CA138" i="9" s="1"/>
  <c r="CS40" i="9" s="1"/>
  <c r="L15" i="9"/>
  <c r="BE20" i="9"/>
  <c r="BD20" i="9"/>
  <c r="BF20" i="9"/>
  <c r="BC20" i="9"/>
  <c r="BB20" i="9"/>
  <c r="BA20" i="9"/>
  <c r="AZ20" i="9"/>
  <c r="AY20" i="9"/>
  <c r="AX20" i="9"/>
  <c r="BM20" i="9"/>
  <c r="AW20" i="9"/>
  <c r="BL20" i="9"/>
  <c r="AV20" i="9"/>
  <c r="BK20" i="9"/>
  <c r="AF16" i="9"/>
  <c r="BJ20" i="9"/>
  <c r="U16" i="9"/>
  <c r="BI20" i="9"/>
  <c r="BH20" i="9"/>
  <c r="BG20" i="9"/>
  <c r="CA78" i="9"/>
  <c r="CA80" i="9" s="1"/>
  <c r="CS22" i="9" s="1"/>
  <c r="K13" i="9" s="1"/>
  <c r="CA157" i="9"/>
  <c r="CA158" i="9" s="1"/>
  <c r="CA160" i="9" s="1"/>
  <c r="CS46" i="9" s="1"/>
  <c r="CA193" i="9"/>
  <c r="CA199" i="9" s="1"/>
  <c r="BH12" i="9"/>
  <c r="BE12" i="9"/>
  <c r="BG12" i="9"/>
  <c r="BF12" i="9"/>
  <c r="BD12" i="9"/>
  <c r="BI12" i="9"/>
  <c r="BC12" i="9"/>
  <c r="U9" i="9"/>
  <c r="BL12" i="9"/>
  <c r="BJ12" i="9"/>
  <c r="BB12" i="9"/>
  <c r="AY12" i="9"/>
  <c r="BA12" i="9"/>
  <c r="AZ12" i="9"/>
  <c r="AV12" i="9"/>
  <c r="AX12" i="9"/>
  <c r="BM12" i="9"/>
  <c r="AW12" i="9"/>
  <c r="BK12" i="9"/>
  <c r="X17" i="9"/>
  <c r="W17" i="9" s="1"/>
  <c r="T17" i="9"/>
  <c r="U20" i="9"/>
  <c r="AF20" i="9"/>
  <c r="L14" i="9"/>
  <c r="X19" i="9"/>
  <c r="W19" i="9" s="1"/>
  <c r="T19" i="9"/>
  <c r="CA319" i="9"/>
  <c r="CA320" i="9" s="1"/>
  <c r="CA322" i="9" s="1"/>
  <c r="DE48" i="9" s="1"/>
  <c r="CA94" i="9"/>
  <c r="CA96" i="9" s="1"/>
  <c r="CS27" i="9" s="1"/>
  <c r="K16" i="9" s="1"/>
  <c r="X14" i="9"/>
  <c r="W14" i="9" s="1"/>
  <c r="T14" i="9"/>
  <c r="CA127" i="9"/>
  <c r="CA129" i="9" s="1"/>
  <c r="CA131" i="9" s="1"/>
  <c r="CS38" i="9" s="1"/>
  <c r="CA143" i="9"/>
  <c r="CA145" i="9" s="1"/>
  <c r="CS42" i="9" s="1"/>
  <c r="K20" i="9" s="1"/>
  <c r="CA313" i="9"/>
  <c r="CA314" i="9" s="1"/>
  <c r="CA316" i="9" s="1"/>
  <c r="DE46" i="9" s="1"/>
  <c r="L7" i="9"/>
  <c r="L8" i="9" s="1"/>
  <c r="CA174" i="9"/>
  <c r="K9" i="9"/>
  <c r="S7" i="9"/>
  <c r="L19" i="9"/>
  <c r="CM27" i="9"/>
  <c r="CM30" i="9" s="1"/>
  <c r="CA50" i="9" s="1"/>
  <c r="K10" i="9" s="1"/>
  <c r="CA68" i="9"/>
  <c r="CM24" i="9"/>
  <c r="CA122" i="9"/>
  <c r="CA124" i="9" s="1"/>
  <c r="CS36" i="9" s="1"/>
  <c r="K18" i="9" s="1"/>
  <c r="L21" i="9"/>
  <c r="CA289" i="9"/>
  <c r="CA290" i="9" s="1"/>
  <c r="CA292" i="9" s="1"/>
  <c r="DE38" i="9" s="1"/>
  <c r="CA295" i="9"/>
  <c r="CA296" i="9" s="1"/>
  <c r="CA298" i="9" s="1"/>
  <c r="DE40" i="9" s="1"/>
  <c r="CA76" i="9"/>
  <c r="CA271" i="9"/>
  <c r="CA272" i="9" s="1"/>
  <c r="CA274" i="9" s="1"/>
  <c r="DE31" i="9" s="1"/>
  <c r="CA231" i="9"/>
  <c r="CA232" i="9" s="1"/>
  <c r="CA234" i="9" s="1"/>
  <c r="DE22" i="9" s="1"/>
  <c r="CA71" i="9"/>
  <c r="CA73" i="9" s="1"/>
  <c r="CA108" i="9"/>
  <c r="CA110" i="9" s="1"/>
  <c r="CS31" i="9" s="1"/>
  <c r="K17" i="9" s="1"/>
  <c r="CA106" i="9"/>
  <c r="C22" i="12" l="1"/>
  <c r="C23" i="12" s="1"/>
  <c r="C25" i="12" s="1"/>
  <c r="Z5" i="11"/>
  <c r="T24" i="11"/>
  <c r="R5" i="11"/>
  <c r="Q5" i="11"/>
  <c r="S5" i="11" s="1"/>
  <c r="F12" i="13"/>
  <c r="E24" i="13"/>
  <c r="E29" i="13" s="1"/>
  <c r="E30" i="13" s="1"/>
  <c r="E32" i="13" s="1"/>
  <c r="E33" i="13" s="1"/>
  <c r="E35" i="13" s="1"/>
  <c r="E37" i="13" s="1"/>
  <c r="E21" i="13"/>
  <c r="E18" i="13"/>
  <c r="E22" i="13" s="1"/>
  <c r="E23" i="13" s="1"/>
  <c r="F10" i="13"/>
  <c r="H25" i="11"/>
  <c r="C13" i="12" s="1"/>
  <c r="AT5" i="11"/>
  <c r="E20" i="13"/>
  <c r="F11" i="13"/>
  <c r="F19" i="13" s="1"/>
  <c r="H14" i="13"/>
  <c r="BG18" i="9"/>
  <c r="BF18" i="9"/>
  <c r="BE18" i="9"/>
  <c r="BD18" i="9"/>
  <c r="BH18" i="9"/>
  <c r="BC18" i="9"/>
  <c r="BB18" i="9"/>
  <c r="BA18" i="9"/>
  <c r="AZ18" i="9"/>
  <c r="AY18" i="9"/>
  <c r="U14" i="9"/>
  <c r="AX18" i="9"/>
  <c r="BM18" i="9"/>
  <c r="AW18" i="9"/>
  <c r="BL18" i="9"/>
  <c r="AV18" i="9"/>
  <c r="BK18" i="9"/>
  <c r="BJ18" i="9"/>
  <c r="BI18" i="9"/>
  <c r="AF14" i="9"/>
  <c r="BF23" i="9"/>
  <c r="BE23" i="9"/>
  <c r="BD23" i="9"/>
  <c r="BC23" i="9"/>
  <c r="BB23" i="9"/>
  <c r="BA23" i="9"/>
  <c r="AZ23" i="9"/>
  <c r="AY23" i="9"/>
  <c r="AX23" i="9"/>
  <c r="U19" i="9"/>
  <c r="BM23" i="9"/>
  <c r="AW23" i="9"/>
  <c r="BL23" i="9"/>
  <c r="AV23" i="9"/>
  <c r="BK23" i="9"/>
  <c r="BJ23" i="9"/>
  <c r="BI23" i="9"/>
  <c r="BG23" i="9"/>
  <c r="BH23" i="9"/>
  <c r="AF19" i="9"/>
  <c r="DO17" i="9"/>
  <c r="DP17" i="9" s="1"/>
  <c r="DO18" i="9" s="1"/>
  <c r="DP18" i="9" s="1"/>
  <c r="DO19" i="9" s="1"/>
  <c r="DP19" i="9" s="1"/>
  <c r="DO20" i="9" s="1"/>
  <c r="DP20" i="9" s="1"/>
  <c r="DO21" i="9" s="1"/>
  <c r="DP21" i="9" s="1"/>
  <c r="DO22" i="9" s="1"/>
  <c r="DP22" i="9" s="1"/>
  <c r="DO23" i="9" s="1"/>
  <c r="DP23" i="9" s="1"/>
  <c r="DO24" i="9" s="1"/>
  <c r="DP24" i="9" s="1"/>
  <c r="DO25" i="9" s="1"/>
  <c r="DP25" i="9" s="1"/>
  <c r="DO26" i="9" s="1"/>
  <c r="DP26" i="9" s="1"/>
  <c r="DO27" i="9" s="1"/>
  <c r="DP27" i="9" s="1"/>
  <c r="DO28" i="9" s="1"/>
  <c r="DP28" i="9" s="1"/>
  <c r="DO29" i="9" s="1"/>
  <c r="DP29" i="9" s="1"/>
  <c r="DO30" i="9" s="1"/>
  <c r="DP30" i="9" s="1"/>
  <c r="DO31" i="9" s="1"/>
  <c r="DP31" i="9" s="1"/>
  <c r="DO32" i="9" s="1"/>
  <c r="DP32" i="9" s="1"/>
  <c r="DO33" i="9" s="1"/>
  <c r="DP33" i="9" s="1"/>
  <c r="DO34" i="9" s="1"/>
  <c r="DP34" i="9" s="1"/>
  <c r="DO35" i="9" s="1"/>
  <c r="DP35" i="9" s="1"/>
  <c r="DO36" i="9" s="1"/>
  <c r="DP36" i="9" s="1"/>
  <c r="DO37" i="9" s="1"/>
  <c r="DP37" i="9" s="1"/>
  <c r="DO38" i="9" s="1"/>
  <c r="DP38" i="9" s="1"/>
  <c r="DO39" i="9" s="1"/>
  <c r="DP39" i="9" s="1"/>
  <c r="DO40" i="9" s="1"/>
  <c r="DP40" i="9" s="1"/>
  <c r="DO41" i="9" s="1"/>
  <c r="DP41" i="9" s="1"/>
  <c r="DO42" i="9" s="1"/>
  <c r="DP42" i="9" s="1"/>
  <c r="DO43" i="9" s="1"/>
  <c r="DP43" i="9" s="1"/>
  <c r="DO44" i="9" s="1"/>
  <c r="DP44" i="9" s="1"/>
  <c r="DO45" i="9" s="1"/>
  <c r="DP45" i="9" s="1"/>
  <c r="DO46" i="9" s="1"/>
  <c r="DP46" i="9" s="1"/>
  <c r="DO47" i="9" s="1"/>
  <c r="DP47" i="9" s="1"/>
  <c r="DO48" i="9" s="1"/>
  <c r="DP48" i="9" s="1"/>
  <c r="DO49" i="9" s="1"/>
  <c r="DP49" i="9" s="1"/>
  <c r="DO50" i="9" s="1"/>
  <c r="DP50" i="9" s="1"/>
  <c r="DO51" i="9" s="1"/>
  <c r="DP51" i="9" s="1"/>
  <c r="DO52" i="9" s="1"/>
  <c r="DP52" i="9" s="1"/>
  <c r="DO53" i="9" s="1"/>
  <c r="DP53" i="9" s="1"/>
  <c r="DO54" i="9" s="1"/>
  <c r="DP54" i="9" s="1"/>
  <c r="DO55" i="9" s="1"/>
  <c r="DP55" i="9" s="1"/>
  <c r="DO56" i="9" s="1"/>
  <c r="DP56" i="9" s="1"/>
  <c r="DO57" i="9" s="1"/>
  <c r="DP57" i="9" s="1"/>
  <c r="DO58" i="9" s="1"/>
  <c r="DP58" i="9" s="1"/>
  <c r="DO59" i="9" s="1"/>
  <c r="DP59" i="9" s="1"/>
  <c r="DO60" i="9" s="1"/>
  <c r="DP60" i="9" s="1"/>
  <c r="DO61" i="9" s="1"/>
  <c r="DP61" i="9" s="1"/>
  <c r="DO62" i="9" s="1"/>
  <c r="DP62" i="9" s="1"/>
  <c r="DO63" i="9" s="1"/>
  <c r="DP63" i="9" s="1"/>
  <c r="DO64" i="9" s="1"/>
  <c r="DP64" i="9" s="1"/>
  <c r="DO65" i="9" s="1"/>
  <c r="DP65" i="9" s="1"/>
  <c r="DO66" i="9" s="1"/>
  <c r="DP66" i="9" s="1"/>
  <c r="DO67" i="9" s="1"/>
  <c r="DP67" i="9" s="1"/>
  <c r="DO68" i="9" s="1"/>
  <c r="DP68" i="9" s="1"/>
  <c r="DO69" i="9" s="1"/>
  <c r="DP69" i="9" s="1"/>
  <c r="DO70" i="9" s="1"/>
  <c r="DP70" i="9" s="1"/>
  <c r="DO71" i="9" s="1"/>
  <c r="DP71" i="9" s="1"/>
  <c r="DO72" i="9" s="1"/>
  <c r="DP72" i="9" s="1"/>
  <c r="DO73" i="9" s="1"/>
  <c r="DP73" i="9" s="1"/>
  <c r="DO74" i="9" s="1"/>
  <c r="DP74" i="9" s="1"/>
  <c r="DO75" i="9" s="1"/>
  <c r="DP75" i="9" s="1"/>
  <c r="DO76" i="9" s="1"/>
  <c r="DP76" i="9" s="1"/>
  <c r="DO77" i="9" s="1"/>
  <c r="DP77" i="9" s="1"/>
  <c r="DO78" i="9" s="1"/>
  <c r="DP78" i="9" s="1"/>
  <c r="DO79" i="9" s="1"/>
  <c r="DP79" i="9" s="1"/>
  <c r="DO80" i="9" s="1"/>
  <c r="DP80" i="9" s="1"/>
  <c r="DO81" i="9" s="1"/>
  <c r="DP81" i="9" s="1"/>
  <c r="DO82" i="9" s="1"/>
  <c r="DP82" i="9" s="1"/>
  <c r="DO83" i="9" s="1"/>
  <c r="DP83" i="9" s="1"/>
  <c r="DO84" i="9" s="1"/>
  <c r="DP84" i="9" s="1"/>
  <c r="DO85" i="9" s="1"/>
  <c r="DP85" i="9" s="1"/>
  <c r="DO86" i="9" s="1"/>
  <c r="DP86" i="9" s="1"/>
  <c r="DO87" i="9" s="1"/>
  <c r="DP87" i="9" s="1"/>
  <c r="DO88" i="9" s="1"/>
  <c r="DP88" i="9" s="1"/>
  <c r="DO89" i="9" s="1"/>
  <c r="DP89" i="9" s="1"/>
  <c r="DO90" i="9" s="1"/>
  <c r="DP90" i="9" s="1"/>
  <c r="DO91" i="9" s="1"/>
  <c r="DP91" i="9" s="1"/>
  <c r="DO92" i="9" s="1"/>
  <c r="DP92" i="9" s="1"/>
  <c r="DO93" i="9" s="1"/>
  <c r="DP93" i="9" s="1"/>
  <c r="DO94" i="9" s="1"/>
  <c r="DP94" i="9" s="1"/>
  <c r="DO95" i="9" s="1"/>
  <c r="DP95" i="9" s="1"/>
  <c r="DO96" i="9" s="1"/>
  <c r="DP96" i="9" s="1"/>
  <c r="DO97" i="9" s="1"/>
  <c r="DP97" i="9" s="1"/>
  <c r="DO98" i="9" s="1"/>
  <c r="DP98" i="9" s="1"/>
  <c r="DO99" i="9" s="1"/>
  <c r="DP99" i="9" s="1"/>
  <c r="DO100" i="9" s="1"/>
  <c r="DP100" i="9" s="1"/>
  <c r="DO101" i="9" s="1"/>
  <c r="DP101" i="9" s="1"/>
  <c r="DO102" i="9" s="1"/>
  <c r="DP102" i="9" s="1"/>
  <c r="DO103" i="9" s="1"/>
  <c r="DP103" i="9" s="1"/>
  <c r="DO104" i="9" s="1"/>
  <c r="DP104" i="9" s="1"/>
  <c r="DO105" i="9" s="1"/>
  <c r="DP105" i="9" s="1"/>
  <c r="DO106" i="9" s="1"/>
  <c r="DP106" i="9" s="1"/>
  <c r="DO107" i="9" s="1"/>
  <c r="DP107" i="9" s="1"/>
  <c r="DO108" i="9" s="1"/>
  <c r="DP108" i="9" s="1"/>
  <c r="DO109" i="9" s="1"/>
  <c r="DP109" i="9" s="1"/>
  <c r="DO110" i="9" s="1"/>
  <c r="DP110" i="9" s="1"/>
  <c r="DO111" i="9" s="1"/>
  <c r="DP111" i="9" s="1"/>
  <c r="DO112" i="9" s="1"/>
  <c r="DP112" i="9" s="1"/>
  <c r="DO113" i="9" s="1"/>
  <c r="DP113" i="9" s="1"/>
  <c r="DO114" i="9" s="1"/>
  <c r="DP114" i="9" s="1"/>
  <c r="DO115" i="9" s="1"/>
  <c r="DP115" i="9" s="1"/>
  <c r="DO116" i="9" s="1"/>
  <c r="DP116" i="9" s="1"/>
  <c r="CA61" i="9" s="1"/>
  <c r="L10" i="9"/>
  <c r="CM32" i="9"/>
  <c r="CY27" i="9"/>
  <c r="CY28" i="9" s="1"/>
  <c r="CA202" i="9" s="1"/>
  <c r="CY31" i="9" s="1"/>
  <c r="L16" i="9"/>
  <c r="L18" i="9"/>
  <c r="L13" i="9"/>
  <c r="S21" i="9"/>
  <c r="X7" i="9"/>
  <c r="T7" i="9"/>
  <c r="L17" i="9"/>
  <c r="BC24" i="9"/>
  <c r="M14" i="9" s="1"/>
  <c r="BK21" i="9"/>
  <c r="BJ21" i="9"/>
  <c r="BI21" i="9"/>
  <c r="BH21" i="9"/>
  <c r="BG21" i="9"/>
  <c r="BF21" i="9"/>
  <c r="BE21" i="9"/>
  <c r="BD21" i="9"/>
  <c r="BC21" i="9"/>
  <c r="U17" i="9"/>
  <c r="BB21" i="9"/>
  <c r="BA21" i="9"/>
  <c r="BL21" i="9"/>
  <c r="AZ21" i="9"/>
  <c r="AV21" i="9"/>
  <c r="AY21" i="9"/>
  <c r="AX21" i="9"/>
  <c r="BM21" i="9"/>
  <c r="AW21" i="9"/>
  <c r="AF17" i="9"/>
  <c r="CS20" i="9"/>
  <c r="K12" i="9" s="1"/>
  <c r="CA82" i="9"/>
  <c r="CR24" i="9" s="1"/>
  <c r="L20" i="9"/>
  <c r="DE20" i="9"/>
  <c r="CA236" i="9"/>
  <c r="DD24" i="9" s="1"/>
  <c r="G12" i="13" l="1"/>
  <c r="F24" i="13"/>
  <c r="F29" i="13" s="1"/>
  <c r="F30" i="13" s="1"/>
  <c r="F32" i="13" s="1"/>
  <c r="F33" i="13" s="1"/>
  <c r="F35" i="13" s="1"/>
  <c r="F37" i="13" s="1"/>
  <c r="F21" i="13"/>
  <c r="F18" i="13"/>
  <c r="G10" i="13"/>
  <c r="N25" i="11"/>
  <c r="D13" i="12" s="1"/>
  <c r="N26" i="11"/>
  <c r="D14" i="12" s="1"/>
  <c r="AZ5" i="11"/>
  <c r="U5" i="11"/>
  <c r="AF5" i="11"/>
  <c r="Z24" i="11"/>
  <c r="G11" i="13"/>
  <c r="G19" i="13" s="1"/>
  <c r="F20" i="13"/>
  <c r="I14" i="13"/>
  <c r="CM38" i="9"/>
  <c r="CM40" i="9"/>
  <c r="CY30" i="9"/>
  <c r="CA216" i="9"/>
  <c r="CY32" i="9"/>
  <c r="X21" i="9"/>
  <c r="W7" i="9"/>
  <c r="W21" i="9" s="1"/>
  <c r="BK9" i="9"/>
  <c r="BK24" i="9" s="1"/>
  <c r="BH9" i="9"/>
  <c r="BH24" i="9" s="1"/>
  <c r="M22" i="9" s="1"/>
  <c r="BJ9" i="9"/>
  <c r="BJ24" i="9" s="1"/>
  <c r="M20" i="9" s="1"/>
  <c r="BG9" i="9"/>
  <c r="BG24" i="9" s="1"/>
  <c r="M19" i="9" s="1"/>
  <c r="BI9" i="9"/>
  <c r="BI24" i="9" s="1"/>
  <c r="AF7" i="9"/>
  <c r="AV9" i="9"/>
  <c r="AV24" i="9" s="1"/>
  <c r="T21" i="9"/>
  <c r="V7" i="9" s="1"/>
  <c r="BF9" i="9"/>
  <c r="BF24" i="9" s="1"/>
  <c r="M17" i="9" s="1"/>
  <c r="BE9" i="9"/>
  <c r="BE24" i="9" s="1"/>
  <c r="M15" i="9" s="1"/>
  <c r="BB9" i="9"/>
  <c r="BB24" i="9" s="1"/>
  <c r="M8" i="9" s="1"/>
  <c r="BL9" i="9"/>
  <c r="BL24" i="9" s="1"/>
  <c r="M18" i="9" s="1"/>
  <c r="BD9" i="9"/>
  <c r="BD24" i="9" s="1"/>
  <c r="M16" i="9" s="1"/>
  <c r="BC9" i="9"/>
  <c r="U7" i="9"/>
  <c r="U21" i="9" s="1"/>
  <c r="BA9" i="9"/>
  <c r="BA24" i="9" s="1"/>
  <c r="M9" i="9" s="1"/>
  <c r="AY9" i="9"/>
  <c r="AY24" i="9" s="1"/>
  <c r="M13" i="9" s="1"/>
  <c r="AW9" i="9"/>
  <c r="AZ9" i="9"/>
  <c r="AZ24" i="9" s="1"/>
  <c r="BM9" i="9"/>
  <c r="BM24" i="9" s="1"/>
  <c r="M21" i="9" s="1"/>
  <c r="AX9" i="9"/>
  <c r="AX24" i="9" s="1"/>
  <c r="M12" i="9" s="1"/>
  <c r="M23" i="9"/>
  <c r="L12" i="9"/>
  <c r="P14" i="9"/>
  <c r="O14" i="9"/>
  <c r="N14" i="9"/>
  <c r="BF5" i="11" l="1"/>
  <c r="D22" i="12"/>
  <c r="D23" i="12" s="1"/>
  <c r="D25" i="12" s="1"/>
  <c r="AL5" i="11"/>
  <c r="AF24" i="11"/>
  <c r="F22" i="13"/>
  <c r="F23" i="13" s="1"/>
  <c r="J14" i="13"/>
  <c r="G20" i="13"/>
  <c r="H11" i="13"/>
  <c r="H19" i="13" s="1"/>
  <c r="X5" i="11"/>
  <c r="W5" i="11"/>
  <c r="H12" i="13"/>
  <c r="G24" i="13"/>
  <c r="G29" i="13" s="1"/>
  <c r="G30" i="13" s="1"/>
  <c r="G32" i="13" s="1"/>
  <c r="G33" i="13" s="1"/>
  <c r="G35" i="13" s="1"/>
  <c r="G37" i="13" s="1"/>
  <c r="G21" i="13"/>
  <c r="G18" i="13"/>
  <c r="H10" i="13"/>
  <c r="P17" i="9"/>
  <c r="O17" i="9"/>
  <c r="N17" i="9"/>
  <c r="P12" i="9"/>
  <c r="O12" i="9"/>
  <c r="N12" i="9"/>
  <c r="P13" i="9"/>
  <c r="O13" i="9"/>
  <c r="N13" i="9"/>
  <c r="AW24" i="9"/>
  <c r="O23" i="9"/>
  <c r="P9" i="9"/>
  <c r="O9" i="9"/>
  <c r="N9" i="9"/>
  <c r="AW27" i="9"/>
  <c r="M10" i="9"/>
  <c r="P16" i="9"/>
  <c r="O16" i="9"/>
  <c r="N16" i="9"/>
  <c r="CY37" i="9"/>
  <c r="CY39" i="9"/>
  <c r="P21" i="9"/>
  <c r="O21" i="9"/>
  <c r="N21" i="9"/>
  <c r="P19" i="9"/>
  <c r="O19" i="9"/>
  <c r="N19" i="9"/>
  <c r="P18" i="9"/>
  <c r="O18" i="9"/>
  <c r="N18" i="9"/>
  <c r="CA207" i="9"/>
  <c r="DU16" i="9"/>
  <c r="DT17" i="9" s="1"/>
  <c r="DU17" i="9" s="1"/>
  <c r="DT18" i="9" s="1"/>
  <c r="DU18" i="9" s="1"/>
  <c r="DT19" i="9" s="1"/>
  <c r="DU19" i="9" s="1"/>
  <c r="DT20" i="9" s="1"/>
  <c r="DU20" i="9" s="1"/>
  <c r="DT21" i="9" s="1"/>
  <c r="DU21" i="9" s="1"/>
  <c r="DT22" i="9" s="1"/>
  <c r="DU22" i="9" s="1"/>
  <c r="DT23" i="9" s="1"/>
  <c r="DU23" i="9" s="1"/>
  <c r="DT24" i="9" s="1"/>
  <c r="DU24" i="9" s="1"/>
  <c r="DT25" i="9" s="1"/>
  <c r="DU25" i="9" s="1"/>
  <c r="DT26" i="9" s="1"/>
  <c r="DU26" i="9" s="1"/>
  <c r="DT27" i="9" s="1"/>
  <c r="DU27" i="9" s="1"/>
  <c r="DT28" i="9" s="1"/>
  <c r="DU28" i="9" s="1"/>
  <c r="DT29" i="9" s="1"/>
  <c r="DU29" i="9" s="1"/>
  <c r="DT30" i="9" s="1"/>
  <c r="DU30" i="9" s="1"/>
  <c r="DT31" i="9" s="1"/>
  <c r="DU31" i="9" s="1"/>
  <c r="DT32" i="9" s="1"/>
  <c r="DU32" i="9" s="1"/>
  <c r="DT33" i="9" s="1"/>
  <c r="DU33" i="9" s="1"/>
  <c r="DT34" i="9" s="1"/>
  <c r="DU34" i="9" s="1"/>
  <c r="DT35" i="9" s="1"/>
  <c r="DU35" i="9" s="1"/>
  <c r="DT36" i="9" s="1"/>
  <c r="DU36" i="9" s="1"/>
  <c r="DT37" i="9" s="1"/>
  <c r="DU37" i="9" s="1"/>
  <c r="DT38" i="9" s="1"/>
  <c r="DU38" i="9" s="1"/>
  <c r="DT39" i="9" s="1"/>
  <c r="DU39" i="9" s="1"/>
  <c r="DT40" i="9" s="1"/>
  <c r="DU40" i="9" s="1"/>
  <c r="DT41" i="9" s="1"/>
  <c r="DU41" i="9" s="1"/>
  <c r="DT42" i="9" s="1"/>
  <c r="DU42" i="9" s="1"/>
  <c r="DT43" i="9" s="1"/>
  <c r="DU43" i="9" s="1"/>
  <c r="DT44" i="9" s="1"/>
  <c r="DU44" i="9" s="1"/>
  <c r="DT45" i="9" s="1"/>
  <c r="DU45" i="9" s="1"/>
  <c r="DT46" i="9" s="1"/>
  <c r="DU46" i="9" s="1"/>
  <c r="DT47" i="9" s="1"/>
  <c r="DU47" i="9" s="1"/>
  <c r="DT48" i="9" s="1"/>
  <c r="DU48" i="9" s="1"/>
  <c r="DT49" i="9" s="1"/>
  <c r="DU49" i="9" s="1"/>
  <c r="DT50" i="9" s="1"/>
  <c r="DU50" i="9" s="1"/>
  <c r="DT51" i="9" s="1"/>
  <c r="DU51" i="9" s="1"/>
  <c r="DT52" i="9" s="1"/>
  <c r="DU52" i="9" s="1"/>
  <c r="DT53" i="9" s="1"/>
  <c r="DU53" i="9" s="1"/>
  <c r="DT54" i="9" s="1"/>
  <c r="DU54" i="9" s="1"/>
  <c r="DT55" i="9" s="1"/>
  <c r="DU55" i="9" s="1"/>
  <c r="DT56" i="9" s="1"/>
  <c r="DU56" i="9" s="1"/>
  <c r="DT57" i="9" s="1"/>
  <c r="DU57" i="9" s="1"/>
  <c r="DT58" i="9" s="1"/>
  <c r="DU58" i="9" s="1"/>
  <c r="DT59" i="9" s="1"/>
  <c r="DU59" i="9" s="1"/>
  <c r="DT60" i="9" s="1"/>
  <c r="DU60" i="9" s="1"/>
  <c r="DT61" i="9" s="1"/>
  <c r="DU61" i="9" s="1"/>
  <c r="DT62" i="9" s="1"/>
  <c r="DU62" i="9" s="1"/>
  <c r="DT63" i="9" s="1"/>
  <c r="DU63" i="9" s="1"/>
  <c r="DT64" i="9" s="1"/>
  <c r="DU64" i="9" s="1"/>
  <c r="DT65" i="9" s="1"/>
  <c r="DU65" i="9" s="1"/>
  <c r="DT66" i="9" s="1"/>
  <c r="DU66" i="9" s="1"/>
  <c r="DT67" i="9" s="1"/>
  <c r="DU67" i="9" s="1"/>
  <c r="DT68" i="9" s="1"/>
  <c r="DU68" i="9" s="1"/>
  <c r="DT69" i="9" s="1"/>
  <c r="DU69" i="9" s="1"/>
  <c r="DT70" i="9" s="1"/>
  <c r="DU70" i="9" s="1"/>
  <c r="DT71" i="9" s="1"/>
  <c r="DU71" i="9" s="1"/>
  <c r="DT72" i="9" s="1"/>
  <c r="DU72" i="9" s="1"/>
  <c r="DT73" i="9" s="1"/>
  <c r="DU73" i="9" s="1"/>
  <c r="DT74" i="9" s="1"/>
  <c r="DU74" i="9" s="1"/>
  <c r="DT75" i="9" s="1"/>
  <c r="DU75" i="9" s="1"/>
  <c r="DT76" i="9" s="1"/>
  <c r="DU76" i="9" s="1"/>
  <c r="DT77" i="9" s="1"/>
  <c r="DU77" i="9" s="1"/>
  <c r="DT78" i="9" s="1"/>
  <c r="DU78" i="9" s="1"/>
  <c r="DT79" i="9" s="1"/>
  <c r="DU79" i="9" s="1"/>
  <c r="DT80" i="9" s="1"/>
  <c r="DU80" i="9" s="1"/>
  <c r="DT81" i="9" s="1"/>
  <c r="DU81" i="9" s="1"/>
  <c r="DT82" i="9" s="1"/>
  <c r="DU82" i="9" s="1"/>
  <c r="DT83" i="9" s="1"/>
  <c r="DU83" i="9" s="1"/>
  <c r="DT84" i="9" s="1"/>
  <c r="DU84" i="9" s="1"/>
  <c r="DT85" i="9" s="1"/>
  <c r="DU85" i="9" s="1"/>
  <c r="DT86" i="9" s="1"/>
  <c r="DU86" i="9" s="1"/>
  <c r="DT87" i="9" s="1"/>
  <c r="DU87" i="9" s="1"/>
  <c r="DT88" i="9" s="1"/>
  <c r="DU88" i="9" s="1"/>
  <c r="DT89" i="9" s="1"/>
  <c r="DU89" i="9" s="1"/>
  <c r="DT90" i="9" s="1"/>
  <c r="DU90" i="9" s="1"/>
  <c r="DT91" i="9" s="1"/>
  <c r="DU91" i="9" s="1"/>
  <c r="DT92" i="9" s="1"/>
  <c r="DU92" i="9" s="1"/>
  <c r="DT93" i="9" s="1"/>
  <c r="DU93" i="9" s="1"/>
  <c r="DT94" i="9" s="1"/>
  <c r="DU94" i="9" s="1"/>
  <c r="DT95" i="9" s="1"/>
  <c r="DU95" i="9" s="1"/>
  <c r="DT96" i="9" s="1"/>
  <c r="DU96" i="9" s="1"/>
  <c r="DT97" i="9" s="1"/>
  <c r="DU97" i="9" s="1"/>
  <c r="DT98" i="9" s="1"/>
  <c r="DU98" i="9" s="1"/>
  <c r="DT99" i="9" s="1"/>
  <c r="DU99" i="9" s="1"/>
  <c r="DT100" i="9" s="1"/>
  <c r="DU100" i="9" s="1"/>
  <c r="DT101" i="9" s="1"/>
  <c r="DU101" i="9" s="1"/>
  <c r="DT102" i="9" s="1"/>
  <c r="DU102" i="9" s="1"/>
  <c r="DT103" i="9" s="1"/>
  <c r="DU103" i="9" s="1"/>
  <c r="DT104" i="9" s="1"/>
  <c r="DU104" i="9" s="1"/>
  <c r="DT105" i="9" s="1"/>
  <c r="DU105" i="9" s="1"/>
  <c r="DT106" i="9" s="1"/>
  <c r="DU106" i="9" s="1"/>
  <c r="DT107" i="9" s="1"/>
  <c r="DU107" i="9" s="1"/>
  <c r="DT108" i="9" s="1"/>
  <c r="DU108" i="9" s="1"/>
  <c r="DT109" i="9" s="1"/>
  <c r="DU109" i="9" s="1"/>
  <c r="DT110" i="9" s="1"/>
  <c r="DU110" i="9" s="1"/>
  <c r="DT111" i="9" s="1"/>
  <c r="DU111" i="9" s="1"/>
  <c r="DT112" i="9" s="1"/>
  <c r="DU112" i="9" s="1"/>
  <c r="DT113" i="9" s="1"/>
  <c r="DU113" i="9" s="1"/>
  <c r="DT114" i="9" s="1"/>
  <c r="DU114" i="9" s="1"/>
  <c r="DT115" i="9" s="1"/>
  <c r="DU115" i="9" s="1"/>
  <c r="P22" i="9"/>
  <c r="O22" i="9"/>
  <c r="N22" i="9"/>
  <c r="N8" i="9"/>
  <c r="K11" i="9"/>
  <c r="CM41" i="9" s="1"/>
  <c r="M7" i="9"/>
  <c r="O8" i="9" s="1"/>
  <c r="V8" i="9"/>
  <c r="V18" i="9"/>
  <c r="V10" i="9"/>
  <c r="V11" i="9"/>
  <c r="V15" i="9"/>
  <c r="V12" i="9"/>
  <c r="V9" i="9"/>
  <c r="V13" i="9"/>
  <c r="V20" i="9"/>
  <c r="V16" i="9"/>
  <c r="V17" i="9"/>
  <c r="V19" i="9"/>
  <c r="V14" i="9"/>
  <c r="P20" i="9"/>
  <c r="O20" i="9"/>
  <c r="N20" i="9"/>
  <c r="P15" i="9"/>
  <c r="O15" i="9"/>
  <c r="N15" i="9"/>
  <c r="CM39" i="9"/>
  <c r="I11" i="13" l="1"/>
  <c r="I19" i="13" s="1"/>
  <c r="H20" i="13"/>
  <c r="T25" i="11"/>
  <c r="E13" i="12" s="1"/>
  <c r="T26" i="11"/>
  <c r="E14" i="12" s="1"/>
  <c r="AR5" i="11"/>
  <c r="AL24" i="11"/>
  <c r="G22" i="13"/>
  <c r="G23" i="13" s="1"/>
  <c r="H24" i="13"/>
  <c r="H29" i="13" s="1"/>
  <c r="H30" i="13" s="1"/>
  <c r="H32" i="13" s="1"/>
  <c r="H33" i="13" s="1"/>
  <c r="H35" i="13" s="1"/>
  <c r="H37" i="13" s="1"/>
  <c r="H21" i="13"/>
  <c r="H18" i="13"/>
  <c r="H22" i="13" s="1"/>
  <c r="H23" i="13" s="1"/>
  <c r="I10" i="13"/>
  <c r="I12" i="13"/>
  <c r="BL5" i="11"/>
  <c r="Y5" i="11"/>
  <c r="AA5" i="11"/>
  <c r="M11" i="9"/>
  <c r="AX27" i="9"/>
  <c r="E24" i="9" s="1"/>
  <c r="CY42" i="9"/>
  <c r="CY43" i="9" s="1"/>
  <c r="CY38" i="9"/>
  <c r="R22" i="9"/>
  <c r="P7" i="9"/>
  <c r="O7" i="9"/>
  <c r="L23" i="9"/>
  <c r="N23" i="9" s="1"/>
  <c r="N7" i="9"/>
  <c r="L11" i="9"/>
  <c r="CA65" i="9"/>
  <c r="CM43" i="9" s="1"/>
  <c r="N11" i="9"/>
  <c r="P10" i="9"/>
  <c r="O10" i="9"/>
  <c r="N10" i="9"/>
  <c r="V21" i="9"/>
  <c r="BR5" i="11" l="1"/>
  <c r="J11" i="13"/>
  <c r="J19" i="13" s="1"/>
  <c r="I20" i="13"/>
  <c r="AR24" i="11"/>
  <c r="AX5" i="11"/>
  <c r="AD5" i="11"/>
  <c r="AC5" i="11"/>
  <c r="I24" i="13"/>
  <c r="I29" i="13" s="1"/>
  <c r="I30" i="13" s="1"/>
  <c r="I32" i="13" s="1"/>
  <c r="I33" i="13" s="1"/>
  <c r="I35" i="13" s="1"/>
  <c r="I37" i="13" s="1"/>
  <c r="I21" i="13"/>
  <c r="I18" i="13"/>
  <c r="I22" i="13" s="1"/>
  <c r="I23" i="13" s="1"/>
  <c r="J10" i="13"/>
  <c r="J12" i="13"/>
  <c r="E22" i="12"/>
  <c r="E23" i="12" s="1"/>
  <c r="E25" i="12" s="1"/>
  <c r="CY40" i="9"/>
  <c r="O11" i="9"/>
  <c r="P11" i="9"/>
  <c r="K11" i="13" l="1"/>
  <c r="K19" i="13" s="1"/>
  <c r="J20" i="13"/>
  <c r="J21" i="13"/>
  <c r="J18" i="13"/>
  <c r="J22" i="13" s="1"/>
  <c r="J23" i="13" s="1"/>
  <c r="K10" i="13"/>
  <c r="K12" i="13"/>
  <c r="J24" i="13"/>
  <c r="J29" i="13" s="1"/>
  <c r="J30" i="13" s="1"/>
  <c r="J32" i="13" s="1"/>
  <c r="J33" i="13" s="1"/>
  <c r="J35" i="13" s="1"/>
  <c r="J37" i="13" s="1"/>
  <c r="AE5" i="11"/>
  <c r="Z25" i="11" s="1"/>
  <c r="F13" i="12" s="1"/>
  <c r="AG5" i="11"/>
  <c r="Z26" i="11"/>
  <c r="F14" i="12" s="1"/>
  <c r="BD5" i="11"/>
  <c r="AX24" i="11"/>
  <c r="F22" i="12" l="1"/>
  <c r="F23" i="12" s="1"/>
  <c r="F25" i="12" s="1"/>
  <c r="K18" i="13"/>
  <c r="L10" i="13"/>
  <c r="K24" i="13"/>
  <c r="K29" i="13" s="1"/>
  <c r="K30" i="13" s="1"/>
  <c r="K32" i="13" s="1"/>
  <c r="K33" i="13" s="1"/>
  <c r="K35" i="13" s="1"/>
  <c r="K37" i="13" s="1"/>
  <c r="L12" i="13"/>
  <c r="L20" i="13" s="1"/>
  <c r="K21" i="13"/>
  <c r="L11" i="13"/>
  <c r="L19" i="13" s="1"/>
  <c r="K20" i="13"/>
  <c r="BJ5" i="11"/>
  <c r="BD24" i="11"/>
  <c r="AJ5" i="11"/>
  <c r="AI5" i="11"/>
  <c r="AK5" i="11" l="1"/>
  <c r="AF25" i="11" s="1"/>
  <c r="G13" i="12" s="1"/>
  <c r="AM5" i="11"/>
  <c r="BJ24" i="11"/>
  <c r="BP5" i="11"/>
  <c r="L24" i="13"/>
  <c r="L29" i="13" s="1"/>
  <c r="L30" i="13" s="1"/>
  <c r="L32" i="13" s="1"/>
  <c r="L33" i="13" s="1"/>
  <c r="L35" i="13" s="1"/>
  <c r="L37" i="13" s="1"/>
  <c r="L18" i="13"/>
  <c r="L22" i="13" s="1"/>
  <c r="L23" i="13" s="1"/>
  <c r="L21" i="13"/>
  <c r="K22" i="13"/>
  <c r="K23" i="13" s="1"/>
  <c r="AF26" i="11" l="1"/>
  <c r="G14" i="12" s="1"/>
  <c r="G22" i="12" s="1"/>
  <c r="G23" i="12" s="1"/>
  <c r="G25" i="12" s="1"/>
  <c r="BP24" i="11"/>
  <c r="AP5" i="11"/>
  <c r="AO5" i="11"/>
  <c r="AQ5" i="11" l="1"/>
  <c r="AL26" i="11" s="1"/>
  <c r="H14" i="12" s="1"/>
  <c r="H22" i="12" s="1"/>
  <c r="H23" i="12" s="1"/>
  <c r="H25" i="12" s="1"/>
  <c r="AS5" i="11"/>
  <c r="AV5" i="11" l="1"/>
  <c r="AU5" i="11"/>
  <c r="AL25" i="11"/>
  <c r="H13" i="12" s="1"/>
  <c r="AW5" i="11" l="1"/>
  <c r="AY5" i="11"/>
  <c r="AR26" i="11"/>
  <c r="I14" i="12" s="1"/>
  <c r="I22" i="12" s="1"/>
  <c r="I23" i="12" s="1"/>
  <c r="I25" i="12" s="1"/>
  <c r="AR25" i="11"/>
  <c r="I13" i="12" s="1"/>
  <c r="BB5" i="11" l="1"/>
  <c r="BA5" i="11"/>
  <c r="BC5" i="11" l="1"/>
  <c r="BE5" i="11"/>
  <c r="AX25" i="11"/>
  <c r="J13" i="12" s="1"/>
  <c r="AX26" i="11"/>
  <c r="J14" i="12" s="1"/>
  <c r="J22" i="12" s="1"/>
  <c r="J23" i="12" s="1"/>
  <c r="J25" i="12" s="1"/>
  <c r="BH5" i="11" l="1"/>
  <c r="BG5" i="11"/>
  <c r="BI5" i="11" l="1"/>
  <c r="BD25" i="11" s="1"/>
  <c r="K13" i="12" s="1"/>
  <c r="BK5" i="11"/>
  <c r="BN5" i="11" l="1"/>
  <c r="BM5" i="11"/>
  <c r="BD26" i="11"/>
  <c r="K14" i="12" s="1"/>
  <c r="K22" i="12" s="1"/>
  <c r="K23" i="12" s="1"/>
  <c r="K25" i="12" s="1"/>
  <c r="BO5" i="11" l="1"/>
  <c r="BQ5" i="11"/>
  <c r="BJ26" i="11"/>
  <c r="L14" i="12" s="1"/>
  <c r="L22" i="12" s="1"/>
  <c r="L23" i="12" s="1"/>
  <c r="L25" i="12" s="1"/>
  <c r="BJ25" i="11"/>
  <c r="L13" i="12" s="1"/>
  <c r="BT5" i="11" l="1"/>
  <c r="BS5" i="11"/>
  <c r="BU5" i="11" s="1"/>
  <c r="BP26" i="11" l="1"/>
  <c r="M14" i="12" s="1"/>
  <c r="BP25" i="11"/>
  <c r="M13" i="12" s="1"/>
  <c r="N13" i="12" s="1"/>
  <c r="M22" i="12" l="1"/>
  <c r="M23" i="12" s="1"/>
  <c r="M25" i="12" s="1"/>
  <c r="N25" i="12" s="1"/>
  <c r="N14" i="12"/>
  <c r="C9" i="2" l="1"/>
  <c r="C13" i="2" s="1"/>
  <c r="C14" i="2" s="1"/>
  <c r="C8" i="2"/>
  <c r="AI4" i="2"/>
  <c r="AI5" i="2" s="1"/>
  <c r="AH4" i="2"/>
  <c r="AW3" i="2"/>
  <c r="AV3" i="2" s="1"/>
  <c r="AI3" i="2"/>
  <c r="AJ3" i="2" s="1"/>
  <c r="AH3" i="2"/>
  <c r="O3" i="7"/>
  <c r="M3" i="7"/>
  <c r="K3" i="7"/>
  <c r="I3" i="7"/>
  <c r="P9" i="7"/>
  <c r="P10" i="7"/>
  <c r="P11" i="7"/>
  <c r="P12" i="7"/>
  <c r="P13" i="7"/>
  <c r="P14" i="7"/>
  <c r="P15" i="7"/>
  <c r="P16" i="7"/>
  <c r="P17" i="7"/>
  <c r="P18" i="7"/>
  <c r="P19" i="7"/>
  <c r="P20" i="7"/>
  <c r="P21" i="7"/>
  <c r="P22" i="7"/>
  <c r="P23" i="7"/>
  <c r="P24" i="7"/>
  <c r="P25" i="7"/>
  <c r="P26" i="7"/>
  <c r="P27" i="7"/>
  <c r="P28" i="7"/>
  <c r="P29" i="7"/>
  <c r="P30" i="7"/>
  <c r="P31" i="7"/>
  <c r="F5" i="3"/>
  <c r="G5" i="3"/>
  <c r="H5" i="3"/>
  <c r="I5" i="3"/>
  <c r="J5" i="3"/>
  <c r="K5" i="3"/>
  <c r="L5" i="3"/>
  <c r="M5" i="3"/>
  <c r="N5" i="3"/>
  <c r="E5" i="3"/>
  <c r="N11" i="3" s="1"/>
  <c r="E5" i="5"/>
  <c r="F7" i="5" s="1"/>
  <c r="O10" i="5" s="1"/>
  <c r="E7" i="5"/>
  <c r="G5" i="5"/>
  <c r="H5" i="5"/>
  <c r="I5" i="5"/>
  <c r="J5" i="5"/>
  <c r="K5" i="5"/>
  <c r="L5" i="5"/>
  <c r="M5" i="5"/>
  <c r="V9" i="5" s="1"/>
  <c r="N5" i="5"/>
  <c r="W9" i="5" s="1"/>
  <c r="O5" i="5"/>
  <c r="P5" i="5"/>
  <c r="Q5" i="5"/>
  <c r="R5" i="5"/>
  <c r="S7" i="5" s="1"/>
  <c r="S5" i="5"/>
  <c r="T7" i="5" s="1"/>
  <c r="T5" i="5"/>
  <c r="U7" i="5" s="1"/>
  <c r="U5" i="5"/>
  <c r="V7" i="5" s="1"/>
  <c r="V5" i="5"/>
  <c r="W7" i="5" s="1"/>
  <c r="W5" i="5"/>
  <c r="X5" i="5"/>
  <c r="Y5" i="5"/>
  <c r="Z5" i="5"/>
  <c r="F5" i="5"/>
  <c r="D16" i="4"/>
  <c r="D17" i="4" s="1"/>
  <c r="N3" i="7"/>
  <c r="P3" i="7" s="1"/>
  <c r="L3" i="7"/>
  <c r="J3" i="7"/>
  <c r="H3" i="7"/>
  <c r="E3" i="7"/>
  <c r="C3" i="7"/>
  <c r="G3" i="7"/>
  <c r="F3" i="7"/>
  <c r="D3" i="7"/>
  <c r="A3" i="7"/>
  <c r="C14" i="6"/>
  <c r="C13" i="6"/>
  <c r="C12" i="6"/>
  <c r="C11" i="6"/>
  <c r="C10" i="6"/>
  <c r="D14" i="5"/>
  <c r="N10" i="5"/>
  <c r="M10" i="5"/>
  <c r="L10" i="5"/>
  <c r="M9" i="5"/>
  <c r="L9" i="5"/>
  <c r="J9" i="5"/>
  <c r="N7" i="5"/>
  <c r="W10" i="5" s="1"/>
  <c r="Z7" i="5"/>
  <c r="Y7" i="5"/>
  <c r="X7" i="5"/>
  <c r="Z9" i="5"/>
  <c r="Y9" i="5"/>
  <c r="P7" i="5"/>
  <c r="M7" i="5"/>
  <c r="T9" i="5"/>
  <c r="S9" i="5"/>
  <c r="R9" i="5"/>
  <c r="Q9" i="5"/>
  <c r="P9" i="5"/>
  <c r="G7" i="5"/>
  <c r="D17" i="3"/>
  <c r="J11" i="3"/>
  <c r="L11" i="3"/>
  <c r="M11" i="3"/>
  <c r="L12" i="3"/>
  <c r="M12" i="3"/>
  <c r="N12" i="3"/>
  <c r="O12" i="3"/>
  <c r="K13" i="3"/>
  <c r="L13" i="3"/>
  <c r="M13" i="3"/>
  <c r="N13" i="3"/>
  <c r="O13" i="3"/>
  <c r="V13" i="3"/>
  <c r="W13" i="3"/>
  <c r="X13" i="3"/>
  <c r="Y13" i="3"/>
  <c r="Z13" i="3"/>
  <c r="Y9" i="3"/>
  <c r="I29" i="4"/>
  <c r="I28" i="4"/>
  <c r="D28" i="4"/>
  <c r="D26" i="4"/>
  <c r="I11" i="4"/>
  <c r="P11" i="3"/>
  <c r="Q11" i="3"/>
  <c r="R11" i="3"/>
  <c r="S11" i="3"/>
  <c r="T11" i="3"/>
  <c r="M7" i="3"/>
  <c r="V12" i="3" s="1"/>
  <c r="N7" i="3"/>
  <c r="W12" i="3" s="1"/>
  <c r="O7" i="3"/>
  <c r="X12" i="3" s="1"/>
  <c r="O5" i="3"/>
  <c r="P7" i="3" s="1"/>
  <c r="Y12" i="3" s="1"/>
  <c r="P5" i="3"/>
  <c r="Y11" i="3" s="1"/>
  <c r="Q5" i="3"/>
  <c r="Z11" i="3" s="1"/>
  <c r="R5" i="3"/>
  <c r="S7" i="3" s="1"/>
  <c r="T9" i="3" s="1"/>
  <c r="S5" i="3"/>
  <c r="T7" i="3" s="1"/>
  <c r="U9" i="3" s="1"/>
  <c r="T5" i="3"/>
  <c r="U7" i="3" s="1"/>
  <c r="V9" i="3" s="1"/>
  <c r="U5" i="3"/>
  <c r="V7" i="3" s="1"/>
  <c r="W9" i="3" s="1"/>
  <c r="V5" i="3"/>
  <c r="W7" i="3" s="1"/>
  <c r="X9" i="3" s="1"/>
  <c r="W5" i="3"/>
  <c r="X7" i="3" s="1"/>
  <c r="X5" i="3"/>
  <c r="Y7" i="3" s="1"/>
  <c r="Z9" i="3" s="1"/>
  <c r="Y5" i="3"/>
  <c r="Z7" i="3" s="1"/>
  <c r="Z5" i="3"/>
  <c r="G7" i="3"/>
  <c r="P12" i="3" s="1"/>
  <c r="W11" i="2" l="1"/>
  <c r="O5" i="2" s="1"/>
  <c r="AI6" i="2"/>
  <c r="AJ5" i="2"/>
  <c r="AH5" i="2"/>
  <c r="AX3" i="2"/>
  <c r="C10" i="2"/>
  <c r="C12" i="2" s="1"/>
  <c r="C11" i="2"/>
  <c r="AS3" i="2" s="1"/>
  <c r="AJ4" i="2"/>
  <c r="AW4" i="2"/>
  <c r="AM3" i="2"/>
  <c r="T18" i="2"/>
  <c r="J6" i="2" s="1"/>
  <c r="N9" i="5"/>
  <c r="I30" i="4"/>
  <c r="B3" i="7"/>
  <c r="D16" i="5"/>
  <c r="O7" i="5"/>
  <c r="Q7" i="5"/>
  <c r="R7" i="5"/>
  <c r="Y10" i="5"/>
  <c r="V10" i="5"/>
  <c r="P10" i="5"/>
  <c r="U9" i="5"/>
  <c r="I7" i="5"/>
  <c r="J7" i="5"/>
  <c r="K7" i="5"/>
  <c r="X9" i="5"/>
  <c r="L7" i="5"/>
  <c r="H7" i="5"/>
  <c r="O9" i="5"/>
  <c r="Q9" i="3"/>
  <c r="P9" i="3"/>
  <c r="O9" i="3"/>
  <c r="N9" i="3"/>
  <c r="H9" i="3"/>
  <c r="P13" i="3" s="1"/>
  <c r="X11" i="3"/>
  <c r="W11" i="3"/>
  <c r="D29" i="4"/>
  <c r="D30" i="4" s="1"/>
  <c r="D18" i="4"/>
  <c r="D19" i="4" s="1"/>
  <c r="V11" i="3"/>
  <c r="U11" i="3"/>
  <c r="R7" i="3"/>
  <c r="S9" i="3" s="1"/>
  <c r="Q7" i="3"/>
  <c r="O11" i="3"/>
  <c r="L7" i="3"/>
  <c r="K7" i="3"/>
  <c r="J7" i="3"/>
  <c r="I7" i="3"/>
  <c r="H7" i="3"/>
  <c r="AN3" i="2" l="1"/>
  <c r="AL3" i="2"/>
  <c r="AM4" i="2"/>
  <c r="AX4" i="2"/>
  <c r="AW5" i="2"/>
  <c r="AV4" i="2"/>
  <c r="AH6" i="2"/>
  <c r="AI7" i="2"/>
  <c r="AJ6" i="2"/>
  <c r="AS4" i="2"/>
  <c r="AT3" i="2"/>
  <c r="AR3" i="2"/>
  <c r="D19" i="3"/>
  <c r="D31" i="4"/>
  <c r="D12" i="5"/>
  <c r="Z10" i="5"/>
  <c r="X10" i="5"/>
  <c r="U10" i="5"/>
  <c r="Q10" i="5"/>
  <c r="T10" i="5"/>
  <c r="S10" i="5"/>
  <c r="R10" i="5"/>
  <c r="T12" i="3"/>
  <c r="L9" i="3"/>
  <c r="T13" i="3" s="1"/>
  <c r="U12" i="3"/>
  <c r="M9" i="3"/>
  <c r="U13" i="3" s="1"/>
  <c r="Z12" i="3"/>
  <c r="R9" i="3"/>
  <c r="Q12" i="3"/>
  <c r="I9" i="3"/>
  <c r="Q13" i="3" s="1"/>
  <c r="R12" i="3"/>
  <c r="J9" i="3"/>
  <c r="R13" i="3" s="1"/>
  <c r="S12" i="3"/>
  <c r="K9" i="3"/>
  <c r="S13" i="3" s="1"/>
  <c r="AT4" i="2" l="1"/>
  <c r="AR4" i="2"/>
  <c r="AS5" i="2"/>
  <c r="V10" i="2"/>
  <c r="N8" i="2" s="1"/>
  <c r="AW6" i="2"/>
  <c r="AX5" i="2"/>
  <c r="AV5" i="2"/>
  <c r="AM5" i="2"/>
  <c r="AN4" i="2"/>
  <c r="AL4" i="2"/>
  <c r="AH7" i="2"/>
  <c r="AJ7" i="2"/>
  <c r="AI8" i="2"/>
  <c r="U15" i="2"/>
  <c r="G7" i="2" s="1"/>
  <c r="D13" i="5"/>
  <c r="D16" i="3"/>
  <c r="D15" i="3"/>
  <c r="AH8" i="2" l="1"/>
  <c r="AI9" i="2"/>
  <c r="AJ8" i="2"/>
  <c r="AX6" i="2"/>
  <c r="AV6" i="2"/>
  <c r="AW7" i="2"/>
  <c r="AN5" i="2"/>
  <c r="AL5" i="2"/>
  <c r="AM6" i="2"/>
  <c r="AR5" i="2"/>
  <c r="AS6" i="2"/>
  <c r="AT5" i="2"/>
  <c r="D18" i="3"/>
  <c r="D15" i="5"/>
  <c r="AX7" i="2" l="1"/>
  <c r="AV7" i="2"/>
  <c r="AW8" i="2"/>
  <c r="AM7" i="2"/>
  <c r="AN6" i="2"/>
  <c r="AL6" i="2"/>
  <c r="AT6" i="2"/>
  <c r="AR6" i="2"/>
  <c r="AS7" i="2"/>
  <c r="AI10" i="2"/>
  <c r="AJ9" i="2"/>
  <c r="AH9" i="2"/>
  <c r="AN7" i="2" l="1"/>
  <c r="AL7" i="2"/>
  <c r="AM8" i="2"/>
  <c r="AX8" i="2"/>
  <c r="AW9" i="2"/>
  <c r="AV8" i="2"/>
  <c r="AS8" i="2"/>
  <c r="AT7" i="2"/>
  <c r="AR7" i="2"/>
  <c r="AJ10" i="2"/>
  <c r="AI11" i="2"/>
  <c r="AH10" i="2"/>
  <c r="AX9" i="2" l="1"/>
  <c r="AW10" i="2"/>
  <c r="AV9" i="2"/>
  <c r="AM9" i="2"/>
  <c r="AN8" i="2"/>
  <c r="AL8" i="2"/>
  <c r="AJ11" i="2"/>
  <c r="AI12" i="2"/>
  <c r="AH11" i="2"/>
  <c r="AS9" i="2"/>
  <c r="AT8" i="2"/>
  <c r="AR8" i="2"/>
  <c r="AW11" i="2" l="1"/>
  <c r="AV10" i="2"/>
  <c r="AX10" i="2"/>
  <c r="AI13" i="2"/>
  <c r="AJ12" i="2"/>
  <c r="AH12" i="2"/>
  <c r="AS10" i="2"/>
  <c r="AR9" i="2"/>
  <c r="AT9" i="2"/>
  <c r="AM10" i="2"/>
  <c r="AN9" i="2"/>
  <c r="AL9" i="2"/>
  <c r="AW12" i="2" l="1"/>
  <c r="AX11" i="2"/>
  <c r="AV11" i="2"/>
  <c r="AJ13" i="2"/>
  <c r="AH13" i="2"/>
  <c r="AI14" i="2"/>
  <c r="AN10" i="2"/>
  <c r="AM11" i="2"/>
  <c r="AL10" i="2"/>
  <c r="AR10" i="2"/>
  <c r="AS11" i="2"/>
  <c r="AT10" i="2"/>
  <c r="AI15" i="2" l="1"/>
  <c r="AJ14" i="2"/>
  <c r="AH14" i="2"/>
  <c r="AN11" i="2"/>
  <c r="AM12" i="2"/>
  <c r="AL11" i="2"/>
  <c r="AS12" i="2"/>
  <c r="AR11" i="2"/>
  <c r="AT11" i="2"/>
  <c r="AW13" i="2"/>
  <c r="AX12" i="2"/>
  <c r="AV12" i="2"/>
  <c r="AR12" i="2" l="1"/>
  <c r="AS13" i="2"/>
  <c r="AT12" i="2"/>
  <c r="AN12" i="2"/>
  <c r="AL12" i="2"/>
  <c r="AM13" i="2"/>
  <c r="AI16" i="2"/>
  <c r="AJ15" i="2"/>
  <c r="AH15" i="2"/>
  <c r="AW14" i="2"/>
  <c r="AX13" i="2"/>
  <c r="AV13" i="2"/>
  <c r="AX14" i="2" l="1"/>
  <c r="AW15" i="2"/>
  <c r="AV14" i="2"/>
  <c r="AH16" i="2"/>
  <c r="AJ16" i="2"/>
  <c r="AI17" i="2"/>
  <c r="AT13" i="2"/>
  <c r="AR13" i="2"/>
  <c r="AS14" i="2"/>
  <c r="AN13" i="2"/>
  <c r="AL13" i="2"/>
  <c r="AM14" i="2"/>
  <c r="AL14" i="2" l="1"/>
  <c r="AN14" i="2"/>
  <c r="AM15" i="2"/>
  <c r="AJ17" i="2"/>
  <c r="AH17" i="2"/>
  <c r="AI18" i="2"/>
  <c r="AX15" i="2"/>
  <c r="AW16" i="2"/>
  <c r="AV15" i="2"/>
  <c r="AT14" i="2"/>
  <c r="AR14" i="2"/>
  <c r="AS15" i="2"/>
  <c r="AX16" i="2" l="1"/>
  <c r="AW17" i="2"/>
  <c r="AV16" i="2"/>
  <c r="AI19" i="2"/>
  <c r="AJ18" i="2"/>
  <c r="AH18" i="2"/>
  <c r="AR15" i="2"/>
  <c r="AT15" i="2"/>
  <c r="AS16" i="2"/>
  <c r="AM16" i="2"/>
  <c r="AN15" i="2"/>
  <c r="AL15" i="2"/>
  <c r="AN16" i="2" l="1"/>
  <c r="AM17" i="2"/>
  <c r="AL16" i="2"/>
  <c r="AS17" i="2"/>
  <c r="AT16" i="2"/>
  <c r="AR16" i="2"/>
  <c r="AH19" i="2"/>
  <c r="AI20" i="2"/>
  <c r="AJ19" i="2"/>
  <c r="AX17" i="2"/>
  <c r="AW18" i="2"/>
  <c r="AV17" i="2"/>
  <c r="AX18" i="2" l="1"/>
  <c r="AW19" i="2"/>
  <c r="AV18" i="2"/>
  <c r="AR17" i="2"/>
  <c r="AS18" i="2"/>
  <c r="AT17" i="2"/>
  <c r="AN17" i="2"/>
  <c r="AL17" i="2"/>
  <c r="AM18" i="2"/>
  <c r="AH20" i="2"/>
  <c r="AI21" i="2"/>
  <c r="AJ20" i="2"/>
  <c r="AT18" i="2" l="1"/>
  <c r="AR18" i="2"/>
  <c r="AS19" i="2"/>
  <c r="AX19" i="2"/>
  <c r="AV19" i="2"/>
  <c r="AW20" i="2"/>
  <c r="AJ21" i="2"/>
  <c r="AI22" i="2"/>
  <c r="AH21" i="2"/>
  <c r="AN18" i="2"/>
  <c r="AL18" i="2"/>
  <c r="AM19" i="2"/>
  <c r="AJ22" i="2" l="1"/>
  <c r="AH22" i="2"/>
  <c r="AI23" i="2"/>
  <c r="AV20" i="2"/>
  <c r="AW21" i="2"/>
  <c r="AX20" i="2"/>
  <c r="AN19" i="2"/>
  <c r="AL19" i="2"/>
  <c r="AM20" i="2"/>
  <c r="AS20" i="2"/>
  <c r="AT19" i="2"/>
  <c r="AR19" i="2"/>
  <c r="AT20" i="2" l="1"/>
  <c r="AR20" i="2"/>
  <c r="AS21" i="2"/>
  <c r="AM21" i="2"/>
  <c r="AN20" i="2"/>
  <c r="AL20" i="2"/>
  <c r="AW22" i="2"/>
  <c r="AX21" i="2"/>
  <c r="AV21" i="2"/>
  <c r="AH23" i="2"/>
  <c r="AI24" i="2"/>
  <c r="AJ23" i="2"/>
  <c r="AH24" i="2" l="1"/>
  <c r="AI25" i="2"/>
  <c r="AJ24" i="2"/>
  <c r="AW23" i="2"/>
  <c r="AX22" i="2"/>
  <c r="AV22" i="2"/>
  <c r="AL21" i="2"/>
  <c r="AN21" i="2"/>
  <c r="AM22" i="2"/>
  <c r="AS22" i="2"/>
  <c r="AT21" i="2"/>
  <c r="AR21" i="2"/>
  <c r="AT22" i="2" l="1"/>
  <c r="AR22" i="2"/>
  <c r="AS23" i="2"/>
  <c r="AX23" i="2"/>
  <c r="AV23" i="2"/>
  <c r="AW24" i="2"/>
  <c r="AJ25" i="2"/>
  <c r="AI26" i="2"/>
  <c r="AH25" i="2"/>
  <c r="AN22" i="2"/>
  <c r="AL22" i="2"/>
  <c r="AM23" i="2"/>
  <c r="AN23" i="2" l="1"/>
  <c r="AM24" i="2"/>
  <c r="AL23" i="2"/>
  <c r="AI27" i="2"/>
  <c r="AJ26" i="2"/>
  <c r="AH26" i="2"/>
  <c r="AX24" i="2"/>
  <c r="AV24" i="2"/>
  <c r="AW25" i="2"/>
  <c r="AS24" i="2"/>
  <c r="AT23" i="2"/>
  <c r="AR23" i="2"/>
  <c r="AT24" i="2" l="1"/>
  <c r="AR24" i="2"/>
  <c r="AS25" i="2"/>
  <c r="AW26" i="2"/>
  <c r="AX25" i="2"/>
  <c r="AV25" i="2"/>
  <c r="AM25" i="2"/>
  <c r="AN24" i="2"/>
  <c r="AL24" i="2"/>
  <c r="AJ27" i="2"/>
  <c r="AH27" i="2"/>
  <c r="AI28" i="2"/>
  <c r="AL25" i="2" l="1"/>
  <c r="AN25" i="2"/>
  <c r="AM26" i="2"/>
  <c r="AH28" i="2"/>
  <c r="AI29" i="2"/>
  <c r="AJ28" i="2"/>
  <c r="AW27" i="2"/>
  <c r="AX26" i="2"/>
  <c r="AV26" i="2"/>
  <c r="AS26" i="2"/>
  <c r="AT25" i="2"/>
  <c r="AR25" i="2"/>
  <c r="AT26" i="2" l="1"/>
  <c r="AR26" i="2"/>
  <c r="AS27" i="2"/>
  <c r="AX27" i="2"/>
  <c r="AV27" i="2"/>
  <c r="AW28" i="2"/>
  <c r="AN26" i="2"/>
  <c r="AL26" i="2"/>
  <c r="AM27" i="2"/>
  <c r="AJ29" i="2"/>
  <c r="AI30" i="2"/>
  <c r="AH29" i="2"/>
  <c r="AI31" i="2" l="1"/>
  <c r="AJ30" i="2"/>
  <c r="AH30" i="2"/>
  <c r="AN27" i="2"/>
  <c r="AM28" i="2"/>
  <c r="AL27" i="2"/>
  <c r="AX28" i="2"/>
  <c r="AV28" i="2"/>
  <c r="AW29" i="2"/>
  <c r="AS28" i="2"/>
  <c r="AR27" i="2"/>
  <c r="AT27" i="2"/>
  <c r="AT28" i="2" l="1"/>
  <c r="AR28" i="2"/>
  <c r="AS29" i="2"/>
  <c r="AW30" i="2"/>
  <c r="AV29" i="2"/>
  <c r="AX29" i="2"/>
  <c r="AM29" i="2"/>
  <c r="AN28" i="2"/>
  <c r="AL28" i="2"/>
  <c r="AI32" i="2"/>
  <c r="AJ31" i="2"/>
  <c r="AH31" i="2"/>
  <c r="AH32" i="2" l="1"/>
  <c r="AI33" i="2"/>
  <c r="AJ32" i="2"/>
  <c r="AL29" i="2"/>
  <c r="AN29" i="2"/>
  <c r="AM30" i="2"/>
  <c r="AW31" i="2"/>
  <c r="AX30" i="2"/>
  <c r="AV30" i="2"/>
  <c r="AS30" i="2"/>
  <c r="AR29" i="2"/>
  <c r="AT29" i="2"/>
  <c r="AT30" i="2" l="1"/>
  <c r="AR30" i="2"/>
  <c r="AS31" i="2"/>
  <c r="AX31" i="2"/>
  <c r="AV31" i="2"/>
  <c r="AW32" i="2"/>
  <c r="AN30" i="2"/>
  <c r="AL30" i="2"/>
  <c r="AM31" i="2"/>
  <c r="AJ33" i="2"/>
  <c r="AI34" i="2"/>
  <c r="AH33" i="2"/>
  <c r="AI35" i="2" l="1"/>
  <c r="AJ34" i="2"/>
  <c r="AH34" i="2"/>
  <c r="AX32" i="2"/>
  <c r="AV32" i="2"/>
  <c r="AW33" i="2"/>
  <c r="AN31" i="2"/>
  <c r="AL31" i="2"/>
  <c r="AM32" i="2"/>
  <c r="AS32" i="2"/>
  <c r="AR31" i="2"/>
  <c r="AT31" i="2"/>
  <c r="AS33" i="2" l="1"/>
  <c r="AT32" i="2"/>
  <c r="AR32" i="2"/>
  <c r="AM33" i="2"/>
  <c r="AN32" i="2"/>
  <c r="AL32" i="2"/>
  <c r="AV33" i="2"/>
  <c r="AW34" i="2"/>
  <c r="AX33" i="2"/>
  <c r="AJ35" i="2"/>
  <c r="AI36" i="2"/>
  <c r="AH35" i="2"/>
  <c r="AW35" i="2" l="1"/>
  <c r="AX34" i="2"/>
  <c r="AV34" i="2"/>
  <c r="AH36" i="2"/>
  <c r="AI37" i="2"/>
  <c r="AJ36" i="2"/>
  <c r="AL33" i="2"/>
  <c r="AN33" i="2"/>
  <c r="AM34" i="2"/>
  <c r="AS34" i="2"/>
  <c r="AT33" i="2"/>
  <c r="AR33" i="2"/>
  <c r="AT34" i="2" l="1"/>
  <c r="AR34" i="2"/>
  <c r="AS35" i="2"/>
  <c r="AN34" i="2"/>
  <c r="AL34" i="2"/>
  <c r="AM35" i="2"/>
  <c r="AJ37" i="2"/>
  <c r="AI38" i="2"/>
  <c r="AH37" i="2"/>
  <c r="AX35" i="2"/>
  <c r="AV35" i="2"/>
  <c r="AW36" i="2"/>
  <c r="AJ38" i="2" l="1"/>
  <c r="AH38" i="2"/>
  <c r="AI39" i="2"/>
  <c r="AN35" i="2"/>
  <c r="AL35" i="2"/>
  <c r="AM36" i="2"/>
  <c r="AT35" i="2"/>
  <c r="AR35" i="2"/>
  <c r="AS36" i="2"/>
  <c r="AX36" i="2"/>
  <c r="AV36" i="2"/>
  <c r="AW37" i="2"/>
  <c r="AX37" i="2" l="1"/>
  <c r="AV37" i="2"/>
  <c r="AW38" i="2"/>
  <c r="AM37" i="2"/>
  <c r="AN36" i="2"/>
  <c r="AL36" i="2"/>
  <c r="AS37" i="2"/>
  <c r="AT36" i="2"/>
  <c r="AR36" i="2"/>
  <c r="AI40" i="2"/>
  <c r="AJ39" i="2"/>
  <c r="AH39" i="2"/>
  <c r="AH40" i="2" l="1"/>
  <c r="AI41" i="2"/>
  <c r="AJ40" i="2"/>
  <c r="AS38" i="2"/>
  <c r="AT37" i="2"/>
  <c r="AR37" i="2"/>
  <c r="AL37" i="2"/>
  <c r="AN37" i="2"/>
  <c r="AM38" i="2"/>
  <c r="AW39" i="2"/>
  <c r="AV38" i="2"/>
  <c r="AX38" i="2"/>
  <c r="AX39" i="2" l="1"/>
  <c r="AV39" i="2"/>
  <c r="AW40" i="2"/>
  <c r="AN38" i="2"/>
  <c r="AL38" i="2"/>
  <c r="AM39" i="2"/>
  <c r="AT38" i="2"/>
  <c r="AR38" i="2"/>
  <c r="AS39" i="2"/>
  <c r="AJ41" i="2"/>
  <c r="AI42" i="2"/>
  <c r="AH41" i="2"/>
  <c r="AR39" i="2" l="1"/>
  <c r="AS40" i="2"/>
  <c r="AT39" i="2"/>
  <c r="AN39" i="2"/>
  <c r="AL39" i="2"/>
  <c r="AM40" i="2"/>
  <c r="AJ42" i="2"/>
  <c r="AI43" i="2"/>
  <c r="AH42" i="2"/>
  <c r="AX40" i="2"/>
  <c r="AV40" i="2"/>
  <c r="AW41" i="2"/>
  <c r="AX41" i="2" l="1"/>
  <c r="AW42" i="2"/>
  <c r="AV41" i="2"/>
  <c r="AJ43" i="2"/>
  <c r="AI44" i="2"/>
  <c r="AH43" i="2"/>
  <c r="AM41" i="2"/>
  <c r="AN40" i="2"/>
  <c r="AL40" i="2"/>
  <c r="AR40" i="2"/>
  <c r="AT40" i="2"/>
  <c r="AS41" i="2"/>
  <c r="AL41" i="2" l="1"/>
  <c r="AM42" i="2"/>
  <c r="AN41" i="2"/>
  <c r="AW43" i="2"/>
  <c r="AX42" i="2"/>
  <c r="AV42" i="2"/>
  <c r="AS42" i="2"/>
  <c r="AT41" i="2"/>
  <c r="AR41" i="2"/>
  <c r="AH44" i="2"/>
  <c r="AI45" i="2"/>
  <c r="AJ44" i="2"/>
  <c r="AJ45" i="2" l="1"/>
  <c r="AI46" i="2"/>
  <c r="AH45" i="2"/>
  <c r="AT42" i="2"/>
  <c r="AR42" i="2"/>
  <c r="AS43" i="2"/>
  <c r="AX43" i="2"/>
  <c r="AV43" i="2"/>
  <c r="AW44" i="2"/>
  <c r="AN42" i="2"/>
  <c r="AL42" i="2"/>
  <c r="AM43" i="2"/>
  <c r="AN43" i="2" l="1"/>
  <c r="AL43" i="2"/>
  <c r="AM44" i="2"/>
  <c r="AX44" i="2"/>
  <c r="AV44" i="2"/>
  <c r="AW45" i="2"/>
  <c r="AJ46" i="2"/>
  <c r="AH46" i="2"/>
  <c r="AI47" i="2"/>
  <c r="AR43" i="2"/>
  <c r="AS44" i="2"/>
  <c r="AT43" i="2"/>
  <c r="AS45" i="2" l="1"/>
  <c r="AT44" i="2"/>
  <c r="AR44" i="2"/>
  <c r="AI48" i="2"/>
  <c r="AJ47" i="2"/>
  <c r="AH47" i="2"/>
  <c r="AX45" i="2"/>
  <c r="AV45" i="2"/>
  <c r="AW46" i="2"/>
  <c r="AM45" i="2"/>
  <c r="AN44" i="2"/>
  <c r="AL44" i="2"/>
  <c r="AL45" i="2" l="1"/>
  <c r="AN45" i="2"/>
  <c r="AM46" i="2"/>
  <c r="AW47" i="2"/>
  <c r="AV46" i="2"/>
  <c r="AX46" i="2"/>
  <c r="AH48" i="2"/>
  <c r="AI49" i="2"/>
  <c r="AJ48" i="2"/>
  <c r="AS46" i="2"/>
  <c r="AT45" i="2"/>
  <c r="AR45" i="2"/>
  <c r="AN46" i="2" l="1"/>
  <c r="AL46" i="2"/>
  <c r="AM47" i="2"/>
  <c r="AJ49" i="2"/>
  <c r="AI50" i="2"/>
  <c r="AH49" i="2"/>
  <c r="AT46" i="2"/>
  <c r="AR46" i="2"/>
  <c r="AS47" i="2"/>
  <c r="AX47" i="2"/>
  <c r="AV47" i="2"/>
  <c r="AW48" i="2"/>
  <c r="AN47" i="2" l="1"/>
  <c r="AL47" i="2"/>
  <c r="AM48" i="2"/>
  <c r="AR47" i="2"/>
  <c r="AS48" i="2"/>
  <c r="AT47" i="2"/>
  <c r="AJ50" i="2"/>
  <c r="AI51" i="2"/>
  <c r="AH50" i="2"/>
  <c r="AX48" i="2"/>
  <c r="AV48" i="2"/>
  <c r="AW49" i="2"/>
  <c r="AJ51" i="2" l="1"/>
  <c r="AH51" i="2"/>
  <c r="AI52" i="2"/>
  <c r="AX49" i="2"/>
  <c r="AW50" i="2"/>
  <c r="AV49" i="2"/>
  <c r="AR48" i="2"/>
  <c r="AS49" i="2"/>
  <c r="AT48" i="2"/>
  <c r="AM49" i="2"/>
  <c r="AN48" i="2"/>
  <c r="AL48" i="2"/>
  <c r="AS50" i="2" l="1"/>
  <c r="AT49" i="2"/>
  <c r="AR49" i="2"/>
  <c r="AL49" i="2"/>
  <c r="AN49" i="2"/>
  <c r="AM50" i="2"/>
  <c r="AW51" i="2"/>
  <c r="AX50" i="2"/>
  <c r="AV50" i="2"/>
  <c r="AH52" i="2"/>
  <c r="AI53" i="2"/>
  <c r="AJ52" i="2"/>
  <c r="AN50" i="2" l="1"/>
  <c r="AL50" i="2"/>
  <c r="AM51" i="2"/>
  <c r="AJ53" i="2"/>
  <c r="AI54" i="2"/>
  <c r="AH53" i="2"/>
  <c r="AX51" i="2"/>
  <c r="AV51" i="2"/>
  <c r="AW52" i="2"/>
  <c r="AT50" i="2"/>
  <c r="AR50" i="2"/>
  <c r="AS51" i="2"/>
  <c r="AR51" i="2" l="1"/>
  <c r="AS52" i="2"/>
  <c r="AT51" i="2"/>
  <c r="AJ54" i="2"/>
  <c r="AI55" i="2"/>
  <c r="AH54" i="2"/>
  <c r="AX52" i="2"/>
  <c r="AV52" i="2"/>
  <c r="AW53" i="2"/>
  <c r="AN51" i="2"/>
  <c r="AL51" i="2"/>
  <c r="AM52" i="2"/>
  <c r="AM53" i="2" l="1"/>
  <c r="AN52" i="2"/>
  <c r="AL52" i="2"/>
  <c r="AS53" i="2"/>
  <c r="AT52" i="2"/>
  <c r="AR52" i="2"/>
  <c r="AX53" i="2"/>
  <c r="AV53" i="2"/>
  <c r="AW54" i="2"/>
  <c r="AI56" i="2"/>
  <c r="AJ55" i="2"/>
  <c r="AH55" i="2"/>
  <c r="AH56" i="2" l="1"/>
  <c r="AI57" i="2"/>
  <c r="AJ56" i="2"/>
  <c r="AW55" i="2"/>
  <c r="AV54" i="2"/>
  <c r="AX54" i="2"/>
  <c r="AS54" i="2"/>
  <c r="AT53" i="2"/>
  <c r="AR53" i="2"/>
  <c r="AL53" i="2"/>
  <c r="AN53" i="2"/>
  <c r="AM54" i="2"/>
  <c r="AT54" i="2" l="1"/>
  <c r="AR54" i="2"/>
  <c r="AS55" i="2"/>
  <c r="AX55" i="2"/>
  <c r="AV55" i="2"/>
  <c r="AW56" i="2"/>
  <c r="AJ57" i="2"/>
  <c r="AI58" i="2"/>
  <c r="AH57" i="2"/>
  <c r="AN54" i="2"/>
  <c r="AL54" i="2"/>
  <c r="AM55" i="2"/>
  <c r="AN55" i="2" l="1"/>
  <c r="AL55" i="2"/>
  <c r="AM56" i="2"/>
  <c r="AJ58" i="2"/>
  <c r="AI59" i="2"/>
  <c r="AH58" i="2"/>
  <c r="AX56" i="2"/>
  <c r="AV56" i="2"/>
  <c r="AW57" i="2"/>
  <c r="AR55" i="2"/>
  <c r="AS56" i="2"/>
  <c r="AT55" i="2"/>
  <c r="AR56" i="2" l="1"/>
  <c r="AT56" i="2"/>
  <c r="AS57" i="2"/>
  <c r="AJ59" i="2"/>
  <c r="AH59" i="2"/>
  <c r="AI60" i="2"/>
  <c r="AX57" i="2"/>
  <c r="AW58" i="2"/>
  <c r="AV57" i="2"/>
  <c r="AM57" i="2"/>
  <c r="AN56" i="2"/>
  <c r="AL56" i="2"/>
  <c r="AW59" i="2" l="1"/>
  <c r="AX58" i="2"/>
  <c r="AV58" i="2"/>
  <c r="AL57" i="2"/>
  <c r="AM58" i="2"/>
  <c r="AN57" i="2"/>
  <c r="AH60" i="2"/>
  <c r="AI61" i="2"/>
  <c r="AJ60" i="2"/>
  <c r="AS58" i="2"/>
  <c r="AT57" i="2"/>
  <c r="AR57" i="2"/>
  <c r="AT58" i="2" l="1"/>
  <c r="AR58" i="2"/>
  <c r="AS59" i="2"/>
  <c r="AJ61" i="2"/>
  <c r="AI62" i="2"/>
  <c r="AH61" i="2"/>
  <c r="AN58" i="2"/>
  <c r="AL58" i="2"/>
  <c r="AM59" i="2"/>
  <c r="AX59" i="2"/>
  <c r="AV59" i="2"/>
  <c r="AW60" i="2"/>
  <c r="AX60" i="2" l="1"/>
  <c r="AV60" i="2"/>
  <c r="AW61" i="2"/>
  <c r="AN59" i="2"/>
  <c r="AL59" i="2"/>
  <c r="AM60" i="2"/>
  <c r="AJ62" i="2"/>
  <c r="AH62" i="2"/>
  <c r="AI63" i="2"/>
  <c r="AR59" i="2"/>
  <c r="AS60" i="2"/>
  <c r="AT59" i="2"/>
  <c r="AI64" i="2" l="1"/>
  <c r="AJ63" i="2"/>
  <c r="AH63" i="2"/>
  <c r="AS61" i="2"/>
  <c r="AT60" i="2"/>
  <c r="AR60" i="2"/>
  <c r="AM61" i="2"/>
  <c r="AN60" i="2"/>
  <c r="AL60" i="2"/>
  <c r="AX61" i="2"/>
  <c r="AV61" i="2"/>
  <c r="AW62" i="2"/>
  <c r="AL61" i="2" l="1"/>
  <c r="AN61" i="2"/>
  <c r="AM62" i="2"/>
  <c r="AW63" i="2"/>
  <c r="AX62" i="2"/>
  <c r="AV62" i="2"/>
  <c r="AS62" i="2"/>
  <c r="AT61" i="2"/>
  <c r="AR61" i="2"/>
  <c r="AH64" i="2"/>
  <c r="AI65" i="2"/>
  <c r="AJ64" i="2"/>
  <c r="AJ65" i="2" l="1"/>
  <c r="AI66" i="2"/>
  <c r="AH65" i="2"/>
  <c r="AT62" i="2"/>
  <c r="AR62" i="2"/>
  <c r="AS63" i="2"/>
  <c r="AX63" i="2"/>
  <c r="AV63" i="2"/>
  <c r="AW64" i="2"/>
  <c r="AN62" i="2"/>
  <c r="AL62" i="2"/>
  <c r="AM63" i="2"/>
  <c r="AN63" i="2" l="1"/>
  <c r="AL63" i="2"/>
  <c r="AM64" i="2"/>
  <c r="AR63" i="2"/>
  <c r="AS64" i="2"/>
  <c r="AT63" i="2"/>
  <c r="AJ66" i="2"/>
  <c r="AH66" i="2"/>
  <c r="AI67" i="2"/>
  <c r="AX64" i="2"/>
  <c r="AV64" i="2"/>
  <c r="AW65" i="2"/>
  <c r="AT64" i="2" l="1"/>
  <c r="AR64" i="2"/>
  <c r="AS65" i="2"/>
  <c r="AX65" i="2"/>
  <c r="AW66" i="2"/>
  <c r="AV65" i="2"/>
  <c r="AI68" i="2"/>
  <c r="AJ67" i="2"/>
  <c r="AH67" i="2"/>
  <c r="AM65" i="2"/>
  <c r="AN64" i="2"/>
  <c r="AL64" i="2"/>
  <c r="AL65" i="2" l="1"/>
  <c r="AN65" i="2"/>
  <c r="AM66" i="2"/>
  <c r="AW67" i="2"/>
  <c r="AX66" i="2"/>
  <c r="AV66" i="2"/>
  <c r="AS66" i="2"/>
  <c r="AR65" i="2"/>
  <c r="AT65" i="2"/>
  <c r="AJ68" i="2"/>
  <c r="AH68" i="2"/>
  <c r="AI69" i="2"/>
  <c r="AT66" i="2" l="1"/>
  <c r="AR66" i="2"/>
  <c r="AS67" i="2"/>
  <c r="AJ69" i="2"/>
  <c r="AH69" i="2"/>
  <c r="AI70" i="2"/>
  <c r="AX67" i="2"/>
  <c r="AV67" i="2"/>
  <c r="AW68" i="2"/>
  <c r="AN66" i="2"/>
  <c r="AL66" i="2"/>
  <c r="AM67" i="2"/>
  <c r="AX68" i="2" l="1"/>
  <c r="AV68" i="2"/>
  <c r="AW69" i="2"/>
  <c r="AN67" i="2"/>
  <c r="AL67" i="2"/>
  <c r="AM68" i="2"/>
  <c r="AI71" i="2"/>
  <c r="AJ70" i="2"/>
  <c r="AH70" i="2"/>
  <c r="AR67" i="2"/>
  <c r="AT67" i="2"/>
  <c r="AS68" i="2"/>
  <c r="AH71" i="2" l="1"/>
  <c r="AJ71" i="2"/>
  <c r="AI72" i="2"/>
  <c r="AM69" i="2"/>
  <c r="AL68" i="2"/>
  <c r="AN68" i="2"/>
  <c r="AS69" i="2"/>
  <c r="AT68" i="2"/>
  <c r="AR68" i="2"/>
  <c r="AW70" i="2"/>
  <c r="AX69" i="2"/>
  <c r="AV69" i="2"/>
  <c r="AX70" i="2" l="1"/>
  <c r="AV70" i="2"/>
  <c r="AW71" i="2"/>
  <c r="AR69" i="2"/>
  <c r="AS70" i="2"/>
  <c r="AT69" i="2"/>
  <c r="AN69" i="2"/>
  <c r="AL69" i="2"/>
  <c r="AM70" i="2"/>
  <c r="AJ72" i="2"/>
  <c r="AH72" i="2"/>
  <c r="AI73" i="2"/>
  <c r="AI74" i="2" l="1"/>
  <c r="AJ73" i="2"/>
  <c r="AH73" i="2"/>
  <c r="AN70" i="2"/>
  <c r="AL70" i="2"/>
  <c r="AM71" i="2"/>
  <c r="AT70" i="2"/>
  <c r="AR70" i="2"/>
  <c r="AS71" i="2"/>
  <c r="AX71" i="2"/>
  <c r="AV71" i="2"/>
  <c r="AW72" i="2"/>
  <c r="AM72" i="2" l="1"/>
  <c r="AN71" i="2"/>
  <c r="AL71" i="2"/>
  <c r="AW73" i="2"/>
  <c r="AX72" i="2"/>
  <c r="AV72" i="2"/>
  <c r="AS72" i="2"/>
  <c r="AT71" i="2"/>
  <c r="AR71" i="2"/>
  <c r="AH74" i="2"/>
  <c r="AI75" i="2"/>
  <c r="AJ74" i="2"/>
  <c r="AJ75" i="2" l="1"/>
  <c r="AH75" i="2"/>
  <c r="AI76" i="2"/>
  <c r="AS73" i="2"/>
  <c r="AR72" i="2"/>
  <c r="AT72" i="2"/>
  <c r="AW74" i="2"/>
  <c r="AX73" i="2"/>
  <c r="AV73" i="2"/>
  <c r="AL72" i="2"/>
  <c r="AN72" i="2"/>
  <c r="AM73" i="2"/>
  <c r="AN73" i="2" l="1"/>
  <c r="AL73" i="2"/>
  <c r="AM74" i="2"/>
  <c r="AX74" i="2"/>
  <c r="AV74" i="2"/>
  <c r="AW75" i="2"/>
  <c r="AJ76" i="2"/>
  <c r="AI77" i="2"/>
  <c r="AH76" i="2"/>
  <c r="AR73" i="2"/>
  <c r="AT73" i="2"/>
  <c r="AS74" i="2"/>
  <c r="AS75" i="2" l="1"/>
  <c r="AT74" i="2"/>
  <c r="AR74" i="2"/>
  <c r="AH77" i="2"/>
  <c r="AI78" i="2"/>
  <c r="AJ77" i="2"/>
  <c r="AW76" i="2"/>
  <c r="AV75" i="2"/>
  <c r="AX75" i="2"/>
  <c r="AM75" i="2"/>
  <c r="AN74" i="2"/>
  <c r="AL74" i="2"/>
  <c r="AX76" i="2" l="1"/>
  <c r="AW77" i="2"/>
  <c r="AV76" i="2"/>
  <c r="AJ78" i="2"/>
  <c r="AH78" i="2"/>
  <c r="AI79" i="2"/>
  <c r="AN75" i="2"/>
  <c r="AM76" i="2"/>
  <c r="AL75" i="2"/>
  <c r="AR75" i="2"/>
  <c r="AS76" i="2"/>
  <c r="AT75" i="2"/>
  <c r="AL76" i="2" l="1"/>
  <c r="AN76" i="2"/>
  <c r="AM77" i="2"/>
  <c r="AI80" i="2"/>
  <c r="AJ79" i="2"/>
  <c r="AH79" i="2"/>
  <c r="AS77" i="2"/>
  <c r="AT76" i="2"/>
  <c r="AR76" i="2"/>
  <c r="AW78" i="2"/>
  <c r="AX77" i="2"/>
  <c r="AV77" i="2"/>
  <c r="AX78" i="2" l="1"/>
  <c r="AW79" i="2"/>
  <c r="AV78" i="2"/>
  <c r="AR77" i="2"/>
  <c r="AS78" i="2"/>
  <c r="AT77" i="2"/>
  <c r="AM78" i="2"/>
  <c r="AN77" i="2"/>
  <c r="AL77" i="2"/>
  <c r="AJ80" i="2"/>
  <c r="AH80" i="2"/>
  <c r="AI81" i="2"/>
  <c r="AJ81" i="2" l="1"/>
  <c r="AH81" i="2"/>
  <c r="AI82" i="2"/>
  <c r="AX79" i="2"/>
  <c r="AW80" i="2"/>
  <c r="AV79" i="2"/>
  <c r="AN78" i="2"/>
  <c r="AM79" i="2"/>
  <c r="AL78" i="2"/>
  <c r="AR78" i="2"/>
  <c r="AS79" i="2"/>
  <c r="AT78" i="2"/>
  <c r="AT79" i="2" l="1"/>
  <c r="AR79" i="2"/>
  <c r="AS80" i="2"/>
  <c r="AN79" i="2"/>
  <c r="AL79" i="2"/>
  <c r="AM80" i="2"/>
  <c r="AX80" i="2"/>
  <c r="AV80" i="2"/>
  <c r="AW81" i="2"/>
  <c r="AI83" i="2"/>
  <c r="AJ82" i="2"/>
  <c r="AH82" i="2"/>
  <c r="AW82" i="2" l="1"/>
  <c r="AV81" i="2"/>
  <c r="AX81" i="2"/>
  <c r="AL80" i="2"/>
  <c r="AM81" i="2"/>
  <c r="AN80" i="2"/>
  <c r="AJ83" i="2"/>
  <c r="AH83" i="2"/>
  <c r="AI84" i="2"/>
  <c r="AS81" i="2"/>
  <c r="AT80" i="2"/>
  <c r="AR80" i="2"/>
  <c r="AR81" i="2" l="1"/>
  <c r="AT81" i="2"/>
  <c r="AS82" i="2"/>
  <c r="AJ84" i="2"/>
  <c r="AH84" i="2"/>
  <c r="AI85" i="2"/>
  <c r="AN81" i="2"/>
  <c r="AM82" i="2"/>
  <c r="AL81" i="2"/>
  <c r="AX82" i="2"/>
  <c r="AW83" i="2"/>
  <c r="AV82" i="2"/>
  <c r="AX83" i="2" l="1"/>
  <c r="AV83" i="2"/>
  <c r="AW84" i="2"/>
  <c r="AN82" i="2"/>
  <c r="AL82" i="2"/>
  <c r="AM83" i="2"/>
  <c r="AJ85" i="2"/>
  <c r="AI86" i="2"/>
  <c r="AH85" i="2"/>
  <c r="AT82" i="2"/>
  <c r="AR82" i="2"/>
  <c r="AS83" i="2"/>
  <c r="AL83" i="2" l="1"/>
  <c r="AM84" i="2"/>
  <c r="AN83" i="2"/>
  <c r="AS84" i="2"/>
  <c r="AT83" i="2"/>
  <c r="AR83" i="2"/>
  <c r="AJ86" i="2"/>
  <c r="AI87" i="2"/>
  <c r="AH86" i="2"/>
  <c r="AV84" i="2"/>
  <c r="AW85" i="2"/>
  <c r="AX84" i="2"/>
  <c r="AW86" i="2" l="1"/>
  <c r="AX85" i="2"/>
  <c r="AV85" i="2"/>
  <c r="AI88" i="2"/>
  <c r="AJ87" i="2"/>
  <c r="AH87" i="2"/>
  <c r="AL84" i="2"/>
  <c r="AM85" i="2"/>
  <c r="AN84" i="2"/>
  <c r="AS85" i="2"/>
  <c r="AT84" i="2"/>
  <c r="AR84" i="2"/>
  <c r="AM86" i="2" l="1"/>
  <c r="AN85" i="2"/>
  <c r="AL85" i="2"/>
  <c r="AR85" i="2"/>
  <c r="AT85" i="2"/>
  <c r="AS86" i="2"/>
  <c r="AJ88" i="2"/>
  <c r="AH88" i="2"/>
  <c r="AI89" i="2"/>
  <c r="AX86" i="2"/>
  <c r="AV86" i="2"/>
  <c r="AW87" i="2"/>
  <c r="AX87" i="2" l="1"/>
  <c r="AV87" i="2"/>
  <c r="AW88" i="2"/>
  <c r="AR86" i="2"/>
  <c r="AS87" i="2"/>
  <c r="AT86" i="2"/>
  <c r="AJ89" i="2"/>
  <c r="AH89" i="2"/>
  <c r="AI90" i="2"/>
  <c r="AL86" i="2"/>
  <c r="AM87" i="2"/>
  <c r="AN86" i="2"/>
  <c r="AR87" i="2" l="1"/>
  <c r="AS88" i="2"/>
  <c r="AT87" i="2"/>
  <c r="AM88" i="2"/>
  <c r="AN87" i="2"/>
  <c r="AL87" i="2"/>
  <c r="AH90" i="2"/>
  <c r="AI91" i="2"/>
  <c r="AJ90" i="2"/>
  <c r="AW89" i="2"/>
  <c r="AX88" i="2"/>
  <c r="AV88" i="2"/>
  <c r="AI92" i="2" l="1"/>
  <c r="AJ91" i="2"/>
  <c r="AH91" i="2"/>
  <c r="AL88" i="2"/>
  <c r="AM89" i="2"/>
  <c r="AN88" i="2"/>
  <c r="AS89" i="2"/>
  <c r="AT88" i="2"/>
  <c r="AR88" i="2"/>
  <c r="AW90" i="2"/>
  <c r="AX89" i="2"/>
  <c r="AV89" i="2"/>
  <c r="AR89" i="2" l="1"/>
  <c r="AS90" i="2"/>
  <c r="AT89" i="2"/>
  <c r="AX90" i="2"/>
  <c r="AV90" i="2"/>
  <c r="AW91" i="2"/>
  <c r="AN89" i="2"/>
  <c r="AL89" i="2"/>
  <c r="AM90" i="2"/>
  <c r="AJ92" i="2"/>
  <c r="AI93" i="2"/>
  <c r="AH92" i="2"/>
  <c r="AJ93" i="2" l="1"/>
  <c r="AI94" i="2"/>
  <c r="AH93" i="2"/>
  <c r="AN90" i="2"/>
  <c r="AL90" i="2"/>
  <c r="AM91" i="2"/>
  <c r="AW92" i="2"/>
  <c r="AX91" i="2"/>
  <c r="AV91" i="2"/>
  <c r="AR90" i="2"/>
  <c r="AS91" i="2"/>
  <c r="AT90" i="2"/>
  <c r="AT91" i="2" l="1"/>
  <c r="AR91" i="2"/>
  <c r="AS92" i="2"/>
  <c r="AX92" i="2"/>
  <c r="AV92" i="2"/>
  <c r="AW93" i="2"/>
  <c r="AI95" i="2"/>
  <c r="AJ94" i="2"/>
  <c r="AH94" i="2"/>
  <c r="AN91" i="2"/>
  <c r="AL91" i="2"/>
  <c r="AM92" i="2"/>
  <c r="AL92" i="2" l="1"/>
  <c r="AM93" i="2"/>
  <c r="AN92" i="2"/>
  <c r="AW94" i="2"/>
  <c r="AX93" i="2"/>
  <c r="AV93" i="2"/>
  <c r="AI96" i="2"/>
  <c r="AJ95" i="2"/>
  <c r="AH95" i="2"/>
  <c r="AS93" i="2"/>
  <c r="AT92" i="2"/>
  <c r="AR92" i="2"/>
  <c r="AR93" i="2" l="1"/>
  <c r="AT93" i="2"/>
  <c r="AS94" i="2"/>
  <c r="AX94" i="2"/>
  <c r="AV94" i="2"/>
  <c r="AW95" i="2"/>
  <c r="AN93" i="2"/>
  <c r="AL93" i="2"/>
  <c r="AM94" i="2"/>
  <c r="AJ96" i="2"/>
  <c r="AH96" i="2"/>
  <c r="AI97" i="2"/>
  <c r="AM95" i="2" l="1"/>
  <c r="AN94" i="2"/>
  <c r="AL94" i="2"/>
  <c r="AW96" i="2"/>
  <c r="AX95" i="2"/>
  <c r="AV95" i="2"/>
  <c r="AJ97" i="2"/>
  <c r="AH97" i="2"/>
  <c r="AI98" i="2"/>
  <c r="AR94" i="2"/>
  <c r="AT94" i="2"/>
  <c r="AS95" i="2"/>
  <c r="AS96" i="2" l="1"/>
  <c r="AT95" i="2"/>
  <c r="AR95" i="2"/>
  <c r="AJ98" i="2"/>
  <c r="AH98" i="2"/>
  <c r="AI99" i="2"/>
  <c r="AX96" i="2"/>
  <c r="AV96" i="2"/>
  <c r="AW97" i="2"/>
  <c r="AL95" i="2"/>
  <c r="AM96" i="2"/>
  <c r="AN95" i="2"/>
  <c r="AI100" i="2" l="1"/>
  <c r="AH99" i="2"/>
  <c r="AJ99" i="2"/>
  <c r="AL96" i="2"/>
  <c r="AN96" i="2"/>
  <c r="AM97" i="2"/>
  <c r="AW98" i="2"/>
  <c r="AX97" i="2"/>
  <c r="AV97" i="2"/>
  <c r="AS97" i="2"/>
  <c r="AR96" i="2"/>
  <c r="AT96" i="2"/>
  <c r="AR97" i="2" l="1"/>
  <c r="AS98" i="2"/>
  <c r="AT97" i="2"/>
  <c r="AX98" i="2"/>
  <c r="AV98" i="2"/>
  <c r="AW99" i="2"/>
  <c r="AN97" i="2"/>
  <c r="AM98" i="2"/>
  <c r="AL97" i="2"/>
  <c r="AJ100" i="2"/>
  <c r="AH100" i="2"/>
  <c r="AI101" i="2"/>
  <c r="AN98" i="2" l="1"/>
  <c r="AL98" i="2"/>
  <c r="AM99" i="2"/>
  <c r="AX99" i="2"/>
  <c r="AV99" i="2"/>
  <c r="AW100" i="2"/>
  <c r="AR98" i="2"/>
  <c r="AT98" i="2"/>
  <c r="AS99" i="2"/>
  <c r="AJ101" i="2"/>
  <c r="AI102" i="2"/>
  <c r="AH101" i="2"/>
  <c r="AJ102" i="2" l="1"/>
  <c r="AH102" i="2"/>
  <c r="AI103" i="2"/>
  <c r="AS100" i="2"/>
  <c r="AT99" i="2"/>
  <c r="AR99" i="2"/>
  <c r="AW101" i="2"/>
  <c r="AX100" i="2"/>
  <c r="AV100" i="2"/>
  <c r="AM100" i="2"/>
  <c r="AN99" i="2"/>
  <c r="AL99" i="2"/>
  <c r="AW102" i="2" l="1"/>
  <c r="AX101" i="2"/>
  <c r="AV101" i="2"/>
  <c r="AL100" i="2"/>
  <c r="AN100" i="2"/>
  <c r="AM101" i="2"/>
  <c r="AS101" i="2"/>
  <c r="AT100" i="2"/>
  <c r="AR100" i="2"/>
  <c r="AI104" i="2"/>
  <c r="AJ103" i="2"/>
  <c r="AH103" i="2"/>
  <c r="AN101" i="2" l="1"/>
  <c r="AM102" i="2"/>
  <c r="AL101" i="2"/>
  <c r="AJ104" i="2"/>
  <c r="AH104" i="2"/>
  <c r="AI105" i="2"/>
  <c r="AR101" i="2"/>
  <c r="AS102" i="2"/>
  <c r="AT101" i="2"/>
  <c r="AX102" i="2"/>
  <c r="AV102" i="2"/>
  <c r="AW103" i="2"/>
  <c r="AX103" i="2" l="1"/>
  <c r="AV103" i="2"/>
  <c r="AW104" i="2"/>
  <c r="AT102" i="2"/>
  <c r="AR102" i="2"/>
  <c r="AS103" i="2"/>
  <c r="AJ105" i="2"/>
  <c r="AI106" i="2"/>
  <c r="AH105" i="2"/>
  <c r="AL102" i="2"/>
  <c r="AM103" i="2"/>
  <c r="AN102" i="2"/>
  <c r="AM104" i="2" l="1"/>
  <c r="AN103" i="2"/>
  <c r="AL103" i="2"/>
  <c r="AJ106" i="2"/>
  <c r="AH106" i="2"/>
  <c r="AI107" i="2"/>
  <c r="AS104" i="2"/>
  <c r="AT103" i="2"/>
  <c r="AR103" i="2"/>
  <c r="AW105" i="2"/>
  <c r="AV104" i="2"/>
  <c r="AX104" i="2"/>
  <c r="AW106" i="2" l="1"/>
  <c r="AX105" i="2"/>
  <c r="AV105" i="2"/>
  <c r="AS105" i="2"/>
  <c r="AT104" i="2"/>
  <c r="AR104" i="2"/>
  <c r="AI108" i="2"/>
  <c r="AH107" i="2"/>
  <c r="AJ107" i="2"/>
  <c r="AL104" i="2"/>
  <c r="AM105" i="2"/>
  <c r="AN104" i="2"/>
  <c r="AN105" i="2" l="1"/>
  <c r="AL105" i="2"/>
  <c r="AM106" i="2"/>
  <c r="AJ108" i="2"/>
  <c r="AH108" i="2"/>
  <c r="AI109" i="2"/>
  <c r="AR105" i="2"/>
  <c r="AS106" i="2"/>
  <c r="AT105" i="2"/>
  <c r="AX106" i="2"/>
  <c r="AV106" i="2"/>
  <c r="AW107" i="2"/>
  <c r="AX107" i="2" l="1"/>
  <c r="AW108" i="2"/>
  <c r="AV107" i="2"/>
  <c r="AJ109" i="2"/>
  <c r="AI110" i="2"/>
  <c r="AH109" i="2"/>
  <c r="AT106" i="2"/>
  <c r="AR106" i="2"/>
  <c r="AS107" i="2"/>
  <c r="AN106" i="2"/>
  <c r="AL106" i="2"/>
  <c r="AM107" i="2"/>
  <c r="AM108" i="2" l="1"/>
  <c r="AN107" i="2"/>
  <c r="AL107" i="2"/>
  <c r="AV108" i="2"/>
  <c r="AW109" i="2"/>
  <c r="AX108" i="2"/>
  <c r="AS108" i="2"/>
  <c r="AT107" i="2"/>
  <c r="AR107" i="2"/>
  <c r="AI111" i="2"/>
  <c r="AJ110" i="2"/>
  <c r="AH110" i="2"/>
  <c r="AS109" i="2" l="1"/>
  <c r="AT108" i="2"/>
  <c r="AR108" i="2"/>
  <c r="AI112" i="2"/>
  <c r="AJ111" i="2"/>
  <c r="AH111" i="2"/>
  <c r="AW110" i="2"/>
  <c r="AX109" i="2"/>
  <c r="AV109" i="2"/>
  <c r="AL108" i="2"/>
  <c r="AM109" i="2"/>
  <c r="AN108" i="2"/>
  <c r="AN109" i="2" l="1"/>
  <c r="AL109" i="2"/>
  <c r="AM110" i="2"/>
  <c r="AJ112" i="2"/>
  <c r="AH112" i="2"/>
  <c r="AI113" i="2"/>
  <c r="AX110" i="2"/>
  <c r="AV110" i="2"/>
  <c r="AW111" i="2"/>
  <c r="AR109" i="2"/>
  <c r="AS110" i="2"/>
  <c r="AT109" i="2"/>
  <c r="AT110" i="2" l="1"/>
  <c r="AR110" i="2"/>
  <c r="AS111" i="2"/>
  <c r="AJ113" i="2"/>
  <c r="AH113" i="2"/>
  <c r="AI114" i="2"/>
  <c r="AX111" i="2"/>
  <c r="AW112" i="2"/>
  <c r="AV111" i="2"/>
  <c r="AN110" i="2"/>
  <c r="AL110" i="2"/>
  <c r="AM111" i="2"/>
  <c r="AJ114" i="2" l="1"/>
  <c r="AI115" i="2"/>
  <c r="AH114" i="2"/>
  <c r="AM112" i="2"/>
  <c r="AN111" i="2"/>
  <c r="AL111" i="2"/>
  <c r="AX112" i="2"/>
  <c r="AV112" i="2"/>
  <c r="AW113" i="2"/>
  <c r="AS112" i="2"/>
  <c r="AT111" i="2"/>
  <c r="AR111" i="2"/>
  <c r="AL112" i="2" l="1"/>
  <c r="AM113" i="2"/>
  <c r="AN112" i="2"/>
  <c r="AI116" i="2"/>
  <c r="AJ115" i="2"/>
  <c r="AH115" i="2"/>
  <c r="AS113" i="2"/>
  <c r="AT112" i="2"/>
  <c r="AR112" i="2"/>
  <c r="AW114" i="2"/>
  <c r="AX113" i="2"/>
  <c r="AV113" i="2"/>
  <c r="AX114" i="2" l="1"/>
  <c r="AV114" i="2"/>
  <c r="AW115" i="2"/>
  <c r="AR113" i="2"/>
  <c r="AS114" i="2"/>
  <c r="AT113" i="2"/>
  <c r="AJ116" i="2"/>
  <c r="AH116" i="2"/>
  <c r="AI117" i="2"/>
  <c r="AN113" i="2"/>
  <c r="AL113" i="2"/>
  <c r="AM114" i="2"/>
  <c r="AM115" i="2" l="1"/>
  <c r="AN114" i="2"/>
  <c r="AL114" i="2"/>
  <c r="AX115" i="2"/>
  <c r="AW116" i="2"/>
  <c r="AV115" i="2"/>
  <c r="AJ117" i="2"/>
  <c r="AH117" i="2"/>
  <c r="AI118" i="2"/>
  <c r="AT114" i="2"/>
  <c r="AR114" i="2"/>
  <c r="AS115" i="2"/>
  <c r="AR115" i="2" l="1"/>
  <c r="AS116" i="2"/>
  <c r="AT115" i="2"/>
  <c r="AJ118" i="2"/>
  <c r="AI119" i="2"/>
  <c r="AH118" i="2"/>
  <c r="AW117" i="2"/>
  <c r="AX116" i="2"/>
  <c r="AV116" i="2"/>
  <c r="AN115" i="2"/>
  <c r="AL115" i="2"/>
  <c r="AM116" i="2"/>
  <c r="AL116" i="2" l="1"/>
  <c r="AM117" i="2"/>
  <c r="AN116" i="2"/>
  <c r="AW118" i="2"/>
  <c r="AX117" i="2"/>
  <c r="AV117" i="2"/>
  <c r="AI120" i="2"/>
  <c r="AJ119" i="2"/>
  <c r="AH119" i="2"/>
  <c r="AS117" i="2"/>
  <c r="AT116" i="2"/>
  <c r="AR116" i="2"/>
  <c r="AR117" i="2" l="1"/>
  <c r="AS118" i="2"/>
  <c r="AT117" i="2"/>
  <c r="AJ120" i="2"/>
  <c r="AH120" i="2"/>
  <c r="AI121" i="2"/>
  <c r="AX118" i="2"/>
  <c r="AV118" i="2"/>
  <c r="AW119" i="2"/>
  <c r="AN117" i="2"/>
  <c r="AL117" i="2"/>
  <c r="AM118" i="2"/>
  <c r="AJ121" i="2" l="1"/>
  <c r="AH121" i="2"/>
  <c r="AI122" i="2"/>
  <c r="AT118" i="2"/>
  <c r="AR118" i="2"/>
  <c r="AS119" i="2"/>
  <c r="AM119" i="2"/>
  <c r="AN118" i="2"/>
  <c r="AL118" i="2"/>
  <c r="AX119" i="2"/>
  <c r="AV119" i="2"/>
  <c r="AW120" i="2"/>
  <c r="AW121" i="2" l="1"/>
  <c r="AV120" i="2"/>
  <c r="AX120" i="2"/>
  <c r="AJ122" i="2"/>
  <c r="AI123" i="2"/>
  <c r="AH122" i="2"/>
  <c r="AM120" i="2"/>
  <c r="AN119" i="2"/>
  <c r="AL119" i="2"/>
  <c r="AT119" i="2"/>
  <c r="AR119" i="2"/>
  <c r="AS120" i="2"/>
  <c r="AI124" i="2" l="1"/>
  <c r="AJ123" i="2"/>
  <c r="AH123" i="2"/>
  <c r="AS121" i="2"/>
  <c r="AR120" i="2"/>
  <c r="AT120" i="2"/>
  <c r="AL120" i="2"/>
  <c r="AM121" i="2"/>
  <c r="AN120" i="2"/>
  <c r="AW122" i="2"/>
  <c r="AX121" i="2"/>
  <c r="AV121" i="2"/>
  <c r="AN121" i="2" l="1"/>
  <c r="AL121" i="2"/>
  <c r="AM122" i="2"/>
  <c r="AR121" i="2"/>
  <c r="AS122" i="2"/>
  <c r="AT121" i="2"/>
  <c r="AX122" i="2"/>
  <c r="AV122" i="2"/>
  <c r="AW123" i="2"/>
  <c r="AJ124" i="2"/>
  <c r="AH124" i="2"/>
  <c r="AI125" i="2"/>
  <c r="AJ125" i="2" l="1"/>
  <c r="AH125" i="2"/>
  <c r="AI126" i="2"/>
  <c r="AX123" i="2"/>
  <c r="AV123" i="2"/>
  <c r="AW124" i="2"/>
  <c r="AN122" i="2"/>
  <c r="AM123" i="2"/>
  <c r="AL122" i="2"/>
  <c r="AT122" i="2"/>
  <c r="AR122" i="2"/>
  <c r="AS123" i="2"/>
  <c r="AN123" i="2" l="1"/>
  <c r="AL123" i="2"/>
  <c r="AM124" i="2"/>
  <c r="AT123" i="2"/>
  <c r="AR123" i="2"/>
  <c r="AS124" i="2"/>
  <c r="AW125" i="2"/>
  <c r="AX124" i="2"/>
  <c r="AV124" i="2"/>
  <c r="AJ126" i="2"/>
  <c r="AH126" i="2"/>
  <c r="AI127" i="2"/>
  <c r="AI128" i="2" l="1"/>
  <c r="AH127" i="2"/>
  <c r="AJ127" i="2"/>
  <c r="AW126" i="2"/>
  <c r="AX125" i="2"/>
  <c r="AV125" i="2"/>
  <c r="AS125" i="2"/>
  <c r="AT124" i="2"/>
  <c r="AR124" i="2"/>
  <c r="AL124" i="2"/>
  <c r="AM125" i="2"/>
  <c r="AN124" i="2"/>
  <c r="AN125" i="2" l="1"/>
  <c r="AL125" i="2"/>
  <c r="AM126" i="2"/>
  <c r="AR125" i="2"/>
  <c r="AS126" i="2"/>
  <c r="AT125" i="2"/>
  <c r="AX126" i="2"/>
  <c r="AV126" i="2"/>
  <c r="AW127" i="2"/>
  <c r="AJ128" i="2"/>
  <c r="AH128" i="2"/>
  <c r="AI129" i="2"/>
  <c r="AJ129" i="2" l="1"/>
  <c r="AH129" i="2"/>
  <c r="AI130" i="2"/>
  <c r="AN126" i="2"/>
  <c r="AL126" i="2"/>
  <c r="AM127" i="2"/>
  <c r="AT126" i="2"/>
  <c r="AR126" i="2"/>
  <c r="AS127" i="2"/>
  <c r="AX127" i="2"/>
  <c r="AV127" i="2"/>
  <c r="AW128" i="2"/>
  <c r="AT127" i="2" l="1"/>
  <c r="AR127" i="2"/>
  <c r="AS128" i="2"/>
  <c r="AM128" i="2"/>
  <c r="AN127" i="2"/>
  <c r="AL127" i="2"/>
  <c r="AW129" i="2"/>
  <c r="AX128" i="2"/>
  <c r="AV128" i="2"/>
  <c r="AJ130" i="2"/>
  <c r="AI131" i="2"/>
  <c r="AH130" i="2"/>
  <c r="AI132" i="2" l="1"/>
  <c r="AJ131" i="2"/>
  <c r="AH131" i="2"/>
  <c r="AW130" i="2"/>
  <c r="AV129" i="2"/>
  <c r="AX129" i="2"/>
  <c r="AL128" i="2"/>
  <c r="AM129" i="2"/>
  <c r="AN128" i="2"/>
  <c r="AS129" i="2"/>
  <c r="AT128" i="2"/>
  <c r="AR128" i="2"/>
  <c r="AR129" i="2" l="1"/>
  <c r="AS130" i="2"/>
  <c r="AT129" i="2"/>
  <c r="AN129" i="2"/>
  <c r="AL129" i="2"/>
  <c r="AM130" i="2"/>
  <c r="AX130" i="2"/>
  <c r="AV130" i="2"/>
  <c r="AW131" i="2"/>
  <c r="AJ132" i="2"/>
  <c r="AH132" i="2"/>
  <c r="AI133" i="2"/>
  <c r="AJ133" i="2" l="1"/>
  <c r="AH133" i="2"/>
  <c r="AI134" i="2"/>
  <c r="AX131" i="2"/>
  <c r="AV131" i="2"/>
  <c r="AW132" i="2"/>
  <c r="AN130" i="2"/>
  <c r="AM131" i="2"/>
  <c r="AL130" i="2"/>
  <c r="AT130" i="2"/>
  <c r="AR130" i="2"/>
  <c r="AS131" i="2"/>
  <c r="AT131" i="2" l="1"/>
  <c r="AR131" i="2"/>
  <c r="AS132" i="2"/>
  <c r="AX132" i="2"/>
  <c r="AV132" i="2"/>
  <c r="AW133" i="2"/>
  <c r="AM132" i="2"/>
  <c r="AN131" i="2"/>
  <c r="AL131" i="2"/>
  <c r="AJ134" i="2"/>
  <c r="AI135" i="2"/>
  <c r="AH134" i="2"/>
  <c r="AW134" i="2" l="1"/>
  <c r="AX133" i="2"/>
  <c r="AV133" i="2"/>
  <c r="AI136" i="2"/>
  <c r="AJ135" i="2"/>
  <c r="AH135" i="2"/>
  <c r="AL132" i="2"/>
  <c r="AM133" i="2"/>
  <c r="AN132" i="2"/>
  <c r="AS133" i="2"/>
  <c r="AT132" i="2"/>
  <c r="AR132" i="2"/>
  <c r="AR133" i="2" l="1"/>
  <c r="AS134" i="2"/>
  <c r="AT133" i="2"/>
  <c r="AN133" i="2"/>
  <c r="AL133" i="2"/>
  <c r="AM134" i="2"/>
  <c r="AJ136" i="2"/>
  <c r="AH136" i="2"/>
  <c r="AI137" i="2"/>
  <c r="AX134" i="2"/>
  <c r="AV134" i="2"/>
  <c r="AW135" i="2"/>
  <c r="AX135" i="2" l="1"/>
  <c r="AV135" i="2"/>
  <c r="AW136" i="2"/>
  <c r="AJ137" i="2"/>
  <c r="AH137" i="2"/>
  <c r="AI138" i="2"/>
  <c r="AN134" i="2"/>
  <c r="AL134" i="2"/>
  <c r="AM135" i="2"/>
  <c r="AT134" i="2"/>
  <c r="AR134" i="2"/>
  <c r="AS135" i="2"/>
  <c r="AT135" i="2" l="1"/>
  <c r="AR135" i="2"/>
  <c r="AS136" i="2"/>
  <c r="AX136" i="2"/>
  <c r="AW137" i="2"/>
  <c r="AV136" i="2"/>
  <c r="AM136" i="2"/>
  <c r="AN135" i="2"/>
  <c r="AL135" i="2"/>
  <c r="AJ138" i="2"/>
  <c r="AI139" i="2"/>
  <c r="AH138" i="2"/>
  <c r="AI140" i="2" l="1"/>
  <c r="AJ139" i="2"/>
  <c r="AH139" i="2"/>
  <c r="AL136" i="2"/>
  <c r="AM137" i="2"/>
  <c r="AN136" i="2"/>
  <c r="AW138" i="2"/>
  <c r="AX137" i="2"/>
  <c r="AV137" i="2"/>
  <c r="AS137" i="2"/>
  <c r="AR136" i="2"/>
  <c r="AT136" i="2"/>
  <c r="AR137" i="2" l="1"/>
  <c r="AS138" i="2"/>
  <c r="AT137" i="2"/>
  <c r="AX138" i="2"/>
  <c r="AV138" i="2"/>
  <c r="AW139" i="2"/>
  <c r="AN137" i="2"/>
  <c r="AL137" i="2"/>
  <c r="AM138" i="2"/>
  <c r="AJ140" i="2"/>
  <c r="AH140" i="2"/>
  <c r="AI141" i="2"/>
  <c r="AJ141" i="2" l="1"/>
  <c r="AH141" i="2"/>
  <c r="AI142" i="2"/>
  <c r="AT138" i="2"/>
  <c r="AR138" i="2"/>
  <c r="AS139" i="2"/>
  <c r="AN138" i="2"/>
  <c r="AL138" i="2"/>
  <c r="AM139" i="2"/>
  <c r="AX139" i="2"/>
  <c r="AV139" i="2"/>
  <c r="AW140" i="2"/>
  <c r="AX140" i="2" l="1"/>
  <c r="AV140" i="2"/>
  <c r="AW141" i="2"/>
  <c r="AM140" i="2"/>
  <c r="AN139" i="2"/>
  <c r="AL139" i="2"/>
  <c r="AT139" i="2"/>
  <c r="AR139" i="2"/>
  <c r="AS140" i="2"/>
  <c r="AJ142" i="2"/>
  <c r="AI143" i="2"/>
  <c r="AH142" i="2"/>
  <c r="AI144" i="2" l="1"/>
  <c r="AJ143" i="2"/>
  <c r="AH143" i="2"/>
  <c r="AS141" i="2"/>
  <c r="AT140" i="2"/>
  <c r="AR140" i="2"/>
  <c r="AL140" i="2"/>
  <c r="AM141" i="2"/>
  <c r="AN140" i="2"/>
  <c r="AW142" i="2"/>
  <c r="AX141" i="2"/>
  <c r="AV141" i="2"/>
  <c r="AX142" i="2" l="1"/>
  <c r="AV142" i="2"/>
  <c r="AW143" i="2"/>
  <c r="AN141" i="2"/>
  <c r="AL141" i="2"/>
  <c r="AM142" i="2"/>
  <c r="AR141" i="2"/>
  <c r="AS142" i="2"/>
  <c r="AT141" i="2"/>
  <c r="AJ144" i="2"/>
  <c r="AH144" i="2"/>
  <c r="AI145" i="2"/>
  <c r="AJ145" i="2" l="1"/>
  <c r="AH145" i="2"/>
  <c r="AI146" i="2"/>
  <c r="AN142" i="2"/>
  <c r="AL142" i="2"/>
  <c r="AM143" i="2"/>
  <c r="AT142" i="2"/>
  <c r="AR142" i="2"/>
  <c r="AS143" i="2"/>
  <c r="AX143" i="2"/>
  <c r="AV143" i="2"/>
  <c r="AW144" i="2"/>
  <c r="AX144" i="2" l="1"/>
  <c r="AV144" i="2"/>
  <c r="AW145" i="2"/>
  <c r="AT143" i="2"/>
  <c r="AR143" i="2"/>
  <c r="AS144" i="2"/>
  <c r="AN143" i="2"/>
  <c r="AM144" i="2"/>
  <c r="AL143" i="2"/>
  <c r="AJ146" i="2"/>
  <c r="AI147" i="2"/>
  <c r="AH146" i="2"/>
  <c r="AI148" i="2" l="1"/>
  <c r="AJ147" i="2"/>
  <c r="AH147" i="2"/>
  <c r="AL144" i="2"/>
  <c r="AM145" i="2"/>
  <c r="AN144" i="2"/>
  <c r="AS145" i="2"/>
  <c r="AR144" i="2"/>
  <c r="AT144" i="2"/>
  <c r="AW146" i="2"/>
  <c r="AX145" i="2"/>
  <c r="AV145" i="2"/>
  <c r="AR145" i="2" l="1"/>
  <c r="AS146" i="2"/>
  <c r="AT145" i="2"/>
  <c r="AN145" i="2"/>
  <c r="AL145" i="2"/>
  <c r="AM146" i="2"/>
  <c r="AX146" i="2"/>
  <c r="AV146" i="2"/>
  <c r="AW147" i="2"/>
  <c r="AJ148" i="2"/>
  <c r="AH148" i="2"/>
  <c r="AI149" i="2"/>
  <c r="AX147" i="2" l="1"/>
  <c r="AV147" i="2"/>
  <c r="AW148" i="2"/>
  <c r="AJ149" i="2"/>
  <c r="AH149" i="2"/>
  <c r="AI150" i="2"/>
  <c r="AT146" i="2"/>
  <c r="AR146" i="2"/>
  <c r="AS147" i="2"/>
  <c r="AN146" i="2"/>
  <c r="AL146" i="2"/>
  <c r="AM147" i="2"/>
  <c r="AN147" i="2" l="1"/>
  <c r="AM148" i="2"/>
  <c r="AL147" i="2"/>
  <c r="AJ150" i="2"/>
  <c r="AH150" i="2"/>
  <c r="AI151" i="2"/>
  <c r="AT147" i="2"/>
  <c r="AR147" i="2"/>
  <c r="AS148" i="2"/>
  <c r="AX148" i="2"/>
  <c r="AV148" i="2"/>
  <c r="AW149" i="2"/>
  <c r="AS149" i="2" l="1"/>
  <c r="AT148" i="2"/>
  <c r="AR148" i="2"/>
  <c r="AI152" i="2"/>
  <c r="AJ151" i="2"/>
  <c r="AH151" i="2"/>
  <c r="AL148" i="2"/>
  <c r="AM149" i="2"/>
  <c r="AN148" i="2"/>
  <c r="AW150" i="2"/>
  <c r="AX149" i="2"/>
  <c r="AV149" i="2"/>
  <c r="AX150" i="2" l="1"/>
  <c r="AV150" i="2"/>
  <c r="AW151" i="2"/>
  <c r="AN149" i="2"/>
  <c r="AL149" i="2"/>
  <c r="AM150" i="2"/>
  <c r="AJ152" i="2"/>
  <c r="AH152" i="2"/>
  <c r="AI153" i="2"/>
  <c r="AR149" i="2"/>
  <c r="AS150" i="2"/>
  <c r="AT149" i="2"/>
  <c r="AT150" i="2" l="1"/>
  <c r="AR150" i="2"/>
  <c r="AS151" i="2"/>
  <c r="AJ153" i="2"/>
  <c r="AH153" i="2"/>
  <c r="AI154" i="2"/>
  <c r="AN150" i="2"/>
  <c r="AL150" i="2"/>
  <c r="AM151" i="2"/>
  <c r="AX151" i="2"/>
  <c r="AV151" i="2"/>
  <c r="AW152" i="2"/>
  <c r="AX152" i="2" l="1"/>
  <c r="AV152" i="2"/>
  <c r="AW153" i="2"/>
  <c r="AJ154" i="2"/>
  <c r="AH154" i="2"/>
  <c r="AI155" i="2"/>
  <c r="AN151" i="2"/>
  <c r="AM152" i="2"/>
  <c r="AL151" i="2"/>
  <c r="AT151" i="2"/>
  <c r="AR151" i="2"/>
  <c r="AS152" i="2"/>
  <c r="AL152" i="2" l="1"/>
  <c r="AM153" i="2"/>
  <c r="AN152" i="2"/>
  <c r="AI156" i="2"/>
  <c r="AH155" i="2"/>
  <c r="AJ155" i="2"/>
  <c r="AS153" i="2"/>
  <c r="AT152" i="2"/>
  <c r="AR152" i="2"/>
  <c r="AW154" i="2"/>
  <c r="AX153" i="2"/>
  <c r="AV153" i="2"/>
  <c r="AX154" i="2" l="1"/>
  <c r="AV154" i="2"/>
  <c r="AW155" i="2"/>
  <c r="AN153" i="2"/>
  <c r="AL153" i="2"/>
  <c r="AM154" i="2"/>
  <c r="AR153" i="2"/>
  <c r="AS154" i="2"/>
  <c r="AT153" i="2"/>
  <c r="AJ156" i="2"/>
  <c r="AH156" i="2"/>
  <c r="AI157" i="2"/>
  <c r="AJ157" i="2" l="1"/>
  <c r="AH157" i="2"/>
  <c r="AI158" i="2"/>
  <c r="AT154" i="2"/>
  <c r="AR154" i="2"/>
  <c r="AS155" i="2"/>
  <c r="AN154" i="2"/>
  <c r="AL154" i="2"/>
  <c r="AM155" i="2"/>
  <c r="AX155" i="2"/>
  <c r="AV155" i="2"/>
  <c r="AW156" i="2"/>
  <c r="AX156" i="2" l="1"/>
  <c r="AV156" i="2"/>
  <c r="AW157" i="2"/>
  <c r="AN155" i="2"/>
  <c r="AL155" i="2"/>
  <c r="AM156" i="2"/>
  <c r="AT155" i="2"/>
  <c r="AR155" i="2"/>
  <c r="AS156" i="2"/>
  <c r="AJ158" i="2"/>
  <c r="AH158" i="2"/>
  <c r="AI159" i="2"/>
  <c r="AI160" i="2" l="1"/>
  <c r="AJ159" i="2"/>
  <c r="AH159" i="2"/>
  <c r="AL156" i="2"/>
  <c r="AM157" i="2"/>
  <c r="AN156" i="2"/>
  <c r="AS157" i="2"/>
  <c r="AT156" i="2"/>
  <c r="AR156" i="2"/>
  <c r="AW158" i="2"/>
  <c r="AX157" i="2"/>
  <c r="AV157" i="2"/>
  <c r="AR157" i="2" l="1"/>
  <c r="AS158" i="2"/>
  <c r="AT157" i="2"/>
  <c r="AX158" i="2"/>
  <c r="AV158" i="2"/>
  <c r="AW159" i="2"/>
  <c r="AN157" i="2"/>
  <c r="AL157" i="2"/>
  <c r="AM158" i="2"/>
  <c r="AJ160" i="2"/>
  <c r="AH160" i="2"/>
  <c r="AI161" i="2"/>
  <c r="AJ161" i="2" l="1"/>
  <c r="AH161" i="2"/>
  <c r="AI162" i="2"/>
  <c r="AN158" i="2"/>
  <c r="AL158" i="2"/>
  <c r="AM159" i="2"/>
  <c r="AX159" i="2"/>
  <c r="AV159" i="2"/>
  <c r="AW160" i="2"/>
  <c r="AT158" i="2"/>
  <c r="AR158" i="2"/>
  <c r="AS159" i="2"/>
  <c r="AX160" i="2" l="1"/>
  <c r="AV160" i="2"/>
  <c r="AW161" i="2"/>
  <c r="AJ162" i="2"/>
  <c r="AH162" i="2"/>
  <c r="AI163" i="2"/>
  <c r="AN159" i="2"/>
  <c r="AL159" i="2"/>
  <c r="AM160" i="2"/>
  <c r="AT159" i="2"/>
  <c r="AR159" i="2"/>
  <c r="AS160" i="2"/>
  <c r="AS161" i="2" l="1"/>
  <c r="AT160" i="2"/>
  <c r="AR160" i="2"/>
  <c r="AL160" i="2"/>
  <c r="AM161" i="2"/>
  <c r="AN160" i="2"/>
  <c r="AI164" i="2"/>
  <c r="AJ163" i="2"/>
  <c r="AH163" i="2"/>
  <c r="AW162" i="2"/>
  <c r="AX161" i="2"/>
  <c r="AV161" i="2"/>
  <c r="AX162" i="2" l="1"/>
  <c r="AV162" i="2"/>
  <c r="AW163" i="2"/>
  <c r="AJ164" i="2"/>
  <c r="AH164" i="2"/>
  <c r="AI165" i="2"/>
  <c r="AN161" i="2"/>
  <c r="AL161" i="2"/>
  <c r="AM162" i="2"/>
  <c r="AR161" i="2"/>
  <c r="AS162" i="2"/>
  <c r="AT161" i="2"/>
  <c r="AT162" i="2" l="1"/>
  <c r="AR162" i="2"/>
  <c r="AS163" i="2"/>
  <c r="AN162" i="2"/>
  <c r="AL162" i="2"/>
  <c r="AM163" i="2"/>
  <c r="AI166" i="2"/>
  <c r="AJ165" i="2"/>
  <c r="AH165" i="2"/>
  <c r="AW164" i="2"/>
  <c r="AX163" i="2"/>
  <c r="AV163" i="2"/>
  <c r="AV164" i="2" l="1"/>
  <c r="AX164" i="2"/>
  <c r="AW165" i="2"/>
  <c r="AJ166" i="2"/>
  <c r="AI167" i="2"/>
  <c r="AH166" i="2"/>
  <c r="AN163" i="2"/>
  <c r="AL163" i="2"/>
  <c r="AM164" i="2"/>
  <c r="AT163" i="2"/>
  <c r="AR163" i="2"/>
  <c r="AS164" i="2"/>
  <c r="AS165" i="2" l="1"/>
  <c r="AT164" i="2"/>
  <c r="AR164" i="2"/>
  <c r="AJ167" i="2"/>
  <c r="AH167" i="2"/>
  <c r="AI168" i="2"/>
  <c r="AL164" i="2"/>
  <c r="AM165" i="2"/>
  <c r="AN164" i="2"/>
  <c r="AV165" i="2"/>
  <c r="AW166" i="2"/>
  <c r="AX165" i="2"/>
  <c r="AX166" i="2" l="1"/>
  <c r="AV166" i="2"/>
  <c r="AW167" i="2"/>
  <c r="AN165" i="2"/>
  <c r="AL165" i="2"/>
  <c r="AM166" i="2"/>
  <c r="AJ168" i="2"/>
  <c r="AH168" i="2"/>
  <c r="AI169" i="2"/>
  <c r="AT165" i="2"/>
  <c r="AR165" i="2"/>
  <c r="AS166" i="2"/>
  <c r="AT166" i="2" l="1"/>
  <c r="AR166" i="2"/>
  <c r="AS167" i="2"/>
  <c r="AN166" i="2"/>
  <c r="AL166" i="2"/>
  <c r="AM167" i="2"/>
  <c r="AI170" i="2"/>
  <c r="AJ169" i="2"/>
  <c r="AH169" i="2"/>
  <c r="AW168" i="2"/>
  <c r="AX167" i="2"/>
  <c r="AV167" i="2"/>
  <c r="AJ170" i="2" l="1"/>
  <c r="AH170" i="2"/>
  <c r="AI171" i="2"/>
  <c r="AN167" i="2"/>
  <c r="AL167" i="2"/>
  <c r="AM168" i="2"/>
  <c r="AV168" i="2"/>
  <c r="AX168" i="2"/>
  <c r="AW169" i="2"/>
  <c r="AR167" i="2"/>
  <c r="AS168" i="2"/>
  <c r="AT167" i="2"/>
  <c r="AX169" i="2" l="1"/>
  <c r="AV169" i="2"/>
  <c r="AW170" i="2"/>
  <c r="AJ171" i="2"/>
  <c r="AH171" i="2"/>
  <c r="AI172" i="2"/>
  <c r="AT168" i="2"/>
  <c r="AR168" i="2"/>
  <c r="AS169" i="2"/>
  <c r="AN168" i="2"/>
  <c r="AL168" i="2"/>
  <c r="AM169" i="2"/>
  <c r="AM170" i="2" l="1"/>
  <c r="AN169" i="2"/>
  <c r="AL169" i="2"/>
  <c r="AT169" i="2"/>
  <c r="AR169" i="2"/>
  <c r="AS170" i="2"/>
  <c r="AI173" i="2"/>
  <c r="AJ172" i="2"/>
  <c r="AH172" i="2"/>
  <c r="AW171" i="2"/>
  <c r="AX170" i="2"/>
  <c r="AV170" i="2"/>
  <c r="AW172" i="2" l="1"/>
  <c r="AX171" i="2"/>
  <c r="AV171" i="2"/>
  <c r="AI174" i="2"/>
  <c r="AJ173" i="2"/>
  <c r="AH173" i="2"/>
  <c r="AS171" i="2"/>
  <c r="AT170" i="2"/>
  <c r="AR170" i="2"/>
  <c r="AN170" i="2"/>
  <c r="AL170" i="2"/>
  <c r="AM171" i="2"/>
  <c r="AN171" i="2" l="1"/>
  <c r="AL171" i="2"/>
  <c r="AM172" i="2"/>
  <c r="AR171" i="2"/>
  <c r="AT171" i="2"/>
  <c r="AS172" i="2"/>
  <c r="AJ174" i="2"/>
  <c r="AH174" i="2"/>
  <c r="AI175" i="2"/>
  <c r="AV172" i="2"/>
  <c r="AX172" i="2"/>
  <c r="AW173" i="2"/>
  <c r="AI176" i="2" l="1"/>
  <c r="AJ175" i="2"/>
  <c r="AH175" i="2"/>
  <c r="AW174" i="2"/>
  <c r="AX173" i="2"/>
  <c r="AV173" i="2"/>
  <c r="AT172" i="2"/>
  <c r="AR172" i="2"/>
  <c r="AS173" i="2"/>
  <c r="AM173" i="2"/>
  <c r="AN172" i="2"/>
  <c r="AL172" i="2"/>
  <c r="AN173" i="2" l="1"/>
  <c r="AL173" i="2"/>
  <c r="AM174" i="2"/>
  <c r="AS174" i="2"/>
  <c r="AT173" i="2"/>
  <c r="AR173" i="2"/>
  <c r="AX174" i="2"/>
  <c r="AV174" i="2"/>
  <c r="AW175" i="2"/>
  <c r="AJ176" i="2"/>
  <c r="AH176" i="2"/>
  <c r="AI177" i="2"/>
  <c r="AI178" i="2" l="1"/>
  <c r="AJ177" i="2"/>
  <c r="AH177" i="2"/>
  <c r="AW176" i="2"/>
  <c r="AX175" i="2"/>
  <c r="AV175" i="2"/>
  <c r="AT174" i="2"/>
  <c r="AR174" i="2"/>
  <c r="AS175" i="2"/>
  <c r="AN174" i="2"/>
  <c r="AL174" i="2"/>
  <c r="AM175" i="2"/>
  <c r="AN175" i="2" l="1"/>
  <c r="AM176" i="2"/>
  <c r="AL175" i="2"/>
  <c r="AR175" i="2"/>
  <c r="AT175" i="2"/>
  <c r="AS176" i="2"/>
  <c r="AV176" i="2"/>
  <c r="AW177" i="2"/>
  <c r="AX176" i="2"/>
  <c r="AJ178" i="2"/>
  <c r="AI179" i="2"/>
  <c r="AH178" i="2"/>
  <c r="AJ179" i="2" l="1"/>
  <c r="AH179" i="2"/>
  <c r="AI180" i="2"/>
  <c r="AS177" i="2"/>
  <c r="AT176" i="2"/>
  <c r="AR176" i="2"/>
  <c r="AN176" i="2"/>
  <c r="AL176" i="2"/>
  <c r="AM177" i="2"/>
  <c r="AX177" i="2"/>
  <c r="AV177" i="2"/>
  <c r="AW178" i="2"/>
  <c r="AX178" i="2" l="1"/>
  <c r="AV178" i="2"/>
  <c r="AW179" i="2"/>
  <c r="AN177" i="2"/>
  <c r="AL177" i="2"/>
  <c r="AM178" i="2"/>
  <c r="AT177" i="2"/>
  <c r="AR177" i="2"/>
  <c r="AS178" i="2"/>
  <c r="AI181" i="2"/>
  <c r="AJ180" i="2"/>
  <c r="AH180" i="2"/>
  <c r="AS179" i="2" l="1"/>
  <c r="AT178" i="2"/>
  <c r="AR178" i="2"/>
  <c r="AM179" i="2"/>
  <c r="AN178" i="2"/>
  <c r="AL178" i="2"/>
  <c r="AI182" i="2"/>
  <c r="AJ181" i="2"/>
  <c r="AH181" i="2"/>
  <c r="AW180" i="2"/>
  <c r="AX179" i="2"/>
  <c r="AV179" i="2"/>
  <c r="AV180" i="2" l="1"/>
  <c r="AX180" i="2"/>
  <c r="AW181" i="2"/>
  <c r="AJ182" i="2"/>
  <c r="AH182" i="2"/>
  <c r="AI183" i="2"/>
  <c r="AN179" i="2"/>
  <c r="AL179" i="2"/>
  <c r="AM180" i="2"/>
  <c r="AR179" i="2"/>
  <c r="AT179" i="2"/>
  <c r="AS180" i="2"/>
  <c r="AT180" i="2" l="1"/>
  <c r="AR180" i="2"/>
  <c r="AS181" i="2"/>
  <c r="AN180" i="2"/>
  <c r="AL180" i="2"/>
  <c r="AM181" i="2"/>
  <c r="AI184" i="2"/>
  <c r="AJ183" i="2"/>
  <c r="AH183" i="2"/>
  <c r="AW182" i="2"/>
  <c r="AX181" i="2"/>
  <c r="AV181" i="2"/>
  <c r="AV182" i="2" l="1"/>
  <c r="AW183" i="2"/>
  <c r="AX182" i="2"/>
  <c r="AJ184" i="2"/>
  <c r="AH184" i="2"/>
  <c r="AI185" i="2"/>
  <c r="AL181" i="2"/>
  <c r="AM182" i="2"/>
  <c r="AN181" i="2"/>
  <c r="AS182" i="2"/>
  <c r="AT181" i="2"/>
  <c r="AR181" i="2"/>
  <c r="AT182" i="2" l="1"/>
  <c r="AR182" i="2"/>
  <c r="AS183" i="2"/>
  <c r="AM183" i="2"/>
  <c r="AN182" i="2"/>
  <c r="AL182" i="2"/>
  <c r="AI186" i="2"/>
  <c r="AJ185" i="2"/>
  <c r="AH185" i="2"/>
  <c r="AW184" i="2"/>
  <c r="AX183" i="2"/>
  <c r="AV183" i="2"/>
  <c r="AV184" i="2" l="1"/>
  <c r="AW185" i="2"/>
  <c r="AX184" i="2"/>
  <c r="AJ186" i="2"/>
  <c r="AH186" i="2"/>
  <c r="AI187" i="2"/>
  <c r="AN183" i="2"/>
  <c r="AM184" i="2"/>
  <c r="AL183" i="2"/>
  <c r="AR183" i="2"/>
  <c r="AT183" i="2"/>
  <c r="AS184" i="2"/>
  <c r="AT184" i="2" l="1"/>
  <c r="AS185" i="2"/>
  <c r="AR184" i="2"/>
  <c r="AJ187" i="2"/>
  <c r="AH187" i="2"/>
  <c r="AI188" i="2"/>
  <c r="AX185" i="2"/>
  <c r="AV185" i="2"/>
  <c r="AW186" i="2"/>
  <c r="AN184" i="2"/>
  <c r="AL184" i="2"/>
  <c r="AM185" i="2"/>
  <c r="AN185" i="2" l="1"/>
  <c r="AL185" i="2"/>
  <c r="AM186" i="2"/>
  <c r="AT185" i="2"/>
  <c r="AR185" i="2"/>
  <c r="AS186" i="2"/>
  <c r="AW187" i="2"/>
  <c r="AX186" i="2"/>
  <c r="AV186" i="2"/>
  <c r="AI189" i="2"/>
  <c r="AJ188" i="2"/>
  <c r="AH188" i="2"/>
  <c r="AI190" i="2" l="1"/>
  <c r="AJ189" i="2"/>
  <c r="AH189" i="2"/>
  <c r="AW188" i="2"/>
  <c r="AV187" i="2"/>
  <c r="AX187" i="2"/>
  <c r="AS187" i="2"/>
  <c r="AT186" i="2"/>
  <c r="AR186" i="2"/>
  <c r="AM187" i="2"/>
  <c r="AL186" i="2"/>
  <c r="AN186" i="2"/>
  <c r="AR187" i="2" l="1"/>
  <c r="AT187" i="2"/>
  <c r="AS188" i="2"/>
  <c r="AN187" i="2"/>
  <c r="AL187" i="2"/>
  <c r="AM188" i="2"/>
  <c r="AV188" i="2"/>
  <c r="AX188" i="2"/>
  <c r="AW189" i="2"/>
  <c r="AJ190" i="2"/>
  <c r="AH190" i="2"/>
  <c r="AI191" i="2"/>
  <c r="AH191" i="2" l="1"/>
  <c r="AI192" i="2"/>
  <c r="AJ191" i="2"/>
  <c r="AW190" i="2"/>
  <c r="AX189" i="2"/>
  <c r="AV189" i="2"/>
  <c r="AM189" i="2"/>
  <c r="AN188" i="2"/>
  <c r="AL188" i="2"/>
  <c r="AT188" i="2"/>
  <c r="AR188" i="2"/>
  <c r="AS189" i="2"/>
  <c r="AS190" i="2" l="1"/>
  <c r="AT189" i="2"/>
  <c r="AR189" i="2"/>
  <c r="AX190" i="2"/>
  <c r="AV190" i="2"/>
  <c r="AW191" i="2"/>
  <c r="AJ192" i="2"/>
  <c r="AH192" i="2"/>
  <c r="AI193" i="2"/>
  <c r="AN189" i="2"/>
  <c r="AL189" i="2"/>
  <c r="AM190" i="2"/>
  <c r="AI194" i="2" l="1"/>
  <c r="AJ193" i="2"/>
  <c r="AH193" i="2"/>
  <c r="AM191" i="2"/>
  <c r="AN190" i="2"/>
  <c r="AL190" i="2"/>
  <c r="AW192" i="2"/>
  <c r="AX191" i="2"/>
  <c r="AV191" i="2"/>
  <c r="AT190" i="2"/>
  <c r="AR190" i="2"/>
  <c r="AS191" i="2"/>
  <c r="AV192" i="2" l="1"/>
  <c r="AW193" i="2"/>
  <c r="AX192" i="2"/>
  <c r="AR191" i="2"/>
  <c r="AS192" i="2"/>
  <c r="AT191" i="2"/>
  <c r="AN191" i="2"/>
  <c r="AM192" i="2"/>
  <c r="AL191" i="2"/>
  <c r="AJ194" i="2"/>
  <c r="AH194" i="2"/>
  <c r="AI195" i="2"/>
  <c r="AN192" i="2" l="1"/>
  <c r="AL192" i="2"/>
  <c r="AM193" i="2"/>
  <c r="AT192" i="2"/>
  <c r="AR192" i="2"/>
  <c r="AS193" i="2"/>
  <c r="AX193" i="2"/>
  <c r="AV193" i="2"/>
  <c r="AW194" i="2"/>
  <c r="AJ195" i="2"/>
  <c r="AH195" i="2"/>
  <c r="AI196" i="2"/>
  <c r="AW195" i="2" l="1"/>
  <c r="AX194" i="2"/>
  <c r="AV194" i="2"/>
  <c r="AT193" i="2"/>
  <c r="AR193" i="2"/>
  <c r="AS194" i="2"/>
  <c r="AH196" i="2"/>
  <c r="AI197" i="2"/>
  <c r="AJ196" i="2"/>
  <c r="AM194" i="2"/>
  <c r="AN193" i="2"/>
  <c r="AL193" i="2"/>
  <c r="AI198" i="2" l="1"/>
  <c r="AJ197" i="2"/>
  <c r="AH197" i="2"/>
  <c r="AM195" i="2"/>
  <c r="AN194" i="2"/>
  <c r="AL194" i="2"/>
  <c r="AS195" i="2"/>
  <c r="AT194" i="2"/>
  <c r="AR194" i="2"/>
  <c r="AW196" i="2"/>
  <c r="AX195" i="2"/>
  <c r="AV195" i="2"/>
  <c r="AN195" i="2" l="1"/>
  <c r="AL195" i="2"/>
  <c r="AM196" i="2"/>
  <c r="AV196" i="2"/>
  <c r="AX196" i="2"/>
  <c r="AW197" i="2"/>
  <c r="AR195" i="2"/>
  <c r="AT195" i="2"/>
  <c r="AS196" i="2"/>
  <c r="AJ198" i="2"/>
  <c r="AH198" i="2"/>
  <c r="AI199" i="2"/>
  <c r="AT196" i="2" l="1"/>
  <c r="AS197" i="2"/>
  <c r="AR196" i="2"/>
  <c r="AJ199" i="2"/>
  <c r="AH199" i="2"/>
  <c r="AI200" i="2"/>
  <c r="AM197" i="2"/>
  <c r="AN196" i="2"/>
  <c r="AL196" i="2"/>
  <c r="AX197" i="2"/>
  <c r="AW198" i="2"/>
  <c r="AV197" i="2"/>
  <c r="AX198" i="2" l="1"/>
  <c r="AV198" i="2"/>
  <c r="AW199" i="2"/>
  <c r="AN197" i="2"/>
  <c r="AL197" i="2"/>
  <c r="AM198" i="2"/>
  <c r="AI201" i="2"/>
  <c r="AJ200" i="2"/>
  <c r="AH200" i="2"/>
  <c r="AR197" i="2"/>
  <c r="AS198" i="2"/>
  <c r="AT197" i="2"/>
  <c r="AM199" i="2" l="1"/>
  <c r="AN198" i="2"/>
  <c r="AL198" i="2"/>
  <c r="AS199" i="2"/>
  <c r="AT198" i="2"/>
  <c r="AR198" i="2"/>
  <c r="AI202" i="2"/>
  <c r="AJ201" i="2"/>
  <c r="AH201" i="2"/>
  <c r="AW200" i="2"/>
  <c r="AX199" i="2"/>
  <c r="AV199" i="2"/>
  <c r="AV200" i="2" l="1"/>
  <c r="AW201" i="2"/>
  <c r="AX200" i="2"/>
  <c r="AJ202" i="2"/>
  <c r="AH202" i="2"/>
  <c r="AI203" i="2"/>
  <c r="AR199" i="2"/>
  <c r="AS200" i="2"/>
  <c r="AT199" i="2"/>
  <c r="AN199" i="2"/>
  <c r="AL199" i="2"/>
  <c r="AM200" i="2"/>
  <c r="AM201" i="2" l="1"/>
  <c r="AN200" i="2"/>
  <c r="AL200" i="2"/>
  <c r="AT200" i="2"/>
  <c r="AR200" i="2"/>
  <c r="AS201" i="2"/>
  <c r="AX201" i="2"/>
  <c r="AW202" i="2"/>
  <c r="AV201" i="2"/>
  <c r="AJ203" i="2"/>
  <c r="AH203" i="2"/>
  <c r="AI204" i="2"/>
  <c r="AX202" i="2" l="1"/>
  <c r="AV202" i="2"/>
  <c r="AW203" i="2"/>
  <c r="AS202" i="2"/>
  <c r="AT201" i="2"/>
  <c r="AR201" i="2"/>
  <c r="AI205" i="2"/>
  <c r="AJ204" i="2"/>
  <c r="AH204" i="2"/>
  <c r="AN201" i="2"/>
  <c r="AL201" i="2"/>
  <c r="AM202" i="2"/>
  <c r="AM203" i="2" l="1"/>
  <c r="AN202" i="2"/>
  <c r="AL202" i="2"/>
  <c r="AI206" i="2"/>
  <c r="AJ205" i="2"/>
  <c r="AH205" i="2"/>
  <c r="AS203" i="2"/>
  <c r="AT202" i="2"/>
  <c r="AR202" i="2"/>
  <c r="AW204" i="2"/>
  <c r="AV203" i="2"/>
  <c r="AX203" i="2"/>
  <c r="AV204" i="2" l="1"/>
  <c r="AW205" i="2"/>
  <c r="AX204" i="2"/>
  <c r="AR203" i="2"/>
  <c r="AS204" i="2"/>
  <c r="AT203" i="2"/>
  <c r="AJ206" i="2"/>
  <c r="AH206" i="2"/>
  <c r="AI207" i="2"/>
  <c r="AN203" i="2"/>
  <c r="AL203" i="2"/>
  <c r="AM204" i="2"/>
  <c r="AJ207" i="2" l="1"/>
  <c r="AI208" i="2"/>
  <c r="AH207" i="2"/>
  <c r="AN204" i="2"/>
  <c r="AL204" i="2"/>
  <c r="AM205" i="2"/>
  <c r="AX205" i="2"/>
  <c r="AV205" i="2"/>
  <c r="AW206" i="2"/>
  <c r="AT204" i="2"/>
  <c r="AR204" i="2"/>
  <c r="AS205" i="2"/>
  <c r="AT205" i="2" l="1"/>
  <c r="AR205" i="2"/>
  <c r="AS206" i="2"/>
  <c r="AN205" i="2"/>
  <c r="AL205" i="2"/>
  <c r="AM206" i="2"/>
  <c r="AJ208" i="2"/>
  <c r="AH208" i="2"/>
  <c r="AI209" i="2"/>
  <c r="AX206" i="2"/>
  <c r="AW207" i="2"/>
  <c r="AV206" i="2"/>
  <c r="AW208" i="2" l="1"/>
  <c r="AX207" i="2"/>
  <c r="AV207" i="2"/>
  <c r="AM207" i="2"/>
  <c r="AL206" i="2"/>
  <c r="AN206" i="2"/>
  <c r="AI210" i="2"/>
  <c r="AJ209" i="2"/>
  <c r="AH209" i="2"/>
  <c r="AS207" i="2"/>
  <c r="AT206" i="2"/>
  <c r="AR206" i="2"/>
  <c r="AR207" i="2" l="1"/>
  <c r="AS208" i="2"/>
  <c r="AT207" i="2"/>
  <c r="AN207" i="2"/>
  <c r="AL207" i="2"/>
  <c r="AM208" i="2"/>
  <c r="AJ210" i="2"/>
  <c r="AH210" i="2"/>
  <c r="AI211" i="2"/>
  <c r="AV208" i="2"/>
  <c r="AW209" i="2"/>
  <c r="AX208" i="2"/>
  <c r="AN208" i="2" l="1"/>
  <c r="AL208" i="2"/>
  <c r="AM209" i="2"/>
  <c r="AX209" i="2"/>
  <c r="AV209" i="2"/>
  <c r="AW210" i="2"/>
  <c r="AJ211" i="2"/>
  <c r="AI212" i="2"/>
  <c r="AH211" i="2"/>
  <c r="AT208" i="2"/>
  <c r="AR208" i="2"/>
  <c r="AS209" i="2"/>
  <c r="AS210" i="2" l="1"/>
  <c r="AT209" i="2"/>
  <c r="AR209" i="2"/>
  <c r="AI213" i="2"/>
  <c r="AJ212" i="2"/>
  <c r="AH212" i="2"/>
  <c r="AX210" i="2"/>
  <c r="AW211" i="2"/>
  <c r="AV210" i="2"/>
  <c r="AM210" i="2"/>
  <c r="AN209" i="2"/>
  <c r="AL209" i="2"/>
  <c r="AM211" i="2" l="1"/>
  <c r="AN210" i="2"/>
  <c r="AL210" i="2"/>
  <c r="AW212" i="2"/>
  <c r="AX211" i="2"/>
  <c r="AV211" i="2"/>
  <c r="AI214" i="2"/>
  <c r="AJ213" i="2"/>
  <c r="AH213" i="2"/>
  <c r="AT210" i="2"/>
  <c r="AR210" i="2"/>
  <c r="AS211" i="2"/>
  <c r="AJ214" i="2" l="1"/>
  <c r="AH214" i="2"/>
  <c r="AI215" i="2"/>
  <c r="AR211" i="2"/>
  <c r="AS212" i="2"/>
  <c r="AT211" i="2"/>
  <c r="AV212" i="2"/>
  <c r="AW213" i="2"/>
  <c r="AX212" i="2"/>
  <c r="AN211" i="2"/>
  <c r="AL211" i="2"/>
  <c r="AM212" i="2"/>
  <c r="AX213" i="2" l="1"/>
  <c r="AV213" i="2"/>
  <c r="AW214" i="2"/>
  <c r="AT212" i="2"/>
  <c r="AR212" i="2"/>
  <c r="AS213" i="2"/>
  <c r="AN212" i="2"/>
  <c r="AL212" i="2"/>
  <c r="AM213" i="2"/>
  <c r="AJ215" i="2"/>
  <c r="AH215" i="2"/>
  <c r="AI216" i="2"/>
  <c r="AS214" i="2" l="1"/>
  <c r="AT213" i="2"/>
  <c r="AR213" i="2"/>
  <c r="AI217" i="2"/>
  <c r="AJ216" i="2"/>
  <c r="AH216" i="2"/>
  <c r="AM214" i="2"/>
  <c r="AN213" i="2"/>
  <c r="AL213" i="2"/>
  <c r="AX214" i="2"/>
  <c r="AV214" i="2"/>
  <c r="AW215" i="2"/>
  <c r="AM215" i="2" l="1"/>
  <c r="AN214" i="2"/>
  <c r="AL214" i="2"/>
  <c r="AW216" i="2"/>
  <c r="AX215" i="2"/>
  <c r="AV215" i="2"/>
  <c r="AI218" i="2"/>
  <c r="AJ217" i="2"/>
  <c r="AH217" i="2"/>
  <c r="AS215" i="2"/>
  <c r="AT214" i="2"/>
  <c r="AR214" i="2"/>
  <c r="AJ218" i="2" l="1"/>
  <c r="AH218" i="2"/>
  <c r="AI219" i="2"/>
  <c r="AR215" i="2"/>
  <c r="AS216" i="2"/>
  <c r="AT215" i="2"/>
  <c r="AV216" i="2"/>
  <c r="AW217" i="2"/>
  <c r="AX216" i="2"/>
  <c r="AN215" i="2"/>
  <c r="AL215" i="2"/>
  <c r="AM216" i="2"/>
  <c r="AN216" i="2" l="1"/>
  <c r="AL216" i="2"/>
  <c r="AM217" i="2"/>
  <c r="AX217" i="2"/>
  <c r="AV217" i="2"/>
  <c r="AW218" i="2"/>
  <c r="AT216" i="2"/>
  <c r="AR216" i="2"/>
  <c r="AS217" i="2"/>
  <c r="AJ219" i="2"/>
  <c r="AH219" i="2"/>
  <c r="AI220" i="2"/>
  <c r="AT217" i="2" l="1"/>
  <c r="AR217" i="2"/>
  <c r="AS218" i="2"/>
  <c r="AI221" i="2"/>
  <c r="AJ220" i="2"/>
  <c r="AH220" i="2"/>
  <c r="AX218" i="2"/>
  <c r="AV218" i="2"/>
  <c r="AW219" i="2"/>
  <c r="AN217" i="2"/>
  <c r="AM218" i="2"/>
  <c r="AL217" i="2"/>
  <c r="AM219" i="2" l="1"/>
  <c r="AN218" i="2"/>
  <c r="AL218" i="2"/>
  <c r="AW220" i="2"/>
  <c r="AX219" i="2"/>
  <c r="AV219" i="2"/>
  <c r="AI222" i="2"/>
  <c r="AJ221" i="2"/>
  <c r="AH221" i="2"/>
  <c r="AS219" i="2"/>
  <c r="AT218" i="2"/>
  <c r="AR218" i="2"/>
  <c r="AR219" i="2" l="1"/>
  <c r="AS220" i="2"/>
  <c r="AT219" i="2"/>
  <c r="AJ222" i="2"/>
  <c r="AH222" i="2"/>
  <c r="AI223" i="2"/>
  <c r="AV220" i="2"/>
  <c r="AW221" i="2"/>
  <c r="AX220" i="2"/>
  <c r="AN219" i="2"/>
  <c r="AL219" i="2"/>
  <c r="AM220" i="2"/>
  <c r="AX221" i="2" l="1"/>
  <c r="AV221" i="2"/>
  <c r="AW222" i="2"/>
  <c r="AT220" i="2"/>
  <c r="AR220" i="2"/>
  <c r="AS221" i="2"/>
  <c r="AN220" i="2"/>
  <c r="AL220" i="2"/>
  <c r="AM221" i="2"/>
  <c r="AJ223" i="2"/>
  <c r="AH223" i="2"/>
  <c r="AI224" i="2"/>
  <c r="AJ224" i="2" l="1"/>
  <c r="AH224" i="2"/>
  <c r="AI225" i="2"/>
  <c r="AN221" i="2"/>
  <c r="AL221" i="2"/>
  <c r="AM222" i="2"/>
  <c r="AT221" i="2"/>
  <c r="AS222" i="2"/>
  <c r="AR221" i="2"/>
  <c r="AX222" i="2"/>
  <c r="AV222" i="2"/>
  <c r="AW223" i="2"/>
  <c r="AM223" i="2" l="1"/>
  <c r="AN222" i="2"/>
  <c r="AL222" i="2"/>
  <c r="AS223" i="2"/>
  <c r="AT222" i="2"/>
  <c r="AR222" i="2"/>
  <c r="AW224" i="2"/>
  <c r="AX223" i="2"/>
  <c r="AV223" i="2"/>
  <c r="AI226" i="2"/>
  <c r="AJ225" i="2"/>
  <c r="AH225" i="2"/>
  <c r="AJ226" i="2" l="1"/>
  <c r="AH226" i="2"/>
  <c r="AI227" i="2"/>
  <c r="AV224" i="2"/>
  <c r="AW225" i="2"/>
  <c r="AX224" i="2"/>
  <c r="AR223" i="2"/>
  <c r="AS224" i="2"/>
  <c r="AT223" i="2"/>
  <c r="AN223" i="2"/>
  <c r="AL223" i="2"/>
  <c r="AM224" i="2"/>
  <c r="AN224" i="2" l="1"/>
  <c r="AL224" i="2"/>
  <c r="AM225" i="2"/>
  <c r="AT224" i="2"/>
  <c r="AR224" i="2"/>
  <c r="AS225" i="2"/>
  <c r="AX225" i="2"/>
  <c r="AV225" i="2"/>
  <c r="AW226" i="2"/>
  <c r="AJ227" i="2"/>
  <c r="AH227" i="2"/>
  <c r="AI228" i="2"/>
  <c r="AT225" i="2" l="1"/>
  <c r="AS226" i="2"/>
  <c r="AR225" i="2"/>
  <c r="AX226" i="2"/>
  <c r="AV226" i="2"/>
  <c r="AW227" i="2"/>
  <c r="AI229" i="2"/>
  <c r="AJ228" i="2"/>
  <c r="AH228" i="2"/>
  <c r="AN225" i="2"/>
  <c r="AM226" i="2"/>
  <c r="AL225" i="2"/>
  <c r="AI230" i="2" l="1"/>
  <c r="AJ229" i="2"/>
  <c r="AH229" i="2"/>
  <c r="AW228" i="2"/>
  <c r="AX227" i="2"/>
  <c r="AV227" i="2"/>
  <c r="AS227" i="2"/>
  <c r="AT226" i="2"/>
  <c r="AR226" i="2"/>
  <c r="AM227" i="2"/>
  <c r="AN226" i="2"/>
  <c r="AL226" i="2"/>
  <c r="AN227" i="2" l="1"/>
  <c r="AL227" i="2"/>
  <c r="AM228" i="2"/>
  <c r="AR227" i="2"/>
  <c r="AS228" i="2"/>
  <c r="AT227" i="2"/>
  <c r="AV228" i="2"/>
  <c r="AW229" i="2"/>
  <c r="AX228" i="2"/>
  <c r="AJ230" i="2"/>
  <c r="AH230" i="2"/>
  <c r="AI231" i="2"/>
  <c r="AJ231" i="2" l="1"/>
  <c r="AH231" i="2"/>
  <c r="AI232" i="2"/>
  <c r="AX229" i="2"/>
  <c r="AV229" i="2"/>
  <c r="AW230" i="2"/>
  <c r="AT228" i="2"/>
  <c r="AR228" i="2"/>
  <c r="AS229" i="2"/>
  <c r="AN228" i="2"/>
  <c r="AL228" i="2"/>
  <c r="AM229" i="2"/>
  <c r="AN229" i="2" l="1"/>
  <c r="AM230" i="2"/>
  <c r="AL229" i="2"/>
  <c r="AX230" i="2"/>
  <c r="AV230" i="2"/>
  <c r="AW231" i="2"/>
  <c r="AT229" i="2"/>
  <c r="AR229" i="2"/>
  <c r="AS230" i="2"/>
  <c r="AI233" i="2"/>
  <c r="AJ232" i="2"/>
  <c r="AH232" i="2"/>
  <c r="AM231" i="2" l="1"/>
  <c r="AN230" i="2"/>
  <c r="AL230" i="2"/>
  <c r="AI234" i="2"/>
  <c r="AJ233" i="2"/>
  <c r="AH233" i="2"/>
  <c r="AR230" i="2"/>
  <c r="AS231" i="2"/>
  <c r="AT230" i="2"/>
  <c r="AW232" i="2"/>
  <c r="AX231" i="2"/>
  <c r="AV231" i="2"/>
  <c r="AV232" i="2" l="1"/>
  <c r="AW233" i="2"/>
  <c r="AX232" i="2"/>
  <c r="AR231" i="2"/>
  <c r="AS232" i="2"/>
  <c r="AT231" i="2"/>
  <c r="AJ234" i="2"/>
  <c r="AH234" i="2"/>
  <c r="AI235" i="2"/>
  <c r="AN231" i="2"/>
  <c r="AL231" i="2"/>
  <c r="AM232" i="2"/>
  <c r="AT232" i="2" l="1"/>
  <c r="AR232" i="2"/>
  <c r="AS233" i="2"/>
  <c r="AX233" i="2"/>
  <c r="AV233" i="2"/>
  <c r="AW234" i="2"/>
  <c r="AN232" i="2"/>
  <c r="AL232" i="2"/>
  <c r="AM233" i="2"/>
  <c r="AJ235" i="2"/>
  <c r="AH235" i="2"/>
  <c r="AI236" i="2"/>
  <c r="AJ236" i="2" l="1"/>
  <c r="AH236" i="2"/>
  <c r="AI237" i="2"/>
  <c r="AN233" i="2"/>
  <c r="AL233" i="2"/>
  <c r="AM234" i="2"/>
  <c r="AX234" i="2"/>
  <c r="AV234" i="2"/>
  <c r="AW235" i="2"/>
  <c r="AT233" i="2"/>
  <c r="AS234" i="2"/>
  <c r="AR233" i="2"/>
  <c r="AS235" i="2" l="1"/>
  <c r="AT234" i="2"/>
  <c r="AR234" i="2"/>
  <c r="AW236" i="2"/>
  <c r="AX235" i="2"/>
  <c r="AV235" i="2"/>
  <c r="AM235" i="2"/>
  <c r="AN234" i="2"/>
  <c r="AL234" i="2"/>
  <c r="AI238" i="2"/>
  <c r="AJ237" i="2"/>
  <c r="AH237" i="2"/>
  <c r="AN235" i="2" l="1"/>
  <c r="AL235" i="2"/>
  <c r="AM236" i="2"/>
  <c r="AJ238" i="2"/>
  <c r="AH238" i="2"/>
  <c r="AI239" i="2"/>
  <c r="AV236" i="2"/>
  <c r="AW237" i="2"/>
  <c r="AX236" i="2"/>
  <c r="AR235" i="2"/>
  <c r="AS236" i="2"/>
  <c r="AT235" i="2"/>
  <c r="AT236" i="2" l="1"/>
  <c r="AR236" i="2"/>
  <c r="AS237" i="2"/>
  <c r="AX237" i="2"/>
  <c r="AV237" i="2"/>
  <c r="AW238" i="2"/>
  <c r="AJ239" i="2"/>
  <c r="AH239" i="2"/>
  <c r="AI240" i="2"/>
  <c r="AN236" i="2"/>
  <c r="AL236" i="2"/>
  <c r="AM237" i="2"/>
  <c r="AN237" i="2" l="1"/>
  <c r="AM238" i="2"/>
  <c r="AL237" i="2"/>
  <c r="AX238" i="2"/>
  <c r="AV238" i="2"/>
  <c r="AW239" i="2"/>
  <c r="AJ240" i="2"/>
  <c r="AI241" i="2"/>
  <c r="AH240" i="2"/>
  <c r="AT237" i="2"/>
  <c r="AS238" i="2"/>
  <c r="AR237" i="2"/>
  <c r="AW240" i="2" l="1"/>
  <c r="AV239" i="2"/>
  <c r="AX239" i="2"/>
  <c r="AM239" i="2"/>
  <c r="AN238" i="2"/>
  <c r="AL238" i="2"/>
  <c r="AS239" i="2"/>
  <c r="AT238" i="2"/>
  <c r="AR238" i="2"/>
  <c r="AI242" i="2"/>
  <c r="AJ241" i="2"/>
  <c r="AH241" i="2"/>
  <c r="AR239" i="2" l="1"/>
  <c r="AS240" i="2"/>
  <c r="AT239" i="2"/>
  <c r="AN239" i="2"/>
  <c r="AL239" i="2"/>
  <c r="AM240" i="2"/>
  <c r="AJ242" i="2"/>
  <c r="AH242" i="2"/>
  <c r="AI243" i="2"/>
  <c r="AV240" i="2"/>
  <c r="AW241" i="2"/>
  <c r="AX240" i="2"/>
  <c r="AN240" i="2" l="1"/>
  <c r="AL240" i="2"/>
  <c r="AM241" i="2"/>
  <c r="AT240" i="2"/>
  <c r="AR240" i="2"/>
  <c r="AS241" i="2"/>
  <c r="AX241" i="2"/>
  <c r="AV241" i="2"/>
  <c r="AW242" i="2"/>
  <c r="AJ243" i="2"/>
  <c r="AH243" i="2"/>
  <c r="AI244" i="2"/>
  <c r="AJ244" i="2" l="1"/>
  <c r="AI245" i="2"/>
  <c r="AH244" i="2"/>
  <c r="AX242" i="2"/>
  <c r="AV242" i="2"/>
  <c r="AW243" i="2"/>
  <c r="AT241" i="2"/>
  <c r="AR241" i="2"/>
  <c r="AS242" i="2"/>
  <c r="AN241" i="2"/>
  <c r="AM242" i="2"/>
  <c r="AL241" i="2"/>
  <c r="AM243" i="2" l="1"/>
  <c r="AN242" i="2"/>
  <c r="AL242" i="2"/>
  <c r="AI246" i="2"/>
  <c r="AJ245" i="2"/>
  <c r="AH245" i="2"/>
  <c r="AS243" i="2"/>
  <c r="AT242" i="2"/>
  <c r="AR242" i="2"/>
  <c r="AW244" i="2"/>
  <c r="AX243" i="2"/>
  <c r="AV243" i="2"/>
  <c r="AR243" i="2" l="1"/>
  <c r="AS244" i="2"/>
  <c r="AT243" i="2"/>
  <c r="AV244" i="2"/>
  <c r="AW245" i="2"/>
  <c r="AX244" i="2"/>
  <c r="AJ246" i="2"/>
  <c r="AH246" i="2"/>
  <c r="AI247" i="2"/>
  <c r="AN243" i="2"/>
  <c r="AL243" i="2"/>
  <c r="AM244" i="2"/>
  <c r="AN244" i="2" l="1"/>
  <c r="AL244" i="2"/>
  <c r="AM245" i="2"/>
  <c r="AX245" i="2"/>
  <c r="AV245" i="2"/>
  <c r="AW246" i="2"/>
  <c r="AT244" i="2"/>
  <c r="AR244" i="2"/>
  <c r="AS245" i="2"/>
  <c r="AJ247" i="2"/>
  <c r="AH247" i="2"/>
  <c r="AI248" i="2"/>
  <c r="AX246" i="2" l="1"/>
  <c r="AV246" i="2"/>
  <c r="AW247" i="2"/>
  <c r="AJ248" i="2"/>
  <c r="AH248" i="2"/>
  <c r="AI249" i="2"/>
  <c r="AT245" i="2"/>
  <c r="AR245" i="2"/>
  <c r="AS246" i="2"/>
  <c r="AN245" i="2"/>
  <c r="AM246" i="2"/>
  <c r="AL245" i="2"/>
  <c r="AM247" i="2" l="1"/>
  <c r="AN246" i="2"/>
  <c r="AL246" i="2"/>
  <c r="AI250" i="2"/>
  <c r="AJ249" i="2"/>
  <c r="AH249" i="2"/>
  <c r="AT246" i="2"/>
  <c r="AR246" i="2"/>
  <c r="AS247" i="2"/>
  <c r="AW248" i="2"/>
  <c r="AX247" i="2"/>
  <c r="AV247" i="2"/>
  <c r="AV248" i="2" l="1"/>
  <c r="AW249" i="2"/>
  <c r="AX248" i="2"/>
  <c r="AR247" i="2"/>
  <c r="AS248" i="2"/>
  <c r="AT247" i="2"/>
  <c r="AJ250" i="2"/>
  <c r="AH250" i="2"/>
  <c r="AI251" i="2"/>
  <c r="AN247" i="2"/>
  <c r="AL247" i="2"/>
  <c r="AM248" i="2"/>
  <c r="AN248" i="2" l="1"/>
  <c r="AL248" i="2"/>
  <c r="AM249" i="2"/>
  <c r="AX249" i="2"/>
  <c r="AV249" i="2"/>
  <c r="AW250" i="2"/>
  <c r="AJ251" i="2"/>
  <c r="AH251" i="2"/>
  <c r="AI252" i="2"/>
  <c r="AT248" i="2"/>
  <c r="AR248" i="2"/>
  <c r="AS249" i="2"/>
  <c r="AJ252" i="2" l="1"/>
  <c r="AH252" i="2"/>
  <c r="AI253" i="2"/>
  <c r="AX250" i="2"/>
  <c r="AV250" i="2"/>
  <c r="AW251" i="2"/>
  <c r="AT249" i="2"/>
  <c r="AR249" i="2"/>
  <c r="AS250" i="2"/>
  <c r="AN249" i="2"/>
  <c r="AM250" i="2"/>
  <c r="AL249" i="2"/>
  <c r="AM251" i="2" l="1"/>
  <c r="AN250" i="2"/>
  <c r="AL250" i="2"/>
  <c r="AI254" i="2"/>
  <c r="AJ253" i="2"/>
  <c r="AH253" i="2"/>
  <c r="AT250" i="2"/>
  <c r="AS251" i="2"/>
  <c r="AR250" i="2"/>
  <c r="AW252" i="2"/>
  <c r="AX251" i="2"/>
  <c r="AV251" i="2"/>
  <c r="AR251" i="2" l="1"/>
  <c r="AS252" i="2"/>
  <c r="AT251" i="2"/>
  <c r="AV252" i="2"/>
  <c r="AW253" i="2"/>
  <c r="AX252" i="2"/>
  <c r="AJ254" i="2"/>
  <c r="AH254" i="2"/>
  <c r="AI255" i="2"/>
  <c r="AN251" i="2"/>
  <c r="AL251" i="2"/>
  <c r="AM252" i="2"/>
  <c r="AN252" i="2" l="1"/>
  <c r="AL252" i="2"/>
  <c r="AM253" i="2"/>
  <c r="AJ255" i="2"/>
  <c r="AH255" i="2"/>
  <c r="AI256" i="2"/>
  <c r="AX253" i="2"/>
  <c r="AV253" i="2"/>
  <c r="AW254" i="2"/>
  <c r="AT252" i="2"/>
  <c r="AR252" i="2"/>
  <c r="AS253" i="2"/>
  <c r="AX254" i="2" l="1"/>
  <c r="AV254" i="2"/>
  <c r="AW255" i="2"/>
  <c r="AH256" i="2"/>
  <c r="AI257" i="2"/>
  <c r="AJ256" i="2"/>
  <c r="AT253" i="2"/>
  <c r="AR253" i="2"/>
  <c r="AS254" i="2"/>
  <c r="AN253" i="2"/>
  <c r="AL253" i="2"/>
  <c r="AM254" i="2"/>
  <c r="AT254" i="2" l="1"/>
  <c r="AS255" i="2"/>
  <c r="AR254" i="2"/>
  <c r="AM255" i="2"/>
  <c r="AN254" i="2"/>
  <c r="AL254" i="2"/>
  <c r="AH257" i="2"/>
  <c r="AI258" i="2"/>
  <c r="AJ257" i="2"/>
  <c r="AX255" i="2"/>
  <c r="AW256" i="2"/>
  <c r="AV255" i="2"/>
  <c r="AJ258" i="2" l="1"/>
  <c r="AH258" i="2"/>
  <c r="AI259" i="2"/>
  <c r="AN255" i="2"/>
  <c r="AL255" i="2"/>
  <c r="AM256" i="2"/>
  <c r="AR255" i="2"/>
  <c r="AS256" i="2"/>
  <c r="AT255" i="2"/>
  <c r="AX256" i="2"/>
  <c r="AV256" i="2"/>
  <c r="AW257" i="2"/>
  <c r="AX257" i="2" l="1"/>
  <c r="AV257" i="2"/>
  <c r="AW258" i="2"/>
  <c r="AM257" i="2"/>
  <c r="AN256" i="2"/>
  <c r="AL256" i="2"/>
  <c r="AT256" i="2"/>
  <c r="AR256" i="2"/>
  <c r="AS257" i="2"/>
  <c r="AI260" i="2"/>
  <c r="AJ259" i="2"/>
  <c r="AH259" i="2"/>
  <c r="AS258" i="2" l="1"/>
  <c r="AT257" i="2"/>
  <c r="AR257" i="2"/>
  <c r="AH260" i="2"/>
  <c r="AJ260" i="2"/>
  <c r="AI261" i="2"/>
  <c r="AL257" i="2"/>
  <c r="AM258" i="2"/>
  <c r="AN257" i="2"/>
  <c r="AV258" i="2"/>
  <c r="AW259" i="2"/>
  <c r="AX258" i="2"/>
  <c r="AX259" i="2" l="1"/>
  <c r="AV259" i="2"/>
  <c r="AW260" i="2"/>
  <c r="AJ261" i="2"/>
  <c r="AH261" i="2"/>
  <c r="AI262" i="2"/>
  <c r="AN258" i="2"/>
  <c r="AL258" i="2"/>
  <c r="AM259" i="2"/>
  <c r="AT258" i="2"/>
  <c r="AR258" i="2"/>
  <c r="AS259" i="2"/>
  <c r="AT259" i="2" l="1"/>
  <c r="AR259" i="2"/>
  <c r="AS260" i="2"/>
  <c r="AM260" i="2"/>
  <c r="AN259" i="2"/>
  <c r="AL259" i="2"/>
  <c r="AI263" i="2"/>
  <c r="AJ262" i="2"/>
  <c r="AH262" i="2"/>
  <c r="AW261" i="2"/>
  <c r="AX260" i="2"/>
  <c r="AV260" i="2"/>
  <c r="AX261" i="2" l="1"/>
  <c r="AV261" i="2"/>
  <c r="AW262" i="2"/>
  <c r="AI264" i="2"/>
  <c r="AJ263" i="2"/>
  <c r="AH263" i="2"/>
  <c r="AM261" i="2"/>
  <c r="AL260" i="2"/>
  <c r="AN260" i="2"/>
  <c r="AS261" i="2"/>
  <c r="AT260" i="2"/>
  <c r="AR260" i="2"/>
  <c r="AS262" i="2" l="1"/>
  <c r="AT261" i="2"/>
  <c r="AR261" i="2"/>
  <c r="AN261" i="2"/>
  <c r="AL261" i="2"/>
  <c r="AM262" i="2"/>
  <c r="AH264" i="2"/>
  <c r="AI265" i="2"/>
  <c r="AJ264" i="2"/>
  <c r="AV262" i="2"/>
  <c r="AX262" i="2"/>
  <c r="AW263" i="2"/>
  <c r="AX263" i="2" l="1"/>
  <c r="AW264" i="2"/>
  <c r="AV263" i="2"/>
  <c r="AH265" i="2"/>
  <c r="AI266" i="2"/>
  <c r="AJ265" i="2"/>
  <c r="AM263" i="2"/>
  <c r="AN262" i="2"/>
  <c r="AL262" i="2"/>
  <c r="AT262" i="2"/>
  <c r="AR262" i="2"/>
  <c r="AS263" i="2"/>
  <c r="AN263" i="2" l="1"/>
  <c r="AL263" i="2"/>
  <c r="AM264" i="2"/>
  <c r="AX264" i="2"/>
  <c r="AV264" i="2"/>
  <c r="AW265" i="2"/>
  <c r="AR263" i="2"/>
  <c r="AS264" i="2"/>
  <c r="AT263" i="2"/>
  <c r="AJ266" i="2"/>
  <c r="AH266" i="2"/>
  <c r="AI267" i="2"/>
  <c r="AT264" i="2" l="1"/>
  <c r="AR264" i="2"/>
  <c r="AS265" i="2"/>
  <c r="AI268" i="2"/>
  <c r="AJ267" i="2"/>
  <c r="AH267" i="2"/>
  <c r="AW266" i="2"/>
  <c r="AX265" i="2"/>
  <c r="AV265" i="2"/>
  <c r="AM265" i="2"/>
  <c r="AN264" i="2"/>
  <c r="AL264" i="2"/>
  <c r="AN265" i="2" l="1"/>
  <c r="AL265" i="2"/>
  <c r="AM266" i="2"/>
  <c r="AV266" i="2"/>
  <c r="AX266" i="2"/>
  <c r="AW267" i="2"/>
  <c r="AH268" i="2"/>
  <c r="AJ268" i="2"/>
  <c r="AI269" i="2"/>
  <c r="AS266" i="2"/>
  <c r="AT265" i="2"/>
  <c r="AR265" i="2"/>
  <c r="AI270" i="2" l="1"/>
  <c r="AJ269" i="2"/>
  <c r="AH269" i="2"/>
  <c r="AX267" i="2"/>
  <c r="AV267" i="2"/>
  <c r="AW268" i="2"/>
  <c r="AT266" i="2"/>
  <c r="AR266" i="2"/>
  <c r="AS267" i="2"/>
  <c r="AN266" i="2"/>
  <c r="AL266" i="2"/>
  <c r="AM267" i="2"/>
  <c r="AM268" i="2" l="1"/>
  <c r="AN267" i="2"/>
  <c r="AL267" i="2"/>
  <c r="AW269" i="2"/>
  <c r="AX268" i="2"/>
  <c r="AV268" i="2"/>
  <c r="AT267" i="2"/>
  <c r="AR267" i="2"/>
  <c r="AS268" i="2"/>
  <c r="AH270" i="2"/>
  <c r="AI271" i="2"/>
  <c r="AJ270" i="2"/>
  <c r="AI272" i="2" l="1"/>
  <c r="AJ271" i="2"/>
  <c r="AH271" i="2"/>
  <c r="AX269" i="2"/>
  <c r="AV269" i="2"/>
  <c r="AW270" i="2"/>
  <c r="AR268" i="2"/>
  <c r="AS269" i="2"/>
  <c r="AT268" i="2"/>
  <c r="AM269" i="2"/>
  <c r="AN268" i="2"/>
  <c r="AL268" i="2"/>
  <c r="AN269" i="2" l="1"/>
  <c r="AL269" i="2"/>
  <c r="AM270" i="2"/>
  <c r="AS270" i="2"/>
  <c r="AT269" i="2"/>
  <c r="AR269" i="2"/>
  <c r="AV270" i="2"/>
  <c r="AX270" i="2"/>
  <c r="AW271" i="2"/>
  <c r="AH272" i="2"/>
  <c r="AI273" i="2"/>
  <c r="AJ272" i="2"/>
  <c r="AX271" i="2" l="1"/>
  <c r="AW272" i="2"/>
  <c r="AV271" i="2"/>
  <c r="AJ273" i="2"/>
  <c r="AH273" i="2"/>
  <c r="AI274" i="2"/>
  <c r="AT270" i="2"/>
  <c r="AS271" i="2"/>
  <c r="AR270" i="2"/>
  <c r="AM271" i="2"/>
  <c r="AN270" i="2"/>
  <c r="AL270" i="2"/>
  <c r="AN271" i="2" l="1"/>
  <c r="AL271" i="2"/>
  <c r="AM272" i="2"/>
  <c r="AT271" i="2"/>
  <c r="AR271" i="2"/>
  <c r="AS272" i="2"/>
  <c r="AX272" i="2"/>
  <c r="AV272" i="2"/>
  <c r="AW273" i="2"/>
  <c r="AI275" i="2"/>
  <c r="AJ274" i="2"/>
  <c r="AH274" i="2"/>
  <c r="AI276" i="2" l="1"/>
  <c r="AH275" i="2"/>
  <c r="AJ275" i="2"/>
  <c r="AW274" i="2"/>
  <c r="AX273" i="2"/>
  <c r="AV273" i="2"/>
  <c r="AT272" i="2"/>
  <c r="AR272" i="2"/>
  <c r="AS273" i="2"/>
  <c r="AM273" i="2"/>
  <c r="AN272" i="2"/>
  <c r="AL272" i="2"/>
  <c r="AS274" i="2" l="1"/>
  <c r="AR273" i="2"/>
  <c r="AT273" i="2"/>
  <c r="AN273" i="2"/>
  <c r="AL273" i="2"/>
  <c r="AM274" i="2"/>
  <c r="AV274" i="2"/>
  <c r="AX274" i="2"/>
  <c r="AW275" i="2"/>
  <c r="AH276" i="2"/>
  <c r="AJ276" i="2"/>
  <c r="AI277" i="2"/>
  <c r="AJ277" i="2" l="1"/>
  <c r="AI278" i="2"/>
  <c r="AH277" i="2"/>
  <c r="AN274" i="2"/>
  <c r="AL274" i="2"/>
  <c r="AM275" i="2"/>
  <c r="AX275" i="2"/>
  <c r="AV275" i="2"/>
  <c r="AW276" i="2"/>
  <c r="AT274" i="2"/>
  <c r="AR274" i="2"/>
  <c r="AS275" i="2"/>
  <c r="AS276" i="2" l="1"/>
  <c r="AT275" i="2"/>
  <c r="AR275" i="2"/>
  <c r="AW277" i="2"/>
  <c r="AX276" i="2"/>
  <c r="AV276" i="2"/>
  <c r="AJ278" i="2"/>
  <c r="AH278" i="2"/>
  <c r="AI279" i="2"/>
  <c r="AM276" i="2"/>
  <c r="AN275" i="2"/>
  <c r="AL275" i="2"/>
  <c r="AM277" i="2" l="1"/>
  <c r="AN276" i="2"/>
  <c r="AL276" i="2"/>
  <c r="AI280" i="2"/>
  <c r="AJ279" i="2"/>
  <c r="AH279" i="2"/>
  <c r="AX277" i="2"/>
  <c r="AV277" i="2"/>
  <c r="AW278" i="2"/>
  <c r="AT276" i="2"/>
  <c r="AR276" i="2"/>
  <c r="AS277" i="2"/>
  <c r="AS278" i="2" l="1"/>
  <c r="AT277" i="2"/>
  <c r="AR277" i="2"/>
  <c r="AV278" i="2"/>
  <c r="AW279" i="2"/>
  <c r="AX278" i="2"/>
  <c r="AH280" i="2"/>
  <c r="AJ280" i="2"/>
  <c r="AI281" i="2"/>
  <c r="AN277" i="2"/>
  <c r="AL277" i="2"/>
  <c r="AM278" i="2"/>
  <c r="AN278" i="2" l="1"/>
  <c r="AL278" i="2"/>
  <c r="AM279" i="2"/>
  <c r="AJ281" i="2"/>
  <c r="AH281" i="2"/>
  <c r="AI282" i="2"/>
  <c r="AX279" i="2"/>
  <c r="AV279" i="2"/>
  <c r="AW280" i="2"/>
  <c r="AT278" i="2"/>
  <c r="AR278" i="2"/>
  <c r="AS279" i="2"/>
  <c r="AT279" i="2" l="1"/>
  <c r="AR279" i="2"/>
  <c r="AS280" i="2"/>
  <c r="AW281" i="2"/>
  <c r="AX280" i="2"/>
  <c r="AV280" i="2"/>
  <c r="AJ282" i="2"/>
  <c r="AH282" i="2"/>
  <c r="AI283" i="2"/>
  <c r="AM280" i="2"/>
  <c r="AN279" i="2"/>
  <c r="AL279" i="2"/>
  <c r="AI284" i="2" l="1"/>
  <c r="AJ283" i="2"/>
  <c r="AH283" i="2"/>
  <c r="AM281" i="2"/>
  <c r="AN280" i="2"/>
  <c r="AL280" i="2"/>
  <c r="AX281" i="2"/>
  <c r="AV281" i="2"/>
  <c r="AW282" i="2"/>
  <c r="AR280" i="2"/>
  <c r="AS281" i="2"/>
  <c r="AT280" i="2"/>
  <c r="AS282" i="2" l="1"/>
  <c r="AT281" i="2"/>
  <c r="AR281" i="2"/>
  <c r="AV282" i="2"/>
  <c r="AW283" i="2"/>
  <c r="AX282" i="2"/>
  <c r="AN281" i="2"/>
  <c r="AL281" i="2"/>
  <c r="AM282" i="2"/>
  <c r="AH284" i="2"/>
  <c r="AI285" i="2"/>
  <c r="AJ284" i="2"/>
  <c r="AL282" i="2" l="1"/>
  <c r="AM283" i="2"/>
  <c r="AN282" i="2"/>
  <c r="AX283" i="2"/>
  <c r="AV283" i="2"/>
  <c r="AW284" i="2"/>
  <c r="AJ285" i="2"/>
  <c r="AH285" i="2"/>
  <c r="AI286" i="2"/>
  <c r="AT282" i="2"/>
  <c r="AR282" i="2"/>
  <c r="AS283" i="2"/>
  <c r="AJ286" i="2" l="1"/>
  <c r="AH286" i="2"/>
  <c r="AI287" i="2"/>
  <c r="AM284" i="2"/>
  <c r="AN283" i="2"/>
  <c r="AL283" i="2"/>
  <c r="AT283" i="2"/>
  <c r="AR283" i="2"/>
  <c r="AS284" i="2"/>
  <c r="AW285" i="2"/>
  <c r="AX284" i="2"/>
  <c r="AV284" i="2"/>
  <c r="AX285" i="2" l="1"/>
  <c r="AV285" i="2"/>
  <c r="AW286" i="2"/>
  <c r="AS285" i="2"/>
  <c r="AT284" i="2"/>
  <c r="AR284" i="2"/>
  <c r="AM285" i="2"/>
  <c r="AN284" i="2"/>
  <c r="AL284" i="2"/>
  <c r="AI288" i="2"/>
  <c r="AJ287" i="2"/>
  <c r="AH287" i="2"/>
  <c r="AN285" i="2" l="1"/>
  <c r="AL285" i="2"/>
  <c r="AM286" i="2"/>
  <c r="AH288" i="2"/>
  <c r="AI289" i="2"/>
  <c r="AJ288" i="2"/>
  <c r="AS286" i="2"/>
  <c r="AT285" i="2"/>
  <c r="AR285" i="2"/>
  <c r="AV286" i="2"/>
  <c r="AW287" i="2"/>
  <c r="AX286" i="2"/>
  <c r="AX287" i="2" l="1"/>
  <c r="AV287" i="2"/>
  <c r="AW288" i="2"/>
  <c r="AT286" i="2"/>
  <c r="AR286" i="2"/>
  <c r="AS287" i="2"/>
  <c r="AJ289" i="2"/>
  <c r="AH289" i="2"/>
  <c r="AI290" i="2"/>
  <c r="AN286" i="2"/>
  <c r="AL286" i="2"/>
  <c r="AM287" i="2"/>
  <c r="AM288" i="2" l="1"/>
  <c r="AN287" i="2"/>
  <c r="AL287" i="2"/>
  <c r="AT287" i="2"/>
  <c r="AS288" i="2"/>
  <c r="AR287" i="2"/>
  <c r="AJ290" i="2"/>
  <c r="AH290" i="2"/>
  <c r="AI291" i="2"/>
  <c r="AW289" i="2"/>
  <c r="AX288" i="2"/>
  <c r="AV288" i="2"/>
  <c r="AW290" i="2" l="1"/>
  <c r="AX289" i="2"/>
  <c r="AV289" i="2"/>
  <c r="AI292" i="2"/>
  <c r="AH291" i="2"/>
  <c r="AJ291" i="2"/>
  <c r="AR288" i="2"/>
  <c r="AS289" i="2"/>
  <c r="AT288" i="2"/>
  <c r="AM289" i="2"/>
  <c r="AN288" i="2"/>
  <c r="AL288" i="2"/>
  <c r="AS290" i="2" l="1"/>
  <c r="AT289" i="2"/>
  <c r="AR289" i="2"/>
  <c r="AN289" i="2"/>
  <c r="AL289" i="2"/>
  <c r="AM290" i="2"/>
  <c r="AH292" i="2"/>
  <c r="AI293" i="2"/>
  <c r="AJ292" i="2"/>
  <c r="AV290" i="2"/>
  <c r="AW291" i="2"/>
  <c r="AX290" i="2"/>
  <c r="AJ293" i="2" l="1"/>
  <c r="AH293" i="2"/>
  <c r="AI294" i="2"/>
  <c r="AX291" i="2"/>
  <c r="AV291" i="2"/>
  <c r="AW292" i="2"/>
  <c r="AN290" i="2"/>
  <c r="AL290" i="2"/>
  <c r="AM291" i="2"/>
  <c r="AT290" i="2"/>
  <c r="AR290" i="2"/>
  <c r="AS291" i="2"/>
  <c r="AM292" i="2" l="1"/>
  <c r="AN291" i="2"/>
  <c r="AL291" i="2"/>
  <c r="AX292" i="2"/>
  <c r="AV292" i="2"/>
  <c r="AW293" i="2"/>
  <c r="AT291" i="2"/>
  <c r="AR291" i="2"/>
  <c r="AS292" i="2"/>
  <c r="AJ294" i="2"/>
  <c r="AI295" i="2"/>
  <c r="AH294" i="2"/>
  <c r="AW294" i="2" l="1"/>
  <c r="AX293" i="2"/>
  <c r="AV293" i="2"/>
  <c r="AI296" i="2"/>
  <c r="AJ295" i="2"/>
  <c r="AH295" i="2"/>
  <c r="AT292" i="2"/>
  <c r="AR292" i="2"/>
  <c r="AS293" i="2"/>
  <c r="AM293" i="2"/>
  <c r="AN292" i="2"/>
  <c r="AL292" i="2"/>
  <c r="AN293" i="2" l="1"/>
  <c r="AL293" i="2"/>
  <c r="AM294" i="2"/>
  <c r="AS294" i="2"/>
  <c r="AR293" i="2"/>
  <c r="AT293" i="2"/>
  <c r="AH296" i="2"/>
  <c r="AI297" i="2"/>
  <c r="AJ296" i="2"/>
  <c r="AV294" i="2"/>
  <c r="AW295" i="2"/>
  <c r="AX294" i="2"/>
  <c r="AX295" i="2" l="1"/>
  <c r="AV295" i="2"/>
  <c r="AW296" i="2"/>
  <c r="AJ297" i="2"/>
  <c r="AH297" i="2"/>
  <c r="AI298" i="2"/>
  <c r="AT294" i="2"/>
  <c r="AR294" i="2"/>
  <c r="AS295" i="2"/>
  <c r="AN294" i="2"/>
  <c r="AM295" i="2"/>
  <c r="AL294" i="2"/>
  <c r="AN295" i="2" l="1"/>
  <c r="AL295" i="2"/>
  <c r="AM296" i="2"/>
  <c r="AT295" i="2"/>
  <c r="AR295" i="2"/>
  <c r="AS296" i="2"/>
  <c r="AJ298" i="2"/>
  <c r="AH298" i="2"/>
  <c r="AI299" i="2"/>
  <c r="AX296" i="2"/>
  <c r="AW297" i="2"/>
  <c r="AV296" i="2"/>
  <c r="AX297" i="2" l="1"/>
  <c r="AV297" i="2"/>
  <c r="AW298" i="2"/>
  <c r="AI300" i="2"/>
  <c r="AJ299" i="2"/>
  <c r="AH299" i="2"/>
  <c r="AS297" i="2"/>
  <c r="AT296" i="2"/>
  <c r="AR296" i="2"/>
  <c r="AM297" i="2"/>
  <c r="AN296" i="2"/>
  <c r="AL296" i="2"/>
  <c r="AS298" i="2" l="1"/>
  <c r="AT297" i="2"/>
  <c r="AR297" i="2"/>
  <c r="AN297" i="2"/>
  <c r="AL297" i="2"/>
  <c r="AM298" i="2"/>
  <c r="AH300" i="2"/>
  <c r="AI301" i="2"/>
  <c r="AJ300" i="2"/>
  <c r="AV298" i="2"/>
  <c r="AW299" i="2"/>
  <c r="AX298" i="2"/>
  <c r="AX299" i="2" l="1"/>
  <c r="AV299" i="2"/>
  <c r="AW300" i="2"/>
  <c r="AJ301" i="2"/>
  <c r="AH301" i="2"/>
  <c r="AI302" i="2"/>
  <c r="AN298" i="2"/>
  <c r="AL298" i="2"/>
  <c r="AM299" i="2"/>
  <c r="AT298" i="2"/>
  <c r="AR298" i="2"/>
  <c r="AS299" i="2"/>
  <c r="AM300" i="2" l="1"/>
  <c r="AN299" i="2"/>
  <c r="AL299" i="2"/>
  <c r="AJ302" i="2"/>
  <c r="AI303" i="2"/>
  <c r="AH302" i="2"/>
  <c r="AT299" i="2"/>
  <c r="AR299" i="2"/>
  <c r="AS300" i="2"/>
  <c r="AX300" i="2"/>
  <c r="AV300" i="2"/>
  <c r="AW301" i="2"/>
  <c r="AT300" i="2" l="1"/>
  <c r="AR300" i="2"/>
  <c r="AS301" i="2"/>
  <c r="AW302" i="2"/>
  <c r="AX301" i="2"/>
  <c r="AV301" i="2"/>
  <c r="AI304" i="2"/>
  <c r="AJ303" i="2"/>
  <c r="AH303" i="2"/>
  <c r="AM301" i="2"/>
  <c r="AN300" i="2"/>
  <c r="AL300" i="2"/>
  <c r="AN301" i="2" l="1"/>
  <c r="AL301" i="2"/>
  <c r="AM302" i="2"/>
  <c r="AH304" i="2"/>
  <c r="AI305" i="2"/>
  <c r="AJ304" i="2"/>
  <c r="AV302" i="2"/>
  <c r="AW303" i="2"/>
  <c r="AX302" i="2"/>
  <c r="AS302" i="2"/>
  <c r="AT301" i="2"/>
  <c r="AR301" i="2"/>
  <c r="AX303" i="2" l="1"/>
  <c r="AV303" i="2"/>
  <c r="AW304" i="2"/>
  <c r="AT302" i="2"/>
  <c r="AR302" i="2"/>
  <c r="AS303" i="2"/>
  <c r="AJ305" i="2"/>
  <c r="AH305" i="2"/>
  <c r="AI306" i="2"/>
  <c r="AN302" i="2"/>
  <c r="AL302" i="2"/>
  <c r="AM303" i="2"/>
  <c r="AN303" i="2" l="1"/>
  <c r="AL303" i="2"/>
  <c r="AM304" i="2"/>
  <c r="AJ306" i="2"/>
  <c r="AH306" i="2"/>
  <c r="AI307" i="2"/>
  <c r="AT303" i="2"/>
  <c r="AR303" i="2"/>
  <c r="AS304" i="2"/>
  <c r="AX304" i="2"/>
  <c r="AW305" i="2"/>
  <c r="AV304" i="2"/>
  <c r="AW306" i="2" l="1"/>
  <c r="AX305" i="2"/>
  <c r="AV305" i="2"/>
  <c r="AS305" i="2"/>
  <c r="AT304" i="2"/>
  <c r="AR304" i="2"/>
  <c r="AI308" i="2"/>
  <c r="AJ307" i="2"/>
  <c r="AH307" i="2"/>
  <c r="AM305" i="2"/>
  <c r="AN304" i="2"/>
  <c r="AL304" i="2"/>
  <c r="AH308" i="2" l="1"/>
  <c r="AI309" i="2"/>
  <c r="AJ308" i="2"/>
  <c r="AN305" i="2"/>
  <c r="AL305" i="2"/>
  <c r="AM306" i="2"/>
  <c r="AS306" i="2"/>
  <c r="AT305" i="2"/>
  <c r="AR305" i="2"/>
  <c r="AV306" i="2"/>
  <c r="AW307" i="2"/>
  <c r="AX306" i="2"/>
  <c r="AX307" i="2" l="1"/>
  <c r="AV307" i="2"/>
  <c r="AW308" i="2"/>
  <c r="AT306" i="2"/>
  <c r="AR306" i="2"/>
  <c r="AS307" i="2"/>
  <c r="AJ309" i="2"/>
  <c r="AH309" i="2"/>
  <c r="AI310" i="2"/>
  <c r="AN306" i="2"/>
  <c r="AL306" i="2"/>
  <c r="AM307" i="2"/>
  <c r="AT307" i="2" l="1"/>
  <c r="AR307" i="2"/>
  <c r="AS308" i="2"/>
  <c r="AM308" i="2"/>
  <c r="AN307" i="2"/>
  <c r="AL307" i="2"/>
  <c r="AJ310" i="2"/>
  <c r="AH310" i="2"/>
  <c r="AI311" i="2"/>
  <c r="AX308" i="2"/>
  <c r="AV308" i="2"/>
  <c r="AW309" i="2"/>
  <c r="AW310" i="2" l="1"/>
  <c r="AX309" i="2"/>
  <c r="AV309" i="2"/>
  <c r="AI312" i="2"/>
  <c r="AJ311" i="2"/>
  <c r="AH311" i="2"/>
  <c r="AM309" i="2"/>
  <c r="AN308" i="2"/>
  <c r="AL308" i="2"/>
  <c r="AT308" i="2"/>
  <c r="AS309" i="2"/>
  <c r="AR308" i="2"/>
  <c r="AS310" i="2" l="1"/>
  <c r="AT309" i="2"/>
  <c r="AR309" i="2"/>
  <c r="AN309" i="2"/>
  <c r="AL309" i="2"/>
  <c r="AM310" i="2"/>
  <c r="AH312" i="2"/>
  <c r="AI313" i="2"/>
  <c r="AJ312" i="2"/>
  <c r="AV310" i="2"/>
  <c r="AW311" i="2"/>
  <c r="AX310" i="2"/>
  <c r="AX311" i="2" l="1"/>
  <c r="AV311" i="2"/>
  <c r="AW312" i="2"/>
  <c r="AN310" i="2"/>
  <c r="AL310" i="2"/>
  <c r="AM311" i="2"/>
  <c r="AJ313" i="2"/>
  <c r="AH313" i="2"/>
  <c r="AI314" i="2"/>
  <c r="AT310" i="2"/>
  <c r="AR310" i="2"/>
  <c r="AS311" i="2"/>
  <c r="AT311" i="2" l="1"/>
  <c r="AR311" i="2"/>
  <c r="AS312" i="2"/>
  <c r="AJ314" i="2"/>
  <c r="AH314" i="2"/>
  <c r="AI315" i="2"/>
  <c r="AM312" i="2"/>
  <c r="AN311" i="2"/>
  <c r="AL311" i="2"/>
  <c r="AX312" i="2"/>
  <c r="AW313" i="2"/>
  <c r="AV312" i="2"/>
  <c r="AM313" i="2" l="1"/>
  <c r="AN312" i="2"/>
  <c r="AL312" i="2"/>
  <c r="AW314" i="2"/>
  <c r="AX313" i="2"/>
  <c r="AV313" i="2"/>
  <c r="AI316" i="2"/>
  <c r="AJ315" i="2"/>
  <c r="AH315" i="2"/>
  <c r="AT312" i="2"/>
  <c r="AR312" i="2"/>
  <c r="AS313" i="2"/>
  <c r="AS314" i="2" l="1"/>
  <c r="AT313" i="2"/>
  <c r="AR313" i="2"/>
  <c r="AH316" i="2"/>
  <c r="AI317" i="2"/>
  <c r="AJ316" i="2"/>
  <c r="AV314" i="2"/>
  <c r="AW315" i="2"/>
  <c r="AX314" i="2"/>
  <c r="AN313" i="2"/>
  <c r="AL313" i="2"/>
  <c r="AM314" i="2"/>
  <c r="AN314" i="2" l="1"/>
  <c r="AL314" i="2"/>
  <c r="AM315" i="2"/>
  <c r="AX315" i="2"/>
  <c r="AV315" i="2"/>
  <c r="AW316" i="2"/>
  <c r="AJ317" i="2"/>
  <c r="AH317" i="2"/>
  <c r="AI318" i="2"/>
  <c r="AT314" i="2"/>
  <c r="AR314" i="2"/>
  <c r="AS315" i="2"/>
  <c r="AT315" i="2" l="1"/>
  <c r="AR315" i="2"/>
  <c r="AS316" i="2"/>
  <c r="AJ318" i="2"/>
  <c r="AI319" i="2"/>
  <c r="AH318" i="2"/>
  <c r="AX316" i="2"/>
  <c r="AV316" i="2"/>
  <c r="AW317" i="2"/>
  <c r="AM316" i="2"/>
  <c r="AN315" i="2"/>
  <c r="AL315" i="2"/>
  <c r="AW318" i="2" l="1"/>
  <c r="AX317" i="2"/>
  <c r="AV317" i="2"/>
  <c r="AM317" i="2"/>
  <c r="AL316" i="2"/>
  <c r="AN316" i="2"/>
  <c r="AH319" i="2"/>
  <c r="AI320" i="2"/>
  <c r="AJ319" i="2"/>
  <c r="AS317" i="2"/>
  <c r="AT316" i="2"/>
  <c r="AR316" i="2"/>
  <c r="AT317" i="2" l="1"/>
  <c r="AR317" i="2"/>
  <c r="AS318" i="2"/>
  <c r="AJ320" i="2"/>
  <c r="AH320" i="2"/>
  <c r="AI321" i="2"/>
  <c r="AN317" i="2"/>
  <c r="AL317" i="2"/>
  <c r="AM318" i="2"/>
  <c r="AX318" i="2"/>
  <c r="AV318" i="2"/>
  <c r="AW319" i="2"/>
  <c r="AX319" i="2" l="1"/>
  <c r="AV319" i="2"/>
  <c r="AW320" i="2"/>
  <c r="AJ321" i="2"/>
  <c r="AH321" i="2"/>
  <c r="AI322" i="2"/>
  <c r="AN318" i="2"/>
  <c r="AL318" i="2"/>
  <c r="AM319" i="2"/>
  <c r="AT318" i="2"/>
  <c r="AR318" i="2"/>
  <c r="AS319" i="2"/>
  <c r="AS320" i="2" l="1"/>
  <c r="AT319" i="2"/>
  <c r="AR319" i="2"/>
  <c r="AI323" i="2"/>
  <c r="AJ322" i="2"/>
  <c r="AH322" i="2"/>
  <c r="AM320" i="2"/>
  <c r="AN319" i="2"/>
  <c r="AL319" i="2"/>
  <c r="AW321" i="2"/>
  <c r="AX320" i="2"/>
  <c r="AV320" i="2"/>
  <c r="AN320" i="2" l="1"/>
  <c r="AL320" i="2"/>
  <c r="AM321" i="2"/>
  <c r="AV321" i="2"/>
  <c r="AX321" i="2"/>
  <c r="AW322" i="2"/>
  <c r="AH323" i="2"/>
  <c r="AJ323" i="2"/>
  <c r="AI324" i="2"/>
  <c r="AS321" i="2"/>
  <c r="AT320" i="2"/>
  <c r="AR320" i="2"/>
  <c r="AT321" i="2" l="1"/>
  <c r="AR321" i="2"/>
  <c r="AS322" i="2"/>
  <c r="AJ324" i="2"/>
  <c r="AH324" i="2"/>
  <c r="AI325" i="2"/>
  <c r="AX322" i="2"/>
  <c r="AV322" i="2"/>
  <c r="AW323" i="2"/>
  <c r="AN321" i="2"/>
  <c r="AL321" i="2"/>
  <c r="AM322" i="2"/>
  <c r="AM323" i="2" l="1"/>
  <c r="AL322" i="2"/>
  <c r="AN322" i="2"/>
  <c r="AT322" i="2"/>
  <c r="AR322" i="2"/>
  <c r="AS323" i="2"/>
  <c r="AI326" i="2"/>
  <c r="AJ325" i="2"/>
  <c r="AH325" i="2"/>
  <c r="AW324" i="2"/>
  <c r="AX323" i="2"/>
  <c r="AV323" i="2"/>
  <c r="AX324" i="2" l="1"/>
  <c r="AV324" i="2"/>
  <c r="AW325" i="2"/>
  <c r="AI327" i="2"/>
  <c r="AJ326" i="2"/>
  <c r="AH326" i="2"/>
  <c r="AS324" i="2"/>
  <c r="AT323" i="2"/>
  <c r="AR323" i="2"/>
  <c r="AM324" i="2"/>
  <c r="AN323" i="2"/>
  <c r="AL323" i="2"/>
  <c r="AT324" i="2" l="1"/>
  <c r="AR324" i="2"/>
  <c r="AS325" i="2"/>
  <c r="AV325" i="2"/>
  <c r="AX325" i="2"/>
  <c r="AW326" i="2"/>
  <c r="AN324" i="2"/>
  <c r="AL324" i="2"/>
  <c r="AM325" i="2"/>
  <c r="AH327" i="2"/>
  <c r="AJ327" i="2"/>
  <c r="AI328" i="2"/>
  <c r="AT325" i="2" l="1"/>
  <c r="AR325" i="2"/>
  <c r="AS326" i="2"/>
  <c r="AM326" i="2"/>
  <c r="AN325" i="2"/>
  <c r="AL325" i="2"/>
  <c r="AI329" i="2"/>
  <c r="AJ328" i="2"/>
  <c r="AH328" i="2"/>
  <c r="AW327" i="2"/>
  <c r="AX326" i="2"/>
  <c r="AV326" i="2"/>
  <c r="AX327" i="2" l="1"/>
  <c r="AV327" i="2"/>
  <c r="AW328" i="2"/>
  <c r="AS327" i="2"/>
  <c r="AT326" i="2"/>
  <c r="AR326" i="2"/>
  <c r="AJ329" i="2"/>
  <c r="AH329" i="2"/>
  <c r="AI330" i="2"/>
  <c r="AN326" i="2"/>
  <c r="AL326" i="2"/>
  <c r="AM327" i="2"/>
  <c r="AX328" i="2" l="1"/>
  <c r="AV328" i="2"/>
  <c r="AW329" i="2"/>
  <c r="AI331" i="2"/>
  <c r="AJ330" i="2"/>
  <c r="AH330" i="2"/>
  <c r="AM328" i="2"/>
  <c r="AN327" i="2"/>
  <c r="AL327" i="2"/>
  <c r="AT327" i="2"/>
  <c r="AR327" i="2"/>
  <c r="AS328" i="2"/>
  <c r="AN328" i="2" l="1"/>
  <c r="AM329" i="2"/>
  <c r="AL328" i="2"/>
  <c r="AV329" i="2"/>
  <c r="AW330" i="2"/>
  <c r="AX329" i="2"/>
  <c r="AH331" i="2"/>
  <c r="AI332" i="2"/>
  <c r="AJ331" i="2"/>
  <c r="AT328" i="2"/>
  <c r="AS329" i="2"/>
  <c r="AR328" i="2"/>
  <c r="AT329" i="2" l="1"/>
  <c r="AS330" i="2"/>
  <c r="AR329" i="2"/>
  <c r="AX330" i="2"/>
  <c r="AV330" i="2"/>
  <c r="AW331" i="2"/>
  <c r="AN329" i="2"/>
  <c r="AL329" i="2"/>
  <c r="AM330" i="2"/>
  <c r="AJ332" i="2"/>
  <c r="AH332" i="2"/>
  <c r="AI333" i="2"/>
  <c r="AN330" i="2" l="1"/>
  <c r="AL330" i="2"/>
  <c r="AM331" i="2"/>
  <c r="AT330" i="2"/>
  <c r="AR330" i="2"/>
  <c r="AS331" i="2"/>
  <c r="AI334" i="2"/>
  <c r="AJ333" i="2"/>
  <c r="AH333" i="2"/>
  <c r="AX331" i="2"/>
  <c r="AV331" i="2"/>
  <c r="AW332" i="2"/>
  <c r="AW333" i="2" l="1"/>
  <c r="AX332" i="2"/>
  <c r="AV332" i="2"/>
  <c r="AI335" i="2"/>
  <c r="AH334" i="2"/>
  <c r="AJ334" i="2"/>
  <c r="AS332" i="2"/>
  <c r="AT331" i="2"/>
  <c r="AR331" i="2"/>
  <c r="AM332" i="2"/>
  <c r="AN331" i="2"/>
  <c r="AL331" i="2"/>
  <c r="AN332" i="2" l="1"/>
  <c r="AL332" i="2"/>
  <c r="AM333" i="2"/>
  <c r="AR332" i="2"/>
  <c r="AS333" i="2"/>
  <c r="AT332" i="2"/>
  <c r="AH335" i="2"/>
  <c r="AJ335" i="2"/>
  <c r="AI336" i="2"/>
  <c r="AV333" i="2"/>
  <c r="AX333" i="2"/>
  <c r="AW334" i="2"/>
  <c r="AI337" i="2" l="1"/>
  <c r="AJ336" i="2"/>
  <c r="AH336" i="2"/>
  <c r="AX334" i="2"/>
  <c r="AV334" i="2"/>
  <c r="AW335" i="2"/>
  <c r="AT333" i="2"/>
  <c r="AR333" i="2"/>
  <c r="AS334" i="2"/>
  <c r="AN333" i="2"/>
  <c r="AL333" i="2"/>
  <c r="AM334" i="2"/>
  <c r="AS335" i="2" l="1"/>
  <c r="AT334" i="2"/>
  <c r="AR334" i="2"/>
  <c r="AW336" i="2"/>
  <c r="AX335" i="2"/>
  <c r="AV335" i="2"/>
  <c r="AM335" i="2"/>
  <c r="AL334" i="2"/>
  <c r="AN334" i="2"/>
  <c r="AH337" i="2"/>
  <c r="AI338" i="2"/>
  <c r="AJ337" i="2"/>
  <c r="AI339" i="2" l="1"/>
  <c r="AJ338" i="2"/>
  <c r="AH338" i="2"/>
  <c r="AM336" i="2"/>
  <c r="AN335" i="2"/>
  <c r="AL335" i="2"/>
  <c r="AX336" i="2"/>
  <c r="AV336" i="2"/>
  <c r="AW337" i="2"/>
  <c r="AR335" i="2"/>
  <c r="AS336" i="2"/>
  <c r="AT335" i="2"/>
  <c r="AT336" i="2" l="1"/>
  <c r="AR336" i="2"/>
  <c r="AS337" i="2"/>
  <c r="AV337" i="2"/>
  <c r="AX337" i="2"/>
  <c r="AW338" i="2"/>
  <c r="AN336" i="2"/>
  <c r="AL336" i="2"/>
  <c r="AM337" i="2"/>
  <c r="AH339" i="2"/>
  <c r="AI340" i="2"/>
  <c r="AJ339" i="2"/>
  <c r="AH340" i="2" l="1"/>
  <c r="AI341" i="2"/>
  <c r="AJ340" i="2"/>
  <c r="AM338" i="2"/>
  <c r="AN337" i="2"/>
  <c r="AL337" i="2"/>
  <c r="AW339" i="2"/>
  <c r="AV338" i="2"/>
  <c r="AX338" i="2"/>
  <c r="AT337" i="2"/>
  <c r="AS338" i="2"/>
  <c r="AR337" i="2"/>
  <c r="AR338" i="2" l="1"/>
  <c r="AS339" i="2"/>
  <c r="AT338" i="2"/>
  <c r="AX339" i="2"/>
  <c r="AV339" i="2"/>
  <c r="AW340" i="2"/>
  <c r="AN338" i="2"/>
  <c r="AL338" i="2"/>
  <c r="AM339" i="2"/>
  <c r="AJ341" i="2"/>
  <c r="AH341" i="2"/>
  <c r="AI342" i="2"/>
  <c r="AI343" i="2" l="1"/>
  <c r="AJ342" i="2"/>
  <c r="AH342" i="2"/>
  <c r="AM340" i="2"/>
  <c r="AN339" i="2"/>
  <c r="AL339" i="2"/>
  <c r="AT339" i="2"/>
  <c r="AR339" i="2"/>
  <c r="AS340" i="2"/>
  <c r="AW341" i="2"/>
  <c r="AX340" i="2"/>
  <c r="AV340" i="2"/>
  <c r="AS341" i="2" l="1"/>
  <c r="AT340" i="2"/>
  <c r="AR340" i="2"/>
  <c r="AV341" i="2"/>
  <c r="AW342" i="2"/>
  <c r="AX341" i="2"/>
  <c r="AN340" i="2"/>
  <c r="AM341" i="2"/>
  <c r="AL340" i="2"/>
  <c r="AH343" i="2"/>
  <c r="AJ343" i="2"/>
  <c r="AI344" i="2"/>
  <c r="AJ344" i="2" l="1"/>
  <c r="AH344" i="2"/>
  <c r="AI345" i="2"/>
  <c r="AN341" i="2"/>
  <c r="AL341" i="2"/>
  <c r="AM342" i="2"/>
  <c r="AX342" i="2"/>
  <c r="AV342" i="2"/>
  <c r="AW343" i="2"/>
  <c r="AT341" i="2"/>
  <c r="AR341" i="2"/>
  <c r="AS342" i="2"/>
  <c r="AM343" i="2" l="1"/>
  <c r="AN342" i="2"/>
  <c r="AL342" i="2"/>
  <c r="AH345" i="2"/>
  <c r="AI346" i="2"/>
  <c r="AJ345" i="2"/>
  <c r="AT342" i="2"/>
  <c r="AR342" i="2"/>
  <c r="AS343" i="2"/>
  <c r="AW344" i="2"/>
  <c r="AX343" i="2"/>
  <c r="AV343" i="2"/>
  <c r="AS344" i="2" l="1"/>
  <c r="AT343" i="2"/>
  <c r="AR343" i="2"/>
  <c r="AX344" i="2"/>
  <c r="AV344" i="2"/>
  <c r="AW345" i="2"/>
  <c r="AI347" i="2"/>
  <c r="AJ346" i="2"/>
  <c r="AH346" i="2"/>
  <c r="AM344" i="2"/>
  <c r="AN343" i="2"/>
  <c r="AL343" i="2"/>
  <c r="AN344" i="2" l="1"/>
  <c r="AL344" i="2"/>
  <c r="AM345" i="2"/>
  <c r="AH347" i="2"/>
  <c r="AI348" i="2"/>
  <c r="AJ347" i="2"/>
  <c r="AV345" i="2"/>
  <c r="AX345" i="2"/>
  <c r="AW346" i="2"/>
  <c r="AS345" i="2"/>
  <c r="AT344" i="2"/>
  <c r="AR344" i="2"/>
  <c r="AX346" i="2" l="1"/>
  <c r="AW347" i="2"/>
  <c r="AV346" i="2"/>
  <c r="AJ348" i="2"/>
  <c r="AH348" i="2"/>
  <c r="AI349" i="2"/>
  <c r="AT345" i="2"/>
  <c r="AS346" i="2"/>
  <c r="AR345" i="2"/>
  <c r="AM346" i="2"/>
  <c r="AN345" i="2"/>
  <c r="AL345" i="2"/>
  <c r="AJ349" i="2" l="1"/>
  <c r="AH349" i="2"/>
  <c r="AI350" i="2"/>
  <c r="AR346" i="2"/>
  <c r="AS347" i="2"/>
  <c r="AT346" i="2"/>
  <c r="AX347" i="2"/>
  <c r="AV347" i="2"/>
  <c r="AW348" i="2"/>
  <c r="AN346" i="2"/>
  <c r="AL346" i="2"/>
  <c r="AM347" i="2"/>
  <c r="AM348" i="2" l="1"/>
  <c r="AN347" i="2"/>
  <c r="AL347" i="2"/>
  <c r="AT347" i="2"/>
  <c r="AR347" i="2"/>
  <c r="AS348" i="2"/>
  <c r="AW349" i="2"/>
  <c r="AX348" i="2"/>
  <c r="AV348" i="2"/>
  <c r="AI351" i="2"/>
  <c r="AH350" i="2"/>
  <c r="AJ350" i="2"/>
  <c r="AV349" i="2" l="1"/>
  <c r="AX349" i="2"/>
  <c r="AW350" i="2"/>
  <c r="AS349" i="2"/>
  <c r="AT348" i="2"/>
  <c r="AR348" i="2"/>
  <c r="AH351" i="2"/>
  <c r="AJ351" i="2"/>
  <c r="AI352" i="2"/>
  <c r="AN348" i="2"/>
  <c r="AL348" i="2"/>
  <c r="AM349" i="2"/>
  <c r="AI353" i="2" l="1"/>
  <c r="AJ352" i="2"/>
  <c r="AH352" i="2"/>
  <c r="AN349" i="2"/>
  <c r="AL349" i="2"/>
  <c r="AM350" i="2"/>
  <c r="AT349" i="2"/>
  <c r="AR349" i="2"/>
  <c r="AS350" i="2"/>
  <c r="AX350" i="2"/>
  <c r="AV350" i="2"/>
  <c r="AW351" i="2"/>
  <c r="AW352" i="2" l="1"/>
  <c r="AX351" i="2"/>
  <c r="AV351" i="2"/>
  <c r="AM351" i="2"/>
  <c r="AN350" i="2"/>
  <c r="AL350" i="2"/>
  <c r="AS351" i="2"/>
  <c r="AT350" i="2"/>
  <c r="AR350" i="2"/>
  <c r="AJ353" i="2"/>
  <c r="AH353" i="2"/>
  <c r="AI354" i="2"/>
  <c r="AI355" i="2" l="1"/>
  <c r="AJ354" i="2"/>
  <c r="AH354" i="2"/>
  <c r="AM352" i="2"/>
  <c r="AN351" i="2"/>
  <c r="AL351" i="2"/>
  <c r="AR351" i="2"/>
  <c r="AS352" i="2"/>
  <c r="AT351" i="2"/>
  <c r="AX352" i="2"/>
  <c r="AV352" i="2"/>
  <c r="AW353" i="2"/>
  <c r="AV353" i="2" l="1"/>
  <c r="AW354" i="2"/>
  <c r="AX353" i="2"/>
  <c r="AS353" i="2"/>
  <c r="AT352" i="2"/>
  <c r="AR352" i="2"/>
  <c r="AN352" i="2"/>
  <c r="AL352" i="2"/>
  <c r="AM353" i="2"/>
  <c r="AH355" i="2"/>
  <c r="AJ355" i="2"/>
  <c r="AI356" i="2"/>
  <c r="AJ356" i="2" l="1"/>
  <c r="AH356" i="2"/>
  <c r="AI357" i="2"/>
  <c r="AM354" i="2"/>
  <c r="AN353" i="2"/>
  <c r="AL353" i="2"/>
  <c r="AT353" i="2"/>
  <c r="AR353" i="2"/>
  <c r="AS354" i="2"/>
  <c r="AX354" i="2"/>
  <c r="AV354" i="2"/>
  <c r="AW355" i="2"/>
  <c r="AW356" i="2" l="1"/>
  <c r="AX355" i="2"/>
  <c r="AV355" i="2"/>
  <c r="AT354" i="2"/>
  <c r="AR354" i="2"/>
  <c r="AS355" i="2"/>
  <c r="AN354" i="2"/>
  <c r="AL354" i="2"/>
  <c r="AM355" i="2"/>
  <c r="AI358" i="2"/>
  <c r="AJ357" i="2"/>
  <c r="AH357" i="2"/>
  <c r="AS356" i="2" l="1"/>
  <c r="AT355" i="2"/>
  <c r="AR355" i="2"/>
  <c r="AI359" i="2"/>
  <c r="AJ358" i="2"/>
  <c r="AH358" i="2"/>
  <c r="AM356" i="2"/>
  <c r="AN355" i="2"/>
  <c r="AL355" i="2"/>
  <c r="AV356" i="2"/>
  <c r="AW357" i="2"/>
  <c r="AX356" i="2"/>
  <c r="AV357" i="2" l="1"/>
  <c r="AW358" i="2"/>
  <c r="AX357" i="2"/>
  <c r="AN356" i="2"/>
  <c r="AL356" i="2"/>
  <c r="AM357" i="2"/>
  <c r="AH359" i="2"/>
  <c r="AI360" i="2"/>
  <c r="AJ359" i="2"/>
  <c r="AS357" i="2"/>
  <c r="AT356" i="2"/>
  <c r="AR356" i="2"/>
  <c r="AX358" i="2" l="1"/>
  <c r="AW359" i="2"/>
  <c r="AV358" i="2"/>
  <c r="AT357" i="2"/>
  <c r="AR357" i="2"/>
  <c r="AS358" i="2"/>
  <c r="AJ360" i="2"/>
  <c r="AH360" i="2"/>
  <c r="AI361" i="2"/>
  <c r="AM358" i="2"/>
  <c r="AN357" i="2"/>
  <c r="AL357" i="2"/>
  <c r="AN358" i="2" l="1"/>
  <c r="AL358" i="2"/>
  <c r="AM359" i="2"/>
  <c r="AI362" i="2"/>
  <c r="AJ361" i="2"/>
  <c r="AH361" i="2"/>
  <c r="AR358" i="2"/>
  <c r="AS359" i="2"/>
  <c r="AT358" i="2"/>
  <c r="AX359" i="2"/>
  <c r="AV359" i="2"/>
  <c r="AW360" i="2"/>
  <c r="AT359" i="2" l="1"/>
  <c r="AR359" i="2"/>
  <c r="AS360" i="2"/>
  <c r="AW361" i="2"/>
  <c r="AX360" i="2"/>
  <c r="AV360" i="2"/>
  <c r="AI363" i="2"/>
  <c r="AJ362" i="2"/>
  <c r="AH362" i="2"/>
  <c r="AM360" i="2"/>
  <c r="AN359" i="2"/>
  <c r="AL359" i="2"/>
  <c r="AH363" i="2" l="1"/>
  <c r="AI364" i="2"/>
  <c r="AJ363" i="2"/>
  <c r="AS361" i="2"/>
  <c r="AR360" i="2"/>
  <c r="AT360" i="2"/>
  <c r="AN360" i="2"/>
  <c r="AL360" i="2"/>
  <c r="AM361" i="2"/>
  <c r="AV361" i="2"/>
  <c r="AW362" i="2"/>
  <c r="AX361" i="2"/>
  <c r="AX362" i="2" l="1"/>
  <c r="AV362" i="2"/>
  <c r="AW363" i="2"/>
  <c r="AT361" i="2"/>
  <c r="AR361" i="2"/>
  <c r="AS362" i="2"/>
  <c r="AJ364" i="2"/>
  <c r="AH364" i="2"/>
  <c r="AI365" i="2"/>
  <c r="AN361" i="2"/>
  <c r="AL361" i="2"/>
  <c r="AM362" i="2"/>
  <c r="AL362" i="2" l="1"/>
  <c r="AM363" i="2"/>
  <c r="AN362" i="2"/>
  <c r="AI366" i="2"/>
  <c r="AJ365" i="2"/>
  <c r="AH365" i="2"/>
  <c r="AS363" i="2"/>
  <c r="AT362" i="2"/>
  <c r="AR362" i="2"/>
  <c r="AX363" i="2"/>
  <c r="AV363" i="2"/>
  <c r="AW364" i="2"/>
  <c r="AW365" i="2" l="1"/>
  <c r="AX364" i="2"/>
  <c r="AV364" i="2"/>
  <c r="AS364" i="2"/>
  <c r="AT363" i="2"/>
  <c r="AR363" i="2"/>
  <c r="AI367" i="2"/>
  <c r="AJ366" i="2"/>
  <c r="AH366" i="2"/>
  <c r="AM364" i="2"/>
  <c r="AN363" i="2"/>
  <c r="AL363" i="2"/>
  <c r="AN364" i="2" l="1"/>
  <c r="AL364" i="2"/>
  <c r="AM365" i="2"/>
  <c r="AH367" i="2"/>
  <c r="AI368" i="2"/>
  <c r="AJ367" i="2"/>
  <c r="AS365" i="2"/>
  <c r="AT364" i="2"/>
  <c r="AR364" i="2"/>
  <c r="AV365" i="2"/>
  <c r="AW366" i="2"/>
  <c r="AX365" i="2"/>
  <c r="AT365" i="2" l="1"/>
  <c r="AR365" i="2"/>
  <c r="AS366" i="2"/>
  <c r="AN365" i="2"/>
  <c r="AL365" i="2"/>
  <c r="AM366" i="2"/>
  <c r="AX366" i="2"/>
  <c r="AV366" i="2"/>
  <c r="AW367" i="2"/>
  <c r="AJ368" i="2"/>
  <c r="AH368" i="2"/>
  <c r="AI369" i="2"/>
  <c r="AX367" i="2" l="1"/>
  <c r="AW368" i="2"/>
  <c r="AV367" i="2"/>
  <c r="AI370" i="2"/>
  <c r="AJ369" i="2"/>
  <c r="AH369" i="2"/>
  <c r="AN366" i="2"/>
  <c r="AL366" i="2"/>
  <c r="AM367" i="2"/>
  <c r="AR366" i="2"/>
  <c r="AS367" i="2"/>
  <c r="AT366" i="2"/>
  <c r="AM368" i="2" l="1"/>
  <c r="AN367" i="2"/>
  <c r="AL367" i="2"/>
  <c r="AV368" i="2"/>
  <c r="AW369" i="2"/>
  <c r="AX368" i="2"/>
  <c r="AS368" i="2"/>
  <c r="AT367" i="2"/>
  <c r="AR367" i="2"/>
  <c r="AI371" i="2"/>
  <c r="AJ370" i="2"/>
  <c r="AH370" i="2"/>
  <c r="AH371" i="2" l="1"/>
  <c r="AI372" i="2"/>
  <c r="AJ371" i="2"/>
  <c r="AS369" i="2"/>
  <c r="AT368" i="2"/>
  <c r="AR368" i="2"/>
  <c r="AV369" i="2"/>
  <c r="AW370" i="2"/>
  <c r="AX369" i="2"/>
  <c r="AN368" i="2"/>
  <c r="AL368" i="2"/>
  <c r="AM369" i="2"/>
  <c r="AX370" i="2" l="1"/>
  <c r="AV370" i="2"/>
  <c r="AW371" i="2"/>
  <c r="AN369" i="2"/>
  <c r="AL369" i="2"/>
  <c r="AM370" i="2"/>
  <c r="AJ372" i="2"/>
  <c r="AH372" i="2"/>
  <c r="AI373" i="2"/>
  <c r="AT369" i="2"/>
  <c r="AR369" i="2"/>
  <c r="AS370" i="2"/>
  <c r="AT370" i="2" l="1"/>
  <c r="AR370" i="2"/>
  <c r="AS371" i="2"/>
  <c r="AH373" i="2"/>
  <c r="AI374" i="2"/>
  <c r="AJ373" i="2"/>
  <c r="AN370" i="2"/>
  <c r="AL370" i="2"/>
  <c r="AM371" i="2"/>
  <c r="AX371" i="2"/>
  <c r="AW372" i="2"/>
  <c r="AV371" i="2"/>
  <c r="AX372" i="2" l="1"/>
  <c r="AV372" i="2"/>
  <c r="AW373" i="2"/>
  <c r="AM372" i="2"/>
  <c r="AN371" i="2"/>
  <c r="AL371" i="2"/>
  <c r="AI375" i="2"/>
  <c r="AJ374" i="2"/>
  <c r="AH374" i="2"/>
  <c r="AS372" i="2"/>
  <c r="AT371" i="2"/>
  <c r="AR371" i="2"/>
  <c r="AS373" i="2" l="1"/>
  <c r="AT372" i="2"/>
  <c r="AR372" i="2"/>
  <c r="AH375" i="2"/>
  <c r="AI376" i="2"/>
  <c r="AJ375" i="2"/>
  <c r="AN372" i="2"/>
  <c r="AL372" i="2"/>
  <c r="AM373" i="2"/>
  <c r="AV373" i="2"/>
  <c r="AW374" i="2"/>
  <c r="AX373" i="2"/>
  <c r="AX374" i="2" l="1"/>
  <c r="AV374" i="2"/>
  <c r="AW375" i="2"/>
  <c r="AN373" i="2"/>
  <c r="AL373" i="2"/>
  <c r="AM374" i="2"/>
  <c r="AJ376" i="2"/>
  <c r="AI377" i="2"/>
  <c r="AH376" i="2"/>
  <c r="AT373" i="2"/>
  <c r="AR373" i="2"/>
  <c r="AS374" i="2"/>
  <c r="AJ377" i="2" l="1"/>
  <c r="AH377" i="2"/>
  <c r="AI378" i="2"/>
  <c r="AT374" i="2"/>
  <c r="AR374" i="2"/>
  <c r="AS375" i="2"/>
  <c r="AM375" i="2"/>
  <c r="AN374" i="2"/>
  <c r="AL374" i="2"/>
  <c r="AX375" i="2"/>
  <c r="AW376" i="2"/>
  <c r="AV375" i="2"/>
  <c r="AX376" i="2" l="1"/>
  <c r="AV376" i="2"/>
  <c r="AW377" i="2"/>
  <c r="AM376" i="2"/>
  <c r="AL375" i="2"/>
  <c r="AN375" i="2"/>
  <c r="AS376" i="2"/>
  <c r="AT375" i="2"/>
  <c r="AR375" i="2"/>
  <c r="AI379" i="2"/>
  <c r="AJ378" i="2"/>
  <c r="AH378" i="2"/>
  <c r="AS377" i="2" l="1"/>
  <c r="AT376" i="2"/>
  <c r="AR376" i="2"/>
  <c r="AH379" i="2"/>
  <c r="AI380" i="2"/>
  <c r="AJ379" i="2"/>
  <c r="AN376" i="2"/>
  <c r="AL376" i="2"/>
  <c r="AM377" i="2"/>
  <c r="AV377" i="2"/>
  <c r="AW378" i="2"/>
  <c r="AX377" i="2"/>
  <c r="AX378" i="2" l="1"/>
  <c r="AV378" i="2"/>
  <c r="AW379" i="2"/>
  <c r="AN377" i="2"/>
  <c r="AL377" i="2"/>
  <c r="AM378" i="2"/>
  <c r="AJ380" i="2"/>
  <c r="AH380" i="2"/>
  <c r="AI381" i="2"/>
  <c r="AT377" i="2"/>
  <c r="AR377" i="2"/>
  <c r="AS378" i="2"/>
  <c r="AM379" i="2" l="1"/>
  <c r="AN378" i="2"/>
  <c r="AL378" i="2"/>
  <c r="AT378" i="2"/>
  <c r="AS379" i="2"/>
  <c r="AR378" i="2"/>
  <c r="AI382" i="2"/>
  <c r="AJ381" i="2"/>
  <c r="AH381" i="2"/>
  <c r="AW380" i="2"/>
  <c r="AX379" i="2"/>
  <c r="AV379" i="2"/>
  <c r="AW381" i="2" l="1"/>
  <c r="AX380" i="2"/>
  <c r="AV380" i="2"/>
  <c r="AH382" i="2"/>
  <c r="AI383" i="2"/>
  <c r="AJ382" i="2"/>
  <c r="AT379" i="2"/>
  <c r="AR379" i="2"/>
  <c r="AS380" i="2"/>
  <c r="AM380" i="2"/>
  <c r="AN379" i="2"/>
  <c r="AL379" i="2"/>
  <c r="AN380" i="2" l="1"/>
  <c r="AL380" i="2"/>
  <c r="AM381" i="2"/>
  <c r="AT380" i="2"/>
  <c r="AR380" i="2"/>
  <c r="AS381" i="2"/>
  <c r="AJ383" i="2"/>
  <c r="AH383" i="2"/>
  <c r="AI384" i="2"/>
  <c r="AX381" i="2"/>
  <c r="AV381" i="2"/>
  <c r="AW382" i="2"/>
  <c r="AJ384" i="2" l="1"/>
  <c r="AH384" i="2"/>
  <c r="AI385" i="2"/>
  <c r="AT381" i="2"/>
  <c r="AR381" i="2"/>
  <c r="AS382" i="2"/>
  <c r="AX382" i="2"/>
  <c r="AV382" i="2"/>
  <c r="AW383" i="2"/>
  <c r="AN381" i="2"/>
  <c r="AM382" i="2"/>
  <c r="AL381" i="2"/>
  <c r="AM383" i="2" l="1"/>
  <c r="AL382" i="2"/>
  <c r="AN382" i="2"/>
  <c r="AS383" i="2"/>
  <c r="AT382" i="2"/>
  <c r="AR382" i="2"/>
  <c r="AW384" i="2"/>
  <c r="AX383" i="2"/>
  <c r="AV383" i="2"/>
  <c r="AI386" i="2"/>
  <c r="AJ385" i="2"/>
  <c r="AH385" i="2"/>
  <c r="AH386" i="2" l="1"/>
  <c r="AJ386" i="2"/>
  <c r="AI387" i="2"/>
  <c r="AV384" i="2"/>
  <c r="AW385" i="2"/>
  <c r="AX384" i="2"/>
  <c r="AS384" i="2"/>
  <c r="AT383" i="2"/>
  <c r="AR383" i="2"/>
  <c r="AN383" i="2"/>
  <c r="AL383" i="2"/>
  <c r="AM384" i="2"/>
  <c r="AJ387" i="2" l="1"/>
  <c r="AH387" i="2"/>
  <c r="AI388" i="2"/>
  <c r="AN384" i="2"/>
  <c r="AL384" i="2"/>
  <c r="AM385" i="2"/>
  <c r="AT384" i="2"/>
  <c r="AR384" i="2"/>
  <c r="AS385" i="2"/>
  <c r="AX385" i="2"/>
  <c r="AV385" i="2"/>
  <c r="AW386" i="2"/>
  <c r="AW387" i="2" l="1"/>
  <c r="AX386" i="2"/>
  <c r="AV386" i="2"/>
  <c r="AT385" i="2"/>
  <c r="AS386" i="2"/>
  <c r="AR385" i="2"/>
  <c r="AN385" i="2"/>
  <c r="AL385" i="2"/>
  <c r="AM386" i="2"/>
  <c r="AI389" i="2"/>
  <c r="AJ388" i="2"/>
  <c r="AH388" i="2"/>
  <c r="AH389" i="2" l="1"/>
  <c r="AI390" i="2"/>
  <c r="AJ389" i="2"/>
  <c r="AS387" i="2"/>
  <c r="AT386" i="2"/>
  <c r="AR386" i="2"/>
  <c r="AM387" i="2"/>
  <c r="AL386" i="2"/>
  <c r="AN386" i="2"/>
  <c r="AW388" i="2"/>
  <c r="AX387" i="2"/>
  <c r="AV387" i="2"/>
  <c r="AN387" i="2" l="1"/>
  <c r="AL387" i="2"/>
  <c r="AM388" i="2"/>
  <c r="AT387" i="2"/>
  <c r="AR387" i="2"/>
  <c r="AS388" i="2"/>
  <c r="AH390" i="2"/>
  <c r="AJ390" i="2"/>
  <c r="AI391" i="2"/>
  <c r="AX388" i="2"/>
  <c r="AV388" i="2"/>
  <c r="AW389" i="2"/>
  <c r="AI392" i="2" l="1"/>
  <c r="AJ391" i="2"/>
  <c r="AH391" i="2"/>
  <c r="AX389" i="2"/>
  <c r="AW390" i="2"/>
  <c r="AV389" i="2"/>
  <c r="AT388" i="2"/>
  <c r="AR388" i="2"/>
  <c r="AS389" i="2"/>
  <c r="AN388" i="2"/>
  <c r="AL388" i="2"/>
  <c r="AM389" i="2"/>
  <c r="AM390" i="2" l="1"/>
  <c r="AN389" i="2"/>
  <c r="AL389" i="2"/>
  <c r="AT389" i="2"/>
  <c r="AS390" i="2"/>
  <c r="AR389" i="2"/>
  <c r="AW391" i="2"/>
  <c r="AX390" i="2"/>
  <c r="AV390" i="2"/>
  <c r="AI393" i="2"/>
  <c r="AH392" i="2"/>
  <c r="AJ392" i="2"/>
  <c r="AX391" i="2" l="1"/>
  <c r="AV391" i="2"/>
  <c r="AW392" i="2"/>
  <c r="AJ393" i="2"/>
  <c r="AH393" i="2"/>
  <c r="AI394" i="2"/>
  <c r="AR390" i="2"/>
  <c r="AS391" i="2"/>
  <c r="AT390" i="2"/>
  <c r="AM391" i="2"/>
  <c r="AN390" i="2"/>
  <c r="AL390" i="2"/>
  <c r="AN391" i="2" l="1"/>
  <c r="AL391" i="2"/>
  <c r="AM392" i="2"/>
  <c r="AT391" i="2"/>
  <c r="AR391" i="2"/>
  <c r="AS392" i="2"/>
  <c r="AH394" i="2"/>
  <c r="AJ394" i="2"/>
  <c r="AI395" i="2"/>
  <c r="AX392" i="2"/>
  <c r="AV392" i="2"/>
  <c r="AW393" i="2"/>
  <c r="AI396" i="2" l="1"/>
  <c r="AJ395" i="2"/>
  <c r="AH395" i="2"/>
  <c r="AX393" i="2"/>
  <c r="AW394" i="2"/>
  <c r="AV393" i="2"/>
  <c r="AT392" i="2"/>
  <c r="AR392" i="2"/>
  <c r="AS393" i="2"/>
  <c r="AM393" i="2"/>
  <c r="AN392" i="2"/>
  <c r="AL392" i="2"/>
  <c r="AS394" i="2" l="1"/>
  <c r="AT393" i="2"/>
  <c r="AR393" i="2"/>
  <c r="AL393" i="2"/>
  <c r="AM394" i="2"/>
  <c r="AN393" i="2"/>
  <c r="AV394" i="2"/>
  <c r="AW395" i="2"/>
  <c r="AX394" i="2"/>
  <c r="AJ396" i="2"/>
  <c r="AH396" i="2"/>
  <c r="AI397" i="2"/>
  <c r="AJ397" i="2" l="1"/>
  <c r="AH397" i="2"/>
  <c r="AI398" i="2"/>
  <c r="AX395" i="2"/>
  <c r="AV395" i="2"/>
  <c r="AW396" i="2"/>
  <c r="AM395" i="2"/>
  <c r="AN394" i="2"/>
  <c r="AL394" i="2"/>
  <c r="AT394" i="2"/>
  <c r="AR394" i="2"/>
  <c r="AS395" i="2"/>
  <c r="AT395" i="2" l="1"/>
  <c r="AR395" i="2"/>
  <c r="AS396" i="2"/>
  <c r="AN395" i="2"/>
  <c r="AM396" i="2"/>
  <c r="AL395" i="2"/>
  <c r="AX396" i="2"/>
  <c r="AW397" i="2"/>
  <c r="AV396" i="2"/>
  <c r="AH398" i="2"/>
  <c r="AI399" i="2"/>
  <c r="AJ398" i="2"/>
  <c r="AH399" i="2" l="1"/>
  <c r="AI400" i="2"/>
  <c r="AJ399" i="2"/>
  <c r="AW398" i="2"/>
  <c r="AX397" i="2"/>
  <c r="AV397" i="2"/>
  <c r="AM397" i="2"/>
  <c r="AN396" i="2"/>
  <c r="AL396" i="2"/>
  <c r="AT396" i="2"/>
  <c r="AS397" i="2"/>
  <c r="AR396" i="2"/>
  <c r="AX398" i="2" l="1"/>
  <c r="AV398" i="2"/>
  <c r="AW399" i="2"/>
  <c r="AJ400" i="2"/>
  <c r="AH400" i="2"/>
  <c r="AI401" i="2"/>
  <c r="AR397" i="2"/>
  <c r="AS398" i="2"/>
  <c r="AT397" i="2"/>
  <c r="AN397" i="2"/>
  <c r="AL397" i="2"/>
  <c r="AM398" i="2"/>
  <c r="AT398" i="2" l="1"/>
  <c r="AR398" i="2"/>
  <c r="AS399" i="2"/>
  <c r="AJ401" i="2"/>
  <c r="AI402" i="2"/>
  <c r="AH401" i="2"/>
  <c r="AM399" i="2"/>
  <c r="AN398" i="2"/>
  <c r="AL398" i="2"/>
  <c r="AX399" i="2"/>
  <c r="AV399" i="2"/>
  <c r="AW400" i="2"/>
  <c r="AW401" i="2" l="1"/>
  <c r="AX400" i="2"/>
  <c r="AV400" i="2"/>
  <c r="AT399" i="2"/>
  <c r="AS400" i="2"/>
  <c r="AR399" i="2"/>
  <c r="AM400" i="2"/>
  <c r="AL399" i="2"/>
  <c r="AN399" i="2"/>
  <c r="AH402" i="2"/>
  <c r="AI403" i="2"/>
  <c r="AJ402" i="2"/>
  <c r="AN400" i="2" l="1"/>
  <c r="AL400" i="2"/>
  <c r="AM401" i="2"/>
  <c r="AJ403" i="2"/>
  <c r="AH403" i="2"/>
  <c r="AI404" i="2"/>
  <c r="AT400" i="2"/>
  <c r="AS401" i="2"/>
  <c r="AR400" i="2"/>
  <c r="AV401" i="2"/>
  <c r="AW402" i="2"/>
  <c r="AX401" i="2"/>
  <c r="AX402" i="2" l="1"/>
  <c r="AV402" i="2"/>
  <c r="AW403" i="2"/>
  <c r="AJ404" i="2"/>
  <c r="AH404" i="2"/>
  <c r="AI405" i="2"/>
  <c r="AT401" i="2"/>
  <c r="AR401" i="2"/>
  <c r="AS402" i="2"/>
  <c r="AN401" i="2"/>
  <c r="AL401" i="2"/>
  <c r="AM402" i="2"/>
  <c r="AM403" i="2" l="1"/>
  <c r="AN402" i="2"/>
  <c r="AL402" i="2"/>
  <c r="AI406" i="2"/>
  <c r="AJ405" i="2"/>
  <c r="AH405" i="2"/>
  <c r="AT402" i="2"/>
  <c r="AR402" i="2"/>
  <c r="AS403" i="2"/>
  <c r="AX403" i="2"/>
  <c r="AW404" i="2"/>
  <c r="AV403" i="2"/>
  <c r="AS404" i="2" l="1"/>
  <c r="AT403" i="2"/>
  <c r="AR403" i="2"/>
  <c r="AV404" i="2"/>
  <c r="AW405" i="2"/>
  <c r="AX404" i="2"/>
  <c r="AH406" i="2"/>
  <c r="AJ406" i="2"/>
  <c r="AI407" i="2"/>
  <c r="AL403" i="2"/>
  <c r="AM404" i="2"/>
  <c r="AN403" i="2"/>
  <c r="AN404" i="2" l="1"/>
  <c r="AL404" i="2"/>
  <c r="AM405" i="2"/>
  <c r="AX405" i="2"/>
  <c r="AV405" i="2"/>
  <c r="AW406" i="2"/>
  <c r="AJ407" i="2"/>
  <c r="AH407" i="2"/>
  <c r="AI408" i="2"/>
  <c r="AT404" i="2"/>
  <c r="AR404" i="2"/>
  <c r="AS405" i="2"/>
  <c r="AT405" i="2" l="1"/>
  <c r="AR405" i="2"/>
  <c r="AS406" i="2"/>
  <c r="AX406" i="2"/>
  <c r="AV406" i="2"/>
  <c r="AW407" i="2"/>
  <c r="AJ408" i="2"/>
  <c r="AI409" i="2"/>
  <c r="AH408" i="2"/>
  <c r="AN405" i="2"/>
  <c r="AM406" i="2"/>
  <c r="AL405" i="2"/>
  <c r="AM407" i="2" l="1"/>
  <c r="AN406" i="2"/>
  <c r="AL406" i="2"/>
  <c r="AH409" i="2"/>
  <c r="AI410" i="2"/>
  <c r="AJ409" i="2"/>
  <c r="AW408" i="2"/>
  <c r="AX407" i="2"/>
  <c r="AV407" i="2"/>
  <c r="AS407" i="2"/>
  <c r="AR406" i="2"/>
  <c r="AT406" i="2"/>
  <c r="AR407" i="2" l="1"/>
  <c r="AS408" i="2"/>
  <c r="AT407" i="2"/>
  <c r="AH410" i="2"/>
  <c r="AJ410" i="2"/>
  <c r="AI411" i="2"/>
  <c r="AX408" i="2"/>
  <c r="AV408" i="2"/>
  <c r="AW409" i="2"/>
  <c r="AN407" i="2"/>
  <c r="AL407" i="2"/>
  <c r="AM408" i="2"/>
  <c r="AN408" i="2" l="1"/>
  <c r="AL408" i="2"/>
  <c r="AM409" i="2"/>
  <c r="AT408" i="2"/>
  <c r="AR408" i="2"/>
  <c r="AS409" i="2"/>
  <c r="AX409" i="2"/>
  <c r="AV409" i="2"/>
  <c r="AW410" i="2"/>
  <c r="AJ411" i="2"/>
  <c r="AH411" i="2"/>
  <c r="AI412" i="2"/>
  <c r="AI413" i="2" l="1"/>
  <c r="AJ412" i="2"/>
  <c r="AH412" i="2"/>
  <c r="AW411" i="2"/>
  <c r="AX410" i="2"/>
  <c r="AV410" i="2"/>
  <c r="AT409" i="2"/>
  <c r="AS410" i="2"/>
  <c r="AR409" i="2"/>
  <c r="AM410" i="2"/>
  <c r="AN409" i="2"/>
  <c r="AL409" i="2"/>
  <c r="AM411" i="2" l="1"/>
  <c r="AN410" i="2"/>
  <c r="AL410" i="2"/>
  <c r="AS411" i="2"/>
  <c r="AT410" i="2"/>
  <c r="AR410" i="2"/>
  <c r="AV411" i="2"/>
  <c r="AW412" i="2"/>
  <c r="AX411" i="2"/>
  <c r="AJ413" i="2"/>
  <c r="AH413" i="2"/>
  <c r="AI414" i="2"/>
  <c r="AH414" i="2" l="1"/>
  <c r="AJ414" i="2"/>
  <c r="AI415" i="2"/>
  <c r="AX412" i="2"/>
  <c r="AV412" i="2"/>
  <c r="AW413" i="2"/>
  <c r="AT411" i="2"/>
  <c r="AR411" i="2"/>
  <c r="AS412" i="2"/>
  <c r="AN411" i="2"/>
  <c r="AL411" i="2"/>
  <c r="AM412" i="2"/>
  <c r="AN412" i="2" l="1"/>
  <c r="AM413" i="2"/>
  <c r="AL412" i="2"/>
  <c r="AX413" i="2"/>
  <c r="AV413" i="2"/>
  <c r="AW414" i="2"/>
  <c r="AT412" i="2"/>
  <c r="AR412" i="2"/>
  <c r="AS413" i="2"/>
  <c r="AJ415" i="2"/>
  <c r="AI416" i="2"/>
  <c r="AH415" i="2"/>
  <c r="AS414" i="2" l="1"/>
  <c r="AT413" i="2"/>
  <c r="AR413" i="2"/>
  <c r="AL413" i="2"/>
  <c r="AM414" i="2"/>
  <c r="AN413" i="2"/>
  <c r="AJ416" i="2"/>
  <c r="AH416" i="2"/>
  <c r="AI417" i="2"/>
  <c r="AW415" i="2"/>
  <c r="AV414" i="2"/>
  <c r="AX414" i="2"/>
  <c r="AJ417" i="2" l="1"/>
  <c r="AH417" i="2"/>
  <c r="AI418" i="2"/>
  <c r="AX415" i="2"/>
  <c r="AV415" i="2"/>
  <c r="AW416" i="2"/>
  <c r="AM415" i="2"/>
  <c r="AN414" i="2"/>
  <c r="AL414" i="2"/>
  <c r="AT414" i="2"/>
  <c r="AR414" i="2"/>
  <c r="AS415" i="2"/>
  <c r="AT415" i="2" l="1"/>
  <c r="AR415" i="2"/>
  <c r="AS416" i="2"/>
  <c r="AN415" i="2"/>
  <c r="AM416" i="2"/>
  <c r="AL415" i="2"/>
  <c r="AW417" i="2"/>
  <c r="AX416" i="2"/>
  <c r="AV416" i="2"/>
  <c r="AH418" i="2"/>
  <c r="AI419" i="2"/>
  <c r="AJ418" i="2"/>
  <c r="AJ419" i="2" l="1"/>
  <c r="AH419" i="2"/>
  <c r="AI420" i="2"/>
  <c r="AW418" i="2"/>
  <c r="AX417" i="2"/>
  <c r="AV417" i="2"/>
  <c r="AM417" i="2"/>
  <c r="AN416" i="2"/>
  <c r="AL416" i="2"/>
  <c r="AT416" i="2"/>
  <c r="AR416" i="2"/>
  <c r="AS417" i="2"/>
  <c r="AN417" i="2" l="1"/>
  <c r="AL417" i="2"/>
  <c r="AM418" i="2"/>
  <c r="AT417" i="2"/>
  <c r="AR417" i="2"/>
  <c r="AS418" i="2"/>
  <c r="AX418" i="2"/>
  <c r="AV418" i="2"/>
  <c r="AW419" i="2"/>
  <c r="AJ420" i="2"/>
  <c r="AH420" i="2"/>
  <c r="AI421" i="2"/>
  <c r="AT418" i="2" l="1"/>
  <c r="AR418" i="2"/>
  <c r="AS419" i="2"/>
  <c r="AW420" i="2"/>
  <c r="AX419" i="2"/>
  <c r="AV419" i="2"/>
  <c r="AI422" i="2"/>
  <c r="AJ421" i="2"/>
  <c r="AH421" i="2"/>
  <c r="AM419" i="2"/>
  <c r="AN418" i="2"/>
  <c r="AL418" i="2"/>
  <c r="AL419" i="2" l="1"/>
  <c r="AM420" i="2"/>
  <c r="AN419" i="2"/>
  <c r="AH422" i="2"/>
  <c r="AJ422" i="2"/>
  <c r="AI423" i="2"/>
  <c r="AW421" i="2"/>
  <c r="AV420" i="2"/>
  <c r="AX420" i="2"/>
  <c r="AS420" i="2"/>
  <c r="AT419" i="2"/>
  <c r="AR419" i="2"/>
  <c r="AT420" i="2" l="1"/>
  <c r="AR420" i="2"/>
  <c r="AS421" i="2"/>
  <c r="AX421" i="2"/>
  <c r="AV421" i="2"/>
  <c r="AW422" i="2"/>
  <c r="AJ423" i="2"/>
  <c r="AH423" i="2"/>
  <c r="AI424" i="2"/>
  <c r="AN420" i="2"/>
  <c r="AL420" i="2"/>
  <c r="AM421" i="2"/>
  <c r="AI425" i="2" l="1"/>
  <c r="AJ424" i="2"/>
  <c r="AH424" i="2"/>
  <c r="AM422" i="2"/>
  <c r="AN421" i="2"/>
  <c r="AL421" i="2"/>
  <c r="AW423" i="2"/>
  <c r="AX422" i="2"/>
  <c r="AV422" i="2"/>
  <c r="AT421" i="2"/>
  <c r="AR421" i="2"/>
  <c r="AS422" i="2"/>
  <c r="AV423" i="2" l="1"/>
  <c r="AW424" i="2"/>
  <c r="AX423" i="2"/>
  <c r="AS423" i="2"/>
  <c r="AT422" i="2"/>
  <c r="AR422" i="2"/>
  <c r="AM423" i="2"/>
  <c r="AL422" i="2"/>
  <c r="AN422" i="2"/>
  <c r="AJ425" i="2"/>
  <c r="AH425" i="2"/>
  <c r="AI426" i="2"/>
  <c r="AM424" i="2" l="1"/>
  <c r="AN423" i="2"/>
  <c r="AL423" i="2"/>
  <c r="AS424" i="2"/>
  <c r="AT423" i="2"/>
  <c r="AR423" i="2"/>
  <c r="AV424" i="2"/>
  <c r="AX424" i="2"/>
  <c r="AW425" i="2"/>
  <c r="AJ426" i="2"/>
  <c r="AH426" i="2"/>
  <c r="AI427" i="2"/>
  <c r="AW426" i="2" l="1"/>
  <c r="AX425" i="2"/>
  <c r="AV425" i="2"/>
  <c r="AH427" i="2"/>
  <c r="AI428" i="2"/>
  <c r="AJ427" i="2"/>
  <c r="AT424" i="2"/>
  <c r="AR424" i="2"/>
  <c r="AS425" i="2"/>
  <c r="AM425" i="2"/>
  <c r="AL424" i="2"/>
  <c r="AN424" i="2"/>
  <c r="AJ428" i="2" l="1"/>
  <c r="AH428" i="2"/>
  <c r="AI429" i="2"/>
  <c r="AN425" i="2"/>
  <c r="AL425" i="2"/>
  <c r="AM426" i="2"/>
  <c r="AT425" i="2"/>
  <c r="AS426" i="2"/>
  <c r="AR425" i="2"/>
  <c r="AX426" i="2"/>
  <c r="AV426" i="2"/>
  <c r="AW427" i="2"/>
  <c r="AN426" i="2" l="1"/>
  <c r="AL426" i="2"/>
  <c r="AM427" i="2"/>
  <c r="AH429" i="2"/>
  <c r="AI430" i="2"/>
  <c r="AJ429" i="2"/>
  <c r="AW428" i="2"/>
  <c r="AX427" i="2"/>
  <c r="AV427" i="2"/>
  <c r="AS427" i="2"/>
  <c r="AT426" i="2"/>
  <c r="AR426" i="2"/>
  <c r="AW429" i="2" l="1"/>
  <c r="AV428" i="2"/>
  <c r="AX428" i="2"/>
  <c r="AM428" i="2"/>
  <c r="AN427" i="2"/>
  <c r="AL427" i="2"/>
  <c r="AS428" i="2"/>
  <c r="AT427" i="2"/>
  <c r="AR427" i="2"/>
  <c r="AI431" i="2"/>
  <c r="AJ430" i="2"/>
  <c r="AH430" i="2"/>
  <c r="AT428" i="2" l="1"/>
  <c r="AR428" i="2"/>
  <c r="AS429" i="2"/>
  <c r="AN428" i="2"/>
  <c r="AL428" i="2"/>
  <c r="AM429" i="2"/>
  <c r="AH431" i="2"/>
  <c r="AI432" i="2"/>
  <c r="AJ431" i="2"/>
  <c r="AV429" i="2"/>
  <c r="AX429" i="2"/>
  <c r="AW430" i="2"/>
  <c r="AW431" i="2" l="1"/>
  <c r="AX430" i="2"/>
  <c r="AV430" i="2"/>
  <c r="AM430" i="2"/>
  <c r="AN429" i="2"/>
  <c r="AL429" i="2"/>
  <c r="AH432" i="2"/>
  <c r="AJ432" i="2"/>
  <c r="AI433" i="2"/>
  <c r="AT429" i="2"/>
  <c r="AR429" i="2"/>
  <c r="AS430" i="2"/>
  <c r="AR430" i="2" l="1"/>
  <c r="AS431" i="2"/>
  <c r="AT430" i="2"/>
  <c r="AJ433" i="2"/>
  <c r="AH433" i="2"/>
  <c r="AI434" i="2"/>
  <c r="AN430" i="2"/>
  <c r="AL430" i="2"/>
  <c r="AM431" i="2"/>
  <c r="AX431" i="2"/>
  <c r="AV431" i="2"/>
  <c r="AW432" i="2"/>
  <c r="AM432" i="2" l="1"/>
  <c r="AN431" i="2"/>
  <c r="AL431" i="2"/>
  <c r="AI435" i="2"/>
  <c r="AH434" i="2"/>
  <c r="AJ434" i="2"/>
  <c r="AT431" i="2"/>
  <c r="AR431" i="2"/>
  <c r="AS432" i="2"/>
  <c r="AW433" i="2"/>
  <c r="AX432" i="2"/>
  <c r="AV432" i="2"/>
  <c r="AV433" i="2" l="1"/>
  <c r="AW434" i="2"/>
  <c r="AX433" i="2"/>
  <c r="AS433" i="2"/>
  <c r="AT432" i="2"/>
  <c r="AR432" i="2"/>
  <c r="AH435" i="2"/>
  <c r="AJ435" i="2"/>
  <c r="AI436" i="2"/>
  <c r="AN432" i="2"/>
  <c r="AM433" i="2"/>
  <c r="AL432" i="2"/>
  <c r="AI437" i="2" l="1"/>
  <c r="AJ436" i="2"/>
  <c r="AH436" i="2"/>
  <c r="AT433" i="2"/>
  <c r="AR433" i="2"/>
  <c r="AS434" i="2"/>
  <c r="AX434" i="2"/>
  <c r="AV434" i="2"/>
  <c r="AW435" i="2"/>
  <c r="AN433" i="2"/>
  <c r="AL433" i="2"/>
  <c r="AM434" i="2"/>
  <c r="AS435" i="2" l="1"/>
  <c r="AT434" i="2"/>
  <c r="AR434" i="2"/>
  <c r="AM435" i="2"/>
  <c r="AN434" i="2"/>
  <c r="AL434" i="2"/>
  <c r="AW436" i="2"/>
  <c r="AV435" i="2"/>
  <c r="AX435" i="2"/>
  <c r="AJ437" i="2"/>
  <c r="AH437" i="2"/>
  <c r="AI438" i="2"/>
  <c r="AX436" i="2" l="1"/>
  <c r="AV436" i="2"/>
  <c r="AW437" i="2"/>
  <c r="AI439" i="2"/>
  <c r="AJ438" i="2"/>
  <c r="AH438" i="2"/>
  <c r="AM436" i="2"/>
  <c r="AN435" i="2"/>
  <c r="AL435" i="2"/>
  <c r="AT435" i="2"/>
  <c r="AR435" i="2"/>
  <c r="AS436" i="2"/>
  <c r="AN436" i="2" l="1"/>
  <c r="AM437" i="2"/>
  <c r="AL436" i="2"/>
  <c r="AV437" i="2"/>
  <c r="AW438" i="2"/>
  <c r="AX437" i="2"/>
  <c r="AT436" i="2"/>
  <c r="AR436" i="2"/>
  <c r="AS437" i="2"/>
  <c r="AH439" i="2"/>
  <c r="AJ439" i="2"/>
  <c r="AI440" i="2"/>
  <c r="AJ440" i="2" l="1"/>
  <c r="AH440" i="2"/>
  <c r="AI441" i="2"/>
  <c r="AX438" i="2"/>
  <c r="AV438" i="2"/>
  <c r="AW439" i="2"/>
  <c r="AL437" i="2"/>
  <c r="AM438" i="2"/>
  <c r="AN437" i="2"/>
  <c r="AT437" i="2"/>
  <c r="AS438" i="2"/>
  <c r="AR437" i="2"/>
  <c r="AT438" i="2" l="1"/>
  <c r="AR438" i="2"/>
  <c r="AS439" i="2"/>
  <c r="AN438" i="2"/>
  <c r="AL438" i="2"/>
  <c r="AM439" i="2"/>
  <c r="AJ441" i="2"/>
  <c r="AH441" i="2"/>
  <c r="AI442" i="2"/>
  <c r="AW440" i="2"/>
  <c r="AX439" i="2"/>
  <c r="AV439" i="2"/>
  <c r="AM440" i="2" l="1"/>
  <c r="AN439" i="2"/>
  <c r="AL439" i="2"/>
  <c r="AV440" i="2"/>
  <c r="AW441" i="2"/>
  <c r="AX440" i="2"/>
  <c r="AI443" i="2"/>
  <c r="AJ442" i="2"/>
  <c r="AH442" i="2"/>
  <c r="AT439" i="2"/>
  <c r="AR439" i="2"/>
  <c r="AS440" i="2"/>
  <c r="AH443" i="2" l="1"/>
  <c r="AI444" i="2"/>
  <c r="AJ443" i="2"/>
  <c r="AS441" i="2"/>
  <c r="AT440" i="2"/>
  <c r="AR440" i="2"/>
  <c r="AV441" i="2"/>
  <c r="AX441" i="2"/>
  <c r="AW442" i="2"/>
  <c r="AN440" i="2"/>
  <c r="AL440" i="2"/>
  <c r="AM441" i="2"/>
  <c r="AM442" i="2" l="1"/>
  <c r="AN441" i="2"/>
  <c r="AL441" i="2"/>
  <c r="AX442" i="2"/>
  <c r="AV442" i="2"/>
  <c r="AW443" i="2"/>
  <c r="AT441" i="2"/>
  <c r="AS442" i="2"/>
  <c r="AR441" i="2"/>
  <c r="AJ444" i="2"/>
  <c r="AH444" i="2"/>
  <c r="AI445" i="2"/>
  <c r="AI446" i="2" l="1"/>
  <c r="AJ445" i="2"/>
  <c r="AH445" i="2"/>
  <c r="AT442" i="2"/>
  <c r="AR442" i="2"/>
  <c r="AS443" i="2"/>
  <c r="AX443" i="2"/>
  <c r="AV443" i="2"/>
  <c r="AW444" i="2"/>
  <c r="AN442" i="2"/>
  <c r="AL442" i="2"/>
  <c r="AM443" i="2"/>
  <c r="AM444" i="2" l="1"/>
  <c r="AN443" i="2"/>
  <c r="AL443" i="2"/>
  <c r="AV444" i="2"/>
  <c r="AW445" i="2"/>
  <c r="AX444" i="2"/>
  <c r="AS444" i="2"/>
  <c r="AT443" i="2"/>
  <c r="AR443" i="2"/>
  <c r="AI447" i="2"/>
  <c r="AJ446" i="2"/>
  <c r="AH446" i="2"/>
  <c r="AH447" i="2" l="1"/>
  <c r="AI448" i="2"/>
  <c r="AJ447" i="2"/>
  <c r="AS445" i="2"/>
  <c r="AT444" i="2"/>
  <c r="AR444" i="2"/>
  <c r="AV445" i="2"/>
  <c r="AW446" i="2"/>
  <c r="AX445" i="2"/>
  <c r="AN444" i="2"/>
  <c r="AL444" i="2"/>
  <c r="AM445" i="2"/>
  <c r="AM446" i="2" l="1"/>
  <c r="AN445" i="2"/>
  <c r="AL445" i="2"/>
  <c r="AT445" i="2"/>
  <c r="AR445" i="2"/>
  <c r="AS446" i="2"/>
  <c r="AJ448" i="2"/>
  <c r="AH448" i="2"/>
  <c r="AI449" i="2"/>
  <c r="AX446" i="2"/>
  <c r="AW447" i="2"/>
  <c r="AV446" i="2"/>
  <c r="AX447" i="2" l="1"/>
  <c r="AV447" i="2"/>
  <c r="AW448" i="2"/>
  <c r="AI450" i="2"/>
  <c r="AJ449" i="2"/>
  <c r="AH449" i="2"/>
  <c r="AS447" i="2"/>
  <c r="AR446" i="2"/>
  <c r="AT446" i="2"/>
  <c r="AL446" i="2"/>
  <c r="AN446" i="2"/>
  <c r="AM447" i="2"/>
  <c r="AS448" i="2" l="1"/>
  <c r="AT447" i="2"/>
  <c r="AR447" i="2"/>
  <c r="AM448" i="2"/>
  <c r="AN447" i="2"/>
  <c r="AL447" i="2"/>
  <c r="AI451" i="2"/>
  <c r="AJ450" i="2"/>
  <c r="AH450" i="2"/>
  <c r="AV448" i="2"/>
  <c r="AW449" i="2"/>
  <c r="AX448" i="2"/>
  <c r="AN448" i="2" l="1"/>
  <c r="AL448" i="2"/>
  <c r="AM449" i="2"/>
  <c r="AV449" i="2"/>
  <c r="AW450" i="2"/>
  <c r="AX449" i="2"/>
  <c r="AH451" i="2"/>
  <c r="AJ451" i="2"/>
  <c r="AI452" i="2"/>
  <c r="AS449" i="2"/>
  <c r="AT448" i="2"/>
  <c r="AR448" i="2"/>
  <c r="AT449" i="2" l="1"/>
  <c r="AR449" i="2"/>
  <c r="AS450" i="2"/>
  <c r="AJ452" i="2"/>
  <c r="AI453" i="2"/>
  <c r="AH452" i="2"/>
  <c r="AX450" i="2"/>
  <c r="AV450" i="2"/>
  <c r="AW451" i="2"/>
  <c r="AN449" i="2"/>
  <c r="AL449" i="2"/>
  <c r="AM450" i="2"/>
  <c r="AM451" i="2" l="1"/>
  <c r="AN450" i="2"/>
  <c r="AL450" i="2"/>
  <c r="AH453" i="2"/>
  <c r="AJ453" i="2"/>
  <c r="AI454" i="2"/>
  <c r="AW452" i="2"/>
  <c r="AX451" i="2"/>
  <c r="AV451" i="2"/>
  <c r="AS451" i="2"/>
  <c r="AT450" i="2"/>
  <c r="AR450" i="2"/>
  <c r="AS452" i="2" l="1"/>
  <c r="AT451" i="2"/>
  <c r="AR451" i="2"/>
  <c r="AX452" i="2"/>
  <c r="AW453" i="2"/>
  <c r="AV452" i="2"/>
  <c r="AI455" i="2"/>
  <c r="AJ454" i="2"/>
  <c r="AH454" i="2"/>
  <c r="AM452" i="2"/>
  <c r="AN451" i="2"/>
  <c r="AL451" i="2"/>
  <c r="AH455" i="2" l="1"/>
  <c r="AJ455" i="2"/>
  <c r="AI456" i="2"/>
  <c r="AN452" i="2"/>
  <c r="AL452" i="2"/>
  <c r="AM453" i="2"/>
  <c r="AV453" i="2"/>
  <c r="AW454" i="2"/>
  <c r="AX453" i="2"/>
  <c r="AS453" i="2"/>
  <c r="AT452" i="2"/>
  <c r="AR452" i="2"/>
  <c r="AT453" i="2" l="1"/>
  <c r="AR453" i="2"/>
  <c r="AS454" i="2"/>
  <c r="AX454" i="2"/>
  <c r="AV454" i="2"/>
  <c r="AW455" i="2"/>
  <c r="AL453" i="2"/>
  <c r="AN453" i="2"/>
  <c r="AM454" i="2"/>
  <c r="AJ456" i="2"/>
  <c r="AI457" i="2"/>
  <c r="AH456" i="2"/>
  <c r="AI458" i="2" l="1"/>
  <c r="AJ457" i="2"/>
  <c r="AH457" i="2"/>
  <c r="AM455" i="2"/>
  <c r="AN454" i="2"/>
  <c r="AL454" i="2"/>
  <c r="AV455" i="2"/>
  <c r="AW456" i="2"/>
  <c r="AX455" i="2"/>
  <c r="AT454" i="2"/>
  <c r="AS455" i="2"/>
  <c r="AR454" i="2"/>
  <c r="AS456" i="2" l="1"/>
  <c r="AT455" i="2"/>
  <c r="AR455" i="2"/>
  <c r="AM456" i="2"/>
  <c r="AL455" i="2"/>
  <c r="AN455" i="2"/>
  <c r="AX456" i="2"/>
  <c r="AV456" i="2"/>
  <c r="AW457" i="2"/>
  <c r="AI459" i="2"/>
  <c r="AJ458" i="2"/>
  <c r="AH458" i="2"/>
  <c r="AH459" i="2" l="1"/>
  <c r="AI460" i="2"/>
  <c r="AJ459" i="2"/>
  <c r="AV457" i="2"/>
  <c r="AW458" i="2"/>
  <c r="AX457" i="2"/>
  <c r="AN456" i="2"/>
  <c r="AL456" i="2"/>
  <c r="AM457" i="2"/>
  <c r="AS457" i="2"/>
  <c r="AT456" i="2"/>
  <c r="AR456" i="2"/>
  <c r="AJ460" i="2" l="1"/>
  <c r="AH460" i="2"/>
  <c r="AI461" i="2"/>
  <c r="AT457" i="2"/>
  <c r="AR457" i="2"/>
  <c r="AS458" i="2"/>
  <c r="AM458" i="2"/>
  <c r="AN457" i="2"/>
  <c r="AL457" i="2"/>
  <c r="AX458" i="2"/>
  <c r="AW459" i="2"/>
  <c r="AV458" i="2"/>
  <c r="AX459" i="2" l="1"/>
  <c r="AW460" i="2"/>
  <c r="AV459" i="2"/>
  <c r="AN458" i="2"/>
  <c r="AL458" i="2"/>
  <c r="AM459" i="2"/>
  <c r="AS459" i="2"/>
  <c r="AT458" i="2"/>
  <c r="AR458" i="2"/>
  <c r="AI462" i="2"/>
  <c r="AJ461" i="2"/>
  <c r="AH461" i="2"/>
  <c r="AI463" i="2" l="1"/>
  <c r="AH462" i="2"/>
  <c r="AJ462" i="2"/>
  <c r="AS460" i="2"/>
  <c r="AT459" i="2"/>
  <c r="AR459" i="2"/>
  <c r="AM460" i="2"/>
  <c r="AN459" i="2"/>
  <c r="AL459" i="2"/>
  <c r="AV460" i="2"/>
  <c r="AW461" i="2"/>
  <c r="AX460" i="2"/>
  <c r="AV461" i="2" l="1"/>
  <c r="AW462" i="2"/>
  <c r="AX461" i="2"/>
  <c r="AS461" i="2"/>
  <c r="AT460" i="2"/>
  <c r="AR460" i="2"/>
  <c r="AN460" i="2"/>
  <c r="AL460" i="2"/>
  <c r="AM461" i="2"/>
  <c r="AH463" i="2"/>
  <c r="AJ463" i="2"/>
  <c r="AI464" i="2"/>
  <c r="AJ464" i="2" l="1"/>
  <c r="AI465" i="2"/>
  <c r="AH464" i="2"/>
  <c r="AM462" i="2"/>
  <c r="AN461" i="2"/>
  <c r="AL461" i="2"/>
  <c r="AT461" i="2"/>
  <c r="AR461" i="2"/>
  <c r="AS462" i="2"/>
  <c r="AX462" i="2"/>
  <c r="AV462" i="2"/>
  <c r="AW463" i="2"/>
  <c r="AS463" i="2" l="1"/>
  <c r="AT462" i="2"/>
  <c r="AR462" i="2"/>
  <c r="AL462" i="2"/>
  <c r="AN462" i="2"/>
  <c r="AM463" i="2"/>
  <c r="AH465" i="2"/>
  <c r="AJ465" i="2"/>
  <c r="AI466" i="2"/>
  <c r="AX463" i="2"/>
  <c r="AV463" i="2"/>
  <c r="AW464" i="2"/>
  <c r="AW465" i="2" l="1"/>
  <c r="AX464" i="2"/>
  <c r="AV464" i="2"/>
  <c r="AI467" i="2"/>
  <c r="AJ466" i="2"/>
  <c r="AH466" i="2"/>
  <c r="AM464" i="2"/>
  <c r="AN463" i="2"/>
  <c r="AL463" i="2"/>
  <c r="AT463" i="2"/>
  <c r="AS464" i="2"/>
  <c r="AR463" i="2"/>
  <c r="AS465" i="2" l="1"/>
  <c r="AT464" i="2"/>
  <c r="AR464" i="2"/>
  <c r="AN464" i="2"/>
  <c r="AL464" i="2"/>
  <c r="AM465" i="2"/>
  <c r="AH467" i="2"/>
  <c r="AI468" i="2"/>
  <c r="AJ467" i="2"/>
  <c r="AV465" i="2"/>
  <c r="AW466" i="2"/>
  <c r="AX465" i="2"/>
  <c r="AX466" i="2" l="1"/>
  <c r="AV466" i="2"/>
  <c r="AW467" i="2"/>
  <c r="AJ468" i="2"/>
  <c r="AI469" i="2"/>
  <c r="AH468" i="2"/>
  <c r="AN465" i="2"/>
  <c r="AL465" i="2"/>
  <c r="AM466" i="2"/>
  <c r="AT465" i="2"/>
  <c r="AR465" i="2"/>
  <c r="AS466" i="2"/>
  <c r="AS467" i="2" l="1"/>
  <c r="AT466" i="2"/>
  <c r="AR466" i="2"/>
  <c r="AM467" i="2"/>
  <c r="AN466" i="2"/>
  <c r="AL466" i="2"/>
  <c r="AH469" i="2"/>
  <c r="AI470" i="2"/>
  <c r="AJ469" i="2"/>
  <c r="AX467" i="2"/>
  <c r="AV467" i="2"/>
  <c r="AW468" i="2"/>
  <c r="AX468" i="2" l="1"/>
  <c r="AV468" i="2"/>
  <c r="AW469" i="2"/>
  <c r="AM468" i="2"/>
  <c r="AN467" i="2"/>
  <c r="AL467" i="2"/>
  <c r="AI471" i="2"/>
  <c r="AJ470" i="2"/>
  <c r="AH470" i="2"/>
  <c r="AT467" i="2"/>
  <c r="AR467" i="2"/>
  <c r="AS468" i="2"/>
  <c r="AS469" i="2" l="1"/>
  <c r="AT468" i="2"/>
  <c r="AR468" i="2"/>
  <c r="AH471" i="2"/>
  <c r="AI472" i="2"/>
  <c r="AJ471" i="2"/>
  <c r="AN468" i="2"/>
  <c r="AL468" i="2"/>
  <c r="AM469" i="2"/>
  <c r="AV469" i="2"/>
  <c r="AW470" i="2"/>
  <c r="AX469" i="2"/>
  <c r="AX470" i="2" l="1"/>
  <c r="AV470" i="2"/>
  <c r="AW471" i="2"/>
  <c r="AJ472" i="2"/>
  <c r="AH472" i="2"/>
  <c r="AI473" i="2"/>
  <c r="AL469" i="2"/>
  <c r="AM470" i="2"/>
  <c r="AN469" i="2"/>
  <c r="AT469" i="2"/>
  <c r="AR469" i="2"/>
  <c r="AS470" i="2"/>
  <c r="AT470" i="2" l="1"/>
  <c r="AR470" i="2"/>
  <c r="AS471" i="2"/>
  <c r="AN470" i="2"/>
  <c r="AM471" i="2"/>
  <c r="AL470" i="2"/>
  <c r="AI474" i="2"/>
  <c r="AH473" i="2"/>
  <c r="AJ473" i="2"/>
  <c r="AW472" i="2"/>
  <c r="AX471" i="2"/>
  <c r="AV471" i="2"/>
  <c r="AV472" i="2" l="1"/>
  <c r="AW473" i="2"/>
  <c r="AX472" i="2"/>
  <c r="AI475" i="2"/>
  <c r="AJ474" i="2"/>
  <c r="AH474" i="2"/>
  <c r="AM472" i="2"/>
  <c r="AL471" i="2"/>
  <c r="AN471" i="2"/>
  <c r="AS472" i="2"/>
  <c r="AR471" i="2"/>
  <c r="AT471" i="2"/>
  <c r="AS473" i="2" l="1"/>
  <c r="AT472" i="2"/>
  <c r="AR472" i="2"/>
  <c r="AN472" i="2"/>
  <c r="AL472" i="2"/>
  <c r="AM473" i="2"/>
  <c r="AJ475" i="2"/>
  <c r="AH475" i="2"/>
  <c r="AI476" i="2"/>
  <c r="AV473" i="2"/>
  <c r="AX473" i="2"/>
  <c r="AW474" i="2"/>
  <c r="AM474" i="2" l="1"/>
  <c r="AN473" i="2"/>
  <c r="AL473" i="2"/>
  <c r="AV474" i="2"/>
  <c r="AW475" i="2"/>
  <c r="AX474" i="2"/>
  <c r="AJ476" i="2"/>
  <c r="AH476" i="2"/>
  <c r="AI477" i="2"/>
  <c r="AT473" i="2"/>
  <c r="AS474" i="2"/>
  <c r="AR473" i="2"/>
  <c r="AS475" i="2" l="1"/>
  <c r="AR474" i="2"/>
  <c r="AT474" i="2"/>
  <c r="AI478" i="2"/>
  <c r="AJ477" i="2"/>
  <c r="AH477" i="2"/>
  <c r="AW476" i="2"/>
  <c r="AX475" i="2"/>
  <c r="AV475" i="2"/>
  <c r="AN474" i="2"/>
  <c r="AL474" i="2"/>
  <c r="AM475" i="2"/>
  <c r="AX476" i="2" l="1"/>
  <c r="AV476" i="2"/>
  <c r="AW477" i="2"/>
  <c r="AJ478" i="2"/>
  <c r="AH478" i="2"/>
  <c r="AI479" i="2"/>
  <c r="AN475" i="2"/>
  <c r="AL475" i="2"/>
  <c r="AM476" i="2"/>
  <c r="AS476" i="2"/>
  <c r="AT475" i="2"/>
  <c r="AR475" i="2"/>
  <c r="AT476" i="2" l="1"/>
  <c r="AR476" i="2"/>
  <c r="AS477" i="2"/>
  <c r="AN476" i="2"/>
  <c r="AL476" i="2"/>
  <c r="AM477" i="2"/>
  <c r="AI480" i="2"/>
  <c r="AJ479" i="2"/>
  <c r="AH479" i="2"/>
  <c r="AW478" i="2"/>
  <c r="AV477" i="2"/>
  <c r="AX477" i="2"/>
  <c r="AM478" i="2" l="1"/>
  <c r="AN477" i="2"/>
  <c r="AL477" i="2"/>
  <c r="AS478" i="2"/>
  <c r="AT477" i="2"/>
  <c r="AR477" i="2"/>
  <c r="AW479" i="2"/>
  <c r="AX478" i="2"/>
  <c r="AV478" i="2"/>
  <c r="AI481" i="2"/>
  <c r="AJ480" i="2"/>
  <c r="AH480" i="2"/>
  <c r="AI482" i="2" l="1"/>
  <c r="AJ481" i="2"/>
  <c r="AH481" i="2"/>
  <c r="AX479" i="2"/>
  <c r="AV479" i="2"/>
  <c r="AW480" i="2"/>
  <c r="AS479" i="2"/>
  <c r="AT478" i="2"/>
  <c r="AR478" i="2"/>
  <c r="AL478" i="2"/>
  <c r="AN478" i="2"/>
  <c r="AM479" i="2"/>
  <c r="AX480" i="2" l="1"/>
  <c r="AV480" i="2"/>
  <c r="AW481" i="2"/>
  <c r="AN479" i="2"/>
  <c r="AM480" i="2"/>
  <c r="AL479" i="2"/>
  <c r="AT479" i="2"/>
  <c r="AS480" i="2"/>
  <c r="AR479" i="2"/>
  <c r="AI483" i="2"/>
  <c r="AJ482" i="2"/>
  <c r="AH482" i="2"/>
  <c r="AJ483" i="2" l="1"/>
  <c r="AH483" i="2"/>
  <c r="AI484" i="2"/>
  <c r="AR480" i="2"/>
  <c r="AT480" i="2"/>
  <c r="AS481" i="2"/>
  <c r="AM481" i="2"/>
  <c r="AN480" i="2"/>
  <c r="AL480" i="2"/>
  <c r="AW482" i="2"/>
  <c r="AX481" i="2"/>
  <c r="AV481" i="2"/>
  <c r="AX482" i="2" l="1"/>
  <c r="AV482" i="2"/>
  <c r="AW483" i="2"/>
  <c r="AN481" i="2"/>
  <c r="AL481" i="2"/>
  <c r="AM482" i="2"/>
  <c r="AR481" i="2"/>
  <c r="AT481" i="2"/>
  <c r="AS482" i="2"/>
  <c r="AI485" i="2"/>
  <c r="AJ484" i="2"/>
  <c r="AH484" i="2"/>
  <c r="AI486" i="2" l="1"/>
  <c r="AJ485" i="2"/>
  <c r="AH485" i="2"/>
  <c r="AS483" i="2"/>
  <c r="AT482" i="2"/>
  <c r="AR482" i="2"/>
  <c r="AL482" i="2"/>
  <c r="AM483" i="2"/>
  <c r="AN482" i="2"/>
  <c r="AW484" i="2"/>
  <c r="AX483" i="2"/>
  <c r="AV483" i="2"/>
  <c r="AX484" i="2" l="1"/>
  <c r="AV484" i="2"/>
  <c r="AW485" i="2"/>
  <c r="AN483" i="2"/>
  <c r="AL483" i="2"/>
  <c r="AM484" i="2"/>
  <c r="AS484" i="2"/>
  <c r="AT483" i="2"/>
  <c r="AR483" i="2"/>
  <c r="AJ486" i="2"/>
  <c r="AH486" i="2"/>
  <c r="AI487" i="2"/>
  <c r="AR484" i="2" l="1"/>
  <c r="AT484" i="2"/>
  <c r="AS485" i="2"/>
  <c r="AN484" i="2"/>
  <c r="AL484" i="2"/>
  <c r="AM485" i="2"/>
  <c r="AJ487" i="2"/>
  <c r="AI488" i="2"/>
  <c r="AH487" i="2"/>
  <c r="AX485" i="2"/>
  <c r="AV485" i="2"/>
  <c r="AW486" i="2"/>
  <c r="AJ488" i="2" l="1"/>
  <c r="AH488" i="2"/>
  <c r="AI489" i="2"/>
  <c r="AM486" i="2"/>
  <c r="AN485" i="2"/>
  <c r="AL485" i="2"/>
  <c r="AW487" i="2"/>
  <c r="AX486" i="2"/>
  <c r="AV486" i="2"/>
  <c r="AS486" i="2"/>
  <c r="AT485" i="2"/>
  <c r="AR485" i="2"/>
  <c r="AS487" i="2" l="1"/>
  <c r="AR486" i="2"/>
  <c r="AT486" i="2"/>
  <c r="AW488" i="2"/>
  <c r="AV487" i="2"/>
  <c r="AX487" i="2"/>
  <c r="AL486" i="2"/>
  <c r="AN486" i="2"/>
  <c r="AM487" i="2"/>
  <c r="AI490" i="2"/>
  <c r="AJ489" i="2"/>
  <c r="AH489" i="2"/>
  <c r="AJ490" i="2" l="1"/>
  <c r="AH490" i="2"/>
  <c r="AI491" i="2"/>
  <c r="AN487" i="2"/>
  <c r="AM488" i="2"/>
  <c r="AL487" i="2"/>
  <c r="AX488" i="2"/>
  <c r="AV488" i="2"/>
  <c r="AW489" i="2"/>
  <c r="AR487" i="2"/>
  <c r="AT487" i="2"/>
  <c r="AS488" i="2"/>
  <c r="AR488" i="2" l="1"/>
  <c r="AT488" i="2"/>
  <c r="AS489" i="2"/>
  <c r="AX489" i="2"/>
  <c r="AV489" i="2"/>
  <c r="AW490" i="2"/>
  <c r="AL488" i="2"/>
  <c r="AM489" i="2"/>
  <c r="AN488" i="2"/>
  <c r="AJ491" i="2"/>
  <c r="AH491" i="2"/>
  <c r="AI492" i="2"/>
  <c r="AI493" i="2" l="1"/>
  <c r="AJ492" i="2"/>
  <c r="AH492" i="2"/>
  <c r="AN489" i="2"/>
  <c r="AL489" i="2"/>
  <c r="AM490" i="2"/>
  <c r="AW491" i="2"/>
  <c r="AX490" i="2"/>
  <c r="AV490" i="2"/>
  <c r="AT489" i="2"/>
  <c r="AR489" i="2"/>
  <c r="AS490" i="2"/>
  <c r="AS491" i="2" l="1"/>
  <c r="AT490" i="2"/>
  <c r="AR490" i="2"/>
  <c r="AW492" i="2"/>
  <c r="AX491" i="2"/>
  <c r="AV491" i="2"/>
  <c r="AL490" i="2"/>
  <c r="AM491" i="2"/>
  <c r="AN490" i="2"/>
  <c r="AI494" i="2"/>
  <c r="AJ493" i="2"/>
  <c r="AH493" i="2"/>
  <c r="AN491" i="2" l="1"/>
  <c r="AL491" i="2"/>
  <c r="AM492" i="2"/>
  <c r="AJ494" i="2"/>
  <c r="AH494" i="2"/>
  <c r="AI495" i="2"/>
  <c r="AX492" i="2"/>
  <c r="AV492" i="2"/>
  <c r="AW493" i="2"/>
  <c r="AR491" i="2"/>
  <c r="AS492" i="2"/>
  <c r="AT491" i="2"/>
  <c r="AN492" i="2" l="1"/>
  <c r="AL492" i="2"/>
  <c r="AM493" i="2"/>
  <c r="AR492" i="2"/>
  <c r="AS493" i="2"/>
  <c r="AT492" i="2"/>
  <c r="AX493" i="2"/>
  <c r="AW494" i="2"/>
  <c r="AV493" i="2"/>
  <c r="AJ495" i="2"/>
  <c r="AH495" i="2"/>
  <c r="AI496" i="2"/>
  <c r="AI497" i="2" l="1"/>
  <c r="AJ496" i="2"/>
  <c r="AH496" i="2"/>
  <c r="AW495" i="2"/>
  <c r="AX494" i="2"/>
  <c r="AV494" i="2"/>
  <c r="AT493" i="2"/>
  <c r="AR493" i="2"/>
  <c r="AS494" i="2"/>
  <c r="AN493" i="2"/>
  <c r="AL493" i="2"/>
  <c r="AM494" i="2"/>
  <c r="AL494" i="2" l="1"/>
  <c r="AM495" i="2"/>
  <c r="AN494" i="2"/>
  <c r="AS495" i="2"/>
  <c r="AT494" i="2"/>
  <c r="AR494" i="2"/>
  <c r="AW496" i="2"/>
  <c r="AV495" i="2"/>
  <c r="AX495" i="2"/>
  <c r="AI498" i="2"/>
  <c r="AJ497" i="2"/>
  <c r="AH497" i="2"/>
  <c r="AJ498" i="2" l="1"/>
  <c r="AI499" i="2"/>
  <c r="AH498" i="2"/>
  <c r="AR495" i="2"/>
  <c r="AS496" i="2"/>
  <c r="AT495" i="2"/>
  <c r="AN495" i="2"/>
  <c r="AL495" i="2"/>
  <c r="AM496" i="2"/>
  <c r="AX496" i="2"/>
  <c r="AV496" i="2"/>
  <c r="AW497" i="2"/>
  <c r="AX497" i="2" l="1"/>
  <c r="AW498" i="2"/>
  <c r="AV497" i="2"/>
  <c r="AJ499" i="2"/>
  <c r="AI500" i="2"/>
  <c r="AH499" i="2"/>
  <c r="AM497" i="2"/>
  <c r="AN496" i="2"/>
  <c r="AL496" i="2"/>
  <c r="AR496" i="2"/>
  <c r="AS497" i="2"/>
  <c r="AT496" i="2"/>
  <c r="AR497" i="2" l="1"/>
  <c r="AT497" i="2"/>
  <c r="AS498" i="2"/>
  <c r="AN497" i="2"/>
  <c r="AM498" i="2"/>
  <c r="AL497" i="2"/>
  <c r="AX498" i="2"/>
  <c r="AV498" i="2"/>
  <c r="AW499" i="2"/>
  <c r="AI501" i="2"/>
  <c r="AJ500" i="2"/>
  <c r="AH500" i="2"/>
  <c r="AW500" i="2" l="1"/>
  <c r="AV499" i="2"/>
  <c r="AX499" i="2"/>
  <c r="AI502" i="2"/>
  <c r="AH501" i="2"/>
  <c r="AJ501" i="2"/>
  <c r="AL498" i="2"/>
  <c r="AM499" i="2"/>
  <c r="AN498" i="2"/>
  <c r="AS499" i="2"/>
  <c r="AT498" i="2"/>
  <c r="AR498" i="2"/>
  <c r="AJ502" i="2" l="1"/>
  <c r="AI503" i="2"/>
  <c r="AH502" i="2"/>
  <c r="AR499" i="2"/>
  <c r="AS500" i="2"/>
  <c r="AT499" i="2"/>
  <c r="AN499" i="2"/>
  <c r="AL499" i="2"/>
  <c r="AM500" i="2"/>
  <c r="AX500" i="2"/>
  <c r="AV500" i="2"/>
  <c r="AW501" i="2"/>
  <c r="AX501" i="2" l="1"/>
  <c r="AW502" i="2"/>
  <c r="AV501" i="2"/>
  <c r="AR500" i="2"/>
  <c r="AT500" i="2"/>
  <c r="AS501" i="2"/>
  <c r="AM501" i="2"/>
  <c r="AN500" i="2"/>
  <c r="AL500" i="2"/>
  <c r="AJ503" i="2"/>
  <c r="AH503" i="2"/>
  <c r="AI504" i="2"/>
  <c r="AI505" i="2" l="1"/>
  <c r="AJ504" i="2"/>
  <c r="AH504" i="2"/>
  <c r="AV502" i="2"/>
  <c r="AW503" i="2"/>
  <c r="AX502" i="2"/>
  <c r="AN501" i="2"/>
  <c r="AL501" i="2"/>
  <c r="AM502" i="2"/>
  <c r="AR501" i="2"/>
  <c r="AS502" i="2"/>
  <c r="AT501" i="2"/>
  <c r="AS503" i="2" l="1"/>
  <c r="AT502" i="2"/>
  <c r="AR502" i="2"/>
  <c r="AW504" i="2"/>
  <c r="AX503" i="2"/>
  <c r="AV503" i="2"/>
  <c r="AL502" i="2"/>
  <c r="AM503" i="2"/>
  <c r="AN502" i="2"/>
  <c r="AI506" i="2"/>
  <c r="AJ505" i="2"/>
  <c r="AH505" i="2"/>
  <c r="AX504" i="2" l="1"/>
  <c r="AV504" i="2"/>
  <c r="AW505" i="2"/>
  <c r="AJ506" i="2"/>
  <c r="AI507" i="2"/>
  <c r="AH506" i="2"/>
  <c r="AN503" i="2"/>
  <c r="AL503" i="2"/>
  <c r="AM504" i="2"/>
  <c r="AR503" i="2"/>
  <c r="AS504" i="2"/>
  <c r="AT503" i="2"/>
  <c r="AR504" i="2" l="1"/>
  <c r="AT504" i="2"/>
  <c r="AS505" i="2"/>
  <c r="AM505" i="2"/>
  <c r="AN504" i="2"/>
  <c r="AL504" i="2"/>
  <c r="AJ507" i="2"/>
  <c r="AH507" i="2"/>
  <c r="AI508" i="2"/>
  <c r="AX505" i="2"/>
  <c r="AW506" i="2"/>
  <c r="AV505" i="2"/>
  <c r="AI509" i="2" l="1"/>
  <c r="AJ508" i="2"/>
  <c r="AH508" i="2"/>
  <c r="AX506" i="2"/>
  <c r="AV506" i="2"/>
  <c r="AW507" i="2"/>
  <c r="AS506" i="2"/>
  <c r="AT505" i="2"/>
  <c r="AR505" i="2"/>
  <c r="AN505" i="2"/>
  <c r="AL505" i="2"/>
  <c r="AM506" i="2"/>
  <c r="AL506" i="2" l="1"/>
  <c r="AM507" i="2"/>
  <c r="AN506" i="2"/>
  <c r="AS507" i="2"/>
  <c r="AT506" i="2"/>
  <c r="AR506" i="2"/>
  <c r="AW508" i="2"/>
  <c r="AX507" i="2"/>
  <c r="AV507" i="2"/>
  <c r="AI510" i="2"/>
  <c r="AJ509" i="2"/>
  <c r="AH509" i="2"/>
  <c r="AJ510" i="2" l="1"/>
  <c r="AI511" i="2"/>
  <c r="AH510" i="2"/>
  <c r="AX508" i="2"/>
  <c r="AV508" i="2"/>
  <c r="AW509" i="2"/>
  <c r="AR507" i="2"/>
  <c r="AS508" i="2"/>
  <c r="AT507" i="2"/>
  <c r="AN507" i="2"/>
  <c r="AL507" i="2"/>
  <c r="AM508" i="2"/>
  <c r="AR508" i="2" l="1"/>
  <c r="AT508" i="2"/>
  <c r="AS509" i="2"/>
  <c r="AM509" i="2"/>
  <c r="AN508" i="2"/>
  <c r="AL508" i="2"/>
  <c r="AX509" i="2"/>
  <c r="AW510" i="2"/>
  <c r="AV509" i="2"/>
  <c r="AJ511" i="2"/>
  <c r="AH511" i="2"/>
  <c r="AI512" i="2"/>
  <c r="AI513" i="2" l="1"/>
  <c r="AJ512" i="2"/>
  <c r="AH512" i="2"/>
  <c r="AX510" i="2"/>
  <c r="AW511" i="2"/>
  <c r="AV510" i="2"/>
  <c r="AL509" i="2"/>
  <c r="AM510" i="2"/>
  <c r="AN509" i="2"/>
  <c r="AS510" i="2"/>
  <c r="AT509" i="2"/>
  <c r="AR509" i="2"/>
  <c r="AS511" i="2" l="1"/>
  <c r="AT510" i="2"/>
  <c r="AR510" i="2"/>
  <c r="AL510" i="2"/>
  <c r="AN510" i="2"/>
  <c r="AM511" i="2"/>
  <c r="AW512" i="2"/>
  <c r="AX511" i="2"/>
  <c r="AV511" i="2"/>
  <c r="AI514" i="2"/>
  <c r="AJ513" i="2"/>
  <c r="AH513" i="2"/>
  <c r="AJ514" i="2" l="1"/>
  <c r="AI515" i="2"/>
  <c r="AH514" i="2"/>
  <c r="AX512" i="2"/>
  <c r="AV512" i="2"/>
  <c r="AW513" i="2"/>
  <c r="AN511" i="2"/>
  <c r="AL511" i="2"/>
  <c r="AM512" i="2"/>
  <c r="AR511" i="2"/>
  <c r="AS512" i="2"/>
  <c r="AT511" i="2"/>
  <c r="AX513" i="2" l="1"/>
  <c r="AV513" i="2"/>
  <c r="AW514" i="2"/>
  <c r="AJ515" i="2"/>
  <c r="AH515" i="2"/>
  <c r="AI516" i="2"/>
  <c r="AR512" i="2"/>
  <c r="AT512" i="2"/>
  <c r="AS513" i="2"/>
  <c r="AN512" i="2"/>
  <c r="AM513" i="2"/>
  <c r="AL512" i="2"/>
  <c r="AL513" i="2" l="1"/>
  <c r="AM514" i="2"/>
  <c r="AN513" i="2"/>
  <c r="AS514" i="2"/>
  <c r="AT513" i="2"/>
  <c r="AR513" i="2"/>
  <c r="AI517" i="2"/>
  <c r="AJ516" i="2"/>
  <c r="AH516" i="2"/>
  <c r="AX514" i="2"/>
  <c r="AV514" i="2"/>
  <c r="AW515" i="2"/>
  <c r="AW516" i="2" l="1"/>
  <c r="AX515" i="2"/>
  <c r="AV515" i="2"/>
  <c r="AS515" i="2"/>
  <c r="AT514" i="2"/>
  <c r="AR514" i="2"/>
  <c r="AL514" i="2"/>
  <c r="AM515" i="2"/>
  <c r="AN514" i="2"/>
  <c r="AI518" i="2"/>
  <c r="AH517" i="2"/>
  <c r="AJ517" i="2"/>
  <c r="AJ518" i="2" l="1"/>
  <c r="AI519" i="2"/>
  <c r="AH518" i="2"/>
  <c r="AN515" i="2"/>
  <c r="AL515" i="2"/>
  <c r="AM516" i="2"/>
  <c r="AR515" i="2"/>
  <c r="AS516" i="2"/>
  <c r="AT515" i="2"/>
  <c r="AX516" i="2"/>
  <c r="AV516" i="2"/>
  <c r="AW517" i="2"/>
  <c r="AX517" i="2" l="1"/>
  <c r="AV517" i="2"/>
  <c r="AW518" i="2"/>
  <c r="AR516" i="2"/>
  <c r="AT516" i="2"/>
  <c r="AS517" i="2"/>
  <c r="AN516" i="2"/>
  <c r="AM517" i="2"/>
  <c r="AL516" i="2"/>
  <c r="AJ519" i="2"/>
  <c r="AI520" i="2"/>
  <c r="AH519" i="2"/>
  <c r="AN517" i="2" l="1"/>
  <c r="AL517" i="2"/>
  <c r="AM518" i="2"/>
  <c r="AI521" i="2"/>
  <c r="AJ520" i="2"/>
  <c r="AH520" i="2"/>
  <c r="AR517" i="2"/>
  <c r="AS518" i="2"/>
  <c r="AT517" i="2"/>
  <c r="AW519" i="2"/>
  <c r="AX518" i="2"/>
  <c r="AV518" i="2"/>
  <c r="AW520" i="2" l="1"/>
  <c r="AV519" i="2"/>
  <c r="AX519" i="2"/>
  <c r="AS519" i="2"/>
  <c r="AT518" i="2"/>
  <c r="AR518" i="2"/>
  <c r="AI522" i="2"/>
  <c r="AJ521" i="2"/>
  <c r="AH521" i="2"/>
  <c r="AL518" i="2"/>
  <c r="AM519" i="2"/>
  <c r="AN518" i="2"/>
  <c r="AN519" i="2" l="1"/>
  <c r="AL519" i="2"/>
  <c r="AM520" i="2"/>
  <c r="AJ522" i="2"/>
  <c r="AI523" i="2"/>
  <c r="AH522" i="2"/>
  <c r="AR519" i="2"/>
  <c r="AS520" i="2"/>
  <c r="AT519" i="2"/>
  <c r="AX520" i="2"/>
  <c r="AV520" i="2"/>
  <c r="AW521" i="2"/>
  <c r="AX521" i="2" l="1"/>
  <c r="AV521" i="2"/>
  <c r="AW522" i="2"/>
  <c r="AN520" i="2"/>
  <c r="AM521" i="2"/>
  <c r="AL520" i="2"/>
  <c r="AR520" i="2"/>
  <c r="AS521" i="2"/>
  <c r="AT520" i="2"/>
  <c r="AJ523" i="2"/>
  <c r="AH523" i="2"/>
  <c r="AI524" i="2"/>
  <c r="AN521" i="2" l="1"/>
  <c r="AL521" i="2"/>
  <c r="AM522" i="2"/>
  <c r="AH524" i="2"/>
  <c r="AI525" i="2"/>
  <c r="AJ524" i="2"/>
  <c r="AT521" i="2"/>
  <c r="AR521" i="2"/>
  <c r="AS522" i="2"/>
  <c r="AW523" i="2"/>
  <c r="AX522" i="2"/>
  <c r="AV522" i="2"/>
  <c r="AS523" i="2" l="1"/>
  <c r="AT522" i="2"/>
  <c r="AR522" i="2"/>
  <c r="AW524" i="2"/>
  <c r="AX523" i="2"/>
  <c r="AV523" i="2"/>
  <c r="AI526" i="2"/>
  <c r="AJ525" i="2"/>
  <c r="AH525" i="2"/>
  <c r="AL522" i="2"/>
  <c r="AM523" i="2"/>
  <c r="AN522" i="2"/>
  <c r="AN523" i="2" l="1"/>
  <c r="AL523" i="2"/>
  <c r="AM524" i="2"/>
  <c r="AJ526" i="2"/>
  <c r="AI527" i="2"/>
  <c r="AH526" i="2"/>
  <c r="AX524" i="2"/>
  <c r="AV524" i="2"/>
  <c r="AW525" i="2"/>
  <c r="AR523" i="2"/>
  <c r="AS524" i="2"/>
  <c r="AT523" i="2"/>
  <c r="AJ527" i="2" l="1"/>
  <c r="AI528" i="2"/>
  <c r="AH527" i="2"/>
  <c r="AR524" i="2"/>
  <c r="AS525" i="2"/>
  <c r="AT524" i="2"/>
  <c r="AX525" i="2"/>
  <c r="AV525" i="2"/>
  <c r="AW526" i="2"/>
  <c r="AN524" i="2"/>
  <c r="AM525" i="2"/>
  <c r="AL524" i="2"/>
  <c r="AJ528" i="2" l="1"/>
  <c r="AH528" i="2"/>
  <c r="AI529" i="2"/>
  <c r="AM526" i="2"/>
  <c r="AN525" i="2"/>
  <c r="AL525" i="2"/>
  <c r="AX526" i="2"/>
  <c r="AW527" i="2"/>
  <c r="AV526" i="2"/>
  <c r="AT525" i="2"/>
  <c r="AS526" i="2"/>
  <c r="AR525" i="2"/>
  <c r="AW528" i="2" l="1"/>
  <c r="AX527" i="2"/>
  <c r="AV527" i="2"/>
  <c r="AS527" i="2"/>
  <c r="AT526" i="2"/>
  <c r="AR526" i="2"/>
  <c r="AL526" i="2"/>
  <c r="AM527" i="2"/>
  <c r="AN526" i="2"/>
  <c r="AI530" i="2"/>
  <c r="AJ529" i="2"/>
  <c r="AH529" i="2"/>
  <c r="AJ530" i="2" l="1"/>
  <c r="AI531" i="2"/>
  <c r="AH530" i="2"/>
  <c r="AN527" i="2"/>
  <c r="AL527" i="2"/>
  <c r="AM528" i="2"/>
  <c r="AR527" i="2"/>
  <c r="AS528" i="2"/>
  <c r="AT527" i="2"/>
  <c r="AX528" i="2"/>
  <c r="AV528" i="2"/>
  <c r="AW529" i="2"/>
  <c r="AR528" i="2" l="1"/>
  <c r="AS529" i="2"/>
  <c r="AT528" i="2"/>
  <c r="AN528" i="2"/>
  <c r="AM529" i="2"/>
  <c r="AL528" i="2"/>
  <c r="AJ531" i="2"/>
  <c r="AH531" i="2"/>
  <c r="AI532" i="2"/>
  <c r="AX529" i="2"/>
  <c r="AV529" i="2"/>
  <c r="AW530" i="2"/>
  <c r="AW531" i="2" l="1"/>
  <c r="AX530" i="2"/>
  <c r="AV530" i="2"/>
  <c r="AR529" i="2"/>
  <c r="AS530" i="2"/>
  <c r="AT529" i="2"/>
  <c r="AJ532" i="2"/>
  <c r="AH532" i="2"/>
  <c r="AI533" i="2"/>
  <c r="AM530" i="2"/>
  <c r="AN529" i="2"/>
  <c r="AL529" i="2"/>
  <c r="AS531" i="2" l="1"/>
  <c r="AR530" i="2"/>
  <c r="AT530" i="2"/>
  <c r="AL530" i="2"/>
  <c r="AN530" i="2"/>
  <c r="AM531" i="2"/>
  <c r="AI534" i="2"/>
  <c r="AH533" i="2"/>
  <c r="AJ533" i="2"/>
  <c r="AW532" i="2"/>
  <c r="AX531" i="2"/>
  <c r="AV531" i="2"/>
  <c r="AX532" i="2" l="1"/>
  <c r="AV532" i="2"/>
  <c r="AW533" i="2"/>
  <c r="AJ534" i="2"/>
  <c r="AI535" i="2"/>
  <c r="AH534" i="2"/>
  <c r="AN531" i="2"/>
  <c r="AL531" i="2"/>
  <c r="AM532" i="2"/>
  <c r="AR531" i="2"/>
  <c r="AS532" i="2"/>
  <c r="AT531" i="2"/>
  <c r="AR532" i="2" l="1"/>
  <c r="AT532" i="2"/>
  <c r="AS533" i="2"/>
  <c r="AN532" i="2"/>
  <c r="AL532" i="2"/>
  <c r="AM533" i="2"/>
  <c r="AJ535" i="2"/>
  <c r="AH535" i="2"/>
  <c r="AI536" i="2"/>
  <c r="AX533" i="2"/>
  <c r="AV533" i="2"/>
  <c r="AW534" i="2"/>
  <c r="AX534" i="2" l="1"/>
  <c r="AV534" i="2"/>
  <c r="AW535" i="2"/>
  <c r="AJ536" i="2"/>
  <c r="AH536" i="2"/>
  <c r="AI537" i="2"/>
  <c r="AT533" i="2"/>
  <c r="AR533" i="2"/>
  <c r="AS534" i="2"/>
  <c r="AM534" i="2"/>
  <c r="AN533" i="2"/>
  <c r="AL533" i="2"/>
  <c r="AS535" i="2" l="1"/>
  <c r="AT534" i="2"/>
  <c r="AR534" i="2"/>
  <c r="AL534" i="2"/>
  <c r="AN534" i="2"/>
  <c r="AM535" i="2"/>
  <c r="AI538" i="2"/>
  <c r="AJ537" i="2"/>
  <c r="AH537" i="2"/>
  <c r="AW536" i="2"/>
  <c r="AX535" i="2"/>
  <c r="AV535" i="2"/>
  <c r="AX536" i="2" l="1"/>
  <c r="AV536" i="2"/>
  <c r="AW537" i="2"/>
  <c r="AJ538" i="2"/>
  <c r="AI539" i="2"/>
  <c r="AH538" i="2"/>
  <c r="AN535" i="2"/>
  <c r="AL535" i="2"/>
  <c r="AM536" i="2"/>
  <c r="AR535" i="2"/>
  <c r="AS536" i="2"/>
  <c r="AT535" i="2"/>
  <c r="AR536" i="2" l="1"/>
  <c r="AT536" i="2"/>
  <c r="AS537" i="2"/>
  <c r="AN536" i="2"/>
  <c r="AM537" i="2"/>
  <c r="AL536" i="2"/>
  <c r="AJ539" i="2"/>
  <c r="AH539" i="2"/>
  <c r="AI540" i="2"/>
  <c r="AX537" i="2"/>
  <c r="AV537" i="2"/>
  <c r="AW538" i="2"/>
  <c r="AW539" i="2" l="1"/>
  <c r="AX538" i="2"/>
  <c r="AV538" i="2"/>
  <c r="AI541" i="2"/>
  <c r="AJ540" i="2"/>
  <c r="AH540" i="2"/>
  <c r="AN537" i="2"/>
  <c r="AL537" i="2"/>
  <c r="AM538" i="2"/>
  <c r="AT537" i="2"/>
  <c r="AS538" i="2"/>
  <c r="AR537" i="2"/>
  <c r="AS539" i="2" l="1"/>
  <c r="AT538" i="2"/>
  <c r="AR538" i="2"/>
  <c r="AL538" i="2"/>
  <c r="AM539" i="2"/>
  <c r="AN538" i="2"/>
  <c r="AI542" i="2"/>
  <c r="AJ541" i="2"/>
  <c r="AH541" i="2"/>
  <c r="AW540" i="2"/>
  <c r="AX539" i="2"/>
  <c r="AV539" i="2"/>
  <c r="AJ542" i="2" l="1"/>
  <c r="AI543" i="2"/>
  <c r="AH542" i="2"/>
  <c r="AX540" i="2"/>
  <c r="AV540" i="2"/>
  <c r="AW541" i="2"/>
  <c r="AN539" i="2"/>
  <c r="AL539" i="2"/>
  <c r="AM540" i="2"/>
  <c r="AR539" i="2"/>
  <c r="AS540" i="2"/>
  <c r="AT539" i="2"/>
  <c r="AJ543" i="2" l="1"/>
  <c r="AH543" i="2"/>
  <c r="AI544" i="2"/>
  <c r="AR540" i="2"/>
  <c r="AS541" i="2"/>
  <c r="AT540" i="2"/>
  <c r="AN540" i="2"/>
  <c r="AM541" i="2"/>
  <c r="AL540" i="2"/>
  <c r="AX541" i="2"/>
  <c r="AV541" i="2"/>
  <c r="AW542" i="2"/>
  <c r="AM542" i="2" l="1"/>
  <c r="AN541" i="2"/>
  <c r="AL541" i="2"/>
  <c r="AT541" i="2"/>
  <c r="AS542" i="2"/>
  <c r="AR541" i="2"/>
  <c r="AW543" i="2"/>
  <c r="AX542" i="2"/>
  <c r="AV542" i="2"/>
  <c r="AJ544" i="2"/>
  <c r="AI545" i="2"/>
  <c r="AH544" i="2"/>
  <c r="AI546" i="2" l="1"/>
  <c r="AH545" i="2"/>
  <c r="AJ545" i="2"/>
  <c r="AW544" i="2"/>
  <c r="AX543" i="2"/>
  <c r="AV543" i="2"/>
  <c r="AS543" i="2"/>
  <c r="AT542" i="2"/>
  <c r="AR542" i="2"/>
  <c r="AL542" i="2"/>
  <c r="AN542" i="2"/>
  <c r="AM543" i="2"/>
  <c r="AR543" i="2" l="1"/>
  <c r="AS544" i="2"/>
  <c r="AT543" i="2"/>
  <c r="AX544" i="2"/>
  <c r="AV544" i="2"/>
  <c r="AW545" i="2"/>
  <c r="AN543" i="2"/>
  <c r="AL543" i="2"/>
  <c r="AM544" i="2"/>
  <c r="AJ546" i="2"/>
  <c r="AI547" i="2"/>
  <c r="AH546" i="2"/>
  <c r="AJ547" i="2" l="1"/>
  <c r="AH547" i="2"/>
  <c r="AI548" i="2"/>
  <c r="AN544" i="2"/>
  <c r="AL544" i="2"/>
  <c r="AM545" i="2"/>
  <c r="AX545" i="2"/>
  <c r="AV545" i="2"/>
  <c r="AW546" i="2"/>
  <c r="AR544" i="2"/>
  <c r="AT544" i="2"/>
  <c r="AS545" i="2"/>
  <c r="AT545" i="2" l="1"/>
  <c r="AS546" i="2"/>
  <c r="AR545" i="2"/>
  <c r="AV546" i="2"/>
  <c r="AW547" i="2"/>
  <c r="AX546" i="2"/>
  <c r="AM546" i="2"/>
  <c r="AN545" i="2"/>
  <c r="AL545" i="2"/>
  <c r="AI549" i="2"/>
  <c r="AJ548" i="2"/>
  <c r="AH548" i="2"/>
  <c r="AI550" i="2" l="1"/>
  <c r="AJ549" i="2"/>
  <c r="AH549" i="2"/>
  <c r="AL546" i="2"/>
  <c r="AN546" i="2"/>
  <c r="AM547" i="2"/>
  <c r="AS547" i="2"/>
  <c r="AT546" i="2"/>
  <c r="AR546" i="2"/>
  <c r="AW548" i="2"/>
  <c r="AX547" i="2"/>
  <c r="AV547" i="2"/>
  <c r="AR547" i="2" l="1"/>
  <c r="AS548" i="2"/>
  <c r="AT547" i="2"/>
  <c r="AN547" i="2"/>
  <c r="AL547" i="2"/>
  <c r="AM548" i="2"/>
  <c r="AX548" i="2"/>
  <c r="AV548" i="2"/>
  <c r="AW549" i="2"/>
  <c r="AJ550" i="2"/>
  <c r="AI551" i="2"/>
  <c r="AH550" i="2"/>
  <c r="AX549" i="2" l="1"/>
  <c r="AV549" i="2"/>
  <c r="AW550" i="2"/>
  <c r="AJ551" i="2"/>
  <c r="AH551" i="2"/>
  <c r="AI552" i="2"/>
  <c r="AN548" i="2"/>
  <c r="AM549" i="2"/>
  <c r="AL548" i="2"/>
  <c r="AR548" i="2"/>
  <c r="AT548" i="2"/>
  <c r="AS549" i="2"/>
  <c r="AT549" i="2" l="1"/>
  <c r="AR549" i="2"/>
  <c r="AS550" i="2"/>
  <c r="AL549" i="2"/>
  <c r="AN549" i="2"/>
  <c r="AM550" i="2"/>
  <c r="AW551" i="2"/>
  <c r="AX550" i="2"/>
  <c r="AV550" i="2"/>
  <c r="AJ552" i="2"/>
  <c r="AH552" i="2"/>
  <c r="AI553" i="2"/>
  <c r="AI554" i="2" l="1"/>
  <c r="AJ553" i="2"/>
  <c r="AH553" i="2"/>
  <c r="AW552" i="2"/>
  <c r="AX551" i="2"/>
  <c r="AV551" i="2"/>
  <c r="AL550" i="2"/>
  <c r="AM551" i="2"/>
  <c r="AN550" i="2"/>
  <c r="AS551" i="2"/>
  <c r="AT550" i="2"/>
  <c r="AR550" i="2"/>
  <c r="AR551" i="2" l="1"/>
  <c r="AS552" i="2"/>
  <c r="AT551" i="2"/>
  <c r="AN551" i="2"/>
  <c r="AL551" i="2"/>
  <c r="AM552" i="2"/>
  <c r="AX552" i="2"/>
  <c r="AV552" i="2"/>
  <c r="AW553" i="2"/>
  <c r="AJ554" i="2"/>
  <c r="AH554" i="2"/>
  <c r="AI555" i="2"/>
  <c r="AX553" i="2" l="1"/>
  <c r="AV553" i="2"/>
  <c r="AW554" i="2"/>
  <c r="AJ555" i="2"/>
  <c r="AH555" i="2"/>
  <c r="AI556" i="2"/>
  <c r="AN552" i="2"/>
  <c r="AM553" i="2"/>
  <c r="AL552" i="2"/>
  <c r="AR552" i="2"/>
  <c r="AS553" i="2"/>
  <c r="AT552" i="2"/>
  <c r="AT553" i="2" l="1"/>
  <c r="AR553" i="2"/>
  <c r="AS554" i="2"/>
  <c r="AM554" i="2"/>
  <c r="AN553" i="2"/>
  <c r="AL553" i="2"/>
  <c r="AJ556" i="2"/>
  <c r="AI557" i="2"/>
  <c r="AH556" i="2"/>
  <c r="AV554" i="2"/>
  <c r="AW555" i="2"/>
  <c r="AX554" i="2"/>
  <c r="AW556" i="2" l="1"/>
  <c r="AX555" i="2"/>
  <c r="AV555" i="2"/>
  <c r="AI558" i="2"/>
  <c r="AJ557" i="2"/>
  <c r="AH557" i="2"/>
  <c r="AL554" i="2"/>
  <c r="AM555" i="2"/>
  <c r="AN554" i="2"/>
  <c r="AS555" i="2"/>
  <c r="AT554" i="2"/>
  <c r="AR554" i="2"/>
  <c r="AR555" i="2" l="1"/>
  <c r="AS556" i="2"/>
  <c r="AT555" i="2"/>
  <c r="AN555" i="2"/>
  <c r="AL555" i="2"/>
  <c r="AM556" i="2"/>
  <c r="AJ558" i="2"/>
  <c r="AH558" i="2"/>
  <c r="AI559" i="2"/>
  <c r="AX556" i="2"/>
  <c r="AV556" i="2"/>
  <c r="AW557" i="2"/>
  <c r="AJ559" i="2" l="1"/>
  <c r="AH559" i="2"/>
  <c r="AI560" i="2"/>
  <c r="AX557" i="2"/>
  <c r="AV557" i="2"/>
  <c r="AW558" i="2"/>
  <c r="AN556" i="2"/>
  <c r="AM557" i="2"/>
  <c r="AL556" i="2"/>
  <c r="AT556" i="2"/>
  <c r="AR556" i="2"/>
  <c r="AS557" i="2"/>
  <c r="AW559" i="2" l="1"/>
  <c r="AX558" i="2"/>
  <c r="AV558" i="2"/>
  <c r="AT557" i="2"/>
  <c r="AR557" i="2"/>
  <c r="AS558" i="2"/>
  <c r="AM558" i="2"/>
  <c r="AN557" i="2"/>
  <c r="AL557" i="2"/>
  <c r="AJ560" i="2"/>
  <c r="AI561" i="2"/>
  <c r="AH560" i="2"/>
  <c r="AI562" i="2" l="1"/>
  <c r="AJ561" i="2"/>
  <c r="AH561" i="2"/>
  <c r="AL558" i="2"/>
  <c r="AM559" i="2"/>
  <c r="AN558" i="2"/>
  <c r="AS559" i="2"/>
  <c r="AT558" i="2"/>
  <c r="AR558" i="2"/>
  <c r="AW560" i="2"/>
  <c r="AX559" i="2"/>
  <c r="AV559" i="2"/>
  <c r="AX560" i="2" l="1"/>
  <c r="AV560" i="2"/>
  <c r="AW561" i="2"/>
  <c r="AR559" i="2"/>
  <c r="AS560" i="2"/>
  <c r="AT559" i="2"/>
  <c r="AN559" i="2"/>
  <c r="AL559" i="2"/>
  <c r="AM560" i="2"/>
  <c r="AJ562" i="2"/>
  <c r="AH562" i="2"/>
  <c r="AI563" i="2"/>
  <c r="AJ563" i="2" l="1"/>
  <c r="AH563" i="2"/>
  <c r="AI564" i="2"/>
  <c r="AN560" i="2"/>
  <c r="AL560" i="2"/>
  <c r="AM561" i="2"/>
  <c r="AT560" i="2"/>
  <c r="AR560" i="2"/>
  <c r="AS561" i="2"/>
  <c r="AX561" i="2"/>
  <c r="AV561" i="2"/>
  <c r="AW562" i="2"/>
  <c r="AX562" i="2" l="1"/>
  <c r="AV562" i="2"/>
  <c r="AW563" i="2"/>
  <c r="AT561" i="2"/>
  <c r="AR561" i="2"/>
  <c r="AS562" i="2"/>
  <c r="AN561" i="2"/>
  <c r="AL561" i="2"/>
  <c r="AM562" i="2"/>
  <c r="AJ564" i="2"/>
  <c r="AI565" i="2"/>
  <c r="AH564" i="2"/>
  <c r="AL562" i="2" l="1"/>
  <c r="AM563" i="2"/>
  <c r="AN562" i="2"/>
  <c r="AI566" i="2"/>
  <c r="AJ565" i="2"/>
  <c r="AH565" i="2"/>
  <c r="AS563" i="2"/>
  <c r="AT562" i="2"/>
  <c r="AR562" i="2"/>
  <c r="AW564" i="2"/>
  <c r="AX563" i="2"/>
  <c r="AV563" i="2"/>
  <c r="AR563" i="2" l="1"/>
  <c r="AS564" i="2"/>
  <c r="AT563" i="2"/>
  <c r="AJ566" i="2"/>
  <c r="AH566" i="2"/>
  <c r="AI567" i="2"/>
  <c r="AN563" i="2"/>
  <c r="AL563" i="2"/>
  <c r="AM564" i="2"/>
  <c r="AX564" i="2"/>
  <c r="AV564" i="2"/>
  <c r="AW565" i="2"/>
  <c r="AJ567" i="2" l="1"/>
  <c r="AH567" i="2"/>
  <c r="AI568" i="2"/>
  <c r="AX565" i="2"/>
  <c r="AV565" i="2"/>
  <c r="AW566" i="2"/>
  <c r="AN564" i="2"/>
  <c r="AL564" i="2"/>
  <c r="AM565" i="2"/>
  <c r="AT564" i="2"/>
  <c r="AR564" i="2"/>
  <c r="AS565" i="2"/>
  <c r="AN565" i="2" l="1"/>
  <c r="AL565" i="2"/>
  <c r="AM566" i="2"/>
  <c r="AT565" i="2"/>
  <c r="AR565" i="2"/>
  <c r="AS566" i="2"/>
  <c r="AX566" i="2"/>
  <c r="AV566" i="2"/>
  <c r="AW567" i="2"/>
  <c r="AJ568" i="2"/>
  <c r="AI569" i="2"/>
  <c r="AH568" i="2"/>
  <c r="AW568" i="2" l="1"/>
  <c r="AX567" i="2"/>
  <c r="AV567" i="2"/>
  <c r="AI570" i="2"/>
  <c r="AJ569" i="2"/>
  <c r="AH569" i="2"/>
  <c r="AS567" i="2"/>
  <c r="AT566" i="2"/>
  <c r="AR566" i="2"/>
  <c r="AL566" i="2"/>
  <c r="AM567" i="2"/>
  <c r="AN566" i="2"/>
  <c r="AN567" i="2" l="1"/>
  <c r="AL567" i="2"/>
  <c r="AM568" i="2"/>
  <c r="AR567" i="2"/>
  <c r="AS568" i="2"/>
  <c r="AT567" i="2"/>
  <c r="AJ570" i="2"/>
  <c r="AH570" i="2"/>
  <c r="AI571" i="2"/>
  <c r="AX568" i="2"/>
  <c r="AV568" i="2"/>
  <c r="AW569" i="2"/>
  <c r="AX569" i="2" l="1"/>
  <c r="AV569" i="2"/>
  <c r="AW570" i="2"/>
  <c r="AJ571" i="2"/>
  <c r="AH571" i="2"/>
  <c r="AI572" i="2"/>
  <c r="AT568" i="2"/>
  <c r="AR568" i="2"/>
  <c r="AS569" i="2"/>
  <c r="AN568" i="2"/>
  <c r="AL568" i="2"/>
  <c r="AM569" i="2"/>
  <c r="AT569" i="2" l="1"/>
  <c r="AR569" i="2"/>
  <c r="AS570" i="2"/>
  <c r="AJ572" i="2"/>
  <c r="AI573" i="2"/>
  <c r="AH572" i="2"/>
  <c r="AX570" i="2"/>
  <c r="AV570" i="2"/>
  <c r="AW571" i="2"/>
  <c r="AN569" i="2"/>
  <c r="AM570" i="2"/>
  <c r="AL569" i="2"/>
  <c r="AW572" i="2" l="1"/>
  <c r="AX571" i="2"/>
  <c r="AV571" i="2"/>
  <c r="AS571" i="2"/>
  <c r="AT570" i="2"/>
  <c r="AR570" i="2"/>
  <c r="AI574" i="2"/>
  <c r="AJ573" i="2"/>
  <c r="AH573" i="2"/>
  <c r="AL570" i="2"/>
  <c r="AM571" i="2"/>
  <c r="AN570" i="2"/>
  <c r="AN571" i="2" l="1"/>
  <c r="AL571" i="2"/>
  <c r="AM572" i="2"/>
  <c r="AJ574" i="2"/>
  <c r="AH574" i="2"/>
  <c r="AI575" i="2"/>
  <c r="AR571" i="2"/>
  <c r="AS572" i="2"/>
  <c r="AT571" i="2"/>
  <c r="AX572" i="2"/>
  <c r="AV572" i="2"/>
  <c r="AW573" i="2"/>
  <c r="AX573" i="2" l="1"/>
  <c r="AV573" i="2"/>
  <c r="AW574" i="2"/>
  <c r="AT572" i="2"/>
  <c r="AR572" i="2"/>
  <c r="AS573" i="2"/>
  <c r="AJ575" i="2"/>
  <c r="AH575" i="2"/>
  <c r="AI576" i="2"/>
  <c r="AN572" i="2"/>
  <c r="AL572" i="2"/>
  <c r="AM573" i="2"/>
  <c r="AN573" i="2" l="1"/>
  <c r="AM574" i="2"/>
  <c r="AL573" i="2"/>
  <c r="AJ576" i="2"/>
  <c r="AI577" i="2"/>
  <c r="AH576" i="2"/>
  <c r="AT573" i="2"/>
  <c r="AR573" i="2"/>
  <c r="AS574" i="2"/>
  <c r="AX574" i="2"/>
  <c r="AV574" i="2"/>
  <c r="AW575" i="2"/>
  <c r="AW576" i="2" l="1"/>
  <c r="AX575" i="2"/>
  <c r="AV575" i="2"/>
  <c r="AI578" i="2"/>
  <c r="AJ577" i="2"/>
  <c r="AH577" i="2"/>
  <c r="AS575" i="2"/>
  <c r="AT574" i="2"/>
  <c r="AR574" i="2"/>
  <c r="AL574" i="2"/>
  <c r="AM575" i="2"/>
  <c r="AN574" i="2"/>
  <c r="AN575" i="2" l="1"/>
  <c r="AL575" i="2"/>
  <c r="AM576" i="2"/>
  <c r="AR575" i="2"/>
  <c r="AS576" i="2"/>
  <c r="AT575" i="2"/>
  <c r="AJ578" i="2"/>
  <c r="AH578" i="2"/>
  <c r="AI579" i="2"/>
  <c r="AX576" i="2"/>
  <c r="AV576" i="2"/>
  <c r="AW577" i="2"/>
  <c r="AX577" i="2" l="1"/>
  <c r="AV577" i="2"/>
  <c r="AW578" i="2"/>
  <c r="AJ579" i="2"/>
  <c r="AH579" i="2"/>
  <c r="AI580" i="2"/>
  <c r="AT576" i="2"/>
  <c r="AR576" i="2"/>
  <c r="AS577" i="2"/>
  <c r="AN576" i="2"/>
  <c r="AL576" i="2"/>
  <c r="AM577" i="2"/>
  <c r="AN577" i="2" l="1"/>
  <c r="AM578" i="2"/>
  <c r="AL577" i="2"/>
  <c r="AT577" i="2"/>
  <c r="AR577" i="2"/>
  <c r="AS578" i="2"/>
  <c r="AJ580" i="2"/>
  <c r="AH580" i="2"/>
  <c r="AI581" i="2"/>
  <c r="AX578" i="2"/>
  <c r="AV578" i="2"/>
  <c r="AW579" i="2"/>
  <c r="AW580" i="2" l="1"/>
  <c r="AX579" i="2"/>
  <c r="AV579" i="2"/>
  <c r="AL578" i="2"/>
  <c r="AM579" i="2"/>
  <c r="AN578" i="2"/>
  <c r="AI582" i="2"/>
  <c r="AJ581" i="2"/>
  <c r="AH581" i="2"/>
  <c r="AS579" i="2"/>
  <c r="AT578" i="2"/>
  <c r="AR578" i="2"/>
  <c r="AN579" i="2" l="1"/>
  <c r="AL579" i="2"/>
  <c r="AM580" i="2"/>
  <c r="AR579" i="2"/>
  <c r="AS580" i="2"/>
  <c r="AT579" i="2"/>
  <c r="AJ582" i="2"/>
  <c r="AH582" i="2"/>
  <c r="AI583" i="2"/>
  <c r="AX580" i="2"/>
  <c r="AV580" i="2"/>
  <c r="AW581" i="2"/>
  <c r="AX581" i="2" l="1"/>
  <c r="AV581" i="2"/>
  <c r="AW582" i="2"/>
  <c r="AJ583" i="2"/>
  <c r="AH583" i="2"/>
  <c r="AI584" i="2"/>
  <c r="AT580" i="2"/>
  <c r="AR580" i="2"/>
  <c r="AS581" i="2"/>
  <c r="AN580" i="2"/>
  <c r="AL580" i="2"/>
  <c r="AM581" i="2"/>
  <c r="AN581" i="2" l="1"/>
  <c r="AM582" i="2"/>
  <c r="AL581" i="2"/>
  <c r="AT581" i="2"/>
  <c r="AR581" i="2"/>
  <c r="AS582" i="2"/>
  <c r="AJ584" i="2"/>
  <c r="AH584" i="2"/>
  <c r="AX582" i="2"/>
  <c r="AV582" i="2"/>
  <c r="AW583" i="2"/>
  <c r="AW584" i="2" l="1"/>
  <c r="AX583" i="2"/>
  <c r="AV583" i="2"/>
  <c r="AS583" i="2"/>
  <c r="AT582" i="2"/>
  <c r="AR582" i="2"/>
  <c r="T8" i="2"/>
  <c r="L6" i="2" s="1"/>
  <c r="T12" i="2"/>
  <c r="P6" i="2" s="1"/>
  <c r="T9" i="2"/>
  <c r="M6" i="2" s="1"/>
  <c r="T15" i="2"/>
  <c r="G6" i="2" s="1"/>
  <c r="T14" i="2"/>
  <c r="F6" i="2" s="1"/>
  <c r="T19" i="2"/>
  <c r="K6" i="2" s="1"/>
  <c r="T10" i="2"/>
  <c r="N6" i="2" s="1"/>
  <c r="T16" i="2"/>
  <c r="H6" i="2" s="1"/>
  <c r="T17" i="2"/>
  <c r="I6" i="2" s="1"/>
  <c r="T13" i="2"/>
  <c r="Q6" i="2" s="1"/>
  <c r="T11" i="2"/>
  <c r="O6" i="2" s="1"/>
  <c r="AL582" i="2"/>
  <c r="AM583" i="2"/>
  <c r="AN582" i="2"/>
  <c r="AR583" i="2" l="1"/>
  <c r="AS584" i="2"/>
  <c r="AT583" i="2"/>
  <c r="AN583" i="2"/>
  <c r="AL583" i="2"/>
  <c r="AM584" i="2"/>
  <c r="AX584" i="2"/>
  <c r="AV584" i="2"/>
  <c r="AT584" i="2" l="1"/>
  <c r="AR584" i="2"/>
  <c r="W17" i="2"/>
  <c r="I5" i="2" s="1"/>
  <c r="W12" i="2"/>
  <c r="P5" i="2" s="1"/>
  <c r="W19" i="2"/>
  <c r="K5" i="2" s="1"/>
  <c r="W13" i="2"/>
  <c r="Q5" i="2" s="1"/>
  <c r="W18" i="2"/>
  <c r="J5" i="2" s="1"/>
  <c r="W15" i="2"/>
  <c r="G5" i="2" s="1"/>
  <c r="W14" i="2"/>
  <c r="F5" i="2" s="1"/>
  <c r="W9" i="2"/>
  <c r="M5" i="2" s="1"/>
  <c r="W8" i="2"/>
  <c r="L5" i="2" s="1"/>
  <c r="W10" i="2"/>
  <c r="N5" i="2" s="1"/>
  <c r="W16" i="2"/>
  <c r="H5" i="2" s="1"/>
  <c r="AN584" i="2"/>
  <c r="AL584" i="2"/>
  <c r="U8" i="2" l="1"/>
  <c r="L7" i="2" s="1"/>
  <c r="U18" i="2"/>
  <c r="J7" i="2" s="1"/>
  <c r="U9" i="2"/>
  <c r="M7" i="2" s="1"/>
  <c r="U10" i="2"/>
  <c r="N7" i="2" s="1"/>
  <c r="U19" i="2"/>
  <c r="K7" i="2" s="1"/>
  <c r="U13" i="2"/>
  <c r="Q7" i="2" s="1"/>
  <c r="U14" i="2"/>
  <c r="F7" i="2" s="1"/>
  <c r="U12" i="2"/>
  <c r="P7" i="2" s="1"/>
  <c r="U11" i="2"/>
  <c r="O7" i="2" s="1"/>
  <c r="U17" i="2"/>
  <c r="I7" i="2" s="1"/>
  <c r="U16" i="2"/>
  <c r="H7" i="2" s="1"/>
  <c r="V11" i="2"/>
  <c r="O8" i="2" s="1"/>
  <c r="V9" i="2"/>
  <c r="M8" i="2" s="1"/>
  <c r="V13" i="2"/>
  <c r="Q8" i="2" s="1"/>
  <c r="V17" i="2"/>
  <c r="I8" i="2" s="1"/>
  <c r="V15" i="2"/>
  <c r="G8" i="2" s="1"/>
  <c r="V12" i="2"/>
  <c r="P8" i="2" s="1"/>
  <c r="V14" i="2"/>
  <c r="F8" i="2" s="1"/>
  <c r="V8" i="2"/>
  <c r="L8" i="2" s="1"/>
  <c r="V16" i="2"/>
  <c r="H8" i="2" s="1"/>
  <c r="V18" i="2"/>
  <c r="J8" i="2" s="1"/>
  <c r="V19" i="2"/>
  <c r="K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João Sauvesuk</author>
  </authors>
  <commentList>
    <comment ref="B6" authorId="0" shapeId="0" xr:uid="{AF23B351-57DB-4304-AE2D-E270BD5734A8}">
      <text>
        <r>
          <rPr>
            <b/>
            <sz val="9"/>
            <color indexed="81"/>
            <rFont val="Segoe UI"/>
            <family val="2"/>
          </rPr>
          <t>As exigências estão sendo calculadas em cima do peso médio. Mas atenção para que isso não comprometa os resultados fazendo uma formulação muito "ampla".</t>
        </r>
      </text>
    </comment>
    <comment ref="W6" authorId="0" shapeId="0" xr:uid="{E82EA1D3-8957-474E-A41C-F06B7954F7C9}">
      <text>
        <r>
          <rPr>
            <b/>
            <sz val="9"/>
            <color indexed="81"/>
            <rFont val="Segoe UI"/>
            <family val="2"/>
          </rPr>
          <t>Quanto cada cabeça vai consumir no período todo determinado.</t>
        </r>
        <r>
          <rPr>
            <sz val="9"/>
            <color indexed="81"/>
            <rFont val="Segoe UI"/>
            <family val="2"/>
          </rPr>
          <t xml:space="preserve">
</t>
        </r>
      </text>
    </comment>
    <comment ref="X6" authorId="0" shapeId="0" xr:uid="{EF1C355D-C2F7-4C46-8B40-6B341DC079BB}">
      <text>
        <r>
          <rPr>
            <b/>
            <sz val="9"/>
            <color indexed="81"/>
            <rFont val="Segoe UI"/>
            <family val="2"/>
          </rPr>
          <t>Quanto todo o lote vai consumir no período determinado. Lembrando que foi realizado em cima do peso médio.</t>
        </r>
        <r>
          <rPr>
            <sz val="9"/>
            <color indexed="81"/>
            <rFont val="Segoe UI"/>
            <family val="2"/>
          </rPr>
          <t xml:space="preserve">
</t>
        </r>
      </text>
    </comment>
    <comment ref="J7" authorId="0" shapeId="0" xr:uid="{0CAEB479-B00D-4EAC-ACD2-CA9796703250}">
      <text>
        <r>
          <rPr>
            <sz val="9"/>
            <color indexed="81"/>
            <rFont val="Segoe UI"/>
            <family val="2"/>
          </rPr>
          <t>A matéria seca representa tudo que sobra do alimento após a retirada da água. Ela é importante porque permite comparar alimentos de forma justa e calcular quanto o animal realmente está consumindo de nutrientes. Dietas com baixa matéria seca limitam o consumo de nutrientes, enquanto níveis muito altos geralmente indicam alimentos muito fibrosos, o que reduz a digestibilidade e a eficiência da dieta.
 A planilha está configurada para sempre suprir a necessidade de MS, por isso, é importante garantir que o pasto tenha oferta suficiente para a necessidade do animal.</t>
        </r>
        <r>
          <rPr>
            <sz val="9"/>
            <color indexed="81"/>
            <rFont val="Segoe UI"/>
            <family val="2"/>
          </rPr>
          <t xml:space="preserve">
</t>
        </r>
      </text>
    </comment>
    <comment ref="J8" authorId="0" shapeId="0" xr:uid="{9283B1F8-EC43-444C-A1C3-3B29467D04E1}">
      <text>
        <r>
          <rPr>
            <sz val="9"/>
            <color indexed="81"/>
            <rFont val="Segoe UI"/>
            <family val="2"/>
          </rPr>
          <t>O extrato etéreo corresponde à fração de gordura do alimento, sendo uma fonte concentrada de energia. Ele é importante principalmente em dietas de alto desempenho, onde a demanda energética é elevada. Dietas com pouca gordura podem limitar o ganho de peso, enquanto o excesso pode inibir a atividade microbiana no rúmen, reduzindo a digestão da fibra e o consumo total de matéria seca resultando em baixo consumo e desempenho.</t>
        </r>
      </text>
    </comment>
    <comment ref="J9" authorId="0" shapeId="0" xr:uid="{78324686-B9DF-4B95-B409-F8D7C2C78A15}">
      <text>
        <r>
          <rPr>
            <sz val="9"/>
            <color indexed="81"/>
            <rFont val="Segoe UI"/>
            <family val="2"/>
          </rPr>
          <t xml:space="preserve">FDN significa FIBRA EM DETERGENTE NEUTRO. 
A FDN representa a fração fibrosa do alimento, composta por celulose, hemicelulose e lignina. Ela é essencial para o bom funcionamento do rúmen e a própria ruminação. Caso venha a faltar na dieta, pode causar acidose nos animais, reduzindo o consumo, afetando a saúde ruminal e comprometendo o desempenho. Por outro lado, FDN em excesso limita o consumo e reduz a digestibilidade, fazendo com que o animal não consuma energia e proteína suficientes para atender suas exigências.
</t>
        </r>
      </text>
    </comment>
    <comment ref="J10" authorId="0" shapeId="0" xr:uid="{AE080A42-AD7F-4BD9-97B1-23A4AF986931}">
      <text>
        <r>
          <rPr>
            <sz val="9"/>
            <color indexed="81"/>
            <rFont val="Segoe UI"/>
            <family val="2"/>
          </rPr>
          <t xml:space="preserve">O NDT expressa a quantidade total de energia digestível do alimento, somando a energia vinda da fibra, da proteína, dos açúcares e das gorduras. É um indicador chave para avaliar o potencial energético da dieta. Quando o NDT está abaixo do necessário, o animal não consegue manter o desempenho esperado, reduzindo ganho de peso, produção de leite ou taxa de prenhez. Já o excesso pode provocar distúrbios metabólicos, como acidose e desequilíbrios ruminais.
</t>
        </r>
      </text>
    </comment>
    <comment ref="J11" authorId="0" shapeId="0" xr:uid="{732CD912-F8FF-45CA-82C7-C1C6C0EA56ED}">
      <text>
        <r>
          <rPr>
            <sz val="9"/>
            <color indexed="81"/>
            <rFont val="Segoe UI"/>
            <family val="2"/>
          </rPr>
          <t>A proteína bruta é uma estimativa do teor total de nitrogênio do alimento, convertida para proteína. Ela é fundamental para o crescimento, ganho de peso, produção de leite e fertilidade. A deficiência de proteína compromete o desenvolvimento e o funcionamento do rúmen. Em excesso, pode levar ao desperdício de nitrogênio na urina, aumentando o custo da dieta e exigindo mais do metabolismo hepático.</t>
        </r>
      </text>
    </comment>
    <comment ref="J12" authorId="0" shapeId="0" xr:uid="{08B4FADD-EF08-4E1B-9AF5-9E1C714D58CF}">
      <text>
        <r>
          <rPr>
            <sz val="9"/>
            <color indexed="81"/>
            <rFont val="Segoe UI"/>
            <family val="2"/>
          </rPr>
          <t>O cálcio é um mineral essencial para a formação óssea, contração muscular e diversos processos metabólicos. Sua presença adequada na dieta garante crescimento, reprodução e funcionamento neuromuscular. A deficiência pode causar raquitismo, tetania e febre do leite. Já o excesso interfere na absorção de outros minerais, como fósforo e zinco, podendo desequilibrar a dieta.</t>
        </r>
      </text>
    </comment>
    <comment ref="J13" authorId="0" shapeId="0" xr:uid="{E17B4DA0-52FE-4BD8-811C-EF6DDA69520D}">
      <text>
        <r>
          <rPr>
            <sz val="9"/>
            <color indexed="81"/>
            <rFont val="Segoe UI"/>
            <family val="2"/>
          </rPr>
          <t xml:space="preserve">O fósforo participa da formação de ossos e dentes, da produção de energia celular e da função reprodutiva. É um dos minerais mais importantes da dieta de bovinos. A carência de fósforo pode causar perda de apetite, atraso no crescimento, problemas reprodutivos e até mastigação de ossos. Em excesso, pode prejudicar o equilíbrio com o cálcio, afetando a saúde óssea e a performance animal.
</t>
        </r>
      </text>
    </comment>
    <comment ref="J14" authorId="0" shapeId="0" xr:uid="{70E1ED97-23F3-473E-9EA2-493B11C753BA}">
      <text>
        <r>
          <rPr>
            <sz val="9"/>
            <color indexed="81"/>
            <rFont val="Segoe UI"/>
            <family val="2"/>
          </rPr>
          <t xml:space="preserve">O magnésio está envolvido na função muscular e nervosa, além de atuar em diversas enzimas do metabolismo. Sua deficiência é associada à tetania das pastagens, um distúrbio grave que pode levar à morte do animal. Por outro lado, o excesso é pouco comum, mas pode interferir na absorção de outros minerais se desbalanceado.
</t>
        </r>
      </text>
    </comment>
    <comment ref="J15" authorId="0" shapeId="0" xr:uid="{9740CEA0-1033-4B29-B6DB-F3F664476353}">
      <text>
        <r>
          <rPr>
            <sz val="9"/>
            <color indexed="81"/>
            <rFont val="Segoe UI"/>
            <family val="2"/>
          </rPr>
          <t>O potássio regula o equilíbrio hídrico, a função muscular e o metabolismo energético. Ele é essencial para o funcionamento adequado das células e do sistema nervoso. A deficiência reduz o apetite, causa fraqueza muscular e afeta o desempenho. Em excesso, pode dificultar a absorção de magnésio e aumentar o risco de tetania.</t>
        </r>
      </text>
    </comment>
    <comment ref="J16" authorId="0" shapeId="0" xr:uid="{A586D942-15D4-45BD-AB88-DDC66050BBC9}">
      <text>
        <r>
          <rPr>
            <sz val="9"/>
            <color indexed="81"/>
            <rFont val="Segoe UI"/>
            <family val="2"/>
          </rPr>
          <t xml:space="preserve">O sódio participa do equilíbrio osmótico, da condução nervosa e da regulação do apetite. É um dos principais responsáveis por estimular o consumo de alimento e água. A falta de sódio reduz a ingestão de matéria seca e compromete a hidratação. O excesso, quando há pouca disponibilidade de água, pode causar intoxicação por sal.
</t>
        </r>
      </text>
    </comment>
    <comment ref="J17" authorId="0" shapeId="0" xr:uid="{7704647E-CC45-4810-A051-F56CB53C760C}">
      <text>
        <r>
          <rPr>
            <sz val="9"/>
            <color indexed="81"/>
            <rFont val="Segoe UI"/>
            <family val="2"/>
          </rPr>
          <t xml:space="preserve">O enxofre faz parte de aminoácidos essenciais como metionina e cisteína, além de atuar na síntese de proteínas microbianas no rúmen. Sua ausência compromete o crescimento dos microrganismos ruminais, reduz a digestibilidade da fibra e afeta o desempenho animal. Em excesso, pode causar polioencefalomalácia, uma doença neurológica grave.
</t>
        </r>
      </text>
    </comment>
    <comment ref="J18" authorId="0" shapeId="0" xr:uid="{247E9A54-9AB6-448D-9C34-F34F5EA2812B}">
      <text>
        <r>
          <rPr>
            <sz val="9"/>
            <color indexed="81"/>
            <rFont val="Segoe UI"/>
            <family val="2"/>
          </rPr>
          <t xml:space="preserve">O cobalto é essencial para que os microrganismos do rúmen produzam a vitamina B12, fundamental no metabolismo energético. Quando em falta, os animais apresentam queda de apetite, perda de peso e anemia. O excesso é raro, mas em doses muito altas pode ser tóxico.
</t>
        </r>
      </text>
    </comment>
    <comment ref="J19" authorId="0" shapeId="0" xr:uid="{583FAE57-126A-43FB-A98E-5385E4FB1D2B}">
      <text>
        <r>
          <rPr>
            <sz val="9"/>
            <color indexed="81"/>
            <rFont val="Segoe UI"/>
            <family val="2"/>
          </rPr>
          <t xml:space="preserve">O cobre está ligado à imunidade, à produção de enzimas antioxidantes e à coloração do pelo. Sua deficiência causa anemia, perda de pelo, queda de imunidade e infertilidade. O excesso, embora mais comum em ovinos, também pode ser tóxico para bovinos, causando lesões hepáticas.
</t>
        </r>
      </text>
    </comment>
    <comment ref="J20" authorId="0" shapeId="0" xr:uid="{78666B88-84BF-4F7A-93CC-B51D32CF437C}">
      <text>
        <r>
          <rPr>
            <sz val="9"/>
            <color indexed="81"/>
            <rFont val="Segoe UI"/>
            <family val="2"/>
          </rPr>
          <t xml:space="preserve">O manganês atua na formação dos ossos, no metabolismo de carboidratos e na reprodução. Sua carência afeta o crescimento, a fertilidade e a saúde óssea. Em excesso, pode interferir na absorção de ferro e causar anemia.
</t>
        </r>
      </text>
    </comment>
    <comment ref="J21" authorId="0" shapeId="0" xr:uid="{B559E0C5-AA4E-4E75-B759-49DFF5F1AE2E}">
      <text>
        <r>
          <rPr>
            <sz val="9"/>
            <color indexed="81"/>
            <rFont val="Segoe UI"/>
            <family val="2"/>
          </rPr>
          <t>O selênio é um potente antioxidante que atua em conjunto com a vitamina E, protegendo as células contra danos. Também é importante para a imunidade e a saúde muscular. Sua deficiência leva à doença do músculo branco, fraqueza e mortalidade neonatal. O excesso é altamente tóxico, podendo causar lesões nos cascos, queda de pelos e até morte.</t>
        </r>
      </text>
    </comment>
    <comment ref="J22" authorId="0" shapeId="0" xr:uid="{74EEB623-C833-4775-8270-5EF9158F0634}">
      <text>
        <r>
          <rPr>
            <sz val="9"/>
            <color indexed="81"/>
            <rFont val="Segoe UI"/>
            <family val="2"/>
          </rPr>
          <t xml:space="preserve">O zinco está envolvido na saúde da pele, na formação de cascos, na imunidade e no crescimento. A deficiência reduz o ganho de peso, prejudica a cicatrização e provoca lesões cutâneas. Em excesso, pode interferir na absorção de cobre e causar desequilíbrios minerais.
</t>
        </r>
      </text>
    </comment>
    <comment ref="J23" authorId="0" shapeId="0" xr:uid="{6658A8B7-0D46-47E2-843F-FECFB458A7CF}">
      <text>
        <r>
          <rPr>
            <sz val="9"/>
            <color indexed="81"/>
            <rFont val="Segoe UI"/>
            <family val="2"/>
          </rPr>
          <t>A ureia é uma fonte de nitrogênio não proteico utilizada em dietas de bovinos ruminantes. No rúmen, ela é transformada em amônia, que os microrganismos utilizam para sintetizar proteína microbiana, que é altamente aproveitada pelo animal no intestino delgado. Seu uso é especialmente útil para complementar dietas pobres em proteína verdadeira, como em pastagens secas ou dietas ricas em energia e pobres em nitrogênio. O excesso pode ser extremamente tóxico, levando a um quadro de intoxicação por amônia, que é potencialmente fatal se não tratado imediatamente. Por isso, seu uso deve sempre ser acompanhado de um bom balanceamento energético na dieta e adaptação gradual dos animais.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João Sauvesuk</author>
  </authors>
  <commentList>
    <comment ref="D5" authorId="0" shapeId="0" xr:uid="{9481F2B9-6588-4917-8987-3640E776E37D}">
      <text>
        <r>
          <rPr>
            <b/>
            <sz val="9"/>
            <color indexed="81"/>
            <rFont val="Segoe UI"/>
            <family val="2"/>
          </rPr>
          <t xml:space="preserve">Lotação média no período que você vai adubar, sempre em unidade animal por hectare (U.A/ha).
Caso não lembre, assisa novamente a aula de definição de meta/objetivo.
</t>
        </r>
        <r>
          <rPr>
            <sz val="9"/>
            <color indexed="81"/>
            <rFont val="Segoe UI"/>
            <family val="2"/>
          </rPr>
          <t xml:space="preserve">
</t>
        </r>
      </text>
    </comment>
    <comment ref="E5" authorId="0" shapeId="0" xr:uid="{040F19E2-272B-48EA-B7A0-9EC7C9C8DE2B}">
      <text>
        <r>
          <rPr>
            <b/>
            <sz val="9"/>
            <color indexed="81"/>
            <rFont val="Segoe UI"/>
            <family val="2"/>
          </rPr>
          <t>O Pecuário: também pode estar como Saturação por bases, SB, Sat base.
Tem que ser sempre em %</t>
        </r>
        <r>
          <rPr>
            <sz val="9"/>
            <color indexed="81"/>
            <rFont val="Segoe UI"/>
            <family val="2"/>
          </rPr>
          <t xml:space="preserve">
</t>
        </r>
      </text>
    </comment>
    <comment ref="F5" authorId="0" shapeId="0" xr:uid="{EEE1F0ED-EE16-4B42-9BB7-F639740E39F3}">
      <text>
        <r>
          <rPr>
            <b/>
            <sz val="9"/>
            <color indexed="81"/>
            <rFont val="Segoe UI"/>
            <family val="2"/>
          </rPr>
          <t>O Pecuário: também pode estar como Sat. Al, Saturação por al, %alumínio</t>
        </r>
      </text>
    </comment>
    <comment ref="G5" authorId="0" shapeId="0" xr:uid="{58E98391-8B01-4AC2-8597-96E5591A1975}">
      <text>
        <r>
          <rPr>
            <b/>
            <sz val="9"/>
            <color indexed="81"/>
            <rFont val="Segoe UI"/>
            <family val="2"/>
          </rPr>
          <t xml:space="preserve">Também pode estar como "CTC potencial", ou como "T" (maiúsculo).
Se só tiver uma CTC no laudo, é o valor a ser utilizado aqui. </t>
        </r>
        <r>
          <rPr>
            <sz val="9"/>
            <color indexed="81"/>
            <rFont val="Segoe UI"/>
            <family val="2"/>
          </rPr>
          <t xml:space="preserve">
</t>
        </r>
      </text>
    </comment>
  </commentList>
</comments>
</file>

<file path=xl/sharedStrings.xml><?xml version="1.0" encoding="utf-8"?>
<sst xmlns="http://schemas.openxmlformats.org/spreadsheetml/2006/main" count="1620" uniqueCount="817">
  <si>
    <t>J</t>
  </si>
  <si>
    <t>A</t>
  </si>
  <si>
    <t>S</t>
  </si>
  <si>
    <t>O</t>
  </si>
  <si>
    <t>N</t>
  </si>
  <si>
    <t>D</t>
  </si>
  <si>
    <t>F</t>
  </si>
  <si>
    <t>M</t>
  </si>
  <si>
    <t>Estação</t>
  </si>
  <si>
    <t>Nascimento</t>
  </si>
  <si>
    <t>Desmama</t>
  </si>
  <si>
    <t>"Estação"</t>
  </si>
  <si>
    <t>Meses</t>
  </si>
  <si>
    <t>Data de início da estação</t>
  </si>
  <si>
    <t>Duração planejada (dias)</t>
  </si>
  <si>
    <t>Data final</t>
  </si>
  <si>
    <t>Início dos nascimentos</t>
  </si>
  <si>
    <t>Final dos nascimentos</t>
  </si>
  <si>
    <t>Início da desmama</t>
  </si>
  <si>
    <t>Final da desmama</t>
  </si>
  <si>
    <t>Dias até início da próxima estação</t>
  </si>
  <si>
    <t>Início da próxima estação</t>
  </si>
  <si>
    <t>Início da seca</t>
  </si>
  <si>
    <t>Final da seca</t>
  </si>
  <si>
    <t>Seca</t>
  </si>
  <si>
    <t>Chuva/seca</t>
  </si>
  <si>
    <t>CALENDÁRIO REPRODUTIVO PROGRAMADO</t>
  </si>
  <si>
    <t>Programação da estação</t>
  </si>
  <si>
    <t>PROGRAMAÇÃO DA ESTAÇÃO REPRODUTIVA</t>
  </si>
  <si>
    <t>Nascimentos</t>
  </si>
  <si>
    <t>Mês</t>
  </si>
  <si>
    <t>Prenhez</t>
  </si>
  <si>
    <t>2° mandada</t>
  </si>
  <si>
    <t>1° Nascimentos</t>
  </si>
  <si>
    <t>2° Nascimentos</t>
  </si>
  <si>
    <t>1° mandada</t>
  </si>
  <si>
    <t>Vida útil (anos)</t>
  </si>
  <si>
    <t>Bezerros por ano</t>
  </si>
  <si>
    <t>R$/cab/mês</t>
  </si>
  <si>
    <t>Exames anuais</t>
  </si>
  <si>
    <t>Custo anual do touro</t>
  </si>
  <si>
    <t>R$ de "revenda"</t>
  </si>
  <si>
    <t>Custo/prenhez</t>
  </si>
  <si>
    <t>Resultados</t>
  </si>
  <si>
    <t>Informações</t>
  </si>
  <si>
    <t>TOURO</t>
  </si>
  <si>
    <t>IATF</t>
  </si>
  <si>
    <t>R$/protocolo</t>
  </si>
  <si>
    <t>% prenhez</t>
  </si>
  <si>
    <t>% prenhez do protocolo</t>
  </si>
  <si>
    <t>Custo - revenda</t>
  </si>
  <si>
    <t>TOURO x IATF</t>
  </si>
  <si>
    <t>Qnt. De vacas</t>
  </si>
  <si>
    <t>n° de prenhas</t>
  </si>
  <si>
    <t>Simulação de custos Touro</t>
  </si>
  <si>
    <t>Relação touro x vaca</t>
  </si>
  <si>
    <t>n° de touros necessários</t>
  </si>
  <si>
    <t>R$ compra de touros</t>
  </si>
  <si>
    <t>Simulação de custos IATF</t>
  </si>
  <si>
    <t>R$/prenhez</t>
  </si>
  <si>
    <t>% prenhez 1° IATF</t>
  </si>
  <si>
    <t>% prenhez 2° IATF</t>
  </si>
  <si>
    <t>R$ com protocolos</t>
  </si>
  <si>
    <t>Touro</t>
  </si>
  <si>
    <t>Nascimentos Touro</t>
  </si>
  <si>
    <t>Total de bezerros de IATF</t>
  </si>
  <si>
    <t>Total de bezerros de Touro</t>
  </si>
  <si>
    <t>Vacas expostas</t>
  </si>
  <si>
    <t>Inseminações</t>
  </si>
  <si>
    <t xml:space="preserve">N° de vacas para entrar na estação </t>
  </si>
  <si>
    <t>Prenhas no final da estação</t>
  </si>
  <si>
    <t>Bezerros(as) desmamados(as)</t>
  </si>
  <si>
    <t>Peso médio de desmama</t>
  </si>
  <si>
    <t>Taxa de prenhez</t>
  </si>
  <si>
    <t>Taxa de desmame</t>
  </si>
  <si>
    <t>Kg de bezerro desmamado/vaca</t>
  </si>
  <si>
    <t>Kg de bezerro desmamado/hectare</t>
  </si>
  <si>
    <t>Área útil (ha)</t>
  </si>
  <si>
    <t>Bezerros desmamados/hectare</t>
  </si>
  <si>
    <t>Data</t>
  </si>
  <si>
    <t>N° vaca</t>
  </si>
  <si>
    <t>1° IATF</t>
  </si>
  <si>
    <t>2° IATF</t>
  </si>
  <si>
    <t>Categoria</t>
  </si>
  <si>
    <t>Nasc.</t>
  </si>
  <si>
    <t>Resultado</t>
  </si>
  <si>
    <t>CONTROLE DE MANEJOS REPRODUTIVOS</t>
  </si>
  <si>
    <t>Sexo</t>
  </si>
  <si>
    <t>1° DG</t>
  </si>
  <si>
    <t>2° DG</t>
  </si>
  <si>
    <t>DG final</t>
  </si>
  <si>
    <t>Desmama.</t>
  </si>
  <si>
    <t>Peso</t>
  </si>
  <si>
    <t>Coluna1</t>
  </si>
  <si>
    <t>Coluna2</t>
  </si>
  <si>
    <t>Coluna3</t>
  </si>
  <si>
    <t>Coluna4</t>
  </si>
  <si>
    <t>Coluna5</t>
  </si>
  <si>
    <t>Coluna6</t>
  </si>
  <si>
    <t>Coluna7</t>
  </si>
  <si>
    <t>Coluna8</t>
  </si>
  <si>
    <t>Coluna9</t>
  </si>
  <si>
    <t>Coluna10</t>
  </si>
  <si>
    <t>Coluna11</t>
  </si>
  <si>
    <t>Coluna12</t>
  </si>
  <si>
    <t>Coluna13</t>
  </si>
  <si>
    <t>Coluna14</t>
  </si>
  <si>
    <t>Coluna15</t>
  </si>
  <si>
    <t xml:space="preserve">n° vacas expostas </t>
  </si>
  <si>
    <t>Previsão de parto</t>
  </si>
  <si>
    <t>Coluna 16</t>
  </si>
  <si>
    <t>DG TOTAL</t>
  </si>
  <si>
    <t>% nascimento</t>
  </si>
  <si>
    <t>% desmame</t>
  </si>
  <si>
    <t>Prenhez 2° IATF</t>
  </si>
  <si>
    <t>Prenhez 1° IATF</t>
  </si>
  <si>
    <t>n° vacas 2° IATF</t>
  </si>
  <si>
    <t>n° vacas 1° IATF</t>
  </si>
  <si>
    <t>n° vacas c/ Touro</t>
  </si>
  <si>
    <t>Qnt. prenha DG final</t>
  </si>
  <si>
    <t>Qnt. paridas</t>
  </si>
  <si>
    <t>Qnt. Bez desmamados</t>
  </si>
  <si>
    <t>Kg desm. total</t>
  </si>
  <si>
    <t>Kg desm./vaca exp.</t>
  </si>
  <si>
    <t>Kg desmamado/ha</t>
  </si>
  <si>
    <t>CABEÇALHO DE RESUMO DO REPRODUTIVO</t>
  </si>
  <si>
    <t>Área de pasto em hectares:</t>
  </si>
  <si>
    <t>Custo total do touro</t>
  </si>
  <si>
    <t>Preço compra do touro</t>
  </si>
  <si>
    <t>% inviabilidade</t>
  </si>
  <si>
    <t>R$ anual touros</t>
  </si>
  <si>
    <t>Prenhez touro</t>
  </si>
  <si>
    <t>Nasacimento</t>
  </si>
  <si>
    <t>| PROGRAMAÇÃO DA ESTAÇÃO REPRODUTIVA</t>
  </si>
  <si>
    <t>PLANILHA PARA FORMULAÇÃO DE SUPLEMENTOS PARA BOVINOS A PASTO</t>
  </si>
  <si>
    <t>Exigência</t>
  </si>
  <si>
    <t>Código</t>
  </si>
  <si>
    <t>Unidade</t>
  </si>
  <si>
    <t>Mínimo</t>
  </si>
  <si>
    <t>Ideal</t>
  </si>
  <si>
    <t>Máximo</t>
  </si>
  <si>
    <t>INFORMAÇÕES P/ EXIGÊNCIA</t>
  </si>
  <si>
    <t>FORMULAÇÃO DO SUPLEMENTO</t>
  </si>
  <si>
    <t>EXIGÊNCIA x DIETA</t>
  </si>
  <si>
    <t>RESUMO DA DIETA GERAL</t>
  </si>
  <si>
    <t>Ingr</t>
  </si>
  <si>
    <t>Capim</t>
  </si>
  <si>
    <t>Matéria Seca</t>
  </si>
  <si>
    <t>MS</t>
  </si>
  <si>
    <t>kg/dia</t>
  </si>
  <si>
    <t>Peso médio (kg)</t>
  </si>
  <si>
    <t>Ingrediente</t>
  </si>
  <si>
    <t>%</t>
  </si>
  <si>
    <t>R$/kg</t>
  </si>
  <si>
    <t>R$</t>
  </si>
  <si>
    <t>Descrição</t>
  </si>
  <si>
    <t>Dieta</t>
  </si>
  <si>
    <t>% na dieta</t>
  </si>
  <si>
    <t>% ideal</t>
  </si>
  <si>
    <t>Alimentos</t>
  </si>
  <si>
    <t>M.O. (Kg)</t>
  </si>
  <si>
    <t>M.S. (Kg)</t>
  </si>
  <si>
    <t>% P.V</t>
  </si>
  <si>
    <t>% da dieta</t>
  </si>
  <si>
    <t>Consumo total/cab</t>
  </si>
  <si>
    <t>Consumo total</t>
  </si>
  <si>
    <t>Ureia pelo NNP</t>
  </si>
  <si>
    <t>%MS</t>
  </si>
  <si>
    <t>NDT</t>
  </si>
  <si>
    <t>PB</t>
  </si>
  <si>
    <t>Extrato Etéreo</t>
  </si>
  <si>
    <t>EE</t>
  </si>
  <si>
    <t>GMD (kg/cab/dia)</t>
  </si>
  <si>
    <t>Matéria seca (MS)</t>
  </si>
  <si>
    <t>Carboidratos Não Fibrosos</t>
  </si>
  <si>
    <t>CNF</t>
  </si>
  <si>
    <t>Primípara</t>
  </si>
  <si>
    <t>Extrato etéreo (EE)</t>
  </si>
  <si>
    <t>NDT (Kg)</t>
  </si>
  <si>
    <t>P.B (Kg)</t>
  </si>
  <si>
    <t>Ca (g)</t>
  </si>
  <si>
    <t>P (g)</t>
  </si>
  <si>
    <t>PDR (kg)</t>
  </si>
  <si>
    <t>FDN (kg)</t>
  </si>
  <si>
    <t>EE (g)</t>
  </si>
  <si>
    <t>Mg (g)</t>
  </si>
  <si>
    <t>Na (g)</t>
  </si>
  <si>
    <t>K (g)</t>
  </si>
  <si>
    <t>S (g)</t>
  </si>
  <si>
    <t>Cu (mg)</t>
  </si>
  <si>
    <t>Zn (mg)</t>
  </si>
  <si>
    <t>Fe (mg)</t>
  </si>
  <si>
    <t>Mn (mg)</t>
  </si>
  <si>
    <t>I (mg)</t>
  </si>
  <si>
    <t>Co (mg)</t>
  </si>
  <si>
    <t>Se (mg)</t>
  </si>
  <si>
    <t>Fibra em Detergente Neutro</t>
  </si>
  <si>
    <t>FDN</t>
  </si>
  <si>
    <t>Estado fisiológico</t>
  </si>
  <si>
    <t>Lactante</t>
  </si>
  <si>
    <t>%EF colheita</t>
  </si>
  <si>
    <t>FDN Fisicamente Efetiva</t>
  </si>
  <si>
    <t>FDNfe</t>
  </si>
  <si>
    <t>Semana lactação</t>
  </si>
  <si>
    <t>Contínuo</t>
  </si>
  <si>
    <t>Teor de Amido</t>
  </si>
  <si>
    <t>AMIDO</t>
  </si>
  <si>
    <t>Proteína Bruta (PB)</t>
  </si>
  <si>
    <t>Alternado</t>
  </si>
  <si>
    <t>Multípara</t>
  </si>
  <si>
    <t>Nutrientes Digestíveis Totais</t>
  </si>
  <si>
    <t>Cálcio (Ca)</t>
  </si>
  <si>
    <t>Rotacionado</t>
  </si>
  <si>
    <t>Proteína Bruta</t>
  </si>
  <si>
    <t>g/dia</t>
  </si>
  <si>
    <t>Fósforo (P)</t>
  </si>
  <si>
    <t>Ultra-denso</t>
  </si>
  <si>
    <t>Cálcio</t>
  </si>
  <si>
    <t>Ca</t>
  </si>
  <si>
    <t>Magnésio (mg)</t>
  </si>
  <si>
    <t>Ponta 7X</t>
  </si>
  <si>
    <t>Fósforo</t>
  </si>
  <si>
    <t>P</t>
  </si>
  <si>
    <t>INFORMAÇÕES DO SISTEMA</t>
  </si>
  <si>
    <t>Potássio (K)</t>
  </si>
  <si>
    <t>Sem Lac</t>
  </si>
  <si>
    <t>GMD</t>
  </si>
  <si>
    <t>Magnésio</t>
  </si>
  <si>
    <t>Mg</t>
  </si>
  <si>
    <t>Dias de uso</t>
  </si>
  <si>
    <t>Sódio (Na)</t>
  </si>
  <si>
    <t>GMD, kg</t>
  </si>
  <si>
    <t>si</t>
  </si>
  <si>
    <t>Potássio</t>
  </si>
  <si>
    <t>K</t>
  </si>
  <si>
    <t>R$/@ venda</t>
  </si>
  <si>
    <t>Enxofre (S)</t>
  </si>
  <si>
    <t>sp</t>
  </si>
  <si>
    <t>Sódio</t>
  </si>
  <si>
    <t>Na</t>
  </si>
  <si>
    <t>Forragem</t>
  </si>
  <si>
    <t>Capim Mombaça</t>
  </si>
  <si>
    <t>Cobalto (Co)</t>
  </si>
  <si>
    <t>GERAIS</t>
  </si>
  <si>
    <t>MINERAIS</t>
  </si>
  <si>
    <t>Enxofre</t>
  </si>
  <si>
    <t>Cons. Supl. (%P.V)</t>
  </si>
  <si>
    <t>Cobre (Cu)</t>
  </si>
  <si>
    <t>ndt</t>
  </si>
  <si>
    <t>Cobalto</t>
  </si>
  <si>
    <t>Co</t>
  </si>
  <si>
    <t>mg/dia</t>
  </si>
  <si>
    <t>n° de animais (cab)</t>
  </si>
  <si>
    <t>Manganês (Mn)</t>
  </si>
  <si>
    <t>Consumo</t>
  </si>
  <si>
    <t>CMS</t>
  </si>
  <si>
    <t>kg</t>
  </si>
  <si>
    <t>Macro</t>
  </si>
  <si>
    <t>Coef. Ret.</t>
  </si>
  <si>
    <t>g</t>
  </si>
  <si>
    <t>Leite</t>
  </si>
  <si>
    <t>PM</t>
  </si>
  <si>
    <t>Cobre</t>
  </si>
  <si>
    <t>Cu</t>
  </si>
  <si>
    <t>Diária s/ supl. (R$/cab)</t>
  </si>
  <si>
    <t>Total</t>
  </si>
  <si>
    <t>Selênio (Se)</t>
  </si>
  <si>
    <t>Sólidos</t>
  </si>
  <si>
    <t>Iodo</t>
  </si>
  <si>
    <t>I</t>
  </si>
  <si>
    <t>Zinco (Zn)</t>
  </si>
  <si>
    <t>Prod. Leite</t>
  </si>
  <si>
    <t>Pleite</t>
  </si>
  <si>
    <t>CMStot</t>
  </si>
  <si>
    <t>Manganês</t>
  </si>
  <si>
    <t>Mn</t>
  </si>
  <si>
    <t>R$/kg mão de obra</t>
  </si>
  <si>
    <t>R$/kg final</t>
  </si>
  <si>
    <t>Ureia</t>
  </si>
  <si>
    <t>**Para que o GMD seja alcançado, você tem que garantir que seu animal tenha acesso a essa quantidade de forragem e suplemento diariamente.</t>
  </si>
  <si>
    <t>Selênio</t>
  </si>
  <si>
    <t>Se</t>
  </si>
  <si>
    <t>***As estimativas de consumo foram feitas em cima do peso médio, podendo ter variação de acordo com o desempenho.</t>
  </si>
  <si>
    <t>Energia</t>
  </si>
  <si>
    <t>ELm</t>
  </si>
  <si>
    <t>Mcal</t>
  </si>
  <si>
    <t>Ca/P</t>
  </si>
  <si>
    <t>Zinco</t>
  </si>
  <si>
    <t>Zn</t>
  </si>
  <si>
    <t>Acréscimo de consumo de MS</t>
  </si>
  <si>
    <t>ELg</t>
  </si>
  <si>
    <t>BEZERROS</t>
  </si>
  <si>
    <t>ELlac</t>
  </si>
  <si>
    <t>EMm</t>
  </si>
  <si>
    <t>BIBLIOTECA DE ALIMENTOS</t>
  </si>
  <si>
    <t>EMg</t>
  </si>
  <si>
    <t>M.S (%)</t>
  </si>
  <si>
    <t>NDT (% M.S)</t>
  </si>
  <si>
    <t>PB (% M.S)</t>
  </si>
  <si>
    <t>Ca (% M.S)</t>
  </si>
  <si>
    <t>P (% M.S)</t>
  </si>
  <si>
    <t>PDR (%M.S)</t>
  </si>
  <si>
    <t>FDN (%M.S)</t>
  </si>
  <si>
    <t>EE (%M.S)</t>
  </si>
  <si>
    <t>Mg (%M.S)</t>
  </si>
  <si>
    <t>Na (%M.S)</t>
  </si>
  <si>
    <t>K (%M.S)</t>
  </si>
  <si>
    <t>S (%M.S)</t>
  </si>
  <si>
    <t>Cu (mg/kg)</t>
  </si>
  <si>
    <t>Zn (mg/kg)</t>
  </si>
  <si>
    <t>Fe (mg/kg)</t>
  </si>
  <si>
    <t>Mn (mg/kg)</t>
  </si>
  <si>
    <t>I (mg/kg)</t>
  </si>
  <si>
    <t>Co (mg/kg)</t>
  </si>
  <si>
    <t>Se (mg/kg)</t>
  </si>
  <si>
    <t>EMtot</t>
  </si>
  <si>
    <t>Capim Andropogon</t>
  </si>
  <si>
    <t>Prod. Leite, kg</t>
  </si>
  <si>
    <t>Multip</t>
  </si>
  <si>
    <t>Peso corporal, kg</t>
  </si>
  <si>
    <t>EMlac</t>
  </si>
  <si>
    <t>NDTleit</t>
  </si>
  <si>
    <t>Braquiária Brizantha</t>
  </si>
  <si>
    <t>Primi</t>
  </si>
  <si>
    <t>NDTsól</t>
  </si>
  <si>
    <t>Marandu</t>
  </si>
  <si>
    <t>Final</t>
  </si>
  <si>
    <t>Produção de leite da mãe, kg</t>
  </si>
  <si>
    <t>Kg</t>
  </si>
  <si>
    <t>NDTtot</t>
  </si>
  <si>
    <t>Decumbens</t>
  </si>
  <si>
    <t>Humidícola</t>
  </si>
  <si>
    <t>CMS, g/kg PC</t>
  </si>
  <si>
    <t>Ganho médio diário, kg/dia</t>
  </si>
  <si>
    <t>Capim Gordura</t>
  </si>
  <si>
    <t>CMS, kg</t>
  </si>
  <si>
    <t>Proteína</t>
  </si>
  <si>
    <t>PMm</t>
  </si>
  <si>
    <t>Micro</t>
  </si>
  <si>
    <t>mg</t>
  </si>
  <si>
    <t>Capim Massai</t>
  </si>
  <si>
    <t>PCJ, kg</t>
  </si>
  <si>
    <t>PMg</t>
  </si>
  <si>
    <t>PCVZ, kg</t>
  </si>
  <si>
    <t>PMlac</t>
  </si>
  <si>
    <t>PMtot</t>
  </si>
  <si>
    <t>Capim Tifton 85</t>
  </si>
  <si>
    <t>GPCVZ</t>
  </si>
  <si>
    <t>PDR</t>
  </si>
  <si>
    <t>Milheto</t>
  </si>
  <si>
    <t>Cr</t>
  </si>
  <si>
    <t>% PB</t>
  </si>
  <si>
    <t>Sorgo Forrageiro</t>
  </si>
  <si>
    <t>ELm, Mcal</t>
  </si>
  <si>
    <t>PNDR</t>
  </si>
  <si>
    <t>Fe</t>
  </si>
  <si>
    <t>km</t>
  </si>
  <si>
    <t>PBleite</t>
  </si>
  <si>
    <t>Concentrados</t>
  </si>
  <si>
    <t>M.S (% M.S)</t>
  </si>
  <si>
    <t>PDR (% M.S)</t>
  </si>
  <si>
    <t>FDN (% M.S)</t>
  </si>
  <si>
    <t>EE (% M.S)</t>
  </si>
  <si>
    <t>Mg (% M.S)</t>
  </si>
  <si>
    <t>Na (% M.S)</t>
  </si>
  <si>
    <t>K(% M.S)</t>
  </si>
  <si>
    <t>S (% M.S)</t>
  </si>
  <si>
    <t>R$/NDT</t>
  </si>
  <si>
    <t>R$/PB</t>
  </si>
  <si>
    <t>PBtotal</t>
  </si>
  <si>
    <t>Milho</t>
  </si>
  <si>
    <t>Soja Casca</t>
  </si>
  <si>
    <t>Mo</t>
  </si>
  <si>
    <t>Sorgo Grão</t>
  </si>
  <si>
    <t>ELl,Mcal/kg Lei</t>
  </si>
  <si>
    <t>Algodão Caroço</t>
  </si>
  <si>
    <t>kl=km</t>
  </si>
  <si>
    <t>Algodão Farelo 28%PB</t>
  </si>
  <si>
    <t>ELl, Mcal</t>
  </si>
  <si>
    <t>Algodão Farelo 38%PB</t>
  </si>
  <si>
    <t>EM1</t>
  </si>
  <si>
    <t>Algodão Torta</t>
  </si>
  <si>
    <t>EMt</t>
  </si>
  <si>
    <t>DDG 18%</t>
  </si>
  <si>
    <t>ED</t>
  </si>
  <si>
    <t>DDG 30%</t>
  </si>
  <si>
    <t>NDT, kg</t>
  </si>
  <si>
    <t>Soja Farelo</t>
  </si>
  <si>
    <t>NDT, %</t>
  </si>
  <si>
    <t>Sal comum</t>
  </si>
  <si>
    <t>Mineral/núcleo</t>
  </si>
  <si>
    <t>M.S (g/kg)</t>
  </si>
  <si>
    <t>NDT (g/kg)</t>
  </si>
  <si>
    <t>PB (g/kg)</t>
  </si>
  <si>
    <t>Ca (g/kg)</t>
  </si>
  <si>
    <t>P (g/kg)</t>
  </si>
  <si>
    <t>PDR (g/kg)</t>
  </si>
  <si>
    <t>FDN (g/kg)</t>
  </si>
  <si>
    <t>EE (g/kg)</t>
  </si>
  <si>
    <t>Mg (g/kg)</t>
  </si>
  <si>
    <t>Na (g/kg)</t>
  </si>
  <si>
    <t>K (g/kg)</t>
  </si>
  <si>
    <t>S (g/kg)</t>
  </si>
  <si>
    <t>Fe (g/kg)</t>
  </si>
  <si>
    <t>NNP (g/kg)</t>
  </si>
  <si>
    <t>% ureia</t>
  </si>
  <si>
    <t>PLg</t>
  </si>
  <si>
    <t>Fosbovi boi verde</t>
  </si>
  <si>
    <t>k</t>
  </si>
  <si>
    <t>Fortumix +engorda SP</t>
  </si>
  <si>
    <t>PMl,g</t>
  </si>
  <si>
    <t>PMt</t>
  </si>
  <si>
    <t>PBmic</t>
  </si>
  <si>
    <t>PB, %</t>
  </si>
  <si>
    <t>Ca g</t>
  </si>
  <si>
    <t>Ca m</t>
  </si>
  <si>
    <t>Ca lac</t>
  </si>
  <si>
    <t>Atenção:</t>
  </si>
  <si>
    <t>Ca tot</t>
  </si>
  <si>
    <t>- Essa planilha é de uso exclusivo dos alunos do Programa Acelerador de Arrobas, não podendo ser compartilhada ou vendida separadamente.</t>
  </si>
  <si>
    <t>Coef retenc</t>
  </si>
  <si>
    <t>- Os dados gerados e coletados aqui não garantem resultado, visto que o mesmo depende de diversos outros fatores, como ensinado nas aulas.</t>
  </si>
  <si>
    <t>Ca, g</t>
  </si>
  <si>
    <t>- Essa planilha não se responsabiliza por falhas na nutrição, visto que a mesam depende de diversos outros fatores para falhar ou alcançar o sucesso, como ensinado nas aulas.</t>
  </si>
  <si>
    <t>- Os alimentos inseridos na biblioteca não representam a realidade de todos os locais. Sempre faça análise bromatológica e peça os níveis de garantia.</t>
  </si>
  <si>
    <t>Fóforo</t>
  </si>
  <si>
    <t>P m</t>
  </si>
  <si>
    <t xml:space="preserve">- Essa planilha é para formulações simples, que tem capim em pastejo como base da dieta. </t>
  </si>
  <si>
    <t xml:space="preserve">P g </t>
  </si>
  <si>
    <t>P lac</t>
  </si>
  <si>
    <t>P tot</t>
  </si>
  <si>
    <t>P, g</t>
  </si>
  <si>
    <t>Relação Ca/P</t>
  </si>
  <si>
    <t>Mg m</t>
  </si>
  <si>
    <t xml:space="preserve">Mg g </t>
  </si>
  <si>
    <t>Mg lac</t>
  </si>
  <si>
    <t>Mg tot</t>
  </si>
  <si>
    <t>Mg, g</t>
  </si>
  <si>
    <t>Na m</t>
  </si>
  <si>
    <t xml:space="preserve">Na g </t>
  </si>
  <si>
    <t>Na lac</t>
  </si>
  <si>
    <t>Na tot</t>
  </si>
  <si>
    <t>Na, g</t>
  </si>
  <si>
    <t>K m</t>
  </si>
  <si>
    <t xml:space="preserve">K g </t>
  </si>
  <si>
    <t>K lac</t>
  </si>
  <si>
    <t>K tot</t>
  </si>
  <si>
    <t>K, g</t>
  </si>
  <si>
    <t>S m</t>
  </si>
  <si>
    <t xml:space="preserve">S g </t>
  </si>
  <si>
    <t>S lac</t>
  </si>
  <si>
    <t>S tot</t>
  </si>
  <si>
    <t>S, g</t>
  </si>
  <si>
    <t>Cu m</t>
  </si>
  <si>
    <t xml:space="preserve">Cu g </t>
  </si>
  <si>
    <t>Cu lac</t>
  </si>
  <si>
    <t>Cu tot</t>
  </si>
  <si>
    <t>Cu, mg</t>
  </si>
  <si>
    <t>Co m</t>
  </si>
  <si>
    <t xml:space="preserve">Co g </t>
  </si>
  <si>
    <t>Co lac</t>
  </si>
  <si>
    <t>Co tot</t>
  </si>
  <si>
    <t>Co, mg</t>
  </si>
  <si>
    <t>Cromo</t>
  </si>
  <si>
    <t>Cr m</t>
  </si>
  <si>
    <t xml:space="preserve">Cr g </t>
  </si>
  <si>
    <t>Cr lac</t>
  </si>
  <si>
    <t>Cr tot</t>
  </si>
  <si>
    <t>Cr, mg</t>
  </si>
  <si>
    <t>Ferro</t>
  </si>
  <si>
    <t>Fe m</t>
  </si>
  <si>
    <t xml:space="preserve">Fe g </t>
  </si>
  <si>
    <t>Fe lac</t>
  </si>
  <si>
    <t>Fe tot</t>
  </si>
  <si>
    <t>Fe, mg</t>
  </si>
  <si>
    <t>Mn m</t>
  </si>
  <si>
    <t xml:space="preserve">Mn g </t>
  </si>
  <si>
    <t>Mn lac</t>
  </si>
  <si>
    <t>Mn tot</t>
  </si>
  <si>
    <t>Mn, mg</t>
  </si>
  <si>
    <t>Zn m</t>
  </si>
  <si>
    <t xml:space="preserve">Zn g </t>
  </si>
  <si>
    <t>Zn lac</t>
  </si>
  <si>
    <t>Zn tot</t>
  </si>
  <si>
    <t>Zn, mg</t>
  </si>
  <si>
    <t>considerando formulas para cresc e term</t>
  </si>
  <si>
    <t>Molibdênio</t>
  </si>
  <si>
    <t>Mo m</t>
  </si>
  <si>
    <t xml:space="preserve">Mo g </t>
  </si>
  <si>
    <t>Mo tot</t>
  </si>
  <si>
    <t>Mo, mg</t>
  </si>
  <si>
    <t>Se m</t>
  </si>
  <si>
    <t xml:space="preserve">Se g </t>
  </si>
  <si>
    <t>Se tot</t>
  </si>
  <si>
    <t>Se, mg</t>
  </si>
  <si>
    <t>PC médio, kg</t>
  </si>
  <si>
    <t>Semana de lactação</t>
  </si>
  <si>
    <t>Prpdução de Leite, Kg</t>
  </si>
  <si>
    <t>PC bez</t>
  </si>
  <si>
    <t>PL</t>
  </si>
  <si>
    <t>GMD bez</t>
  </si>
  <si>
    <t>PCj</t>
  </si>
  <si>
    <t>PCVZ</t>
  </si>
  <si>
    <t>MS leite</t>
  </si>
  <si>
    <t>CMS leite</t>
  </si>
  <si>
    <t>CMSsol</t>
  </si>
  <si>
    <t>CMS tot</t>
  </si>
  <si>
    <t>CMS leite, %</t>
  </si>
  <si>
    <t>CMS sol, %</t>
  </si>
  <si>
    <t>EM g</t>
  </si>
  <si>
    <t>EM t</t>
  </si>
  <si>
    <t>CNDTleite</t>
  </si>
  <si>
    <t>CNDT sol</t>
  </si>
  <si>
    <t>NDT sol, %</t>
  </si>
  <si>
    <t>PM m</t>
  </si>
  <si>
    <t>CPBleite</t>
  </si>
  <si>
    <t>Pbmic</t>
  </si>
  <si>
    <t>PDR, %</t>
  </si>
  <si>
    <t>PNDR, %</t>
  </si>
  <si>
    <t xml:space="preserve">Mg Zebu g </t>
  </si>
  <si>
    <t xml:space="preserve">Na Zebu g </t>
  </si>
  <si>
    <t xml:space="preserve">K Zebu g </t>
  </si>
  <si>
    <t>Produção Leite, Kg</t>
  </si>
  <si>
    <t>Produção de Leite, Kg</t>
  </si>
  <si>
    <t>Considerando formulas para cresc e term</t>
  </si>
  <si>
    <t>Cadastro de áreas</t>
  </si>
  <si>
    <t>Resumo das áreas</t>
  </si>
  <si>
    <t>Informações mensais</t>
  </si>
  <si>
    <t>Id.</t>
  </si>
  <si>
    <t>Área (ha)</t>
  </si>
  <si>
    <t>Nota</t>
  </si>
  <si>
    <t>Aproveita</t>
  </si>
  <si>
    <t>Id</t>
  </si>
  <si>
    <t>Área</t>
  </si>
  <si>
    <t>% do total</t>
  </si>
  <si>
    <t>Ordem</t>
  </si>
  <si>
    <t>1° Mês</t>
  </si>
  <si>
    <t>2° Mês</t>
  </si>
  <si>
    <t>3° Mês</t>
  </si>
  <si>
    <t>4° Mês</t>
  </si>
  <si>
    <t>5° Mês</t>
  </si>
  <si>
    <t>6° Mês</t>
  </si>
  <si>
    <t>7° Mês</t>
  </si>
  <si>
    <t>8° Mês</t>
  </si>
  <si>
    <t>9° Mês</t>
  </si>
  <si>
    <t>10° Mês</t>
  </si>
  <si>
    <t>11° Mês</t>
  </si>
  <si>
    <t>12° Mês</t>
  </si>
  <si>
    <t>Julho</t>
  </si>
  <si>
    <t>Agosto</t>
  </si>
  <si>
    <t>Setembro</t>
  </si>
  <si>
    <t>Outubro</t>
  </si>
  <si>
    <t>Novembro</t>
  </si>
  <si>
    <t>Dezembro</t>
  </si>
  <si>
    <t>Janeiro</t>
  </si>
  <si>
    <t>Fevereiro</t>
  </si>
  <si>
    <t>Março</t>
  </si>
  <si>
    <t>Abril</t>
  </si>
  <si>
    <t>Maio</t>
  </si>
  <si>
    <t>Junho</t>
  </si>
  <si>
    <t>Clima</t>
  </si>
  <si>
    <t>Chuva</t>
  </si>
  <si>
    <t>Área total</t>
  </si>
  <si>
    <t>Área aprov.</t>
  </si>
  <si>
    <t>PLANEJAMENTO DE LOTAÇÃO MENSAL</t>
  </si>
  <si>
    <t>Qnt.</t>
  </si>
  <si>
    <t>Peso final</t>
  </si>
  <si>
    <t>U.A inicial</t>
  </si>
  <si>
    <t>U.A Final</t>
  </si>
  <si>
    <t>Vaca</t>
  </si>
  <si>
    <t>Total cabeças</t>
  </si>
  <si>
    <t>Lotação total (U.A/ha)</t>
  </si>
  <si>
    <t>Lotação corrigida (U.A/ha)</t>
  </si>
  <si>
    <t>Média</t>
  </si>
  <si>
    <t>Lotação área intensiva</t>
  </si>
  <si>
    <t>&gt;</t>
  </si>
  <si>
    <t>Nas células em amarelo, você poderá preencher a lotação e a área que quer intensificar</t>
  </si>
  <si>
    <t>Tamanho área intensiva</t>
  </si>
  <si>
    <t xml:space="preserve">Cada coluna é referente a um mês. Planeje de acordo com os meses de chuva da sua região. </t>
  </si>
  <si>
    <t>U.A área intensiva</t>
  </si>
  <si>
    <t>Lotação chuva:</t>
  </si>
  <si>
    <t>Essa lotação de chuva que vai ser seu norteador para a adubação.</t>
  </si>
  <si>
    <t>U.A área extensiva</t>
  </si>
  <si>
    <t>Diferença</t>
  </si>
  <si>
    <t>Área ext. restante</t>
  </si>
  <si>
    <t>Lotação área extensiva</t>
  </si>
  <si>
    <t>A área intensiva acioma, resultara em uma redução de lotação na área extensiva, representada por essa linha.</t>
  </si>
  <si>
    <t xml:space="preserve">Essa lotação permitirá uma sobra de pasto ou aumento do número de animais na área. </t>
  </si>
  <si>
    <t>Por isso, use a intensificação com essa estratégia.</t>
  </si>
  <si>
    <t>INFORMAÇÕES FINANCEIRAS</t>
  </si>
  <si>
    <t>Ano 0</t>
  </si>
  <si>
    <t>Ano 1</t>
  </si>
  <si>
    <t>Ano 2</t>
  </si>
  <si>
    <t>Ano 3</t>
  </si>
  <si>
    <t>Ano 4</t>
  </si>
  <si>
    <t>Ano 5</t>
  </si>
  <si>
    <t>Ano 6</t>
  </si>
  <si>
    <t>Ano 7</t>
  </si>
  <si>
    <t>Ano 8</t>
  </si>
  <si>
    <t>Ano 9</t>
  </si>
  <si>
    <t>Ano 10</t>
  </si>
  <si>
    <t>R$/vaca venda</t>
  </si>
  <si>
    <t>R$/bez venda</t>
  </si>
  <si>
    <t>R$/novilha venda</t>
  </si>
  <si>
    <t>SIMULAÇÃO DA EVOLUÇÃO DA CRIA PARA OS PRÓXIMOS 10 ANOS</t>
  </si>
  <si>
    <t>Vacas hoje (cab)</t>
  </si>
  <si>
    <t>Novilhas (cab)</t>
  </si>
  <si>
    <t>Bezerras (cab)</t>
  </si>
  <si>
    <t>% de retenção das novilhas</t>
  </si>
  <si>
    <t>RESULTADOS FINANCEIROS</t>
  </si>
  <si>
    <t>Faturamento vaca descarte</t>
  </si>
  <si>
    <t>Faturamento de novilhas</t>
  </si>
  <si>
    <t>Faturamento bezerros</t>
  </si>
  <si>
    <t>Custo total</t>
  </si>
  <si>
    <t>Margem</t>
  </si>
  <si>
    <t>Margem/há</t>
  </si>
  <si>
    <t>Vacas/ha</t>
  </si>
  <si>
    <t>SEQUESTRO - AVANÇADO</t>
  </si>
  <si>
    <t>Suporte vaca/ha na seca</t>
  </si>
  <si>
    <t>Excedente (cab/ha)</t>
  </si>
  <si>
    <t>Excedente total (U.A)</t>
  </si>
  <si>
    <t>Dias de trato</t>
  </si>
  <si>
    <t>Consumo M.S estimado (kg)</t>
  </si>
  <si>
    <t>Equivalente U.A</t>
  </si>
  <si>
    <t>U.A/ha</t>
  </si>
  <si>
    <t>Área necessária (ha)</t>
  </si>
  <si>
    <t>Custo/ha silagem</t>
  </si>
  <si>
    <t>Custo total silagem</t>
  </si>
  <si>
    <t>Lotação chuva</t>
  </si>
  <si>
    <t>Lotação seca</t>
  </si>
  <si>
    <t>Peso médio</t>
  </si>
  <si>
    <t>Cabeças chuva</t>
  </si>
  <si>
    <t>Cabeças seca</t>
  </si>
  <si>
    <t>Potencial dos pastos</t>
  </si>
  <si>
    <t xml:space="preserve">Pasto </t>
  </si>
  <si>
    <t>Lotação chuva (U.A/ha)</t>
  </si>
  <si>
    <t>Lotação seca (U.A/ha)</t>
  </si>
  <si>
    <t>U.A chuva</t>
  </si>
  <si>
    <t>U.A seca</t>
  </si>
  <si>
    <t>Cabeças Chuva</t>
  </si>
  <si>
    <t>Dias disponíveis para intensificação:</t>
  </si>
  <si>
    <t>de plantas de inverno, seu período de uso poderá ser maior. No entanto, o foco ainda é no verão.</t>
  </si>
  <si>
    <t>de inverno como um período disponível para acúmulo de forragem. Caso você faça sobresemeadura</t>
  </si>
  <si>
    <t>Para propriedades que possuem inverno mais rigoroso, a planilha não está considerando o período</t>
  </si>
  <si>
    <t>Dez</t>
  </si>
  <si>
    <t>Nov</t>
  </si>
  <si>
    <t>Out</t>
  </si>
  <si>
    <t>Set</t>
  </si>
  <si>
    <t>Ago</t>
  </si>
  <si>
    <t>Jul</t>
  </si>
  <si>
    <t>Jun</t>
  </si>
  <si>
    <t>Mai</t>
  </si>
  <si>
    <t>Abr</t>
  </si>
  <si>
    <t>Mar</t>
  </si>
  <si>
    <t>Fev</t>
  </si>
  <si>
    <t>Jan</t>
  </si>
  <si>
    <t>mm</t>
  </si>
  <si>
    <t>C° Máx</t>
  </si>
  <si>
    <t>C° min</t>
  </si>
  <si>
    <t>para intensificar, mais vocêterá que produzir, para garantir alta produção em curto espaço de tempo.</t>
  </si>
  <si>
    <t>do verão/chuvas, essa etapa vai direcionar todo o potencial do seu projeto. Quanto menos tempo disponível</t>
  </si>
  <si>
    <t>intensiva. Como a proposta desse treinamento é para que você aproveite o máximo possível o período</t>
  </si>
  <si>
    <t>Analisar o clima é fundamental para entender por quanto tempo seu sistema poderá ser utilizado de forma</t>
  </si>
  <si>
    <t>ENTENDENDO O CLIMA</t>
  </si>
  <si>
    <t>Lotação aproximada LIMITE:</t>
  </si>
  <si>
    <t>CORREÇÃO E ADUBAÇÃO</t>
  </si>
  <si>
    <t>Cadastro de áreas para utilizar</t>
  </si>
  <si>
    <t>Identificação</t>
  </si>
  <si>
    <t>Lotação (U.A/ha)</t>
  </si>
  <si>
    <t>V%</t>
  </si>
  <si>
    <t>M%</t>
  </si>
  <si>
    <t>CTC (cmol/dm³)</t>
  </si>
  <si>
    <t>% K/CTC (K/T)</t>
  </si>
  <si>
    <t>Ca (cmol/dm³)</t>
  </si>
  <si>
    <t>Mg (cmol/dm³)</t>
  </si>
  <si>
    <t>P (mg/dm³)</t>
  </si>
  <si>
    <t>Argila (g/kg)</t>
  </si>
  <si>
    <t>Dias capim verde</t>
  </si>
  <si>
    <t>Calagem</t>
  </si>
  <si>
    <t xml:space="preserve">V% desejado </t>
  </si>
  <si>
    <t>PRNT Calcário (%)</t>
  </si>
  <si>
    <t>N.C. (ton/ha)</t>
  </si>
  <si>
    <t>Calcário</t>
  </si>
  <si>
    <t>Total (ton)</t>
  </si>
  <si>
    <t>R$/ton</t>
  </si>
  <si>
    <t>R$ Total</t>
  </si>
  <si>
    <t>R$/ha</t>
  </si>
  <si>
    <t>Recomendação</t>
  </si>
  <si>
    <t>*se não encontrar o calcário correto que foi recomendado pela planilha, a segunda opção é calcário dolomítico, terceira magnesiano e quarta calcítico.</t>
  </si>
  <si>
    <t>Nitrogênio</t>
  </si>
  <si>
    <t>% N na fonte</t>
  </si>
  <si>
    <t>Nome da fonte</t>
  </si>
  <si>
    <t>Rec. Kg/ha</t>
  </si>
  <si>
    <t>Ajustado (kg/ha)</t>
  </si>
  <si>
    <t>*se você usar um formulado que tem potássio na sua composição, precisa ser descontado na hora da adubação de potássio.</t>
  </si>
  <si>
    <t>*para lotações acima de 5 U.A/ha, para cada 10 Kg de nitrogênio aplicado, distribuir 1 kg de Enxofre.</t>
  </si>
  <si>
    <t>%P fonte</t>
  </si>
  <si>
    <t>*se for usar um adubo de rápida liberação, como por exemplo o MAP, é recomendável parcelar quando a recomendação for acima de 300kg/ha. Em 2x é suficiente, sendo uma no início e outra no meio da chuva.</t>
  </si>
  <si>
    <t>%K fonte</t>
  </si>
  <si>
    <t>Kg/ha</t>
  </si>
  <si>
    <t>*pode acontecer de pedir muito potássio, caso a CTC do seu solo seja alta. Não precisa necessariamente corrigir todo o potássio em um ano só, pode trabalhar com um "limite" de 200 kg de K por ano.</t>
  </si>
  <si>
    <t>Micro nutrientes</t>
  </si>
  <si>
    <t>Caso trabalhe com lotação acima de 5 U.A/ha, utilizar 50 kg/ha de FTE-BR12 a cada 2 anos.</t>
  </si>
  <si>
    <t>Gesso</t>
  </si>
  <si>
    <t>PLANILHA PARA DIMENSIONAMENTO DO SISTEMA DE ÁGUA</t>
  </si>
  <si>
    <t>L/H</t>
  </si>
  <si>
    <t>DADOS GEOMÉTRICOS DA INSTALAÇÃO</t>
  </si>
  <si>
    <t>L (m)</t>
  </si>
  <si>
    <t>Qnt. Cabeças</t>
  </si>
  <si>
    <t>Tempo de bombeamento (horas)</t>
  </si>
  <si>
    <t>B</t>
  </si>
  <si>
    <t>Dias p/ manutenção</t>
  </si>
  <si>
    <t>C</t>
  </si>
  <si>
    <t>Potência bomba (cv)</t>
  </si>
  <si>
    <t>Tamanho reservatório (L)</t>
  </si>
  <si>
    <t>E</t>
  </si>
  <si>
    <t>LINHA DE CAPTAÇÃO</t>
  </si>
  <si>
    <t>H</t>
  </si>
  <si>
    <t>Altitude Inicial (m)</t>
  </si>
  <si>
    <t>ACESSÓRIOS</t>
  </si>
  <si>
    <t>QUANT.</t>
  </si>
  <si>
    <t>L EQ (m)</t>
  </si>
  <si>
    <t>Altitude reservatório (m)</t>
  </si>
  <si>
    <t>CURVA DE 90 graus</t>
  </si>
  <si>
    <t>Dif. Nível (m)</t>
  </si>
  <si>
    <t>VÁLVULA DE RETENÇÃO</t>
  </si>
  <si>
    <t>Comprimento (m)</t>
  </si>
  <si>
    <t>VÁLVULA DE PÉ OU CRIVO</t>
  </si>
  <si>
    <t>Diâmetro (mm)</t>
  </si>
  <si>
    <t>SAÍDA DA TUBULAÇÃO</t>
  </si>
  <si>
    <t>Perda (m)</t>
  </si>
  <si>
    <t>REGISTRO DE GLOBO</t>
  </si>
  <si>
    <t>Pressão final (MCA)</t>
  </si>
  <si>
    <t>REGISTRO DE GAVETA</t>
  </si>
  <si>
    <t>PN (mínimo)</t>
  </si>
  <si>
    <t>DADOS DO ESCOAMENTO</t>
  </si>
  <si>
    <t>VAZÃO DA BOMBA</t>
  </si>
  <si>
    <t>LITROS/SEG</t>
  </si>
  <si>
    <t>LINHA DE DISTRIBUIÇÃO</t>
  </si>
  <si>
    <t xml:space="preserve">VAZÃO DA BOMBA </t>
  </si>
  <si>
    <t>m³/s</t>
  </si>
  <si>
    <t>DIÂMETRO DA CANALIZAÇÃO</t>
  </si>
  <si>
    <t>Altitude Final (m)</t>
  </si>
  <si>
    <t>DIÂMETRO DA CANALIZAÇÃO EM METROS</t>
  </si>
  <si>
    <t xml:space="preserve">m </t>
  </si>
  <si>
    <t xml:space="preserve">PROPRIEDADES DA ÁGUA </t>
  </si>
  <si>
    <t>VISCOSIDADE</t>
  </si>
  <si>
    <t>m²/s</t>
  </si>
  <si>
    <t>DENSIDADE</t>
  </si>
  <si>
    <t>kg/m³</t>
  </si>
  <si>
    <t>TEMPERATURA</t>
  </si>
  <si>
    <r>
      <rPr>
        <vertAlign val="superscript"/>
        <sz val="10"/>
        <rFont val="Arial"/>
        <family val="2"/>
      </rPr>
      <t>o</t>
    </r>
    <r>
      <rPr>
        <sz val="11"/>
        <color theme="1"/>
        <rFont val="Aptos Narrow"/>
        <family val="2"/>
        <scheme val="minor"/>
      </rPr>
      <t>C</t>
    </r>
  </si>
  <si>
    <t>CÁLCULOS GERAIS</t>
  </si>
  <si>
    <t>VELOCIDADE DO ESCOAMENTO</t>
  </si>
  <si>
    <t>m/s</t>
  </si>
  <si>
    <t>ÁREA INTERNA DA TUBULAÇÃO</t>
  </si>
  <si>
    <t>m²</t>
  </si>
  <si>
    <t>NÚMERO DE REYNOLDS</t>
  </si>
  <si>
    <t>Tamanho bebedouro (m)</t>
  </si>
  <si>
    <t>FATOR DE ATRITO (D.MOODY)</t>
  </si>
  <si>
    <t>Se beber dos dois lados</t>
  </si>
  <si>
    <t>COMPRIMENTO DE TRECHO RETO DE TUBO</t>
  </si>
  <si>
    <t>m</t>
  </si>
  <si>
    <t>COMPRIMENTO EQUIVALENTE DE TUBO</t>
  </si>
  <si>
    <t>COMPRIMENTO TOTAL DE TUBULAÇÃO</t>
  </si>
  <si>
    <t>VARIAÇÃO DE ENERGIA (DELTA E)</t>
  </si>
  <si>
    <t>m²/s²</t>
  </si>
  <si>
    <t>ALTURA MANOMÉTRICA (m)</t>
  </si>
  <si>
    <t>EFICIÊNCIA DA BOMBA</t>
  </si>
  <si>
    <t>POTÊNCIA TEÓRICA DA BOMBA (W)</t>
  </si>
  <si>
    <t>w</t>
  </si>
  <si>
    <t>POTÊNCIA DE ACIONAMENTO (W)</t>
  </si>
  <si>
    <t>ESTIMATIVA MATERIAIS</t>
  </si>
  <si>
    <t>CERCA ELÉTRICA</t>
  </si>
  <si>
    <t>CERCA CONVENCIONAL</t>
  </si>
  <si>
    <t>ÁGUA ENCANADA</t>
  </si>
  <si>
    <t>Estimativa de materiais</t>
  </si>
  <si>
    <t>Comprimento total da cerca (m)</t>
  </si>
  <si>
    <t>Total de lascas (un.)</t>
  </si>
  <si>
    <t>Espaçamento entre lasca</t>
  </si>
  <si>
    <t>Total de arame (m)</t>
  </si>
  <si>
    <t>Quantidade de fios</t>
  </si>
  <si>
    <t>Estimativa de palanques</t>
  </si>
  <si>
    <t>Número de piquetes</t>
  </si>
  <si>
    <t>Estimativa de porteiras de choque</t>
  </si>
  <si>
    <t>Estimativa de porteiras</t>
  </si>
  <si>
    <t>Tem praça de alimentação?</t>
  </si>
  <si>
    <t>Estimativa de porteiras convencional</t>
  </si>
  <si>
    <t>Quantas praças de alimentação</t>
  </si>
  <si>
    <t>Potência eletrificador (J)</t>
  </si>
  <si>
    <t>Isolador W (un.)</t>
  </si>
  <si>
    <t>Hastes de aterramento</t>
  </si>
  <si>
    <t>LISTA DE MATERIAIS</t>
  </si>
  <si>
    <t>Foto</t>
  </si>
  <si>
    <t>Item</t>
  </si>
  <si>
    <t>Preço un.</t>
  </si>
  <si>
    <t>Qnt. Necessária</t>
  </si>
  <si>
    <t>Lasca</t>
  </si>
  <si>
    <t>Cano 50mm PN60</t>
  </si>
  <si>
    <t>Arame liso</t>
  </si>
  <si>
    <t>Bebedouros</t>
  </si>
  <si>
    <t>Porteira convencional</t>
  </si>
  <si>
    <t>Boia p/ bebedouros (vazão total)</t>
  </si>
  <si>
    <t>Palanque</t>
  </si>
  <si>
    <t>Tê 50mm</t>
  </si>
  <si>
    <t>Porteira de choque</t>
  </si>
  <si>
    <t>Mão de obra (km)</t>
  </si>
  <si>
    <t>Cotovelo</t>
  </si>
  <si>
    <t>Castanha</t>
  </si>
  <si>
    <t>Registros</t>
  </si>
  <si>
    <t>Isolador W</t>
  </si>
  <si>
    <t>Cola para canos</t>
  </si>
  <si>
    <t>Abertura de valetas</t>
  </si>
  <si>
    <t>Hastes aterramento</t>
  </si>
  <si>
    <t>Mão de obra</t>
  </si>
  <si>
    <t>Fio encapado</t>
  </si>
  <si>
    <t>Reservatório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</si>
</sst>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quot;R$&quot;\ * #,##0.00_-;\-&quot;R$&quot;\ * #,##0.00_-;_-&quot;R$&quot;\ * &quot;-&quot;??_-;_-@_-"/>
    <numFmt numFmtId="165" formatCode="_-* #,##0.00_-;\-* #,##0.00_-;_-* &quot;-&quot;??_-;_-@_-"/>
    <numFmt numFmtId="166" formatCode="0.0%"/>
    <numFmt numFmtId="167" formatCode="0.0"/>
    <numFmt numFmtId="168" formatCode="0.000"/>
    <numFmt numFmtId="169" formatCode="_(&quot;R$&quot;* #,##0.00_);_(&quot;R$&quot;* \(#,##0.00\);_(&quot;R$&quot;* &quot;-&quot;??_);_(@_)"/>
    <numFmt numFmtId="170" formatCode="0.00\ &quot;kg&quot;"/>
    <numFmt numFmtId="171" formatCode="0.0\ &quot;kg&quot;"/>
    <numFmt numFmtId="172" formatCode="#,#00.0\ &quot;kg&quot;"/>
    <numFmt numFmtId="173" formatCode="0.000\ &quot;kg&quot;"/>
    <numFmt numFmtId="174" formatCode="0\ &quot;g&quot;"/>
    <numFmt numFmtId="175" formatCode="0\ &quot;dias&quot;"/>
    <numFmt numFmtId="176" formatCode="0\ &quot;mg&quot;"/>
    <numFmt numFmtId="177" formatCode="0.000%"/>
    <numFmt numFmtId="178" formatCode="#,#00\ &quot;kg&quot;"/>
    <numFmt numFmtId="179" formatCode="0.0\ &quot;g&quot;"/>
    <numFmt numFmtId="180" formatCode="0.000000"/>
    <numFmt numFmtId="181" formatCode="0.00000"/>
    <numFmt numFmtId="182" formatCode="General\ &quot;ha&quot;"/>
    <numFmt numFmtId="183" formatCode="0.0\ &quot;U.A/ha&quot;"/>
    <numFmt numFmtId="184" formatCode="_-* #,##0_-;\-* #,##0_-;_-* &quot;-&quot;??_-;_-@_-"/>
    <numFmt numFmtId="185" formatCode="&quot;Total&quot;\ 0\ &quot;ton&quot;"/>
    <numFmt numFmtId="186" formatCode="&quot;Total &quot;_-&quot;R$&quot;\ * #,##0.00_-;\-&quot;R$&quot;\ * #,##0.00_-;_-&quot;R$&quot;\ * &quot;-&quot;??_-;_-@_-"/>
    <numFmt numFmtId="187" formatCode="0.0\ &quot;ton/ha&quot;"/>
    <numFmt numFmtId="188" formatCode="0\ &quot;ton&quot;"/>
    <numFmt numFmtId="189" formatCode="_-&quot;R$&quot;\ * #,##0.00_-;\-&quot;R$&quot;\ * #,##0.00_-;_-&quot;R$&quot;\ * &quot;-&quot;??_-;_-@"/>
    <numFmt numFmtId="190" formatCode="&quot;Total&quot;\ 0.0\ &quot;ton&quot;"/>
    <numFmt numFmtId="191" formatCode="0\ &quot;kg/ha&quot;"/>
    <numFmt numFmtId="192" formatCode="0.0\ &quot;ton&quot;"/>
    <numFmt numFmtId="193" formatCode="0.0\ &quot;toneladas por hectare, 60 a 90 dias depois do calcário, e antes da adubação de fósforo.&quot;"/>
    <numFmt numFmtId="194" formatCode="General\ &quot;litros&quot;"/>
    <numFmt numFmtId="195" formatCode="0.0000"/>
  </numFmts>
  <fonts count="63" x14ac:knownFonts="1">
    <font>
      <sz val="11"/>
      <color theme="1"/>
      <name val="Aptos Narrow"/>
      <family val="2"/>
      <scheme val="minor"/>
    </font>
    <font>
      <sz val="11"/>
      <color theme="0"/>
      <name val="Aptos Narrow"/>
      <family val="2"/>
      <scheme val="minor"/>
    </font>
    <font>
      <sz val="14"/>
      <color theme="0"/>
      <name val="Aptos Narrow"/>
      <family val="2"/>
      <scheme val="minor"/>
    </font>
    <font>
      <sz val="11"/>
      <color theme="1"/>
      <name val="Aptos Narrow"/>
      <family val="2"/>
      <scheme val="minor"/>
    </font>
    <font>
      <b/>
      <sz val="12"/>
      <color theme="0"/>
      <name val="Aptos Narrow"/>
      <family val="2"/>
      <scheme val="minor"/>
    </font>
    <font>
      <sz val="9"/>
      <color theme="0"/>
      <name val="Aptos Narrow"/>
      <family val="2"/>
      <scheme val="minor"/>
    </font>
    <font>
      <sz val="9"/>
      <color theme="1"/>
      <name val="Aptos Narrow"/>
      <family val="2"/>
      <scheme val="minor"/>
    </font>
    <font>
      <b/>
      <sz val="14"/>
      <color theme="0"/>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sz val="11"/>
      <name val="Aptos Narrow"/>
      <family val="2"/>
      <scheme val="minor"/>
    </font>
    <font>
      <b/>
      <sz val="14"/>
      <name val="Aptos Narrow"/>
      <family val="2"/>
      <scheme val="minor"/>
    </font>
    <font>
      <b/>
      <sz val="14"/>
      <color theme="1"/>
      <name val="Aptos Narrow"/>
      <family val="2"/>
      <scheme val="minor"/>
    </font>
    <font>
      <sz val="11"/>
      <color indexed="8"/>
      <name val="Aptos Narrow"/>
      <family val="2"/>
      <scheme val="minor"/>
    </font>
    <font>
      <b/>
      <sz val="11"/>
      <color indexed="8"/>
      <name val="Aptos Narrow"/>
      <family val="2"/>
      <scheme val="minor"/>
    </font>
    <font>
      <sz val="11"/>
      <color theme="0"/>
      <name val="Verdana"/>
      <family val="2"/>
    </font>
    <font>
      <b/>
      <sz val="22"/>
      <color theme="0"/>
      <name val="Verdana"/>
      <family val="2"/>
    </font>
    <font>
      <sz val="11"/>
      <color theme="0"/>
      <name val="Calibri"/>
      <family val="2"/>
    </font>
    <font>
      <b/>
      <sz val="18"/>
      <color theme="0"/>
      <name val="Verdana"/>
      <family val="2"/>
    </font>
    <font>
      <b/>
      <sz val="12"/>
      <color theme="0"/>
      <name val="Verdana"/>
      <family val="2"/>
    </font>
    <font>
      <sz val="10"/>
      <color theme="0"/>
      <name val="Verdana"/>
      <family val="2"/>
    </font>
    <font>
      <sz val="8"/>
      <color theme="0"/>
      <name val="Verdana"/>
      <family val="2"/>
    </font>
    <font>
      <sz val="14"/>
      <color theme="0"/>
      <name val="Verdana"/>
      <family val="2"/>
    </font>
    <font>
      <b/>
      <sz val="11"/>
      <color theme="0"/>
      <name val="Verdana"/>
      <family val="2"/>
    </font>
    <font>
      <b/>
      <sz val="11"/>
      <color rgb="FF000000"/>
      <name val="Aptos Narrow"/>
      <family val="2"/>
      <scheme val="minor"/>
    </font>
    <font>
      <sz val="12"/>
      <color theme="0"/>
      <name val="Verdana"/>
      <family val="2"/>
    </font>
    <font>
      <i/>
      <sz val="11"/>
      <color rgb="FF000000"/>
      <name val="Aptos Narrow"/>
      <family val="2"/>
      <scheme val="minor"/>
    </font>
    <font>
      <i/>
      <sz val="11"/>
      <color theme="1"/>
      <name val="Aptos Narrow"/>
      <family val="2"/>
      <scheme val="minor"/>
    </font>
    <font>
      <b/>
      <sz val="8"/>
      <color theme="0"/>
      <name val="Verdana"/>
      <family val="2"/>
    </font>
    <font>
      <b/>
      <sz val="24"/>
      <color theme="0"/>
      <name val="Verdana"/>
      <family val="2"/>
    </font>
    <font>
      <b/>
      <sz val="18"/>
      <color rgb="FF000000"/>
      <name val="Aptos Narrow"/>
      <family val="2"/>
      <scheme val="minor"/>
    </font>
    <font>
      <b/>
      <sz val="11"/>
      <name val="Aptos Narrow"/>
      <family val="2"/>
      <scheme val="minor"/>
    </font>
    <font>
      <sz val="8"/>
      <color theme="0"/>
      <name val="Times New Roman"/>
      <family val="1"/>
    </font>
    <font>
      <b/>
      <sz val="8"/>
      <color theme="0"/>
      <name val="Times New Roman"/>
      <family val="1"/>
    </font>
    <font>
      <sz val="11"/>
      <color theme="0"/>
      <name val="Times New Roman"/>
      <family val="1"/>
    </font>
    <font>
      <sz val="11"/>
      <color theme="2"/>
      <name val="Aptos Narrow"/>
      <family val="2"/>
      <scheme val="minor"/>
    </font>
    <font>
      <b/>
      <sz val="11"/>
      <color rgb="FFFF0000"/>
      <name val="Aptos Narrow"/>
      <family val="2"/>
      <scheme val="minor"/>
    </font>
    <font>
      <b/>
      <sz val="9"/>
      <color theme="0"/>
      <name val="Verdana"/>
      <family val="2"/>
    </font>
    <font>
      <b/>
      <sz val="9"/>
      <color indexed="81"/>
      <name val="Segoe UI"/>
      <family val="2"/>
    </font>
    <font>
      <sz val="9"/>
      <color indexed="81"/>
      <name val="Segoe UI"/>
      <family val="2"/>
    </font>
    <font>
      <b/>
      <sz val="10"/>
      <color rgb="FFFFFFFF"/>
      <name val="Aptos Narrow"/>
      <family val="2"/>
      <scheme val="minor"/>
    </font>
    <font>
      <sz val="10"/>
      <color theme="1"/>
      <name val="Aptos Narrow"/>
      <family val="2"/>
      <scheme val="minor"/>
    </font>
    <font>
      <b/>
      <sz val="10"/>
      <color theme="0"/>
      <name val="Aptos Narrow"/>
      <family val="2"/>
      <scheme val="minor"/>
    </font>
    <font>
      <sz val="10"/>
      <color theme="0"/>
      <name val="Aptos Narrow"/>
      <family val="2"/>
      <scheme val="minor"/>
    </font>
    <font>
      <sz val="10"/>
      <color rgb="FFFFFFFF"/>
      <name val="Aptos Narrow"/>
      <family val="2"/>
      <scheme val="minor"/>
    </font>
    <font>
      <sz val="10"/>
      <name val="Aptos Narrow"/>
      <family val="2"/>
      <scheme val="minor"/>
    </font>
    <font>
      <b/>
      <sz val="12"/>
      <color theme="1"/>
      <name val="Aptos Narrow"/>
      <family val="2"/>
      <scheme val="minor"/>
    </font>
    <font>
      <b/>
      <sz val="11"/>
      <color rgb="FF1F4B31"/>
      <name val="Aptos Narrow"/>
      <family val="2"/>
      <scheme val="minor"/>
    </font>
    <font>
      <sz val="9"/>
      <color rgb="FF1F4B31"/>
      <name val="Aptos Narrow"/>
      <family val="2"/>
      <scheme val="minor"/>
    </font>
    <font>
      <sz val="11"/>
      <color rgb="FF1F4B31"/>
      <name val="Aptos Narrow"/>
      <family val="2"/>
      <scheme val="minor"/>
    </font>
    <font>
      <b/>
      <sz val="16"/>
      <color theme="0"/>
      <name val="Aptos Narrow"/>
      <family val="2"/>
      <scheme val="minor"/>
    </font>
    <font>
      <b/>
      <sz val="14"/>
      <color rgb="FF1F4B31"/>
      <name val="Aptos Narrow"/>
      <family val="2"/>
      <scheme val="minor"/>
    </font>
    <font>
      <b/>
      <sz val="12"/>
      <color rgb="FF1F4B31"/>
      <name val="Aptos Narrow"/>
      <family val="2"/>
      <scheme val="minor"/>
    </font>
    <font>
      <b/>
      <sz val="18"/>
      <color theme="0"/>
      <name val="Aptos Narrow"/>
      <family val="2"/>
      <scheme val="minor"/>
    </font>
    <font>
      <b/>
      <sz val="10"/>
      <name val="Arial"/>
      <family val="2"/>
    </font>
    <font>
      <b/>
      <sz val="11"/>
      <name val="Arial"/>
      <family val="2"/>
    </font>
    <font>
      <sz val="10"/>
      <name val="Arial"/>
      <family val="2"/>
    </font>
    <font>
      <sz val="10.5"/>
      <color indexed="8"/>
      <name val="Segoe UI"/>
      <family val="2"/>
    </font>
    <font>
      <vertAlign val="superscript"/>
      <sz val="10"/>
      <name val="Arial"/>
      <family val="2"/>
    </font>
    <font>
      <b/>
      <sz val="20"/>
      <color theme="0"/>
      <name val="Aptos Narrow"/>
      <family val="2"/>
      <scheme val="minor"/>
    </font>
    <font>
      <sz val="16"/>
      <color theme="0"/>
      <name val="Aptos Narrow"/>
      <family val="2"/>
      <scheme val="minor"/>
    </font>
  </fonts>
  <fills count="21">
    <fill>
      <patternFill patternType="none"/>
    </fill>
    <fill>
      <patternFill patternType="gray125"/>
    </fill>
    <fill>
      <patternFill patternType="solid">
        <fgColor rgb="FF1F4B31"/>
        <bgColor indexed="64"/>
      </patternFill>
    </fill>
    <fill>
      <patternFill patternType="solid">
        <fgColor rgb="FF24674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rgb="FFFFF2CC"/>
        <bgColor rgb="FFFFFF99"/>
      </patternFill>
    </fill>
    <fill>
      <patternFill patternType="solid">
        <fgColor rgb="FFFFF2CC"/>
        <bgColor indexed="64"/>
      </patternFill>
    </fill>
    <fill>
      <patternFill patternType="solid">
        <fgColor rgb="FF00B050"/>
        <bgColor indexed="64"/>
      </patternFill>
    </fill>
    <fill>
      <patternFill patternType="solid">
        <fgColor theme="4" tint="-0.249977111117893"/>
        <bgColor indexed="64"/>
      </patternFill>
    </fill>
    <fill>
      <patternFill patternType="solid">
        <fgColor rgb="FFFF0000"/>
        <bgColor indexed="64"/>
      </patternFill>
    </fill>
    <fill>
      <patternFill patternType="solid">
        <fgColor rgb="FFFFE593"/>
        <bgColor indexed="64"/>
      </patternFill>
    </fill>
    <fill>
      <patternFill patternType="solid">
        <fgColor indexed="15"/>
        <bgColor indexed="40"/>
      </patternFill>
    </fill>
    <fill>
      <patternFill patternType="solid">
        <fgColor rgb="FF408666"/>
        <bgColor rgb="FF408666"/>
      </patternFill>
    </fill>
    <fill>
      <patternFill patternType="solid">
        <fgColor indexed="35"/>
        <bgColor indexed="21"/>
      </patternFill>
    </fill>
    <fill>
      <patternFill patternType="solid">
        <fgColor indexed="13"/>
        <bgColor indexed="34"/>
      </patternFill>
    </fill>
    <fill>
      <patternFill patternType="solid">
        <fgColor indexed="57"/>
        <bgColor indexed="17"/>
      </patternFill>
    </fill>
    <fill>
      <patternFill patternType="solid">
        <fgColor rgb="FF25593A"/>
        <bgColor indexed="64"/>
      </patternFill>
    </fill>
    <fill>
      <patternFill patternType="solid">
        <fgColor rgb="FF28623F"/>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top/>
      <bottom style="medium">
        <color theme="1"/>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theme="1"/>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style="thin">
        <color indexed="64"/>
      </top>
      <bottom/>
      <diagonal/>
    </border>
    <border>
      <left/>
      <right/>
      <top/>
      <bottom style="dotted">
        <color rgb="FF000000"/>
      </bottom>
      <diagonal/>
    </border>
    <border>
      <left/>
      <right/>
      <top/>
      <bottom style="hair">
        <color theme="1"/>
      </bottom>
      <diagonal/>
    </border>
    <border>
      <left style="hair">
        <color indexed="64"/>
      </left>
      <right style="hair">
        <color indexed="64"/>
      </right>
      <top/>
      <bottom style="hair">
        <color indexed="64"/>
      </bottom>
      <diagonal/>
    </border>
    <border>
      <left/>
      <right/>
      <top style="medium">
        <color theme="1"/>
      </top>
      <bottom style="medium">
        <color theme="1"/>
      </bottom>
      <diagonal/>
    </border>
    <border>
      <left style="hair">
        <color theme="1"/>
      </left>
      <right/>
      <top style="medium">
        <color theme="1"/>
      </top>
      <bottom style="medium">
        <color theme="1"/>
      </bottom>
      <diagonal/>
    </border>
    <border>
      <left style="hair">
        <color theme="1"/>
      </left>
      <right/>
      <top/>
      <bottom/>
      <diagonal/>
    </border>
    <border>
      <left style="hair">
        <color theme="1"/>
      </left>
      <right/>
      <top/>
      <bottom style="medium">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right/>
      <top/>
      <bottom style="double">
        <color rgb="FF1F4B31"/>
      </bottom>
      <diagonal/>
    </border>
    <border>
      <left/>
      <right/>
      <top/>
      <bottom style="thin">
        <color rgb="FF1F4B31"/>
      </bottom>
      <diagonal/>
    </border>
    <border>
      <left/>
      <right/>
      <top/>
      <bottom style="double">
        <color indexed="64"/>
      </bottom>
      <diagonal/>
    </border>
    <border>
      <left/>
      <right/>
      <top style="thin">
        <color rgb="FF1F4B31"/>
      </top>
      <bottom style="thin">
        <color rgb="FF1F4B31"/>
      </bottom>
      <diagonal/>
    </border>
    <border>
      <left/>
      <right/>
      <top style="double">
        <color rgb="FF1F4B31"/>
      </top>
      <bottom style="thin">
        <color rgb="FF1F4B31"/>
      </bottom>
      <diagonal/>
    </border>
    <border>
      <left style="thin">
        <color rgb="FF1F4B31"/>
      </left>
      <right/>
      <top/>
      <bottom/>
      <diagonal/>
    </border>
    <border>
      <left style="hair">
        <color indexed="8"/>
      </left>
      <right style="hair">
        <color indexed="8"/>
      </right>
      <top style="hair">
        <color indexed="8"/>
      </top>
      <bottom style="hair">
        <color indexed="8"/>
      </bottom>
      <diagonal/>
    </border>
  </borders>
  <cellStyleXfs count="5">
    <xf numFmtId="0" fontId="0" fillId="0" borderId="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58" fillId="0" borderId="0"/>
  </cellStyleXfs>
  <cellXfs count="711">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14" fontId="0" fillId="0" borderId="0" xfId="0" applyNumberFormat="1"/>
    <xf numFmtId="14" fontId="0" fillId="0" borderId="0" xfId="0" applyNumberFormat="1" applyAlignment="1">
      <alignment horizontal="center" vertical="center"/>
    </xf>
    <xf numFmtId="0" fontId="1" fillId="0" borderId="1" xfId="0" applyFont="1" applyBorder="1" applyAlignment="1">
      <alignment horizontal="center" vertical="center"/>
    </xf>
    <xf numFmtId="0" fontId="0" fillId="0" borderId="2" xfId="0" applyBorder="1"/>
    <xf numFmtId="0" fontId="1" fillId="3" borderId="4" xfId="0" applyFont="1" applyFill="1" applyBorder="1"/>
    <xf numFmtId="14" fontId="0" fillId="0" borderId="5" xfId="0" applyNumberFormat="1" applyBorder="1" applyAlignment="1">
      <alignment horizontal="center" vertical="center"/>
    </xf>
    <xf numFmtId="0" fontId="1" fillId="3" borderId="6" xfId="0" applyFont="1" applyFill="1" applyBorder="1"/>
    <xf numFmtId="14" fontId="0" fillId="0" borderId="7" xfId="0" applyNumberFormat="1" applyBorder="1" applyAlignment="1">
      <alignment horizontal="center" vertical="center"/>
    </xf>
    <xf numFmtId="0" fontId="1" fillId="3" borderId="8" xfId="0" applyFont="1" applyFill="1" applyBorder="1"/>
    <xf numFmtId="0" fontId="0" fillId="0" borderId="5" xfId="0" applyBorder="1" applyAlignment="1">
      <alignment horizontal="center" vertical="center"/>
    </xf>
    <xf numFmtId="0" fontId="1" fillId="2" borderId="0" xfId="0" applyFont="1" applyFill="1"/>
    <xf numFmtId="9" fontId="0" fillId="0" borderId="1" xfId="0" applyNumberFormat="1" applyBorder="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vertical="center"/>
    </xf>
    <xf numFmtId="0" fontId="0" fillId="0" borderId="1" xfId="0" applyBorder="1" applyAlignment="1" applyProtection="1">
      <alignment horizontal="center" vertical="center"/>
      <protection locked="0"/>
    </xf>
    <xf numFmtId="9" fontId="0" fillId="0" borderId="0" xfId="0" applyNumberFormat="1" applyAlignment="1">
      <alignment horizontal="center" vertical="center"/>
    </xf>
    <xf numFmtId="0" fontId="1" fillId="3" borderId="0" xfId="0" applyFont="1" applyFill="1"/>
    <xf numFmtId="0" fontId="0" fillId="4" borderId="0" xfId="0" applyFill="1"/>
    <xf numFmtId="0" fontId="0" fillId="4" borderId="0" xfId="0" applyFill="1" applyAlignment="1">
      <alignment horizontal="center" vertical="center"/>
    </xf>
    <xf numFmtId="9" fontId="0" fillId="4" borderId="0" xfId="0" applyNumberFormat="1" applyFill="1" applyAlignment="1">
      <alignment horizontal="center" vertical="center"/>
    </xf>
    <xf numFmtId="0" fontId="1" fillId="3" borderId="1" xfId="0" applyFont="1" applyFill="1" applyBorder="1"/>
    <xf numFmtId="164" fontId="0" fillId="0" borderId="1" xfId="0" applyNumberFormat="1" applyBorder="1" applyAlignment="1">
      <alignment horizontal="center" vertical="center"/>
    </xf>
    <xf numFmtId="0" fontId="0" fillId="5" borderId="0" xfId="0" applyFill="1"/>
    <xf numFmtId="0" fontId="0" fillId="5" borderId="0" xfId="0" applyFill="1" applyAlignment="1">
      <alignment horizontal="center" vertical="center"/>
    </xf>
    <xf numFmtId="9" fontId="0" fillId="0" borderId="0" xfId="2" applyFont="1" applyAlignment="1">
      <alignment horizontal="center" vertical="center"/>
    </xf>
    <xf numFmtId="166" fontId="0" fillId="0" borderId="0" xfId="2" applyNumberFormat="1" applyFont="1" applyAlignment="1">
      <alignment horizontal="center" vertical="center"/>
    </xf>
    <xf numFmtId="167" fontId="0" fillId="0" borderId="0" xfId="0" applyNumberFormat="1" applyAlignment="1">
      <alignment horizontal="center" vertical="center"/>
    </xf>
    <xf numFmtId="1" fontId="0" fillId="0" borderId="0" xfId="0" applyNumberFormat="1" applyAlignment="1">
      <alignment horizontal="center" vertical="center"/>
    </xf>
    <xf numFmtId="0" fontId="1" fillId="3" borderId="15" xfId="0" applyFont="1" applyFill="1"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6" fillId="0" borderId="0" xfId="0" applyFont="1"/>
    <xf numFmtId="0" fontId="0" fillId="0" borderId="23" xfId="0" applyBorder="1" applyAlignment="1">
      <alignment horizontal="center" vertical="center"/>
    </xf>
    <xf numFmtId="0" fontId="0" fillId="0" borderId="24" xfId="0" applyBorder="1" applyAlignment="1">
      <alignment horizontal="center" vertical="center"/>
    </xf>
    <xf numFmtId="0" fontId="5" fillId="3" borderId="18" xfId="0"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1" xfId="0" applyBorder="1" applyAlignment="1">
      <alignment horizontal="center" vertical="center"/>
    </xf>
    <xf numFmtId="0" fontId="0" fillId="0" borderId="30" xfId="0" applyBorder="1" applyAlignment="1">
      <alignment horizontal="center" vertical="center"/>
    </xf>
    <xf numFmtId="0" fontId="5" fillId="3" borderId="28" xfId="0" applyFont="1" applyFill="1" applyBorder="1" applyAlignment="1">
      <alignment horizontal="center" vertical="center"/>
    </xf>
    <xf numFmtId="0" fontId="5" fillId="3" borderId="29" xfId="0" applyFont="1" applyFill="1" applyBorder="1" applyAlignment="1">
      <alignment horizontal="center" vertical="center"/>
    </xf>
    <xf numFmtId="0" fontId="0" fillId="6" borderId="17" xfId="0" applyFill="1" applyBorder="1" applyAlignment="1">
      <alignment horizontal="center" vertical="center"/>
    </xf>
    <xf numFmtId="0" fontId="0" fillId="6" borderId="24" xfId="0" applyFill="1" applyBorder="1" applyAlignment="1">
      <alignment horizontal="center" vertical="center"/>
    </xf>
    <xf numFmtId="0" fontId="0" fillId="6" borderId="26" xfId="0" applyFill="1" applyBorder="1" applyAlignment="1">
      <alignment horizontal="center" vertical="center"/>
    </xf>
    <xf numFmtId="0" fontId="0" fillId="6" borderId="27" xfId="0" applyFill="1" applyBorder="1" applyAlignment="1">
      <alignment horizontal="center" vertical="center"/>
    </xf>
    <xf numFmtId="0" fontId="1"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0" fillId="0" borderId="6" xfId="0" applyBorder="1" applyAlignment="1">
      <alignment horizontal="center" vertical="center"/>
    </xf>
    <xf numFmtId="9" fontId="0" fillId="0" borderId="7" xfId="2" applyFont="1" applyBorder="1" applyAlignment="1">
      <alignment horizontal="center" vertical="center"/>
    </xf>
    <xf numFmtId="0" fontId="1" fillId="3" borderId="15" xfId="0" applyFont="1" applyFill="1" applyBorder="1" applyAlignment="1">
      <alignment horizontal="center" vertical="center" wrapText="1"/>
    </xf>
    <xf numFmtId="0" fontId="0" fillId="0" borderId="18" xfId="0" applyBorder="1" applyAlignment="1">
      <alignment horizontal="center" vertical="center"/>
    </xf>
    <xf numFmtId="14" fontId="1" fillId="3" borderId="4" xfId="0" applyNumberFormat="1" applyFont="1" applyFill="1" applyBorder="1" applyAlignment="1">
      <alignment horizontal="center" vertical="center" wrapText="1"/>
    </xf>
    <xf numFmtId="166" fontId="0" fillId="0" borderId="7" xfId="2" applyNumberFormat="1" applyFont="1" applyBorder="1" applyAlignment="1">
      <alignment horizontal="center" vertical="center"/>
    </xf>
    <xf numFmtId="166" fontId="0" fillId="0" borderId="6" xfId="2" applyNumberFormat="1" applyFont="1" applyBorder="1" applyAlignment="1">
      <alignment horizontal="center" vertical="center"/>
    </xf>
    <xf numFmtId="0" fontId="0" fillId="0" borderId="7" xfId="0" applyBorder="1" applyAlignment="1">
      <alignment horizontal="center" vertical="center"/>
    </xf>
    <xf numFmtId="0" fontId="1" fillId="3" borderId="22" xfId="0" applyFont="1" applyFill="1" applyBorder="1" applyAlignment="1">
      <alignment horizontal="center" vertical="center" wrapText="1"/>
    </xf>
    <xf numFmtId="14" fontId="1" fillId="3" borderId="5" xfId="0" applyNumberFormat="1" applyFont="1" applyFill="1" applyBorder="1" applyAlignment="1">
      <alignment horizontal="center" vertical="center" wrapText="1"/>
    </xf>
    <xf numFmtId="166" fontId="0" fillId="0" borderId="43" xfId="2" applyNumberFormat="1" applyFont="1" applyBorder="1" applyAlignment="1">
      <alignment horizontal="center" vertical="center"/>
    </xf>
    <xf numFmtId="0" fontId="0" fillId="0" borderId="43" xfId="0" applyBorder="1" applyAlignment="1">
      <alignment horizontal="center" vertical="center"/>
    </xf>
    <xf numFmtId="16" fontId="0" fillId="0" borderId="0" xfId="0" applyNumberFormat="1"/>
    <xf numFmtId="167" fontId="0" fillId="0" borderId="43" xfId="0" applyNumberFormat="1" applyBorder="1" applyAlignment="1">
      <alignment horizontal="center" vertical="center"/>
    </xf>
    <xf numFmtId="167" fontId="0" fillId="0" borderId="7" xfId="0" applyNumberFormat="1" applyBorder="1" applyAlignment="1">
      <alignment horizontal="center" vertical="center"/>
    </xf>
    <xf numFmtId="0" fontId="1" fillId="3" borderId="19" xfId="0" applyFont="1" applyFill="1" applyBorder="1" applyAlignment="1" applyProtection="1">
      <alignment horizontal="center" vertical="center"/>
      <protection locked="0"/>
    </xf>
    <xf numFmtId="0" fontId="1" fillId="3" borderId="36" xfId="0" applyFont="1" applyFill="1" applyBorder="1" applyAlignment="1" applyProtection="1">
      <alignment horizontal="center" vertical="center"/>
      <protection locked="0"/>
    </xf>
    <xf numFmtId="0" fontId="1" fillId="3" borderId="33" xfId="0" applyFont="1" applyFill="1" applyBorder="1" applyAlignment="1" applyProtection="1">
      <alignment horizontal="center" vertical="center"/>
      <protection locked="0"/>
    </xf>
    <xf numFmtId="14" fontId="1" fillId="3" borderId="19" xfId="0" applyNumberFormat="1"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28"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14" fontId="1" fillId="3" borderId="18" xfId="0" applyNumberFormat="1"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wrapText="1"/>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14" fontId="1" fillId="3" borderId="39" xfId="0" applyNumberFormat="1" applyFont="1" applyFill="1"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39" xfId="0" applyBorder="1" applyAlignment="1" applyProtection="1">
      <alignment horizontal="center" vertical="center"/>
      <protection locked="0"/>
    </xf>
    <xf numFmtId="14" fontId="0" fillId="0" borderId="3" xfId="0" applyNumberFormat="1" applyBorder="1" applyAlignment="1" applyProtection="1">
      <alignment horizontal="center" vertical="center"/>
      <protection locked="0"/>
    </xf>
    <xf numFmtId="14" fontId="0" fillId="0" borderId="42" xfId="0" applyNumberFormat="1" applyBorder="1" applyAlignment="1" applyProtection="1">
      <alignment horizontal="center" vertical="center"/>
      <protection locked="0"/>
    </xf>
    <xf numFmtId="0" fontId="0" fillId="0" borderId="38" xfId="0" applyBorder="1" applyAlignment="1" applyProtection="1">
      <alignment horizontal="center" vertical="center"/>
      <protection locked="0"/>
    </xf>
    <xf numFmtId="14" fontId="0" fillId="0" borderId="33" xfId="0" applyNumberFormat="1" applyBorder="1" applyAlignment="1" applyProtection="1">
      <alignment horizontal="center" vertical="center"/>
      <protection locked="0"/>
    </xf>
    <xf numFmtId="14" fontId="0" fillId="0" borderId="26" xfId="0" applyNumberFormat="1" applyBorder="1" applyAlignment="1" applyProtection="1">
      <alignment horizontal="center" vertical="center"/>
      <protection locked="0"/>
    </xf>
    <xf numFmtId="14" fontId="0" fillId="0" borderId="21" xfId="0" applyNumberFormat="1"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14" fontId="0" fillId="0" borderId="17" xfId="0" applyNumberFormat="1" applyBorder="1" applyAlignment="1" applyProtection="1">
      <alignment horizontal="center" vertical="center"/>
      <protection locked="0"/>
    </xf>
    <xf numFmtId="0" fontId="0" fillId="0" borderId="4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14" fontId="0" fillId="0" borderId="40" xfId="0" applyNumberFormat="1"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14" fontId="0" fillId="0" borderId="41" xfId="0" applyNumberFormat="1" applyBorder="1" applyAlignment="1" applyProtection="1">
      <alignment horizontal="center" vertical="center"/>
      <protection locked="0"/>
    </xf>
    <xf numFmtId="14" fontId="0" fillId="0" borderId="31" xfId="0" applyNumberFormat="1"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14" fontId="0" fillId="0" borderId="34" xfId="0" applyNumberFormat="1" applyBorder="1" applyAlignment="1" applyProtection="1">
      <alignment horizontal="center" vertical="center"/>
      <protection locked="0"/>
    </xf>
    <xf numFmtId="0" fontId="0" fillId="0" borderId="37" xfId="0" applyBorder="1" applyAlignment="1" applyProtection="1">
      <alignment horizontal="center" vertical="center"/>
      <protection locked="0"/>
    </xf>
    <xf numFmtId="14" fontId="0" fillId="0" borderId="28" xfId="0" applyNumberFormat="1" applyBorder="1" applyAlignment="1" applyProtection="1">
      <alignment horizontal="center" vertical="center"/>
      <protection locked="0"/>
    </xf>
    <xf numFmtId="0" fontId="0" fillId="0" borderId="29" xfId="0" applyBorder="1" applyAlignment="1" applyProtection="1">
      <alignment horizontal="center" vertical="center"/>
      <protection locked="0"/>
    </xf>
    <xf numFmtId="14" fontId="0" fillId="0" borderId="37" xfId="0" applyNumberFormat="1"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35" xfId="0" applyBorder="1" applyAlignment="1" applyProtection="1">
      <alignment horizontal="center" vertical="center"/>
      <protection locked="0"/>
    </xf>
    <xf numFmtId="14" fontId="0" fillId="0" borderId="35" xfId="0" applyNumberFormat="1" applyBorder="1" applyAlignment="1" applyProtection="1">
      <alignment horizontal="center" vertical="center"/>
      <protection locked="0"/>
    </xf>
    <xf numFmtId="0" fontId="0" fillId="0" borderId="0" xfId="0" applyAlignment="1" applyProtection="1">
      <alignment horizontal="center" vertical="center"/>
      <protection locked="0"/>
    </xf>
    <xf numFmtId="14" fontId="0" fillId="0" borderId="0" xfId="0" applyNumberFormat="1" applyAlignment="1" applyProtection="1">
      <alignment horizontal="center" vertical="center"/>
      <protection locked="0"/>
    </xf>
    <xf numFmtId="0" fontId="1" fillId="2" borderId="1" xfId="0" applyFont="1" applyFill="1" applyBorder="1" applyAlignment="1">
      <alignment horizontal="center"/>
    </xf>
    <xf numFmtId="0" fontId="1" fillId="2" borderId="20" xfId="0" applyFont="1" applyFill="1" applyBorder="1" applyAlignment="1">
      <alignment horizontal="center" vertical="center"/>
    </xf>
    <xf numFmtId="0" fontId="11" fillId="2" borderId="0" xfId="0" applyFont="1" applyFill="1"/>
    <xf numFmtId="0" fontId="11" fillId="2" borderId="0" xfId="0" applyFont="1" applyFill="1" applyAlignment="1">
      <alignment horizontal="center" vertical="center"/>
    </xf>
    <xf numFmtId="0" fontId="8" fillId="2" borderId="0" xfId="0" applyFont="1" applyFill="1" applyAlignment="1">
      <alignment horizontal="left" vertical="center"/>
    </xf>
    <xf numFmtId="0" fontId="11" fillId="0" borderId="0" xfId="0" applyFont="1"/>
    <xf numFmtId="0" fontId="1" fillId="0" borderId="0" xfId="0" applyFont="1"/>
    <xf numFmtId="0" fontId="11" fillId="7" borderId="0" xfId="0" applyFont="1" applyFill="1"/>
    <xf numFmtId="0" fontId="11" fillId="7" borderId="0" xfId="0" applyFont="1" applyFill="1" applyAlignment="1">
      <alignment horizontal="center" vertical="center"/>
    </xf>
    <xf numFmtId="0" fontId="12" fillId="7" borderId="0" xfId="0" applyFont="1" applyFill="1" applyAlignment="1">
      <alignment horizontal="center" vertical="center"/>
    </xf>
    <xf numFmtId="0" fontId="0" fillId="7" borderId="0" xfId="0" applyFill="1"/>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7" borderId="45" xfId="0" applyFont="1" applyFill="1" applyBorder="1" applyAlignment="1">
      <alignment horizontal="center" vertical="center"/>
    </xf>
    <xf numFmtId="0" fontId="11" fillId="7" borderId="46" xfId="0" applyFont="1" applyFill="1" applyBorder="1" applyAlignment="1">
      <alignment horizontal="center" vertical="center"/>
    </xf>
    <xf numFmtId="0" fontId="11" fillId="7" borderId="47" xfId="0" applyFont="1" applyFill="1" applyBorder="1" applyAlignment="1">
      <alignment horizontal="center" vertical="center"/>
    </xf>
    <xf numFmtId="0" fontId="11" fillId="7" borderId="48" xfId="0" applyFont="1" applyFill="1" applyBorder="1" applyAlignment="1">
      <alignment horizontal="center" vertical="center"/>
    </xf>
    <xf numFmtId="9" fontId="1" fillId="0" borderId="0" xfId="2" applyFont="1" applyFill="1" applyBorder="1" applyProtection="1"/>
    <xf numFmtId="0" fontId="1" fillId="2" borderId="0" xfId="0" applyFont="1" applyFill="1" applyAlignment="1">
      <alignment horizontal="left" vertical="center"/>
    </xf>
    <xf numFmtId="1" fontId="12" fillId="8" borderId="0" xfId="0" applyNumberFormat="1" applyFont="1" applyFill="1" applyAlignment="1" applyProtection="1">
      <alignment horizontal="center" vertical="center"/>
      <protection locked="0"/>
    </xf>
    <xf numFmtId="0" fontId="1" fillId="2" borderId="49" xfId="0" applyFont="1" applyFill="1" applyBorder="1" applyAlignment="1">
      <alignment horizontal="center" vertical="center"/>
    </xf>
    <xf numFmtId="0" fontId="1" fillId="2" borderId="44" xfId="0" applyFont="1" applyFill="1" applyBorder="1" applyAlignment="1">
      <alignment horizontal="center" vertical="center"/>
    </xf>
    <xf numFmtId="168" fontId="11" fillId="7" borderId="0" xfId="0" applyNumberFormat="1" applyFont="1" applyFill="1" applyAlignment="1">
      <alignment horizontal="center" vertical="center"/>
    </xf>
    <xf numFmtId="0" fontId="11" fillId="7" borderId="0" xfId="0" applyFont="1" applyFill="1" applyAlignment="1">
      <alignment horizontal="left" vertical="top"/>
    </xf>
    <xf numFmtId="2" fontId="11" fillId="7" borderId="0" xfId="0" applyNumberFormat="1" applyFont="1" applyFill="1" applyAlignment="1">
      <alignment horizontal="center" vertical="center"/>
    </xf>
    <xf numFmtId="168" fontId="11" fillId="7" borderId="0" xfId="0" applyNumberFormat="1" applyFont="1" applyFill="1"/>
    <xf numFmtId="168" fontId="11" fillId="0" borderId="0" xfId="0" applyNumberFormat="1" applyFont="1"/>
    <xf numFmtId="10" fontId="1" fillId="0" borderId="0" xfId="2" applyNumberFormat="1" applyFont="1" applyFill="1" applyBorder="1" applyProtection="1"/>
    <xf numFmtId="168" fontId="12" fillId="8" borderId="0" xfId="0" applyNumberFormat="1" applyFont="1" applyFill="1" applyAlignment="1" applyProtection="1">
      <alignment horizontal="center" vertical="center"/>
      <protection locked="0"/>
    </xf>
    <xf numFmtId="0" fontId="15" fillId="9" borderId="0" xfId="0" applyFont="1" applyFill="1" applyAlignment="1" applyProtection="1">
      <alignment horizontal="center" vertical="center"/>
      <protection locked="0"/>
    </xf>
    <xf numFmtId="166" fontId="0" fillId="9" borderId="0" xfId="0" quotePrefix="1" applyNumberFormat="1" applyFill="1" applyAlignment="1" applyProtection="1">
      <alignment horizontal="center" vertical="center" wrapText="1"/>
      <protection locked="0"/>
    </xf>
    <xf numFmtId="164" fontId="11" fillId="9" borderId="0" xfId="1" applyFont="1" applyFill="1" applyBorder="1" applyAlignment="1" applyProtection="1">
      <alignment horizontal="center" vertical="center"/>
      <protection locked="0"/>
    </xf>
    <xf numFmtId="169" fontId="11" fillId="0" borderId="0" xfId="0" applyNumberFormat="1" applyFont="1" applyAlignment="1">
      <alignment horizontal="center" vertical="center"/>
    </xf>
    <xf numFmtId="0" fontId="11" fillId="0" borderId="0" xfId="0" applyFont="1" applyAlignment="1">
      <alignment horizontal="left" vertical="center"/>
    </xf>
    <xf numFmtId="170" fontId="11" fillId="5" borderId="0" xfId="0" applyNumberFormat="1" applyFont="1" applyFill="1" applyAlignment="1">
      <alignment horizontal="center" vertical="center"/>
    </xf>
    <xf numFmtId="170" fontId="11" fillId="0" borderId="0" xfId="0" applyNumberFormat="1" applyFont="1" applyAlignment="1">
      <alignment horizontal="center" vertical="center"/>
    </xf>
    <xf numFmtId="9" fontId="11" fillId="0" borderId="0" xfId="2" applyFont="1" applyBorder="1" applyAlignment="1" applyProtection="1">
      <alignment horizontal="center" vertical="center"/>
    </xf>
    <xf numFmtId="168" fontId="12" fillId="0" borderId="0" xfId="0" applyNumberFormat="1" applyFont="1" applyAlignment="1">
      <alignment horizontal="left" vertical="center"/>
    </xf>
    <xf numFmtId="171" fontId="12" fillId="0" borderId="0" xfId="0" applyNumberFormat="1" applyFont="1" applyAlignment="1">
      <alignment horizontal="center" vertical="center"/>
    </xf>
    <xf numFmtId="10" fontId="12" fillId="0" borderId="0" xfId="2" applyNumberFormat="1" applyFont="1" applyFill="1" applyBorder="1" applyAlignment="1" applyProtection="1">
      <alignment horizontal="center" vertical="center"/>
    </xf>
    <xf numFmtId="172" fontId="12" fillId="0" borderId="0" xfId="0" applyNumberFormat="1" applyFont="1" applyAlignment="1">
      <alignment horizontal="center" vertical="center"/>
    </xf>
    <xf numFmtId="0" fontId="11" fillId="7" borderId="0" xfId="0" applyFont="1" applyFill="1" applyAlignment="1">
      <alignment horizontal="left"/>
    </xf>
    <xf numFmtId="0" fontId="10" fillId="7" borderId="50" xfId="0" applyFont="1" applyFill="1" applyBorder="1" applyAlignment="1">
      <alignment horizontal="center" vertical="center"/>
    </xf>
    <xf numFmtId="9" fontId="3" fillId="7" borderId="50" xfId="2" applyFont="1" applyFill="1" applyBorder="1" applyAlignment="1" applyProtection="1">
      <alignment horizontal="center" vertical="center"/>
    </xf>
    <xf numFmtId="0" fontId="11" fillId="7" borderId="51" xfId="0" applyFont="1" applyFill="1" applyBorder="1" applyAlignment="1">
      <alignment horizontal="center" vertical="center"/>
    </xf>
    <xf numFmtId="0" fontId="11" fillId="7" borderId="52" xfId="0" applyFont="1" applyFill="1" applyBorder="1" applyAlignment="1">
      <alignment horizontal="center" vertical="center"/>
    </xf>
    <xf numFmtId="0" fontId="11" fillId="7" borderId="53" xfId="0" applyFont="1" applyFill="1" applyBorder="1" applyAlignment="1">
      <alignment horizontal="center" vertical="center"/>
    </xf>
    <xf numFmtId="2" fontId="12" fillId="8" borderId="0" xfId="0" applyNumberFormat="1" applyFont="1" applyFill="1" applyAlignment="1" applyProtection="1">
      <alignment horizontal="center" vertical="center"/>
      <protection locked="0"/>
    </xf>
    <xf numFmtId="164" fontId="12" fillId="7" borderId="0" xfId="1" applyFont="1" applyFill="1" applyBorder="1" applyAlignment="1" applyProtection="1">
      <alignment horizontal="center" vertical="center"/>
    </xf>
    <xf numFmtId="166" fontId="0" fillId="9" borderId="0" xfId="0" applyNumberFormat="1" applyFill="1" applyAlignment="1" applyProtection="1">
      <alignment horizontal="center" vertical="center" wrapText="1"/>
      <protection locked="0"/>
    </xf>
    <xf numFmtId="166" fontId="11" fillId="0" borderId="0" xfId="2" applyNumberFormat="1" applyFont="1" applyBorder="1" applyAlignment="1" applyProtection="1">
      <alignment horizontal="center" vertical="center"/>
    </xf>
    <xf numFmtId="173" fontId="12" fillId="0" borderId="0" xfId="0" applyNumberFormat="1" applyFont="1" applyAlignment="1">
      <alignment horizontal="center" vertical="center"/>
    </xf>
    <xf numFmtId="0" fontId="16" fillId="0" borderId="54" xfId="0" applyFont="1" applyBorder="1" applyAlignment="1">
      <alignment horizontal="center" vertical="center"/>
    </xf>
    <xf numFmtId="0" fontId="11" fillId="7" borderId="0" xfId="0" applyFont="1" applyFill="1" applyAlignment="1">
      <alignment horizontal="left" vertical="center"/>
    </xf>
    <xf numFmtId="168" fontId="15" fillId="0" borderId="1" xfId="0" applyNumberFormat="1" applyFont="1" applyBorder="1" applyAlignment="1">
      <alignment horizontal="center" vertical="center"/>
    </xf>
    <xf numFmtId="0" fontId="17" fillId="0" borderId="0" xfId="0" applyFont="1" applyAlignment="1">
      <alignment horizontal="righ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alignment vertical="center"/>
    </xf>
    <xf numFmtId="0" fontId="17" fillId="0" borderId="0" xfId="0" applyFont="1"/>
    <xf numFmtId="0" fontId="1" fillId="2" borderId="43" xfId="0" applyFont="1" applyFill="1" applyBorder="1" applyAlignment="1">
      <alignment horizontal="left" vertical="center"/>
    </xf>
    <xf numFmtId="9" fontId="11" fillId="7" borderId="0" xfId="0" applyNumberFormat="1" applyFont="1" applyFill="1" applyAlignment="1">
      <alignment horizontal="center" vertical="center"/>
    </xf>
    <xf numFmtId="174" fontId="11" fillId="5" borderId="0" xfId="0" applyNumberFormat="1" applyFont="1" applyFill="1" applyAlignment="1">
      <alignment horizontal="center" vertical="center"/>
    </xf>
    <xf numFmtId="174" fontId="11" fillId="0" borderId="0" xfId="0" applyNumberFormat="1" applyFont="1" applyAlignment="1">
      <alignment horizontal="center" vertical="center"/>
    </xf>
    <xf numFmtId="167" fontId="11" fillId="7" borderId="0" xfId="0" applyNumberFormat="1" applyFont="1" applyFill="1" applyAlignment="1">
      <alignment horizontal="center" vertical="center"/>
    </xf>
    <xf numFmtId="0" fontId="18" fillId="0" borderId="0" xfId="0" applyFont="1" applyAlignment="1" applyProtection="1">
      <alignment horizontal="center" vertical="center" wrapText="1"/>
      <protection hidden="1"/>
    </xf>
    <xf numFmtId="166" fontId="11" fillId="7" borderId="0" xfId="2" applyNumberFormat="1" applyFont="1" applyFill="1" applyBorder="1" applyAlignment="1" applyProtection="1">
      <alignment horizontal="center" vertical="center"/>
    </xf>
    <xf numFmtId="0" fontId="15" fillId="9" borderId="52" xfId="0" applyFont="1" applyFill="1" applyBorder="1" applyAlignment="1" applyProtection="1">
      <alignment horizontal="center" vertical="center"/>
      <protection locked="0"/>
    </xf>
    <xf numFmtId="166" fontId="0" fillId="9" borderId="55" xfId="0" applyNumberFormat="1" applyFill="1" applyBorder="1" applyAlignment="1" applyProtection="1">
      <alignment horizontal="center" vertical="center" wrapText="1"/>
      <protection locked="0"/>
    </xf>
    <xf numFmtId="164" fontId="11" fillId="9" borderId="52" xfId="1" applyFont="1" applyFill="1" applyBorder="1" applyAlignment="1" applyProtection="1">
      <alignment horizontal="center" vertical="center"/>
      <protection locked="0"/>
    </xf>
    <xf numFmtId="169" fontId="11" fillId="0" borderId="52" xfId="0" applyNumberFormat="1" applyFont="1" applyBorder="1" applyAlignment="1">
      <alignment horizontal="center" vertical="center"/>
    </xf>
    <xf numFmtId="168" fontId="12" fillId="0" borderId="56" xfId="0" applyNumberFormat="1" applyFont="1" applyBorder="1" applyAlignment="1">
      <alignment horizontal="left" vertical="center"/>
    </xf>
    <xf numFmtId="173" fontId="12" fillId="0" borderId="56" xfId="0" applyNumberFormat="1" applyFont="1" applyBorder="1" applyAlignment="1">
      <alignment horizontal="center" vertical="center"/>
    </xf>
    <xf numFmtId="10" fontId="12" fillId="0" borderId="56" xfId="2" applyNumberFormat="1" applyFont="1" applyFill="1" applyBorder="1" applyAlignment="1" applyProtection="1">
      <alignment horizontal="center" vertical="center"/>
    </xf>
    <xf numFmtId="172" fontId="12" fillId="0" borderId="56" xfId="0" applyNumberFormat="1" applyFont="1" applyBorder="1" applyAlignment="1">
      <alignment horizontal="center" vertical="center"/>
    </xf>
    <xf numFmtId="168" fontId="10" fillId="7" borderId="50" xfId="0" applyNumberFormat="1" applyFont="1" applyFill="1" applyBorder="1" applyAlignment="1">
      <alignment horizontal="center" vertical="center"/>
    </xf>
    <xf numFmtId="166" fontId="11" fillId="9" borderId="0" xfId="0" applyNumberFormat="1" applyFont="1" applyFill="1" applyAlignment="1" applyProtection="1">
      <alignment horizontal="center" vertical="center"/>
      <protection locked="0"/>
    </xf>
    <xf numFmtId="0" fontId="19" fillId="0" borderId="0" xfId="0" applyFont="1" applyAlignment="1">
      <alignment horizontal="right"/>
    </xf>
    <xf numFmtId="167" fontId="19" fillId="0" borderId="0" xfId="0" applyNumberFormat="1" applyFont="1" applyAlignment="1">
      <alignment vertical="center"/>
    </xf>
    <xf numFmtId="0" fontId="19" fillId="0" borderId="0" xfId="0" applyFont="1"/>
    <xf numFmtId="167" fontId="19" fillId="0" borderId="0" xfId="0" applyNumberFormat="1" applyFont="1" applyAlignment="1">
      <alignment horizontal="center" vertical="center"/>
    </xf>
    <xf numFmtId="0" fontId="20" fillId="0" borderId="0" xfId="0" applyFont="1" applyAlignment="1">
      <alignment horizontal="center"/>
    </xf>
    <xf numFmtId="0" fontId="19" fillId="0" borderId="0" xfId="0" applyFont="1" applyAlignment="1">
      <alignment horizontal="center" vertical="center"/>
    </xf>
    <xf numFmtId="2" fontId="1" fillId="0" borderId="0" xfId="0" applyNumberFormat="1" applyFont="1" applyAlignment="1">
      <alignment horizontal="center"/>
    </xf>
    <xf numFmtId="1" fontId="1" fillId="0" borderId="0" xfId="0" applyNumberFormat="1" applyFont="1" applyAlignment="1">
      <alignment horizontal="center"/>
    </xf>
    <xf numFmtId="0" fontId="12" fillId="7" borderId="0" xfId="0" applyFont="1" applyFill="1" applyAlignment="1">
      <alignment horizontal="left" vertical="center"/>
    </xf>
    <xf numFmtId="176" fontId="11" fillId="5" borderId="0" xfId="0" applyNumberFormat="1" applyFont="1" applyFill="1" applyAlignment="1">
      <alignment horizontal="center" vertical="center"/>
    </xf>
    <xf numFmtId="176" fontId="11" fillId="0" borderId="0" xfId="0" applyNumberFormat="1" applyFont="1" applyAlignment="1">
      <alignment horizontal="center" vertical="center"/>
    </xf>
    <xf numFmtId="177" fontId="11" fillId="0" borderId="0" xfId="2" applyNumberFormat="1" applyFont="1" applyBorder="1" applyAlignment="1" applyProtection="1">
      <alignment horizontal="center" vertical="center"/>
    </xf>
    <xf numFmtId="0" fontId="10" fillId="7" borderId="57" xfId="0" applyFont="1" applyFill="1" applyBorder="1" applyAlignment="1">
      <alignment horizontal="center" vertical="center"/>
    </xf>
    <xf numFmtId="0" fontId="15" fillId="9" borderId="43" xfId="0" applyFont="1" applyFill="1" applyBorder="1" applyAlignment="1" applyProtection="1">
      <alignment horizontal="center" vertical="center"/>
      <protection locked="0"/>
    </xf>
    <xf numFmtId="166" fontId="11" fillId="9" borderId="43" xfId="0" applyNumberFormat="1" applyFont="1" applyFill="1" applyBorder="1" applyAlignment="1" applyProtection="1">
      <alignment horizontal="center" vertical="center"/>
      <protection locked="0"/>
    </xf>
    <xf numFmtId="164" fontId="11" fillId="9" borderId="43" xfId="1" applyFont="1" applyFill="1" applyBorder="1" applyAlignment="1" applyProtection="1">
      <alignment horizontal="center" vertical="center"/>
      <protection locked="0"/>
    </xf>
    <xf numFmtId="169" fontId="11" fillId="0" borderId="43" xfId="0" applyNumberFormat="1" applyFont="1" applyBorder="1" applyAlignment="1">
      <alignment horizontal="center" vertical="center"/>
    </xf>
    <xf numFmtId="168" fontId="12" fillId="0" borderId="44" xfId="0" applyNumberFormat="1" applyFont="1" applyBorder="1" applyAlignment="1">
      <alignment horizontal="left" vertical="center"/>
    </xf>
    <xf numFmtId="173" fontId="12" fillId="0" borderId="44" xfId="0" applyNumberFormat="1" applyFont="1" applyBorder="1" applyAlignment="1">
      <alignment horizontal="center" vertical="center"/>
    </xf>
    <xf numFmtId="10" fontId="12" fillId="0" borderId="44" xfId="2" applyNumberFormat="1" applyFont="1" applyFill="1" applyBorder="1" applyAlignment="1" applyProtection="1">
      <alignment horizontal="center" vertical="center"/>
    </xf>
    <xf numFmtId="172" fontId="12" fillId="0" borderId="44" xfId="0" applyNumberFormat="1" applyFont="1" applyBorder="1" applyAlignment="1">
      <alignment horizontal="center" vertical="center"/>
    </xf>
    <xf numFmtId="166" fontId="3" fillId="7" borderId="57" xfId="2" applyNumberFormat="1" applyFont="1" applyFill="1" applyBorder="1" applyAlignment="1" applyProtection="1">
      <alignment horizontal="center" vertical="center"/>
    </xf>
    <xf numFmtId="0" fontId="21" fillId="0" borderId="0" xfId="0" applyFont="1" applyAlignment="1">
      <alignment horizontal="center" vertical="center" wrapText="1"/>
    </xf>
    <xf numFmtId="0" fontId="21" fillId="0" borderId="0" xfId="0" applyFont="1" applyAlignment="1">
      <alignment horizontal="left" vertical="center" wrapText="1"/>
    </xf>
    <xf numFmtId="0" fontId="22" fillId="0" borderId="0" xfId="0" applyFont="1" applyAlignment="1">
      <alignment vertical="center"/>
    </xf>
    <xf numFmtId="0" fontId="21" fillId="0" borderId="0" xfId="0" applyFont="1" applyAlignment="1">
      <alignment horizontal="center" vertical="center"/>
    </xf>
    <xf numFmtId="0" fontId="21" fillId="0" borderId="0" xfId="0" applyFont="1" applyAlignment="1">
      <alignment horizontal="left" vertical="center"/>
    </xf>
    <xf numFmtId="0" fontId="23" fillId="0" borderId="0" xfId="0" applyFont="1" applyAlignment="1">
      <alignment horizontal="center"/>
    </xf>
    <xf numFmtId="167" fontId="24" fillId="0" borderId="0" xfId="0" applyNumberFormat="1" applyFont="1" applyAlignment="1">
      <alignment horizontal="right" vertical="center"/>
    </xf>
    <xf numFmtId="0" fontId="22" fillId="0" borderId="0" xfId="0" applyFont="1" applyAlignment="1">
      <alignment horizontal="left" vertical="center"/>
    </xf>
    <xf numFmtId="2" fontId="24" fillId="0" borderId="0" xfId="0" applyNumberFormat="1" applyFont="1" applyAlignment="1">
      <alignment horizontal="right" vertical="center"/>
    </xf>
    <xf numFmtId="0" fontId="25" fillId="0" borderId="0" xfId="0" applyFont="1" applyAlignment="1">
      <alignment horizontal="left" vertical="center"/>
    </xf>
    <xf numFmtId="164" fontId="12" fillId="8" borderId="43" xfId="1" applyFont="1" applyFill="1" applyBorder="1" applyAlignment="1" applyProtection="1">
      <alignment horizontal="center" vertical="center"/>
      <protection locked="0"/>
    </xf>
    <xf numFmtId="0" fontId="8" fillId="2" borderId="43" xfId="0" applyFont="1" applyFill="1" applyBorder="1" applyAlignment="1">
      <alignment horizontal="center" vertical="center"/>
    </xf>
    <xf numFmtId="169" fontId="26" fillId="0" borderId="43" xfId="0" applyNumberFormat="1" applyFont="1" applyBorder="1" applyAlignment="1">
      <alignment horizontal="center" vertical="center"/>
    </xf>
    <xf numFmtId="0" fontId="8" fillId="2" borderId="58" xfId="0" applyFont="1" applyFill="1" applyBorder="1" applyAlignment="1">
      <alignment horizontal="center" vertical="center"/>
    </xf>
    <xf numFmtId="171" fontId="10" fillId="0" borderId="58" xfId="0" applyNumberFormat="1" applyFont="1" applyBorder="1" applyAlignment="1">
      <alignment horizontal="center" vertical="center"/>
    </xf>
    <xf numFmtId="10" fontId="10" fillId="0" borderId="58" xfId="2" applyNumberFormat="1" applyFont="1" applyFill="1" applyBorder="1" applyAlignment="1" applyProtection="1">
      <alignment horizontal="center" vertical="center"/>
    </xf>
    <xf numFmtId="9" fontId="10" fillId="0" borderId="58" xfId="2" applyFont="1" applyFill="1" applyBorder="1" applyAlignment="1" applyProtection="1">
      <alignment horizontal="center" vertical="center"/>
    </xf>
    <xf numFmtId="178" fontId="10" fillId="0" borderId="58" xfId="0" applyNumberFormat="1" applyFont="1" applyBorder="1" applyAlignment="1">
      <alignment horizontal="center" vertical="center"/>
    </xf>
    <xf numFmtId="0" fontId="0" fillId="7" borderId="0" xfId="0" applyFill="1" applyAlignment="1">
      <alignment horizontal="center" vertical="center"/>
    </xf>
    <xf numFmtId="0" fontId="27" fillId="0" borderId="0" xfId="0" applyFont="1" applyAlignment="1">
      <alignment horizontal="center" vertical="center"/>
    </xf>
    <xf numFmtId="0" fontId="27" fillId="0" borderId="0" xfId="0" applyFont="1"/>
    <xf numFmtId="0" fontId="24" fillId="0" borderId="0" xfId="0" applyFont="1"/>
    <xf numFmtId="0" fontId="22" fillId="0" borderId="0" xfId="0" applyFont="1"/>
    <xf numFmtId="2" fontId="17" fillId="0" borderId="0" xfId="0" applyNumberFormat="1" applyFont="1" applyAlignment="1" applyProtection="1">
      <alignment horizontal="center" vertical="center"/>
      <protection locked="0"/>
    </xf>
    <xf numFmtId="0" fontId="0" fillId="7" borderId="20" xfId="0" applyFill="1" applyBorder="1"/>
    <xf numFmtId="0" fontId="28" fillId="7" borderId="0" xfId="0" applyFont="1" applyFill="1" applyAlignment="1">
      <alignment vertical="top" wrapText="1"/>
    </xf>
    <xf numFmtId="164" fontId="11" fillId="0" borderId="43" xfId="1" applyFont="1" applyBorder="1" applyAlignment="1" applyProtection="1">
      <alignment horizontal="center" vertical="center"/>
    </xf>
    <xf numFmtId="0" fontId="9" fillId="0" borderId="44" xfId="0" applyFont="1" applyBorder="1" applyAlignment="1">
      <alignment horizontal="left" vertical="center"/>
    </xf>
    <xf numFmtId="179" fontId="9" fillId="5" borderId="44" xfId="0" applyNumberFormat="1" applyFont="1" applyFill="1" applyBorder="1" applyAlignment="1">
      <alignment horizontal="center" vertical="center"/>
    </xf>
    <xf numFmtId="179" fontId="9" fillId="0" borderId="44" xfId="0" applyNumberFormat="1" applyFont="1" applyBorder="1" applyAlignment="1">
      <alignment horizontal="center" vertical="center"/>
    </xf>
    <xf numFmtId="0" fontId="11" fillId="0" borderId="43" xfId="0" applyFont="1" applyBorder="1" applyAlignment="1">
      <alignment horizontal="center" vertical="center"/>
    </xf>
    <xf numFmtId="166" fontId="9" fillId="0" borderId="44" xfId="2" applyNumberFormat="1" applyFont="1" applyBorder="1" applyAlignment="1" applyProtection="1">
      <alignment horizontal="center" vertical="center"/>
    </xf>
    <xf numFmtId="0" fontId="29" fillId="7" borderId="0" xfId="0" applyFont="1" applyFill="1"/>
    <xf numFmtId="0" fontId="12" fillId="7" borderId="0" xfId="0" applyFont="1" applyFill="1"/>
    <xf numFmtId="9" fontId="12" fillId="7" borderId="0" xfId="2" applyFont="1" applyFill="1" applyBorder="1" applyAlignment="1" applyProtection="1">
      <alignment horizontal="center" vertical="center"/>
    </xf>
    <xf numFmtId="0" fontId="11" fillId="7" borderId="43" xfId="0" applyFont="1" applyFill="1" applyBorder="1" applyAlignment="1">
      <alignment horizontal="center" vertical="center"/>
    </xf>
    <xf numFmtId="168" fontId="16" fillId="0" borderId="1" xfId="0" applyNumberFormat="1" applyFont="1" applyBorder="1" applyAlignment="1">
      <alignment horizontal="center" vertical="center"/>
    </xf>
    <xf numFmtId="0" fontId="30" fillId="0" borderId="0" xfId="0" applyFont="1" applyAlignment="1">
      <alignment horizontal="right" vertical="center" wrapText="1"/>
    </xf>
    <xf numFmtId="2" fontId="23" fillId="0" borderId="0" xfId="0" applyNumberFormat="1" applyFont="1" applyAlignment="1">
      <alignment horizontal="center" vertical="center"/>
    </xf>
    <xf numFmtId="2" fontId="24" fillId="0" borderId="0" xfId="0" applyNumberFormat="1" applyFont="1" applyAlignment="1">
      <alignment horizontal="center" vertical="center"/>
    </xf>
    <xf numFmtId="4" fontId="1" fillId="0" borderId="0" xfId="0" applyNumberFormat="1" applyFont="1"/>
    <xf numFmtId="9" fontId="12" fillId="7" borderId="0" xfId="2" applyFont="1" applyFill="1" applyAlignment="1" applyProtection="1">
      <alignment horizontal="center" vertical="center"/>
    </xf>
    <xf numFmtId="9" fontId="0" fillId="9" borderId="43" xfId="0" applyNumberFormat="1" applyFill="1" applyBorder="1" applyAlignment="1" applyProtection="1">
      <alignment horizontal="center" vertical="center"/>
      <protection locked="0"/>
    </xf>
    <xf numFmtId="0" fontId="12" fillId="7" borderId="0" xfId="0" applyFont="1" applyFill="1" applyAlignment="1">
      <alignment vertical="top"/>
    </xf>
    <xf numFmtId="0" fontId="23" fillId="0" borderId="0" xfId="0" applyFont="1" applyAlignment="1">
      <alignment horizontal="center" vertical="center"/>
    </xf>
    <xf numFmtId="177" fontId="11" fillId="7" borderId="0" xfId="2" applyNumberFormat="1" applyFont="1" applyFill="1" applyAlignment="1" applyProtection="1">
      <alignment horizontal="center" vertical="center"/>
    </xf>
    <xf numFmtId="0" fontId="31" fillId="0" borderId="0" xfId="0" applyFont="1" applyAlignment="1">
      <alignment horizontal="left" vertical="center"/>
    </xf>
    <xf numFmtId="0" fontId="26" fillId="7" borderId="0" xfId="0" applyFont="1" applyFill="1" applyAlignment="1">
      <alignment horizontal="center" vertical="center"/>
    </xf>
    <xf numFmtId="0" fontId="26" fillId="7" borderId="0" xfId="0" applyFont="1" applyFill="1" applyAlignment="1">
      <alignment vertical="center"/>
    </xf>
    <xf numFmtId="1" fontId="17" fillId="0" borderId="0" xfId="0" applyNumberFormat="1" applyFont="1" applyAlignment="1">
      <alignment horizontal="center" vertical="center"/>
    </xf>
    <xf numFmtId="0" fontId="8" fillId="10" borderId="58" xfId="0" applyFont="1" applyFill="1" applyBorder="1" applyAlignment="1">
      <alignment horizontal="center" vertical="center"/>
    </xf>
    <xf numFmtId="0" fontId="11" fillId="7" borderId="0" xfId="0" applyFont="1" applyFill="1" applyAlignment="1">
      <alignment vertical="top"/>
    </xf>
    <xf numFmtId="0" fontId="12" fillId="5" borderId="0" xfId="0" applyFont="1" applyFill="1" applyAlignment="1">
      <alignment vertical="center"/>
    </xf>
    <xf numFmtId="0" fontId="12" fillId="5" borderId="0" xfId="0" applyFont="1" applyFill="1" applyAlignment="1">
      <alignment horizontal="right" vertical="center"/>
    </xf>
    <xf numFmtId="0" fontId="33" fillId="5" borderId="0" xfId="0" applyFont="1" applyFill="1" applyAlignment="1">
      <alignment horizontal="right" vertical="center"/>
    </xf>
    <xf numFmtId="0" fontId="12" fillId="5" borderId="0" xfId="0" applyFont="1" applyFill="1" applyAlignment="1">
      <alignment horizontal="center" vertical="center"/>
    </xf>
    <xf numFmtId="0" fontId="12" fillId="0" borderId="0" xfId="0" applyFont="1" applyAlignment="1">
      <alignment horizontal="center" vertical="center"/>
    </xf>
    <xf numFmtId="0" fontId="11" fillId="0" borderId="0" xfId="0" applyFont="1" applyAlignment="1">
      <alignment vertical="center"/>
    </xf>
    <xf numFmtId="167" fontId="17" fillId="0" borderId="0" xfId="0" applyNumberFormat="1" applyFont="1" applyAlignment="1">
      <alignment horizontal="center" vertical="center"/>
    </xf>
    <xf numFmtId="0" fontId="24" fillId="0" borderId="0" xfId="0" applyFont="1" applyAlignment="1" applyProtection="1">
      <alignment horizontal="left" vertical="center"/>
      <protection hidden="1"/>
    </xf>
    <xf numFmtId="1" fontId="24" fillId="0" borderId="0" xfId="0" applyNumberFormat="1" applyFont="1" applyAlignment="1" applyProtection="1">
      <alignment horizontal="center" vertical="center"/>
      <protection locked="0"/>
    </xf>
    <xf numFmtId="0" fontId="24" fillId="0" borderId="0" xfId="0" applyFont="1" applyAlignment="1">
      <alignment horizontal="left" vertical="center"/>
    </xf>
    <xf numFmtId="0" fontId="24" fillId="0" borderId="0" xfId="0" applyFont="1" applyAlignment="1">
      <alignment horizontal="center" vertical="center"/>
    </xf>
    <xf numFmtId="164" fontId="11" fillId="7" borderId="0" xfId="1" applyFont="1" applyFill="1" applyAlignment="1" applyProtection="1">
      <alignment horizontal="center" vertical="center"/>
    </xf>
    <xf numFmtId="10" fontId="11" fillId="0" borderId="0" xfId="2" applyNumberFormat="1" applyFont="1" applyProtection="1"/>
    <xf numFmtId="0" fontId="26" fillId="0" borderId="0" xfId="0" applyFont="1" applyAlignment="1">
      <alignment horizontal="left" vertical="center"/>
    </xf>
    <xf numFmtId="0" fontId="25" fillId="0" borderId="0" xfId="0" applyFont="1" applyAlignment="1">
      <alignment horizontal="right" vertical="center"/>
    </xf>
    <xf numFmtId="0" fontId="10" fillId="0" borderId="0" xfId="0" applyFont="1" applyAlignment="1" applyProtection="1">
      <alignment horizontal="center" vertical="center" wrapText="1"/>
      <protection hidden="1"/>
    </xf>
    <xf numFmtId="0" fontId="24" fillId="0" borderId="0" xfId="0" applyFont="1" applyAlignment="1">
      <alignment vertical="center"/>
    </xf>
    <xf numFmtId="0" fontId="26" fillId="0" borderId="0" xfId="0" applyFont="1" applyAlignment="1">
      <alignment horizontal="left" vertical="center" wrapText="1"/>
    </xf>
    <xf numFmtId="2" fontId="11" fillId="0" borderId="0" xfId="0" applyNumberFormat="1" applyFont="1" applyAlignment="1">
      <alignment horizontal="right" vertical="center"/>
    </xf>
    <xf numFmtId="0" fontId="33" fillId="0" borderId="0" xfId="0" applyFont="1" applyAlignment="1">
      <alignment horizontal="right" vertical="center"/>
    </xf>
    <xf numFmtId="2" fontId="24" fillId="0" borderId="0" xfId="0" applyNumberFormat="1" applyFont="1" applyAlignment="1" applyProtection="1">
      <alignment horizontal="center" vertical="center"/>
      <protection locked="0"/>
    </xf>
    <xf numFmtId="0" fontId="27" fillId="0" borderId="0" xfId="0" applyFont="1" applyAlignment="1">
      <alignment vertical="center"/>
    </xf>
    <xf numFmtId="0" fontId="33" fillId="5" borderId="0" xfId="0" applyFont="1" applyFill="1" applyAlignment="1">
      <alignment horizontal="center" vertical="center"/>
    </xf>
    <xf numFmtId="0" fontId="10" fillId="0" borderId="0" xfId="0" applyFont="1" applyAlignment="1" applyProtection="1">
      <alignment vertical="center" wrapText="1"/>
      <protection hidden="1"/>
    </xf>
    <xf numFmtId="1" fontId="24" fillId="0" borderId="0" xfId="0" applyNumberFormat="1" applyFont="1" applyAlignment="1">
      <alignment horizontal="right" vertical="center"/>
    </xf>
    <xf numFmtId="167" fontId="11" fillId="0" borderId="0" xfId="0" applyNumberFormat="1" applyFont="1" applyAlignment="1">
      <alignment horizontal="right" vertical="center"/>
    </xf>
    <xf numFmtId="0" fontId="26" fillId="0" borderId="0" xfId="0" applyFont="1" applyAlignment="1">
      <alignment horizontal="center"/>
    </xf>
    <xf numFmtId="0" fontId="11" fillId="0" borderId="0" xfId="0" applyFont="1" applyAlignment="1">
      <alignment vertical="top"/>
    </xf>
    <xf numFmtId="168" fontId="17" fillId="0" borderId="0" xfId="0" applyNumberFormat="1" applyFont="1" applyAlignment="1">
      <alignment horizontal="center" vertical="center"/>
    </xf>
    <xf numFmtId="0" fontId="12" fillId="0" borderId="0" xfId="0" applyFont="1" applyAlignment="1">
      <alignment vertical="center"/>
    </xf>
    <xf numFmtId="0" fontId="12" fillId="0" borderId="0" xfId="0" applyFont="1" applyAlignment="1">
      <alignment horizontal="right" vertical="center"/>
    </xf>
    <xf numFmtId="167" fontId="0" fillId="0" borderId="0" xfId="2" applyNumberFormat="1" applyFont="1" applyFill="1" applyBorder="1" applyAlignment="1" applyProtection="1">
      <alignment horizontal="center" vertical="center"/>
    </xf>
    <xf numFmtId="2" fontId="12" fillId="0" borderId="0" xfId="0" applyNumberFormat="1" applyFont="1" applyAlignment="1">
      <alignment horizontal="center" vertical="center"/>
    </xf>
    <xf numFmtId="0" fontId="11" fillId="7" borderId="58" xfId="0" applyFont="1" applyFill="1" applyBorder="1" applyAlignment="1">
      <alignment horizontal="center" vertical="center"/>
    </xf>
    <xf numFmtId="0" fontId="11" fillId="7" borderId="44" xfId="0" applyFont="1" applyFill="1" applyBorder="1" applyAlignment="1">
      <alignment horizontal="center" vertical="center"/>
    </xf>
    <xf numFmtId="0" fontId="8" fillId="11" borderId="44" xfId="0" applyFont="1" applyFill="1" applyBorder="1" applyAlignment="1">
      <alignment horizontal="center" vertical="center"/>
    </xf>
    <xf numFmtId="0" fontId="8" fillId="11" borderId="59" xfId="0" applyFont="1" applyFill="1" applyBorder="1" applyAlignment="1">
      <alignment horizontal="center" vertical="center"/>
    </xf>
    <xf numFmtId="0" fontId="26" fillId="0" borderId="0" xfId="0" applyFont="1" applyAlignment="1">
      <alignment horizontal="center" vertical="center" wrapText="1"/>
    </xf>
    <xf numFmtId="164" fontId="15" fillId="5" borderId="0" xfId="1" applyFont="1" applyFill="1" applyBorder="1" applyAlignment="1" applyProtection="1">
      <alignment horizontal="center" vertical="center"/>
    </xf>
    <xf numFmtId="2" fontId="17" fillId="0" borderId="0" xfId="0" applyNumberFormat="1" applyFont="1" applyAlignment="1">
      <alignment horizontal="center" vertical="center"/>
    </xf>
    <xf numFmtId="180" fontId="11" fillId="0" borderId="0" xfId="0" applyNumberFormat="1" applyFont="1"/>
    <xf numFmtId="0" fontId="0" fillId="0" borderId="0" xfId="0" applyAlignment="1">
      <alignment vertical="center"/>
    </xf>
    <xf numFmtId="0" fontId="33" fillId="5" borderId="0" xfId="0" applyFont="1" applyFill="1" applyAlignment="1">
      <alignment horizontal="center" vertical="center" wrapText="1"/>
    </xf>
    <xf numFmtId="1" fontId="12" fillId="5" borderId="0" xfId="0" applyNumberFormat="1" applyFont="1" applyFill="1" applyAlignment="1">
      <alignment horizontal="center" vertical="center"/>
    </xf>
    <xf numFmtId="164" fontId="15" fillId="5" borderId="43" xfId="1" applyFont="1" applyFill="1" applyBorder="1" applyAlignment="1" applyProtection="1">
      <alignment horizontal="center" vertical="center"/>
    </xf>
    <xf numFmtId="0" fontId="34" fillId="0" borderId="0" xfId="0" applyFont="1" applyAlignment="1">
      <alignment horizontal="right" vertical="center"/>
    </xf>
    <xf numFmtId="0" fontId="35" fillId="0" borderId="0" xfId="0" applyFont="1" applyAlignment="1">
      <alignment horizontal="right" vertical="center"/>
    </xf>
    <xf numFmtId="0" fontId="36" fillId="0" borderId="0" xfId="0" applyFont="1" applyAlignment="1">
      <alignment horizontal="center" vertical="center"/>
    </xf>
    <xf numFmtId="0" fontId="37" fillId="7" borderId="44" xfId="0" applyFont="1" applyFill="1" applyBorder="1" applyAlignment="1">
      <alignment horizontal="center" vertical="center"/>
    </xf>
    <xf numFmtId="1" fontId="11" fillId="0" borderId="0" xfId="0" applyNumberFormat="1" applyFont="1" applyAlignment="1">
      <alignment horizontal="right" vertical="center"/>
    </xf>
    <xf numFmtId="0" fontId="11" fillId="5" borderId="0" xfId="0" applyFont="1" applyFill="1" applyAlignment="1">
      <alignment horizontal="center" vertical="center"/>
    </xf>
    <xf numFmtId="0" fontId="8" fillId="12" borderId="44" xfId="0" applyFont="1" applyFill="1" applyBorder="1" applyAlignment="1">
      <alignment horizontal="center" vertical="center"/>
    </xf>
    <xf numFmtId="0" fontId="11" fillId="5" borderId="0" xfId="0" applyFont="1" applyFill="1" applyAlignment="1">
      <alignment horizontal="right" vertical="center"/>
    </xf>
    <xf numFmtId="0" fontId="11" fillId="0" borderId="0" xfId="0" applyFont="1" applyAlignment="1">
      <alignment horizontal="right" vertical="center"/>
    </xf>
    <xf numFmtId="9" fontId="15" fillId="5" borderId="0" xfId="2" applyFont="1" applyFill="1" applyBorder="1" applyAlignment="1" applyProtection="1">
      <alignment horizontal="center" vertical="center"/>
    </xf>
    <xf numFmtId="166" fontId="15" fillId="5" borderId="0" xfId="2" applyNumberFormat="1" applyFont="1" applyFill="1" applyBorder="1" applyAlignment="1" applyProtection="1">
      <alignment horizontal="center" vertical="center"/>
    </xf>
    <xf numFmtId="0" fontId="26" fillId="5" borderId="0" xfId="0" applyFont="1" applyFill="1" applyAlignment="1">
      <alignment horizontal="right" vertical="center"/>
    </xf>
    <xf numFmtId="0" fontId="26" fillId="0" borderId="0" xfId="0" applyFont="1" applyAlignment="1">
      <alignment horizontal="right" vertical="center"/>
    </xf>
    <xf numFmtId="181" fontId="15" fillId="0" borderId="62" xfId="0" applyNumberFormat="1" applyFont="1" applyBorder="1" applyAlignment="1">
      <alignment horizontal="center" vertical="center"/>
    </xf>
    <xf numFmtId="0" fontId="11" fillId="0" borderId="0" xfId="0" applyFont="1" applyAlignment="1">
      <alignment horizontal="center"/>
    </xf>
    <xf numFmtId="0" fontId="11" fillId="5" borderId="0" xfId="0" applyFont="1" applyFill="1" applyAlignment="1">
      <alignment vertical="center"/>
    </xf>
    <xf numFmtId="168" fontId="12" fillId="5" borderId="0" xfId="0" applyNumberFormat="1" applyFont="1" applyFill="1" applyAlignment="1">
      <alignment horizontal="center" vertical="center"/>
    </xf>
    <xf numFmtId="9" fontId="15" fillId="5" borderId="44" xfId="2" applyFont="1" applyFill="1" applyBorder="1" applyAlignment="1" applyProtection="1">
      <alignment horizontal="center" vertical="center"/>
    </xf>
    <xf numFmtId="1" fontId="33" fillId="5" borderId="0" xfId="0" applyNumberFormat="1" applyFont="1" applyFill="1" applyAlignment="1">
      <alignment horizontal="center" vertical="center"/>
    </xf>
    <xf numFmtId="0" fontId="23" fillId="0" borderId="0" xfId="0" applyFont="1" applyAlignment="1">
      <alignment horizontal="right" vertical="center"/>
    </xf>
    <xf numFmtId="0" fontId="38" fillId="7" borderId="0" xfId="0" applyFont="1" applyFill="1" applyAlignment="1">
      <alignment horizontal="left" vertical="center"/>
    </xf>
    <xf numFmtId="2" fontId="33" fillId="5" borderId="0" xfId="0" applyNumberFormat="1" applyFont="1" applyFill="1" applyAlignment="1">
      <alignment horizontal="center" vertical="center"/>
    </xf>
    <xf numFmtId="0" fontId="11" fillId="7" borderId="0" xfId="0" quotePrefix="1" applyFont="1" applyFill="1" applyAlignment="1">
      <alignment vertical="top"/>
    </xf>
    <xf numFmtId="0" fontId="30" fillId="0" borderId="0" xfId="0" applyFont="1" applyAlignment="1">
      <alignment horizontal="right" vertical="center"/>
    </xf>
    <xf numFmtId="167" fontId="30" fillId="0" borderId="0" xfId="0" applyNumberFormat="1" applyFont="1" applyAlignment="1">
      <alignment horizontal="center" vertical="center"/>
    </xf>
    <xf numFmtId="167" fontId="23" fillId="0" borderId="0" xfId="0" applyNumberFormat="1" applyFont="1" applyAlignment="1">
      <alignment horizontal="center" vertical="center"/>
    </xf>
    <xf numFmtId="2" fontId="12" fillId="5" borderId="0" xfId="0" applyNumberFormat="1" applyFont="1" applyFill="1" applyAlignment="1">
      <alignment horizontal="center" vertical="center"/>
    </xf>
    <xf numFmtId="0" fontId="30" fillId="0" borderId="0" xfId="0" applyFont="1" applyAlignment="1">
      <alignment horizontal="right"/>
    </xf>
    <xf numFmtId="2" fontId="30" fillId="0" borderId="0" xfId="0" applyNumberFormat="1" applyFont="1" applyAlignment="1">
      <alignment horizontal="center" vertical="center"/>
    </xf>
    <xf numFmtId="0" fontId="23" fillId="0" borderId="0" xfId="0" applyFont="1" applyAlignment="1">
      <alignment vertical="center"/>
    </xf>
    <xf numFmtId="167" fontId="12" fillId="5" borderId="0" xfId="0" applyNumberFormat="1" applyFont="1" applyFill="1" applyAlignment="1">
      <alignment horizontal="center" vertical="center"/>
    </xf>
    <xf numFmtId="2" fontId="30" fillId="0" borderId="0" xfId="0" applyNumberFormat="1" applyFont="1" applyAlignment="1">
      <alignment horizontal="left" vertical="center"/>
    </xf>
    <xf numFmtId="167" fontId="33" fillId="5" borderId="0" xfId="0" applyNumberFormat="1" applyFont="1" applyFill="1" applyAlignment="1">
      <alignment horizontal="center" vertical="center"/>
    </xf>
    <xf numFmtId="168" fontId="23" fillId="0" borderId="0" xfId="0" applyNumberFormat="1" applyFont="1" applyAlignment="1">
      <alignment horizontal="center" vertical="center"/>
    </xf>
    <xf numFmtId="1" fontId="23" fillId="0" borderId="0" xfId="0" applyNumberFormat="1" applyFont="1" applyAlignment="1">
      <alignment horizontal="center" vertical="center"/>
    </xf>
    <xf numFmtId="1" fontId="30" fillId="0" borderId="0" xfId="0" applyNumberFormat="1" applyFont="1" applyAlignment="1">
      <alignment horizontal="center" vertical="center"/>
    </xf>
    <xf numFmtId="2" fontId="33" fillId="5" borderId="0" xfId="0" applyNumberFormat="1" applyFont="1" applyFill="1" applyAlignment="1">
      <alignment horizontal="left" vertical="center"/>
    </xf>
    <xf numFmtId="2" fontId="34" fillId="0" borderId="0" xfId="0" applyNumberFormat="1" applyFont="1" applyAlignment="1">
      <alignment horizontal="center" vertical="center"/>
    </xf>
    <xf numFmtId="2" fontId="35" fillId="0" borderId="0" xfId="0" applyNumberFormat="1" applyFont="1" applyAlignment="1">
      <alignment horizontal="center" vertical="center"/>
    </xf>
    <xf numFmtId="0" fontId="39" fillId="0" borderId="0" xfId="0" applyFont="1" applyAlignment="1">
      <alignment horizontal="right" vertical="center"/>
    </xf>
    <xf numFmtId="0" fontId="21" fillId="0" borderId="0" xfId="0" applyFont="1" applyAlignment="1">
      <alignment horizontal="right" vertical="center"/>
    </xf>
    <xf numFmtId="1" fontId="27" fillId="0" borderId="0" xfId="0" applyNumberFormat="1" applyFont="1" applyAlignment="1">
      <alignment horizontal="center" vertical="center"/>
    </xf>
    <xf numFmtId="2" fontId="22" fillId="0" borderId="0" xfId="0" applyNumberFormat="1" applyFont="1" applyAlignment="1">
      <alignment horizontal="center" vertical="center"/>
    </xf>
    <xf numFmtId="9" fontId="17" fillId="0" borderId="0" xfId="2" applyFont="1" applyFill="1" applyBorder="1" applyAlignment="1">
      <alignment horizontal="center" vertical="center"/>
    </xf>
    <xf numFmtId="1" fontId="17" fillId="0" borderId="0" xfId="0" applyNumberFormat="1" applyFont="1" applyAlignment="1">
      <alignment horizontal="right" vertical="center"/>
    </xf>
    <xf numFmtId="1" fontId="34" fillId="0" borderId="0" xfId="0" applyNumberFormat="1" applyFont="1" applyAlignment="1">
      <alignment horizontal="center" vertical="center"/>
    </xf>
    <xf numFmtId="167" fontId="34" fillId="0" borderId="0" xfId="0" applyNumberFormat="1" applyFont="1" applyAlignment="1">
      <alignment horizontal="center" vertical="center"/>
    </xf>
    <xf numFmtId="1" fontId="35" fillId="0" borderId="0" xfId="0" applyNumberFormat="1" applyFont="1" applyAlignment="1">
      <alignment horizontal="center" vertical="center"/>
    </xf>
    <xf numFmtId="167" fontId="35" fillId="0" borderId="0" xfId="0" applyNumberFormat="1" applyFont="1" applyAlignment="1">
      <alignment horizontal="center" vertical="center"/>
    </xf>
    <xf numFmtId="1" fontId="11" fillId="9" borderId="43" xfId="0" applyNumberFormat="1" applyFont="1" applyFill="1" applyBorder="1" applyAlignment="1" applyProtection="1">
      <alignment horizontal="center" vertical="center"/>
      <protection locked="0"/>
    </xf>
    <xf numFmtId="175" fontId="11" fillId="9" borderId="0" xfId="0" applyNumberFormat="1" applyFont="1" applyFill="1" applyAlignment="1" applyProtection="1">
      <alignment horizontal="center" vertical="center"/>
      <protection locked="0"/>
    </xf>
    <xf numFmtId="168" fontId="11" fillId="9" borderId="0" xfId="0" applyNumberFormat="1" applyFont="1" applyFill="1" applyAlignment="1" applyProtection="1">
      <alignment horizontal="center" vertical="center"/>
      <protection locked="0"/>
    </xf>
    <xf numFmtId="177" fontId="11" fillId="9" borderId="0" xfId="0" applyNumberFormat="1" applyFont="1" applyFill="1" applyAlignment="1" applyProtection="1">
      <alignment horizontal="center" vertical="center"/>
      <protection locked="0"/>
    </xf>
    <xf numFmtId="1" fontId="11" fillId="9" borderId="0" xfId="0" applyNumberFormat="1" applyFont="1" applyFill="1" applyAlignment="1" applyProtection="1">
      <alignment horizontal="center" vertical="center"/>
      <protection locked="0"/>
    </xf>
    <xf numFmtId="10" fontId="15" fillId="9" borderId="0" xfId="2" applyNumberFormat="1" applyFont="1" applyFill="1" applyBorder="1" applyAlignment="1" applyProtection="1">
      <alignment horizontal="left" vertical="center"/>
      <protection locked="0"/>
    </xf>
    <xf numFmtId="10" fontId="15" fillId="9" borderId="0" xfId="2" applyNumberFormat="1" applyFont="1" applyFill="1" applyBorder="1" applyAlignment="1" applyProtection="1">
      <alignment horizontal="center" vertical="center"/>
      <protection locked="0"/>
    </xf>
    <xf numFmtId="2" fontId="15" fillId="9" borderId="0" xfId="2" applyNumberFormat="1" applyFont="1" applyFill="1" applyBorder="1" applyAlignment="1" applyProtection="1">
      <alignment horizontal="center" vertical="center"/>
      <protection locked="0"/>
    </xf>
    <xf numFmtId="10" fontId="15" fillId="9" borderId="44" xfId="2" applyNumberFormat="1" applyFont="1" applyFill="1" applyBorder="1" applyAlignment="1" applyProtection="1">
      <alignment horizontal="left" vertical="center"/>
      <protection locked="0"/>
    </xf>
    <xf numFmtId="10" fontId="15" fillId="9" borderId="44" xfId="2" applyNumberFormat="1" applyFont="1" applyFill="1" applyBorder="1" applyAlignment="1" applyProtection="1">
      <alignment horizontal="center" vertical="center"/>
      <protection locked="0"/>
    </xf>
    <xf numFmtId="2" fontId="15" fillId="9" borderId="44" xfId="2" applyNumberFormat="1" applyFont="1" applyFill="1" applyBorder="1" applyAlignment="1" applyProtection="1">
      <alignment horizontal="center" vertical="center"/>
      <protection locked="0"/>
    </xf>
    <xf numFmtId="164" fontId="15" fillId="9" borderId="60" xfId="1" applyFont="1" applyFill="1" applyBorder="1" applyAlignment="1" applyProtection="1">
      <alignment horizontal="center" vertical="center"/>
      <protection locked="0"/>
    </xf>
    <xf numFmtId="10" fontId="0" fillId="9" borderId="0" xfId="2" applyNumberFormat="1" applyFont="1" applyFill="1" applyBorder="1" applyAlignment="1" applyProtection="1">
      <alignment horizontal="left" vertical="center"/>
      <protection locked="0"/>
    </xf>
    <xf numFmtId="10" fontId="0" fillId="9" borderId="0" xfId="2" applyNumberFormat="1" applyFont="1" applyFill="1" applyBorder="1" applyAlignment="1" applyProtection="1">
      <alignment horizontal="center" vertical="center"/>
      <protection locked="0"/>
    </xf>
    <xf numFmtId="2" fontId="0" fillId="9" borderId="0" xfId="2" applyNumberFormat="1" applyFont="1" applyFill="1" applyBorder="1" applyAlignment="1" applyProtection="1">
      <alignment horizontal="center" vertical="center"/>
      <protection locked="0"/>
    </xf>
    <xf numFmtId="164" fontId="0" fillId="9" borderId="60" xfId="1" applyFont="1" applyFill="1" applyBorder="1" applyAlignment="1" applyProtection="1">
      <alignment horizontal="center" vertical="center"/>
      <protection locked="0"/>
    </xf>
    <xf numFmtId="10" fontId="15" fillId="9" borderId="43" xfId="2" applyNumberFormat="1" applyFont="1" applyFill="1" applyBorder="1" applyAlignment="1" applyProtection="1">
      <alignment horizontal="left" vertical="center"/>
      <protection locked="0"/>
    </xf>
    <xf numFmtId="10" fontId="15" fillId="9" borderId="43" xfId="2" applyNumberFormat="1" applyFont="1" applyFill="1" applyBorder="1" applyAlignment="1" applyProtection="1">
      <alignment horizontal="center" vertical="center"/>
      <protection locked="0"/>
    </xf>
    <xf numFmtId="2" fontId="15" fillId="9" borderId="43" xfId="2" applyNumberFormat="1" applyFont="1" applyFill="1" applyBorder="1" applyAlignment="1" applyProtection="1">
      <alignment horizontal="center" vertical="center"/>
      <protection locked="0"/>
    </xf>
    <xf numFmtId="164" fontId="15" fillId="9" borderId="61" xfId="1" applyFont="1" applyFill="1" applyBorder="1" applyAlignment="1" applyProtection="1">
      <alignment horizontal="center" vertical="center"/>
      <protection locked="0"/>
    </xf>
    <xf numFmtId="166" fontId="15" fillId="9" borderId="0" xfId="2" applyNumberFormat="1" applyFont="1" applyFill="1" applyBorder="1" applyAlignment="1" applyProtection="1">
      <alignment horizontal="center" vertical="center"/>
      <protection locked="0"/>
    </xf>
    <xf numFmtId="168" fontId="15" fillId="9" borderId="0" xfId="0" applyNumberFormat="1" applyFont="1" applyFill="1" applyAlignment="1" applyProtection="1">
      <alignment horizontal="center" vertical="center"/>
      <protection locked="0"/>
    </xf>
    <xf numFmtId="2" fontId="15" fillId="9" borderId="0" xfId="0" applyNumberFormat="1" applyFont="1" applyFill="1" applyAlignment="1" applyProtection="1">
      <alignment horizontal="center" vertical="center"/>
      <protection locked="0"/>
    </xf>
    <xf numFmtId="0" fontId="0" fillId="9" borderId="0" xfId="0" applyFill="1" applyAlignment="1" applyProtection="1">
      <alignment horizontal="center" vertical="center"/>
      <protection locked="0"/>
    </xf>
    <xf numFmtId="166" fontId="0" fillId="9" borderId="0" xfId="2" applyNumberFormat="1" applyFont="1" applyFill="1" applyBorder="1" applyAlignment="1" applyProtection="1">
      <alignment horizontal="center" vertical="center"/>
      <protection locked="0"/>
    </xf>
    <xf numFmtId="168" fontId="0" fillId="9" borderId="0" xfId="0" applyNumberFormat="1" applyFill="1" applyAlignment="1" applyProtection="1">
      <alignment horizontal="center" vertical="center"/>
      <protection locked="0"/>
    </xf>
    <xf numFmtId="2" fontId="0" fillId="9" borderId="0" xfId="0" applyNumberFormat="1" applyFill="1" applyAlignment="1" applyProtection="1">
      <alignment horizontal="center" vertical="center"/>
      <protection locked="0"/>
    </xf>
    <xf numFmtId="0" fontId="15" fillId="9" borderId="44" xfId="0" applyFont="1" applyFill="1" applyBorder="1" applyAlignment="1" applyProtection="1">
      <alignment horizontal="center" vertical="center"/>
      <protection locked="0"/>
    </xf>
    <xf numFmtId="166" fontId="15" fillId="9" borderId="44" xfId="2" applyNumberFormat="1" applyFont="1" applyFill="1" applyBorder="1" applyAlignment="1" applyProtection="1">
      <alignment horizontal="center" vertical="center"/>
      <protection locked="0"/>
    </xf>
    <xf numFmtId="168" fontId="15" fillId="9" borderId="44" xfId="0" applyNumberFormat="1" applyFont="1" applyFill="1" applyBorder="1" applyAlignment="1" applyProtection="1">
      <alignment horizontal="center" vertical="center"/>
      <protection locked="0"/>
    </xf>
    <xf numFmtId="2" fontId="15" fillId="9" borderId="44" xfId="0" applyNumberFormat="1" applyFont="1" applyFill="1" applyBorder="1" applyAlignment="1" applyProtection="1">
      <alignment horizontal="center" vertical="center"/>
      <protection locked="0"/>
    </xf>
    <xf numFmtId="0" fontId="43" fillId="0" borderId="0" xfId="0" applyFont="1" applyAlignment="1">
      <alignment horizontal="center"/>
    </xf>
    <xf numFmtId="0" fontId="46" fillId="3" borderId="12" xfId="0" applyFont="1" applyFill="1" applyBorder="1" applyAlignment="1">
      <alignment horizontal="center" wrapText="1"/>
    </xf>
    <xf numFmtId="0" fontId="46" fillId="3" borderId="40" xfId="0" applyFont="1" applyFill="1" applyBorder="1" applyAlignment="1">
      <alignment horizontal="center" wrapText="1"/>
    </xf>
    <xf numFmtId="0" fontId="46" fillId="3" borderId="63" xfId="0" applyFont="1" applyFill="1" applyBorder="1" applyAlignment="1">
      <alignment horizontal="center" wrapText="1"/>
    </xf>
    <xf numFmtId="0" fontId="46" fillId="3" borderId="54" xfId="0" applyFont="1" applyFill="1" applyBorder="1" applyAlignment="1">
      <alignment horizontal="center" wrapText="1"/>
    </xf>
    <xf numFmtId="0" fontId="45" fillId="3" borderId="1" xfId="0" applyFont="1" applyFill="1" applyBorder="1" applyAlignment="1">
      <alignment horizontal="center"/>
    </xf>
    <xf numFmtId="0" fontId="47" fillId="0" borderId="1" xfId="0" applyFont="1" applyBorder="1" applyAlignment="1">
      <alignment horizontal="center"/>
    </xf>
    <xf numFmtId="182" fontId="43" fillId="0" borderId="64" xfId="0" applyNumberFormat="1" applyFont="1" applyBorder="1" applyAlignment="1">
      <alignment horizontal="center"/>
    </xf>
    <xf numFmtId="0" fontId="43" fillId="0" borderId="1" xfId="0" applyFont="1" applyBorder="1" applyAlignment="1">
      <alignment horizontal="center"/>
    </xf>
    <xf numFmtId="182" fontId="43" fillId="0" borderId="1" xfId="0" applyNumberFormat="1" applyFont="1" applyBorder="1" applyAlignment="1">
      <alignment horizontal="center"/>
    </xf>
    <xf numFmtId="9" fontId="43" fillId="0" borderId="1" xfId="2" applyFont="1" applyBorder="1" applyAlignment="1">
      <alignment horizontal="center"/>
    </xf>
    <xf numFmtId="0" fontId="43" fillId="0" borderId="1" xfId="0" applyFont="1" applyBorder="1" applyAlignment="1" applyProtection="1">
      <alignment horizontal="center"/>
      <protection locked="0"/>
    </xf>
    <xf numFmtId="182" fontId="43" fillId="0" borderId="67" xfId="0" applyNumberFormat="1" applyFont="1" applyBorder="1" applyAlignment="1">
      <alignment horizontal="center"/>
    </xf>
    <xf numFmtId="0" fontId="45" fillId="3" borderId="68" xfId="0" applyFont="1" applyFill="1" applyBorder="1" applyAlignment="1">
      <alignment horizontal="center"/>
    </xf>
    <xf numFmtId="182" fontId="43" fillId="0" borderId="68" xfId="0" applyNumberFormat="1" applyFont="1" applyBorder="1" applyAlignment="1">
      <alignment horizontal="center"/>
    </xf>
    <xf numFmtId="0" fontId="1" fillId="2" borderId="0" xfId="0" applyFont="1" applyFill="1" applyAlignment="1">
      <alignment vertical="center"/>
    </xf>
    <xf numFmtId="0" fontId="8" fillId="2" borderId="0" xfId="0" applyFont="1" applyFill="1" applyAlignment="1">
      <alignment vertical="center"/>
    </xf>
    <xf numFmtId="0" fontId="1" fillId="2" borderId="69" xfId="0" applyFont="1" applyFill="1" applyBorder="1" applyAlignment="1">
      <alignment horizontal="center" vertical="center"/>
    </xf>
    <xf numFmtId="0" fontId="1" fillId="3" borderId="39"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68" xfId="0" applyFont="1" applyFill="1" applyBorder="1" applyAlignment="1">
      <alignment horizontal="center" vertical="center"/>
    </xf>
    <xf numFmtId="0" fontId="1" fillId="3" borderId="30" xfId="0" applyFont="1" applyFill="1" applyBorder="1" applyAlignment="1">
      <alignment horizontal="center" vertical="center"/>
    </xf>
    <xf numFmtId="0" fontId="0" fillId="0" borderId="62" xfId="0" applyBorder="1" applyAlignment="1" applyProtection="1">
      <alignment horizontal="center" vertical="center"/>
      <protection locked="0"/>
    </xf>
    <xf numFmtId="0" fontId="0" fillId="0" borderId="54" xfId="0" applyBorder="1" applyAlignment="1">
      <alignment horizontal="center" vertical="center"/>
    </xf>
    <xf numFmtId="1" fontId="0" fillId="0" borderId="54" xfId="0" applyNumberFormat="1" applyBorder="1" applyAlignment="1">
      <alignment horizontal="center" vertical="center"/>
    </xf>
    <xf numFmtId="1" fontId="0" fillId="0" borderId="32" xfId="0" applyNumberFormat="1" applyBorder="1" applyAlignment="1">
      <alignment horizontal="center" vertical="center"/>
    </xf>
    <xf numFmtId="0" fontId="0" fillId="0" borderId="62" xfId="0" applyBorder="1" applyAlignment="1">
      <alignment horizontal="center" vertical="center"/>
    </xf>
    <xf numFmtId="0" fontId="0" fillId="0" borderId="54" xfId="0" applyBorder="1" applyAlignment="1" applyProtection="1">
      <alignment horizontal="center" vertical="center"/>
      <protection locked="0"/>
    </xf>
    <xf numFmtId="1" fontId="0" fillId="0" borderId="54" xfId="0" applyNumberFormat="1" applyBorder="1" applyAlignment="1" applyProtection="1">
      <alignment horizontal="center" vertical="center"/>
      <protection locked="0"/>
    </xf>
    <xf numFmtId="1" fontId="0" fillId="0" borderId="32" xfId="0" applyNumberFormat="1" applyBorder="1" applyAlignment="1" applyProtection="1">
      <alignment horizontal="center" vertical="center"/>
      <protection locked="0"/>
    </xf>
    <xf numFmtId="1" fontId="0" fillId="0" borderId="62" xfId="0" applyNumberFormat="1" applyBorder="1" applyAlignment="1">
      <alignment horizontal="center" vertical="center"/>
    </xf>
    <xf numFmtId="1" fontId="0" fillId="0" borderId="74" xfId="0" applyNumberFormat="1" applyBorder="1" applyAlignment="1">
      <alignment horizontal="center" vertical="center"/>
    </xf>
    <xf numFmtId="1" fontId="0" fillId="0" borderId="62" xfId="0" applyNumberFormat="1" applyBorder="1" applyAlignment="1" applyProtection="1">
      <alignment horizontal="center" vertical="center"/>
      <protection locked="0"/>
    </xf>
    <xf numFmtId="1" fontId="0" fillId="0" borderId="74" xfId="0" applyNumberFormat="1" applyBorder="1" applyAlignment="1" applyProtection="1">
      <alignment horizontal="center" vertical="center"/>
      <protection locked="0"/>
    </xf>
    <xf numFmtId="0" fontId="0" fillId="0" borderId="76" xfId="0" applyBorder="1" applyAlignment="1" applyProtection="1">
      <alignment horizontal="center" vertical="center"/>
      <protection locked="0"/>
    </xf>
    <xf numFmtId="0" fontId="0" fillId="0" borderId="76" xfId="0" applyBorder="1" applyAlignment="1">
      <alignment horizontal="center" vertical="center"/>
    </xf>
    <xf numFmtId="1" fontId="0" fillId="0" borderId="76" xfId="0" applyNumberFormat="1" applyBorder="1" applyAlignment="1">
      <alignment horizontal="center" vertical="center"/>
    </xf>
    <xf numFmtId="1" fontId="0" fillId="0" borderId="77" xfId="0" applyNumberFormat="1" applyBorder="1" applyAlignment="1">
      <alignment horizontal="center" vertical="center"/>
    </xf>
    <xf numFmtId="1" fontId="0" fillId="0" borderId="76" xfId="0" applyNumberFormat="1" applyBorder="1" applyAlignment="1" applyProtection="1">
      <alignment horizontal="center" vertical="center"/>
      <protection locked="0"/>
    </xf>
    <xf numFmtId="1" fontId="0" fillId="0" borderId="77" xfId="0" applyNumberFormat="1" applyBorder="1" applyAlignment="1" applyProtection="1">
      <alignment horizontal="center" vertical="center"/>
      <protection locked="0"/>
    </xf>
    <xf numFmtId="0" fontId="1" fillId="3" borderId="1" xfId="0" applyFont="1" applyFill="1" applyBorder="1" applyAlignment="1">
      <alignment horizontal="left" vertical="center"/>
    </xf>
    <xf numFmtId="2" fontId="0" fillId="0" borderId="1" xfId="0" applyNumberFormat="1" applyBorder="1" applyAlignment="1">
      <alignment horizontal="center" vertical="center"/>
    </xf>
    <xf numFmtId="0" fontId="0" fillId="0" borderId="0" xfId="0" applyAlignment="1">
      <alignment horizontal="center"/>
    </xf>
    <xf numFmtId="0" fontId="1" fillId="3" borderId="1" xfId="0" applyFont="1" applyFill="1" applyBorder="1" applyAlignment="1">
      <alignment horizontal="center" vertical="center"/>
    </xf>
    <xf numFmtId="0" fontId="1" fillId="3" borderId="12" xfId="0" applyFont="1" applyFill="1" applyBorder="1"/>
    <xf numFmtId="2" fontId="0" fillId="0" borderId="40" xfId="0" applyNumberFormat="1" applyBorder="1" applyAlignment="1">
      <alignment horizontal="center" vertical="center"/>
    </xf>
    <xf numFmtId="2" fontId="0" fillId="0" borderId="63" xfId="0" applyNumberFormat="1" applyBorder="1" applyAlignment="1">
      <alignment horizontal="center" vertical="center"/>
    </xf>
    <xf numFmtId="183" fontId="10" fillId="0" borderId="1" xfId="0" applyNumberFormat="1" applyFont="1" applyBorder="1" applyAlignment="1">
      <alignment horizontal="center"/>
    </xf>
    <xf numFmtId="167" fontId="0" fillId="13" borderId="40" xfId="0" applyNumberFormat="1" applyFill="1" applyBorder="1" applyAlignment="1" applyProtection="1">
      <alignment horizontal="center" vertical="center"/>
      <protection locked="0"/>
    </xf>
    <xf numFmtId="167" fontId="0" fillId="13" borderId="63" xfId="0" applyNumberFormat="1" applyFill="1" applyBorder="1" applyAlignment="1" applyProtection="1">
      <alignment horizontal="center" vertical="center"/>
      <protection locked="0"/>
    </xf>
    <xf numFmtId="0" fontId="48" fillId="0" borderId="0" xfId="0" applyFont="1" applyAlignment="1">
      <alignment horizontal="center" vertical="center"/>
    </xf>
    <xf numFmtId="0" fontId="0" fillId="13" borderId="40" xfId="0" applyFill="1" applyBorder="1" applyAlignment="1" applyProtection="1">
      <alignment horizontal="center" vertical="center"/>
      <protection locked="0"/>
    </xf>
    <xf numFmtId="0" fontId="0" fillId="13" borderId="63" xfId="0" applyFill="1" applyBorder="1" applyAlignment="1" applyProtection="1">
      <alignment horizontal="center" vertical="center"/>
      <protection locked="0"/>
    </xf>
    <xf numFmtId="167" fontId="10" fillId="0" borderId="1" xfId="0" applyNumberFormat="1" applyFont="1" applyBorder="1" applyAlignment="1">
      <alignment horizontal="center"/>
    </xf>
    <xf numFmtId="167" fontId="0" fillId="0" borderId="40" xfId="0" applyNumberFormat="1" applyBorder="1" applyAlignment="1">
      <alignment horizontal="center" vertical="center"/>
    </xf>
    <xf numFmtId="167" fontId="0" fillId="0" borderId="63" xfId="0" applyNumberFormat="1" applyBorder="1" applyAlignment="1">
      <alignment horizontal="center" vertical="center"/>
    </xf>
    <xf numFmtId="0" fontId="1" fillId="3" borderId="40" xfId="0" applyFont="1" applyFill="1" applyBorder="1" applyAlignment="1">
      <alignment horizontal="center" vertical="center"/>
    </xf>
    <xf numFmtId="0" fontId="1" fillId="3" borderId="63" xfId="0" applyFont="1" applyFill="1" applyBorder="1" applyAlignment="1">
      <alignment horizontal="center" vertical="center"/>
    </xf>
    <xf numFmtId="0" fontId="0" fillId="0" borderId="12" xfId="0" quotePrefix="1" applyBorder="1"/>
    <xf numFmtId="0" fontId="0" fillId="0" borderId="12" xfId="0" applyBorder="1"/>
    <xf numFmtId="0" fontId="0" fillId="0" borderId="40" xfId="0" applyBorder="1" applyAlignment="1">
      <alignment horizontal="center" vertical="center"/>
    </xf>
    <xf numFmtId="0" fontId="0" fillId="0" borderId="63" xfId="0" applyBorder="1" applyAlignment="1">
      <alignment horizontal="center" vertical="center"/>
    </xf>
    <xf numFmtId="164" fontId="0" fillId="0" borderId="40" xfId="0" applyNumberFormat="1" applyBorder="1"/>
    <xf numFmtId="164" fontId="0" fillId="0" borderId="63" xfId="0" applyNumberFormat="1" applyBorder="1"/>
    <xf numFmtId="164" fontId="0" fillId="0" borderId="40" xfId="1" applyFont="1" applyBorder="1"/>
    <xf numFmtId="164" fontId="0" fillId="0" borderId="63" xfId="1" applyFont="1" applyBorder="1"/>
    <xf numFmtId="167" fontId="0" fillId="0" borderId="40" xfId="0" applyNumberFormat="1" applyBorder="1" applyAlignment="1">
      <alignment horizontal="center"/>
    </xf>
    <xf numFmtId="167" fontId="0" fillId="0" borderId="63" xfId="0" applyNumberFormat="1" applyBorder="1" applyAlignment="1">
      <alignment horizontal="center"/>
    </xf>
    <xf numFmtId="167" fontId="0" fillId="0" borderId="40" xfId="1" applyNumberFormat="1" applyFont="1" applyBorder="1" applyAlignment="1">
      <alignment horizontal="center"/>
    </xf>
    <xf numFmtId="167" fontId="0" fillId="0" borderId="63" xfId="1" applyNumberFormat="1" applyFont="1" applyBorder="1" applyAlignment="1">
      <alignment horizontal="center"/>
    </xf>
    <xf numFmtId="0" fontId="0" fillId="0" borderId="40" xfId="1" applyNumberFormat="1" applyFont="1" applyBorder="1" applyAlignment="1">
      <alignment horizontal="center"/>
    </xf>
    <xf numFmtId="0" fontId="0" fillId="0" borderId="63" xfId="1" applyNumberFormat="1" applyFont="1" applyBorder="1" applyAlignment="1">
      <alignment horizontal="center"/>
    </xf>
    <xf numFmtId="184" fontId="0" fillId="0" borderId="40" xfId="3" applyNumberFormat="1" applyFont="1" applyBorder="1" applyAlignment="1">
      <alignment horizontal="center" vertical="center"/>
    </xf>
    <xf numFmtId="184" fontId="0" fillId="0" borderId="63" xfId="3" applyNumberFormat="1" applyFont="1" applyBorder="1" applyAlignment="1">
      <alignment horizontal="center" vertical="center"/>
    </xf>
    <xf numFmtId="184" fontId="0" fillId="0" borderId="0" xfId="0" applyNumberFormat="1" applyAlignment="1">
      <alignment horizontal="center"/>
    </xf>
    <xf numFmtId="0" fontId="1" fillId="3" borderId="2" xfId="0" applyFont="1" applyFill="1" applyBorder="1" applyAlignment="1">
      <alignment horizontal="center" vertical="center"/>
    </xf>
    <xf numFmtId="0" fontId="1" fillId="3" borderId="0" xfId="0" applyFont="1" applyFill="1" applyAlignment="1">
      <alignment horizontal="center" vertical="center"/>
    </xf>
    <xf numFmtId="0" fontId="1" fillId="3" borderId="79" xfId="0" applyFont="1" applyFill="1" applyBorder="1" applyAlignment="1">
      <alignment horizontal="center" vertical="center"/>
    </xf>
    <xf numFmtId="0" fontId="0" fillId="0" borderId="13" xfId="0" applyBorder="1" applyAlignment="1">
      <alignment horizontal="center" vertical="center"/>
    </xf>
    <xf numFmtId="167" fontId="0" fillId="0" borderId="3" xfId="0" applyNumberFormat="1" applyBorder="1" applyAlignment="1">
      <alignment horizontal="center" vertical="center"/>
    </xf>
    <xf numFmtId="1" fontId="0" fillId="0" borderId="3" xfId="0" applyNumberFormat="1" applyBorder="1" applyAlignment="1">
      <alignment horizontal="center" vertical="center"/>
    </xf>
    <xf numFmtId="1" fontId="0" fillId="0" borderId="64" xfId="0" applyNumberFormat="1" applyBorder="1" applyAlignment="1">
      <alignment horizontal="center" vertical="center"/>
    </xf>
    <xf numFmtId="0" fontId="0" fillId="13" borderId="54" xfId="0" applyFill="1" applyBorder="1" applyAlignment="1" applyProtection="1">
      <alignment horizontal="center" vertical="center"/>
      <protection locked="0"/>
    </xf>
    <xf numFmtId="0" fontId="0" fillId="13" borderId="62" xfId="0" applyFill="1" applyBorder="1" applyAlignment="1" applyProtection="1">
      <alignment horizontal="center" vertical="center"/>
      <protection locked="0"/>
    </xf>
    <xf numFmtId="0" fontId="0" fillId="0" borderId="68" xfId="0" applyBorder="1" applyAlignment="1">
      <alignment horizontal="center" vertical="center"/>
    </xf>
    <xf numFmtId="0" fontId="0" fillId="13" borderId="68" xfId="0" applyFill="1" applyBorder="1" applyAlignment="1" applyProtection="1">
      <alignment horizontal="center" vertical="center"/>
      <protection locked="0"/>
    </xf>
    <xf numFmtId="0" fontId="0" fillId="0" borderId="0" xfId="0" applyAlignment="1">
      <alignment vertical="center" wrapText="1"/>
    </xf>
    <xf numFmtId="0" fontId="0" fillId="0" borderId="0" xfId="0" applyAlignment="1">
      <alignment horizontal="left" vertical="top" wrapText="1"/>
    </xf>
    <xf numFmtId="0" fontId="49" fillId="0" borderId="0" xfId="0" applyFont="1" applyAlignment="1">
      <alignment horizontal="center" vertical="center"/>
    </xf>
    <xf numFmtId="167" fontId="49" fillId="0" borderId="0" xfId="0" applyNumberFormat="1" applyFont="1" applyAlignment="1">
      <alignment horizontal="center" vertical="center"/>
    </xf>
    <xf numFmtId="0" fontId="50" fillId="0" borderId="0" xfId="0" applyFont="1" applyAlignment="1">
      <alignment horizontal="left" vertical="center"/>
    </xf>
    <xf numFmtId="0" fontId="49" fillId="0" borderId="80" xfId="0" applyFont="1" applyBorder="1" applyAlignment="1">
      <alignment horizontal="center" vertical="center"/>
    </xf>
    <xf numFmtId="167" fontId="49" fillId="0" borderId="80" xfId="0" applyNumberFormat="1" applyFont="1" applyBorder="1" applyAlignment="1">
      <alignment horizontal="center" vertical="center"/>
    </xf>
    <xf numFmtId="0" fontId="0" fillId="7" borderId="81" xfId="0" quotePrefix="1" applyFill="1" applyBorder="1" applyAlignment="1">
      <alignment horizontal="center" vertical="center"/>
    </xf>
    <xf numFmtId="0" fontId="0" fillId="0" borderId="80" xfId="0" applyBorder="1" applyAlignment="1">
      <alignment horizontal="center" vertical="center"/>
    </xf>
    <xf numFmtId="0" fontId="0" fillId="0" borderId="80" xfId="0" applyBorder="1" applyAlignment="1">
      <alignment horizontal="center" vertical="top" wrapText="1"/>
    </xf>
    <xf numFmtId="0" fontId="0" fillId="0" borderId="80" xfId="0" applyBorder="1" applyAlignment="1">
      <alignment horizontal="center" vertical="center" wrapText="1"/>
    </xf>
    <xf numFmtId="0" fontId="10" fillId="0" borderId="0" xfId="0" applyFont="1" applyAlignment="1">
      <alignment horizontal="center" vertical="center"/>
    </xf>
    <xf numFmtId="0" fontId="51" fillId="0" borderId="82" xfId="0" applyFont="1" applyBorder="1" applyAlignment="1">
      <alignment horizontal="center" vertical="top" wrapText="1"/>
    </xf>
    <xf numFmtId="0" fontId="0" fillId="0" borderId="83" xfId="0" applyBorder="1" applyAlignment="1">
      <alignment horizontal="center" vertical="center"/>
    </xf>
    <xf numFmtId="0" fontId="0" fillId="0" borderId="83" xfId="0" applyBorder="1" applyAlignment="1">
      <alignment horizontal="center" vertical="top" wrapText="1"/>
    </xf>
    <xf numFmtId="0" fontId="0" fillId="0" borderId="83" xfId="0" applyBorder="1" applyAlignment="1">
      <alignment horizontal="center" vertical="center" wrapText="1"/>
    </xf>
    <xf numFmtId="0" fontId="51" fillId="0" borderId="0" xfId="0" applyFont="1" applyAlignment="1">
      <alignment horizontal="center" vertical="top" wrapText="1"/>
    </xf>
    <xf numFmtId="0" fontId="0" fillId="0" borderId="84" xfId="0" applyBorder="1" applyAlignment="1">
      <alignment horizontal="center" vertical="center"/>
    </xf>
    <xf numFmtId="0" fontId="0" fillId="0" borderId="84" xfId="0" applyBorder="1" applyAlignment="1">
      <alignment horizontal="center" vertical="top" wrapText="1"/>
    </xf>
    <xf numFmtId="0" fontId="0" fillId="0" borderId="84" xfId="0" applyBorder="1" applyAlignment="1">
      <alignment horizontal="center" vertical="center" wrapText="1"/>
    </xf>
    <xf numFmtId="0" fontId="50" fillId="0" borderId="0" xfId="0" applyFont="1" applyAlignment="1">
      <alignment horizontal="center" vertical="center"/>
    </xf>
    <xf numFmtId="0" fontId="50" fillId="0" borderId="0" xfId="0" applyFont="1"/>
    <xf numFmtId="0" fontId="0" fillId="9" borderId="81" xfId="0" quotePrefix="1" applyFill="1" applyBorder="1" applyAlignment="1" applyProtection="1">
      <alignment horizontal="center" vertical="center"/>
      <protection locked="0"/>
    </xf>
    <xf numFmtId="0" fontId="0" fillId="9" borderId="82" xfId="0" quotePrefix="1" applyFill="1" applyBorder="1" applyAlignment="1" applyProtection="1">
      <alignment horizontal="center" vertical="center"/>
      <protection locked="0"/>
    </xf>
    <xf numFmtId="0" fontId="43" fillId="9" borderId="13" xfId="0" quotePrefix="1" applyFont="1" applyFill="1" applyBorder="1" applyAlignment="1" applyProtection="1">
      <alignment horizontal="center"/>
      <protection locked="0"/>
    </xf>
    <xf numFmtId="0" fontId="43" fillId="9" borderId="3" xfId="0" applyFont="1" applyFill="1" applyBorder="1" applyAlignment="1" applyProtection="1">
      <alignment horizontal="center"/>
      <protection locked="0"/>
    </xf>
    <xf numFmtId="0" fontId="43" fillId="9" borderId="12" xfId="0" applyFont="1" applyFill="1" applyBorder="1" applyAlignment="1" applyProtection="1">
      <alignment horizontal="center"/>
      <protection locked="0"/>
    </xf>
    <xf numFmtId="0" fontId="43" fillId="9" borderId="40" xfId="0" applyFont="1" applyFill="1" applyBorder="1" applyAlignment="1" applyProtection="1">
      <alignment horizontal="center"/>
      <protection locked="0"/>
    </xf>
    <xf numFmtId="0" fontId="43" fillId="9" borderId="65" xfId="0" applyFont="1" applyFill="1" applyBorder="1" applyAlignment="1" applyProtection="1">
      <alignment horizontal="center"/>
      <protection locked="0"/>
    </xf>
    <xf numFmtId="0" fontId="43" fillId="9" borderId="66" xfId="0" applyFont="1" applyFill="1" applyBorder="1" applyAlignment="1" applyProtection="1">
      <alignment horizontal="center"/>
      <protection locked="0"/>
    </xf>
    <xf numFmtId="0" fontId="0" fillId="9" borderId="35" xfId="0" applyFill="1" applyBorder="1" applyAlignment="1" applyProtection="1">
      <alignment horizontal="center" vertical="center"/>
      <protection locked="0"/>
    </xf>
    <xf numFmtId="0" fontId="0" fillId="9" borderId="73" xfId="0" applyFill="1" applyBorder="1" applyAlignment="1" applyProtection="1">
      <alignment horizontal="center" vertical="center"/>
      <protection locked="0"/>
    </xf>
    <xf numFmtId="0" fontId="0" fillId="9" borderId="62" xfId="0" applyFill="1" applyBorder="1" applyAlignment="1" applyProtection="1">
      <alignment horizontal="center" vertical="center"/>
      <protection locked="0"/>
    </xf>
    <xf numFmtId="0" fontId="0" fillId="9" borderId="19" xfId="0" applyFill="1" applyBorder="1" applyAlignment="1" applyProtection="1">
      <alignment horizontal="center" vertical="center"/>
      <protection locked="0"/>
    </xf>
    <xf numFmtId="0" fontId="0" fillId="9" borderId="18" xfId="0" applyFill="1" applyBorder="1" applyAlignment="1" applyProtection="1">
      <alignment horizontal="center" vertical="center"/>
      <protection locked="0"/>
    </xf>
    <xf numFmtId="0" fontId="0" fillId="9" borderId="75" xfId="0" applyFill="1" applyBorder="1" applyAlignment="1" applyProtection="1">
      <alignment horizontal="center" vertical="center"/>
      <protection locked="0"/>
    </xf>
    <xf numFmtId="0" fontId="0" fillId="9" borderId="76" xfId="0" applyFill="1" applyBorder="1" applyAlignment="1" applyProtection="1">
      <alignment horizontal="center" vertical="center"/>
      <protection locked="0"/>
    </xf>
    <xf numFmtId="164" fontId="0" fillId="9" borderId="40" xfId="1" applyFont="1" applyFill="1" applyBorder="1" applyProtection="1">
      <protection locked="0"/>
    </xf>
    <xf numFmtId="164" fontId="0" fillId="9" borderId="63" xfId="1" applyFont="1" applyFill="1" applyBorder="1" applyProtection="1">
      <protection locked="0"/>
    </xf>
    <xf numFmtId="0" fontId="0" fillId="9" borderId="40" xfId="0" applyFill="1" applyBorder="1" applyAlignment="1" applyProtection="1">
      <alignment horizontal="center" vertical="center"/>
      <protection locked="0"/>
    </xf>
    <xf numFmtId="9" fontId="0" fillId="9" borderId="40" xfId="0" applyNumberFormat="1" applyFill="1" applyBorder="1" applyAlignment="1" applyProtection="1">
      <alignment horizontal="center" vertical="center"/>
      <protection locked="0"/>
    </xf>
    <xf numFmtId="9" fontId="0" fillId="9" borderId="63" xfId="0" applyNumberFormat="1" applyFill="1" applyBorder="1" applyAlignment="1" applyProtection="1">
      <alignment horizontal="center" vertical="center"/>
      <protection locked="0"/>
    </xf>
    <xf numFmtId="0" fontId="0" fillId="9" borderId="40" xfId="1" applyNumberFormat="1" applyFont="1" applyFill="1" applyBorder="1" applyAlignment="1" applyProtection="1">
      <alignment horizontal="center" vertical="center"/>
      <protection locked="0"/>
    </xf>
    <xf numFmtId="0" fontId="0" fillId="9" borderId="40" xfId="1" applyNumberFormat="1" applyFont="1" applyFill="1" applyBorder="1" applyAlignment="1" applyProtection="1">
      <alignment horizontal="center"/>
      <protection locked="0"/>
    </xf>
    <xf numFmtId="0" fontId="0" fillId="9" borderId="63" xfId="1" applyNumberFormat="1" applyFont="1" applyFill="1" applyBorder="1" applyAlignment="1" applyProtection="1">
      <alignment horizontal="center"/>
      <protection locked="0"/>
    </xf>
    <xf numFmtId="0" fontId="0" fillId="9" borderId="63" xfId="0" applyFill="1" applyBorder="1" applyAlignment="1" applyProtection="1">
      <alignment horizontal="center" vertical="center"/>
      <protection locked="0"/>
    </xf>
    <xf numFmtId="0" fontId="0" fillId="9" borderId="40" xfId="0" applyFill="1" applyBorder="1" applyAlignment="1" applyProtection="1">
      <alignment horizontal="center"/>
      <protection locked="0"/>
    </xf>
    <xf numFmtId="0" fontId="0" fillId="9" borderId="63" xfId="0" applyFill="1" applyBorder="1" applyAlignment="1" applyProtection="1">
      <alignment horizontal="center"/>
      <protection locked="0"/>
    </xf>
    <xf numFmtId="0" fontId="0" fillId="9" borderId="1" xfId="0" applyFill="1" applyBorder="1" applyAlignment="1" applyProtection="1">
      <alignment horizontal="center" vertical="center"/>
      <protection locked="0"/>
    </xf>
    <xf numFmtId="0" fontId="0" fillId="9" borderId="1" xfId="0" applyFill="1" applyBorder="1" applyProtection="1">
      <protection locked="0"/>
    </xf>
    <xf numFmtId="9" fontId="0" fillId="9" borderId="1" xfId="2" applyFont="1" applyFill="1" applyBorder="1" applyAlignment="1" applyProtection="1">
      <alignment horizontal="center" vertical="center"/>
      <protection locked="0"/>
    </xf>
    <xf numFmtId="164" fontId="0" fillId="9" borderId="1" xfId="1" applyFont="1" applyFill="1" applyBorder="1" applyAlignment="1" applyProtection="1">
      <alignment horizontal="center" vertical="center"/>
      <protection locked="0"/>
    </xf>
    <xf numFmtId="9" fontId="0" fillId="9" borderId="1" xfId="0" applyNumberFormat="1" applyFill="1" applyBorder="1" applyAlignment="1" applyProtection="1">
      <alignment horizontal="center" vertical="center"/>
      <protection locked="0"/>
    </xf>
    <xf numFmtId="14" fontId="0" fillId="9" borderId="5" xfId="0" applyNumberFormat="1" applyFill="1" applyBorder="1" applyAlignment="1" applyProtection="1">
      <alignment horizontal="center" vertical="center"/>
      <protection locked="0"/>
    </xf>
    <xf numFmtId="14" fontId="0" fillId="9" borderId="7" xfId="0" applyNumberFormat="1" applyFill="1" applyBorder="1" applyAlignment="1" applyProtection="1">
      <alignment horizontal="center" vertical="center"/>
      <protection locked="0"/>
    </xf>
    <xf numFmtId="0" fontId="0" fillId="9" borderId="9" xfId="0" applyFill="1" applyBorder="1" applyAlignment="1" applyProtection="1">
      <alignment horizontal="center" vertical="center"/>
      <protection locked="0"/>
    </xf>
    <xf numFmtId="0" fontId="1" fillId="2" borderId="12" xfId="0" applyFont="1" applyFill="1" applyBorder="1" applyAlignment="1">
      <alignment horizontal="center" vertical="center"/>
    </xf>
    <xf numFmtId="0" fontId="1" fillId="2" borderId="63" xfId="0" applyFont="1" applyFill="1" applyBorder="1" applyAlignment="1">
      <alignment horizontal="center" vertical="center"/>
    </xf>
    <xf numFmtId="0" fontId="0" fillId="2" borderId="0" xfId="0" applyFill="1"/>
    <xf numFmtId="0" fontId="0" fillId="2" borderId="0" xfId="0" applyFill="1" applyAlignment="1">
      <alignment horizontal="center" vertical="center"/>
    </xf>
    <xf numFmtId="0" fontId="52" fillId="2" borderId="0" xfId="0" applyFont="1" applyFill="1" applyAlignment="1">
      <alignment horizontal="left" vertical="center"/>
    </xf>
    <xf numFmtId="0" fontId="0" fillId="2" borderId="0" xfId="2" applyNumberFormat="1" applyFont="1" applyFill="1" applyAlignment="1">
      <alignment horizontal="center" vertical="center"/>
    </xf>
    <xf numFmtId="0" fontId="0" fillId="7" borderId="0" xfId="2" applyNumberFormat="1" applyFont="1" applyFill="1" applyAlignment="1">
      <alignment horizontal="center" vertical="center"/>
    </xf>
    <xf numFmtId="0" fontId="53" fillId="7" borderId="85" xfId="0" applyFont="1" applyFill="1" applyBorder="1" applyAlignment="1">
      <alignment horizontal="left" vertical="center"/>
    </xf>
    <xf numFmtId="9" fontId="8" fillId="2" borderId="12" xfId="2" applyFont="1" applyFill="1" applyBorder="1" applyAlignment="1">
      <alignment horizontal="center" vertical="center"/>
    </xf>
    <xf numFmtId="9" fontId="8" fillId="2" borderId="40" xfId="2" applyFont="1" applyFill="1" applyBorder="1" applyAlignment="1">
      <alignment horizontal="center" vertical="center"/>
    </xf>
    <xf numFmtId="9" fontId="8" fillId="2" borderId="63" xfId="2" applyFont="1" applyFill="1" applyBorder="1" applyAlignment="1">
      <alignment horizontal="center" vertical="center"/>
    </xf>
    <xf numFmtId="0" fontId="0" fillId="7" borderId="0" xfId="2" applyNumberFormat="1" applyFont="1" applyFill="1" applyBorder="1" applyAlignment="1">
      <alignment horizontal="center" vertical="center"/>
    </xf>
    <xf numFmtId="185" fontId="0" fillId="7" borderId="0" xfId="0" applyNumberFormat="1" applyFill="1"/>
    <xf numFmtId="186" fontId="0" fillId="7" borderId="0" xfId="1" applyNumberFormat="1" applyFont="1" applyFill="1"/>
    <xf numFmtId="0" fontId="8" fillId="2" borderId="40" xfId="0" applyFont="1" applyFill="1" applyBorder="1" applyAlignment="1">
      <alignment horizontal="center" vertical="center"/>
    </xf>
    <xf numFmtId="187" fontId="12" fillId="0" borderId="3" xfId="0" applyNumberFormat="1" applyFont="1" applyBorder="1" applyAlignment="1">
      <alignment horizontal="center" vertical="center"/>
    </xf>
    <xf numFmtId="0" fontId="12" fillId="0" borderId="3" xfId="0" applyFont="1" applyBorder="1" applyAlignment="1">
      <alignment horizontal="center" vertical="center"/>
    </xf>
    <xf numFmtId="188" fontId="12" fillId="0" borderId="3" xfId="0" applyNumberFormat="1" applyFont="1" applyBorder="1" applyAlignment="1">
      <alignment horizontal="center" vertical="center"/>
    </xf>
    <xf numFmtId="189" fontId="33" fillId="0" borderId="3" xfId="0" applyNumberFormat="1" applyFont="1" applyBorder="1" applyAlignment="1">
      <alignment horizontal="center" vertical="center"/>
    </xf>
    <xf numFmtId="9" fontId="9" fillId="7" borderId="0" xfId="2" applyFont="1" applyFill="1" applyAlignment="1">
      <alignment horizontal="left" vertical="center"/>
    </xf>
    <xf numFmtId="0" fontId="0" fillId="7" borderId="0" xfId="0" applyFill="1" applyAlignment="1">
      <alignment horizontal="left"/>
    </xf>
    <xf numFmtId="190" fontId="0" fillId="7" borderId="0" xfId="0" applyNumberFormat="1" applyFill="1"/>
    <xf numFmtId="1" fontId="0" fillId="7" borderId="0" xfId="0" applyNumberFormat="1" applyFill="1" applyAlignment="1">
      <alignment horizontal="center" vertical="center"/>
    </xf>
    <xf numFmtId="164" fontId="8" fillId="2" borderId="40" xfId="1" applyFont="1" applyFill="1" applyBorder="1" applyAlignment="1">
      <alignment horizontal="center" vertical="center"/>
    </xf>
    <xf numFmtId="191" fontId="0" fillId="0" borderId="3" xfId="0" applyNumberFormat="1" applyBorder="1" applyAlignment="1">
      <alignment horizontal="center" vertical="center"/>
    </xf>
    <xf numFmtId="192" fontId="12" fillId="0" borderId="3" xfId="0" applyNumberFormat="1" applyFont="1" applyBorder="1" applyAlignment="1">
      <alignment horizontal="center" vertical="center"/>
    </xf>
    <xf numFmtId="164" fontId="0" fillId="0" borderId="3" xfId="1" applyFont="1" applyBorder="1" applyAlignment="1">
      <alignment horizontal="center" vertical="center"/>
    </xf>
    <xf numFmtId="0" fontId="9" fillId="7" borderId="0" xfId="0" applyFont="1" applyFill="1" applyAlignment="1">
      <alignment horizontal="left" vertical="center"/>
    </xf>
    <xf numFmtId="9" fontId="0" fillId="7" borderId="0" xfId="2" applyFont="1" applyFill="1" applyAlignment="1">
      <alignment horizontal="center" vertical="center"/>
    </xf>
    <xf numFmtId="164" fontId="0" fillId="7" borderId="0" xfId="1" applyFont="1" applyFill="1" applyAlignment="1">
      <alignment horizontal="center" vertical="center"/>
    </xf>
    <xf numFmtId="164" fontId="37" fillId="7" borderId="0" xfId="1" applyFont="1" applyFill="1" applyAlignment="1">
      <alignment horizontal="center" vertical="center"/>
    </xf>
    <xf numFmtId="0" fontId="37" fillId="7" borderId="0" xfId="0" applyFont="1" applyFill="1"/>
    <xf numFmtId="164" fontId="12" fillId="7" borderId="0" xfId="1" applyFont="1" applyFill="1" applyAlignment="1">
      <alignment horizontal="center" vertical="center"/>
    </xf>
    <xf numFmtId="0" fontId="8" fillId="2" borderId="12" xfId="0" applyFont="1" applyFill="1" applyBorder="1" applyAlignment="1">
      <alignment horizontal="center" vertical="center"/>
    </xf>
    <xf numFmtId="0" fontId="53" fillId="7" borderId="0" xfId="0" applyFont="1" applyFill="1" applyAlignment="1">
      <alignment horizontal="left" vertical="center"/>
    </xf>
    <xf numFmtId="0" fontId="54" fillId="7" borderId="0" xfId="0" applyFont="1" applyFill="1" applyAlignment="1">
      <alignment horizontal="left" vertical="center"/>
    </xf>
    <xf numFmtId="0" fontId="0" fillId="9" borderId="13" xfId="0" applyFill="1" applyBorder="1" applyAlignment="1" applyProtection="1">
      <alignment horizontal="center" vertical="center"/>
      <protection locked="0"/>
    </xf>
    <xf numFmtId="0" fontId="0" fillId="9" borderId="3" xfId="0" applyFill="1" applyBorder="1" applyAlignment="1" applyProtection="1">
      <alignment horizontal="center" vertical="center"/>
      <protection locked="0"/>
    </xf>
    <xf numFmtId="9" fontId="0" fillId="9" borderId="3" xfId="2" applyFont="1" applyFill="1" applyBorder="1" applyAlignment="1" applyProtection="1">
      <alignment horizontal="center" vertical="center"/>
      <protection locked="0"/>
    </xf>
    <xf numFmtId="0" fontId="0" fillId="9" borderId="3" xfId="2" applyNumberFormat="1" applyFont="1" applyFill="1" applyBorder="1" applyAlignment="1" applyProtection="1">
      <alignment horizontal="center" vertical="center"/>
      <protection locked="0"/>
    </xf>
    <xf numFmtId="0" fontId="0" fillId="9" borderId="64" xfId="0" applyFill="1" applyBorder="1" applyAlignment="1" applyProtection="1">
      <alignment horizontal="center" vertical="center"/>
      <protection locked="0"/>
    </xf>
    <xf numFmtId="0" fontId="0" fillId="9" borderId="12" xfId="0" applyFill="1" applyBorder="1" applyAlignment="1" applyProtection="1">
      <alignment horizontal="center" vertical="center"/>
      <protection locked="0"/>
    </xf>
    <xf numFmtId="9" fontId="0" fillId="9" borderId="40" xfId="2" applyFont="1" applyFill="1" applyBorder="1" applyAlignment="1" applyProtection="1">
      <alignment horizontal="center" vertical="center"/>
      <protection locked="0"/>
    </xf>
    <xf numFmtId="0" fontId="0" fillId="9" borderId="40" xfId="2" applyNumberFormat="1" applyFont="1" applyFill="1" applyBorder="1" applyAlignment="1" applyProtection="1">
      <alignment horizontal="center" vertical="center"/>
      <protection locked="0"/>
    </xf>
    <xf numFmtId="9" fontId="12" fillId="9" borderId="13" xfId="2" applyFont="1" applyFill="1" applyBorder="1" applyAlignment="1" applyProtection="1">
      <alignment horizontal="center" vertical="center"/>
      <protection locked="0"/>
    </xf>
    <xf numFmtId="9" fontId="12" fillId="9" borderId="3" xfId="0" applyNumberFormat="1" applyFont="1" applyFill="1" applyBorder="1" applyAlignment="1" applyProtection="1">
      <alignment horizontal="center" vertical="center"/>
      <protection locked="0"/>
    </xf>
    <xf numFmtId="189" fontId="12" fillId="9" borderId="3" xfId="0" applyNumberFormat="1" applyFont="1" applyFill="1" applyBorder="1" applyAlignment="1" applyProtection="1">
      <alignment horizontal="center" vertical="center"/>
      <protection locked="0"/>
    </xf>
    <xf numFmtId="9" fontId="0" fillId="9" borderId="13" xfId="2" applyFont="1" applyFill="1" applyBorder="1" applyAlignment="1" applyProtection="1">
      <alignment horizontal="center" vertical="center"/>
      <protection locked="0"/>
    </xf>
    <xf numFmtId="1" fontId="0" fillId="9" borderId="3" xfId="0" applyNumberFormat="1" applyFill="1" applyBorder="1" applyAlignment="1" applyProtection="1">
      <alignment horizontal="center" vertical="center"/>
      <protection locked="0"/>
    </xf>
    <xf numFmtId="164" fontId="0" fillId="9" borderId="3" xfId="1" applyFont="1" applyFill="1" applyBorder="1" applyAlignment="1" applyProtection="1">
      <alignment horizontal="center" vertical="center"/>
      <protection locked="0"/>
    </xf>
    <xf numFmtId="9" fontId="0" fillId="9" borderId="3" xfId="0" applyNumberFormat="1" applyFill="1" applyBorder="1" applyAlignment="1" applyProtection="1">
      <alignment horizontal="center" vertical="center"/>
      <protection locked="0"/>
    </xf>
    <xf numFmtId="0" fontId="0" fillId="14" borderId="0" xfId="0" applyFill="1" applyAlignment="1">
      <alignment horizontal="center"/>
    </xf>
    <xf numFmtId="0" fontId="19" fillId="15" borderId="12" xfId="0" applyFont="1" applyFill="1" applyBorder="1" applyAlignment="1">
      <alignment horizontal="left" vertical="center"/>
    </xf>
    <xf numFmtId="0" fontId="0" fillId="14" borderId="86" xfId="0" applyFill="1" applyBorder="1" applyAlignment="1">
      <alignment horizontal="center"/>
    </xf>
    <xf numFmtId="194" fontId="0" fillId="5" borderId="63" xfId="0" applyNumberFormat="1" applyFill="1" applyBorder="1" applyAlignment="1">
      <alignment horizontal="center" vertical="center"/>
    </xf>
    <xf numFmtId="0" fontId="1" fillId="2" borderId="1" xfId="0" applyFont="1" applyFill="1" applyBorder="1" applyAlignment="1">
      <alignment horizontal="center" vertical="center"/>
    </xf>
    <xf numFmtId="0" fontId="56" fillId="16" borderId="86" xfId="0" applyFont="1" applyFill="1" applyBorder="1" applyAlignment="1">
      <alignment horizontal="center"/>
    </xf>
    <xf numFmtId="0" fontId="57" fillId="16" borderId="86" xfId="0" applyFont="1" applyFill="1" applyBorder="1" applyAlignment="1">
      <alignment horizontal="center"/>
    </xf>
    <xf numFmtId="0" fontId="58" fillId="16" borderId="86" xfId="4" applyFill="1" applyBorder="1" applyAlignment="1">
      <alignment horizontal="center"/>
    </xf>
    <xf numFmtId="0" fontId="0" fillId="16" borderId="86" xfId="0" applyFill="1" applyBorder="1" applyAlignment="1">
      <alignment horizontal="center"/>
    </xf>
    <xf numFmtId="2" fontId="58" fillId="0" borderId="86" xfId="4" applyNumberFormat="1" applyBorder="1" applyAlignment="1">
      <alignment horizontal="center"/>
    </xf>
    <xf numFmtId="0" fontId="0" fillId="5" borderId="63" xfId="0" applyFill="1" applyBorder="1" applyAlignment="1">
      <alignment horizontal="center" vertical="center"/>
    </xf>
    <xf numFmtId="167" fontId="58" fillId="0" borderId="86" xfId="4" applyNumberFormat="1" applyBorder="1" applyAlignment="1">
      <alignment horizontal="center"/>
    </xf>
    <xf numFmtId="2" fontId="59" fillId="0" borderId="86" xfId="4" applyNumberFormat="1" applyFont="1" applyBorder="1" applyAlignment="1">
      <alignment horizontal="center"/>
    </xf>
    <xf numFmtId="0" fontId="0" fillId="17" borderId="86" xfId="0" applyFill="1" applyBorder="1" applyAlignment="1">
      <alignment horizontal="center"/>
    </xf>
    <xf numFmtId="1" fontId="0" fillId="17" borderId="86" xfId="0" applyNumberFormat="1" applyFill="1" applyBorder="1" applyAlignment="1">
      <alignment horizontal="center"/>
    </xf>
    <xf numFmtId="0" fontId="0" fillId="18" borderId="86" xfId="0" applyFill="1" applyBorder="1" applyAlignment="1">
      <alignment horizontal="center"/>
    </xf>
    <xf numFmtId="0" fontId="60" fillId="18" borderId="86" xfId="0" applyFont="1" applyFill="1" applyBorder="1" applyAlignment="1">
      <alignment horizontal="center"/>
    </xf>
    <xf numFmtId="0" fontId="0" fillId="0" borderId="86" xfId="0" applyBorder="1" applyAlignment="1">
      <alignment horizontal="center"/>
    </xf>
    <xf numFmtId="2" fontId="0" fillId="0" borderId="86" xfId="0" applyNumberFormat="1" applyBorder="1" applyAlignment="1">
      <alignment horizontal="center"/>
    </xf>
    <xf numFmtId="195" fontId="0" fillId="0" borderId="86" xfId="0" applyNumberFormat="1" applyBorder="1" applyAlignment="1">
      <alignment horizontal="center"/>
    </xf>
    <xf numFmtId="1" fontId="0" fillId="0" borderId="86" xfId="0" applyNumberFormat="1" applyBorder="1" applyAlignment="1">
      <alignment horizontal="center"/>
    </xf>
    <xf numFmtId="0" fontId="1" fillId="19" borderId="1" xfId="0" applyFont="1" applyFill="1" applyBorder="1" applyAlignment="1">
      <alignment horizontal="center" vertical="center"/>
    </xf>
    <xf numFmtId="1" fontId="0" fillId="0" borderId="1" xfId="0" applyNumberFormat="1" applyBorder="1" applyAlignment="1">
      <alignment horizontal="center" vertical="center"/>
    </xf>
    <xf numFmtId="168" fontId="0" fillId="0" borderId="86" xfId="0" applyNumberFormat="1" applyBorder="1" applyAlignment="1">
      <alignment horizontal="center"/>
    </xf>
    <xf numFmtId="167" fontId="0" fillId="0" borderId="1" xfId="0" applyNumberFormat="1" applyBorder="1" applyAlignment="1">
      <alignment horizontal="center" vertical="center"/>
    </xf>
    <xf numFmtId="2" fontId="0" fillId="5" borderId="0" xfId="0" applyNumberFormat="1" applyFill="1" applyAlignment="1">
      <alignment horizontal="center" vertical="center"/>
    </xf>
    <xf numFmtId="1" fontId="0" fillId="0" borderId="0" xfId="0" applyNumberFormat="1" applyAlignment="1">
      <alignment horizontal="center"/>
    </xf>
    <xf numFmtId="0" fontId="1" fillId="20" borderId="1" xfId="0" applyFont="1" applyFill="1" applyBorder="1" applyAlignment="1">
      <alignment horizontal="left" vertical="center"/>
    </xf>
    <xf numFmtId="0" fontId="1" fillId="20" borderId="1" xfId="0" applyFont="1" applyFill="1" applyBorder="1" applyAlignment="1">
      <alignment horizontal="left" vertical="center" wrapText="1"/>
    </xf>
    <xf numFmtId="0" fontId="44" fillId="2" borderId="1" xfId="0" applyFont="1" applyFill="1"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164" fontId="0" fillId="0" borderId="1" xfId="1" applyFont="1" applyBorder="1" applyAlignment="1">
      <alignment horizontal="center" vertical="center"/>
    </xf>
    <xf numFmtId="0" fontId="0" fillId="9" borderId="1" xfId="0" applyFill="1" applyBorder="1" applyAlignment="1" applyProtection="1">
      <alignment horizontal="center" vertical="center" wrapText="1"/>
      <protection locked="0"/>
    </xf>
    <xf numFmtId="164" fontId="0" fillId="0" borderId="0" xfId="0" applyNumberFormat="1"/>
    <xf numFmtId="164" fontId="0" fillId="7" borderId="0" xfId="0" applyNumberFormat="1" applyFill="1"/>
    <xf numFmtId="0" fontId="0" fillId="5" borderId="1" xfId="0" applyFill="1" applyBorder="1" applyAlignment="1" applyProtection="1">
      <alignment horizontal="center" vertical="center"/>
      <protection locked="0"/>
    </xf>
    <xf numFmtId="164" fontId="10" fillId="0" borderId="1" xfId="0" applyNumberFormat="1" applyFont="1" applyBorder="1" applyAlignment="1">
      <alignment horizontal="center" vertical="center"/>
    </xf>
    <xf numFmtId="164" fontId="0" fillId="7" borderId="0" xfId="0" applyNumberFormat="1" applyFill="1" applyAlignment="1">
      <alignment horizontal="center" vertical="center"/>
    </xf>
    <xf numFmtId="0" fontId="0" fillId="9" borderId="0" xfId="0" applyFill="1" applyProtection="1">
      <protection locked="0"/>
    </xf>
    <xf numFmtId="0" fontId="1" fillId="2" borderId="3" xfId="0" applyFont="1" applyFill="1" applyBorder="1" applyAlignment="1">
      <alignment horizontal="center" vertic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7" fillId="2" borderId="0" xfId="0" applyFont="1" applyFill="1" applyAlignment="1">
      <alignment horizontal="left" vertical="center"/>
    </xf>
    <xf numFmtId="0" fontId="1" fillId="2" borderId="1" xfId="0" applyFont="1" applyFill="1" applyBorder="1" applyAlignment="1">
      <alignment horizontal="center"/>
    </xf>
    <xf numFmtId="0" fontId="4" fillId="2" borderId="1" xfId="0" applyFont="1" applyFill="1" applyBorder="1" applyAlignment="1">
      <alignment horizontal="center" vertical="center"/>
    </xf>
    <xf numFmtId="0" fontId="1" fillId="2" borderId="0" xfId="0" applyFont="1" applyFill="1" applyAlignment="1">
      <alignment horizontal="center" vertical="center"/>
    </xf>
    <xf numFmtId="14" fontId="1" fillId="3" borderId="8" xfId="0" applyNumberFormat="1" applyFont="1" applyFill="1" applyBorder="1" applyAlignment="1" applyProtection="1">
      <alignment horizontal="center" vertical="center" wrapText="1"/>
      <protection locked="0"/>
    </xf>
    <xf numFmtId="0" fontId="1" fillId="2" borderId="10" xfId="0" applyFont="1" applyFill="1" applyBorder="1" applyAlignment="1" applyProtection="1">
      <alignment horizontal="center" vertical="center"/>
      <protection locked="0"/>
    </xf>
    <xf numFmtId="0" fontId="1" fillId="2" borderId="20"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1" fillId="3" borderId="36" xfId="0" applyFont="1" applyFill="1" applyBorder="1" applyAlignment="1" applyProtection="1">
      <alignment horizontal="center" vertical="center"/>
      <protection locked="0"/>
    </xf>
    <xf numFmtId="0" fontId="1" fillId="3" borderId="33"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wrapText="1"/>
      <protection locked="0"/>
    </xf>
    <xf numFmtId="0" fontId="1" fillId="3" borderId="18" xfId="0" applyFont="1" applyFill="1" applyBorder="1" applyAlignment="1" applyProtection="1">
      <alignment horizontal="center" vertical="center" wrapText="1"/>
      <protection locked="0"/>
    </xf>
    <xf numFmtId="0" fontId="1" fillId="3" borderId="19"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2" borderId="10"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11" xfId="0" applyFont="1" applyFill="1" applyBorder="1" applyAlignment="1">
      <alignment horizontal="center" vertical="center"/>
    </xf>
    <xf numFmtId="0" fontId="1" fillId="3" borderId="19"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25" xfId="0" applyFont="1" applyFill="1" applyBorder="1" applyAlignment="1">
      <alignment horizontal="center" vertical="center"/>
    </xf>
    <xf numFmtId="166" fontId="26" fillId="0" borderId="20" xfId="0" applyNumberFormat="1" applyFont="1" applyBorder="1" applyAlignment="1">
      <alignment horizontal="center" vertical="center"/>
    </xf>
    <xf numFmtId="0" fontId="13" fillId="7" borderId="43" xfId="0" applyFont="1" applyFill="1" applyBorder="1" applyAlignment="1">
      <alignment horizontal="center" vertical="center"/>
    </xf>
    <xf numFmtId="0" fontId="14" fillId="7" borderId="43" xfId="0" applyFont="1" applyFill="1" applyBorder="1" applyAlignment="1">
      <alignment horizontal="center" vertical="center"/>
    </xf>
    <xf numFmtId="0" fontId="13" fillId="7" borderId="44" xfId="0" applyFont="1" applyFill="1" applyBorder="1" applyAlignment="1">
      <alignment horizontal="center" vertical="center"/>
    </xf>
    <xf numFmtId="0" fontId="28" fillId="7" borderId="0" xfId="0" applyFont="1" applyFill="1" applyAlignment="1">
      <alignment horizontal="left" vertical="top"/>
    </xf>
    <xf numFmtId="0" fontId="11" fillId="0" borderId="20" xfId="0" applyFont="1" applyBorder="1" applyAlignment="1">
      <alignment horizontal="center" vertical="center"/>
    </xf>
    <xf numFmtId="0" fontId="32" fillId="7" borderId="44" xfId="0" applyFont="1" applyFill="1" applyBorder="1" applyAlignment="1">
      <alignment horizontal="center" vertical="center"/>
    </xf>
    <xf numFmtId="0" fontId="8" fillId="2" borderId="0" xfId="0" applyFont="1" applyFill="1" applyAlignment="1">
      <alignment horizontal="center" vertical="center"/>
    </xf>
    <xf numFmtId="0" fontId="49" fillId="0" borderId="80" xfId="0" applyFont="1" applyBorder="1" applyAlignment="1">
      <alignment horizontal="center" vertical="center"/>
    </xf>
    <xf numFmtId="0" fontId="49" fillId="0" borderId="0" xfId="0" applyFont="1" applyAlignment="1">
      <alignment horizontal="right" vertical="center"/>
    </xf>
    <xf numFmtId="0" fontId="0" fillId="0" borderId="0" xfId="0" applyAlignment="1">
      <alignment horizontal="left" vertical="center" wrapText="1"/>
    </xf>
    <xf numFmtId="0" fontId="42" fillId="2" borderId="54" xfId="0" applyFont="1" applyFill="1" applyBorder="1" applyAlignment="1">
      <alignment horizontal="center" wrapText="1"/>
    </xf>
    <xf numFmtId="0" fontId="44" fillId="2" borderId="2" xfId="0" applyFont="1" applyFill="1" applyBorder="1" applyAlignment="1">
      <alignment horizontal="center"/>
    </xf>
    <xf numFmtId="0" fontId="44" fillId="2" borderId="0" xfId="0" applyFont="1" applyFill="1" applyAlignment="1">
      <alignment horizontal="center"/>
    </xf>
    <xf numFmtId="0" fontId="45" fillId="2" borderId="3" xfId="0" applyFont="1" applyFill="1" applyBorder="1" applyAlignment="1">
      <alignment horizontal="center"/>
    </xf>
    <xf numFmtId="0" fontId="1" fillId="2" borderId="70" xfId="0" applyFont="1" applyFill="1" applyBorder="1" applyAlignment="1">
      <alignment horizontal="center" vertical="center"/>
    </xf>
    <xf numFmtId="0" fontId="1" fillId="2" borderId="71" xfId="0" applyFont="1" applyFill="1" applyBorder="1" applyAlignment="1">
      <alignment horizontal="center" vertical="center"/>
    </xf>
    <xf numFmtId="0" fontId="1" fillId="2" borderId="72" xfId="0" applyFont="1" applyFill="1" applyBorder="1" applyAlignment="1">
      <alignment horizontal="center" vertical="center"/>
    </xf>
    <xf numFmtId="0" fontId="8" fillId="3" borderId="1" xfId="0" applyFont="1" applyFill="1" applyBorder="1" applyAlignment="1">
      <alignment horizontal="center" vertical="center"/>
    </xf>
    <xf numFmtId="0" fontId="62" fillId="2" borderId="12" xfId="0" applyFont="1" applyFill="1" applyBorder="1" applyAlignment="1">
      <alignment horizontal="center" vertical="center"/>
    </xf>
    <xf numFmtId="0" fontId="62" fillId="2" borderId="40" xfId="0" applyFont="1" applyFill="1" applyBorder="1" applyAlignment="1">
      <alignment horizontal="center" vertical="center"/>
    </xf>
    <xf numFmtId="0" fontId="62" fillId="2" borderId="63" xfId="0" applyFont="1" applyFill="1" applyBorder="1" applyAlignment="1">
      <alignment horizontal="center" vertical="center"/>
    </xf>
    <xf numFmtId="0" fontId="8" fillId="20" borderId="1" xfId="0" applyFont="1" applyFill="1" applyBorder="1" applyAlignment="1">
      <alignment horizontal="center" vertical="center"/>
    </xf>
    <xf numFmtId="0" fontId="1" fillId="2" borderId="41" xfId="0" applyFont="1" applyFill="1" applyBorder="1" applyAlignment="1">
      <alignment horizontal="center" vertical="center"/>
    </xf>
    <xf numFmtId="0" fontId="1" fillId="2" borderId="78" xfId="0" applyFont="1" applyFill="1" applyBorder="1" applyAlignment="1">
      <alignment horizontal="center" vertical="center"/>
    </xf>
    <xf numFmtId="0" fontId="52" fillId="2" borderId="0" xfId="0" applyFont="1" applyFill="1" applyAlignment="1">
      <alignment horizontal="center" vertical="center"/>
    </xf>
    <xf numFmtId="0" fontId="61" fillId="2" borderId="0" xfId="0" applyFont="1" applyFill="1" applyAlignment="1">
      <alignment horizontal="center" vertical="center"/>
    </xf>
    <xf numFmtId="0" fontId="1" fillId="2" borderId="12" xfId="0" applyFont="1" applyFill="1" applyBorder="1" applyAlignment="1">
      <alignment horizontal="center" vertical="center"/>
    </xf>
    <xf numFmtId="0" fontId="1" fillId="2" borderId="63"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54" xfId="0" applyBorder="1" applyAlignment="1">
      <alignment horizontal="center" vertical="center" wrapText="1"/>
    </xf>
    <xf numFmtId="0" fontId="0" fillId="0" borderId="62" xfId="0" applyBorder="1" applyAlignment="1">
      <alignment horizontal="center" vertical="center" wrapText="1"/>
    </xf>
    <xf numFmtId="0" fontId="0" fillId="0" borderId="68" xfId="0" applyBorder="1" applyAlignment="1">
      <alignment horizontal="center" vertical="center" wrapText="1"/>
    </xf>
    <xf numFmtId="0" fontId="56" fillId="18" borderId="86" xfId="0" applyFont="1" applyFill="1" applyBorder="1" applyAlignment="1">
      <alignment horizontal="center" vertical="center"/>
    </xf>
    <xf numFmtId="0" fontId="56" fillId="0" borderId="0" xfId="0" applyFont="1" applyAlignment="1">
      <alignment horizontal="center" vertical="center"/>
    </xf>
    <xf numFmtId="0" fontId="57" fillId="14" borderId="86" xfId="0" applyFont="1" applyFill="1" applyBorder="1" applyAlignment="1">
      <alignment horizontal="center" vertical="center"/>
    </xf>
    <xf numFmtId="0" fontId="56" fillId="17" borderId="0" xfId="0" applyFont="1" applyFill="1" applyAlignment="1">
      <alignment horizontal="center" vertical="center"/>
    </xf>
    <xf numFmtId="0" fontId="55" fillId="2" borderId="0" xfId="0" applyFont="1" applyFill="1" applyAlignment="1">
      <alignment horizontal="center" vertical="center"/>
    </xf>
    <xf numFmtId="0" fontId="1" fillId="2" borderId="54" xfId="0" applyFont="1" applyFill="1" applyBorder="1" applyAlignment="1">
      <alignment horizontal="center" vertical="center"/>
    </xf>
    <xf numFmtId="0" fontId="56" fillId="14" borderId="86" xfId="0" applyFont="1" applyFill="1" applyBorder="1" applyAlignment="1">
      <alignment horizontal="center" vertical="center"/>
    </xf>
    <xf numFmtId="189" fontId="12" fillId="0" borderId="3" xfId="0" applyNumberFormat="1" applyFont="1" applyBorder="1" applyAlignment="1">
      <alignment horizontal="left" vertical="center"/>
    </xf>
    <xf numFmtId="189" fontId="12" fillId="0" borderId="64" xfId="0" applyNumberFormat="1" applyFont="1" applyBorder="1" applyAlignment="1">
      <alignment horizontal="left" vertical="center"/>
    </xf>
    <xf numFmtId="0" fontId="9" fillId="7" borderId="0" xfId="2" applyNumberFormat="1" applyFont="1" applyFill="1" applyAlignment="1">
      <alignment horizontal="left" vertical="center"/>
    </xf>
    <xf numFmtId="0" fontId="8" fillId="2" borderId="40" xfId="0" applyFont="1" applyFill="1" applyBorder="1" applyAlignment="1">
      <alignment horizontal="left" vertical="center"/>
    </xf>
    <xf numFmtId="0" fontId="8" fillId="2" borderId="63" xfId="0" applyFont="1" applyFill="1" applyBorder="1" applyAlignment="1">
      <alignment horizontal="left" vertical="center"/>
    </xf>
    <xf numFmtId="0" fontId="0" fillId="0" borderId="3" xfId="0" applyBorder="1" applyAlignment="1">
      <alignment horizontal="left" vertical="center"/>
    </xf>
    <xf numFmtId="0" fontId="0" fillId="0" borderId="64" xfId="0" applyBorder="1" applyAlignment="1">
      <alignment horizontal="left" vertical="center"/>
    </xf>
    <xf numFmtId="164" fontId="0" fillId="0" borderId="3" xfId="1" applyFont="1" applyBorder="1" applyAlignment="1">
      <alignment horizontal="left" vertical="center"/>
    </xf>
    <xf numFmtId="164" fontId="0" fillId="0" borderId="64" xfId="1" applyFont="1" applyBorder="1" applyAlignment="1">
      <alignment horizontal="left" vertical="center"/>
    </xf>
    <xf numFmtId="193" fontId="12" fillId="5" borderId="12" xfId="0" applyNumberFormat="1" applyFont="1" applyFill="1" applyBorder="1" applyAlignment="1">
      <alignment horizontal="left" vertical="center"/>
    </xf>
    <xf numFmtId="193" fontId="12" fillId="5" borderId="40" xfId="0" applyNumberFormat="1" applyFont="1" applyFill="1" applyBorder="1" applyAlignment="1">
      <alignment horizontal="left" vertical="center"/>
    </xf>
    <xf numFmtId="193" fontId="12" fillId="5" borderId="63" xfId="0" applyNumberFormat="1" applyFont="1" applyFill="1" applyBorder="1" applyAlignment="1">
      <alignment horizontal="left" vertical="center"/>
    </xf>
    <xf numFmtId="0" fontId="8" fillId="2" borderId="12" xfId="0" applyFont="1" applyFill="1" applyBorder="1" applyAlignment="1">
      <alignment horizontal="center" vertical="center"/>
    </xf>
    <xf numFmtId="0" fontId="8" fillId="2" borderId="40" xfId="0" applyFont="1" applyFill="1" applyBorder="1" applyAlignment="1">
      <alignment horizontal="center" vertical="center"/>
    </xf>
    <xf numFmtId="0" fontId="8" fillId="2" borderId="63" xfId="0" applyFont="1" applyFill="1" applyBorder="1" applyAlignment="1">
      <alignment horizontal="center" vertical="center"/>
    </xf>
    <xf numFmtId="0" fontId="12" fillId="5" borderId="12" xfId="0" applyFont="1" applyFill="1" applyBorder="1" applyAlignment="1">
      <alignment horizontal="left" vertical="center"/>
    </xf>
    <xf numFmtId="0" fontId="12" fillId="5" borderId="40" xfId="0" applyFont="1" applyFill="1" applyBorder="1" applyAlignment="1">
      <alignment horizontal="left" vertical="center"/>
    </xf>
    <xf numFmtId="0" fontId="12" fillId="5" borderId="63" xfId="0" applyFont="1" applyFill="1" applyBorder="1" applyAlignment="1">
      <alignment horizontal="left" vertical="center"/>
    </xf>
    <xf numFmtId="164" fontId="54" fillId="7" borderId="0" xfId="1" applyFont="1" applyFill="1" applyBorder="1" applyAlignment="1">
      <alignment horizontal="center" vertical="center"/>
    </xf>
    <xf numFmtId="0" fontId="1" fillId="2" borderId="12" xfId="0" applyFont="1" applyFill="1" applyBorder="1" applyAlignment="1">
      <alignment horizontal="center"/>
    </xf>
    <xf numFmtId="0" fontId="1" fillId="2" borderId="40" xfId="0" applyFont="1" applyFill="1" applyBorder="1" applyAlignment="1">
      <alignment horizontal="center"/>
    </xf>
    <xf numFmtId="0" fontId="1" fillId="2" borderId="63" xfId="0" applyFont="1" applyFill="1" applyBorder="1" applyAlignment="1">
      <alignment horizontal="center"/>
    </xf>
    <xf numFmtId="0" fontId="1" fillId="2" borderId="14" xfId="0" applyFont="1" applyFill="1" applyBorder="1" applyAlignment="1">
      <alignment horizontal="center" vertical="center"/>
    </xf>
    <xf numFmtId="0" fontId="1" fillId="2" borderId="40" xfId="0" applyFont="1" applyFill="1" applyBorder="1" applyAlignment="1">
      <alignment horizontal="center" vertical="center"/>
    </xf>
  </cellXfs>
  <cellStyles count="5">
    <cellStyle name="Comma" xfId="3" builtinId="3"/>
    <cellStyle name="Currency" xfId="1" builtinId="4"/>
    <cellStyle name="Excel Built-in Normal" xfId="4" xr:uid="{D90B2A16-90BA-4581-82DA-D8847A940B5F}"/>
    <cellStyle name="Normal" xfId="0" builtinId="0"/>
    <cellStyle name="Percent" xfId="2" builtinId="5"/>
  </cellStyles>
  <dxfs count="8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theme="0"/>
      </font>
      <fill>
        <patternFill>
          <bgColor rgb="FFFF0000"/>
        </patternFill>
      </fill>
    </dxf>
    <dxf>
      <font>
        <b/>
        <i val="0"/>
        <color rgb="FFFF0000"/>
      </font>
    </dxf>
    <dxf>
      <font>
        <b/>
        <i val="0"/>
        <u val="none"/>
        <color theme="4"/>
      </font>
    </dxf>
    <dxf>
      <font>
        <b/>
        <i val="0"/>
        <color rgb="FF00B050"/>
      </font>
      <border>
        <left/>
        <right/>
        <top/>
        <bottom/>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Aptos Narrow"/>
        <family val="2"/>
        <scheme val="minor"/>
      </font>
      <numFmt numFmtId="196" formatCode="dd/mm/yyyy"/>
      <alignment horizontal="center" vertical="center" textRotation="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0" hidden="0"/>
    </dxf>
    <dxf>
      <font>
        <strike val="0"/>
        <outline val="0"/>
        <shadow val="0"/>
        <u val="none"/>
        <vertAlign val="baseline"/>
        <sz val="11"/>
        <name val="Aptos Narrow"/>
        <family val="2"/>
        <scheme val="minor"/>
      </font>
      <numFmt numFmtId="196" formatCode="dd/mm/yyyy"/>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border>
      <protection locked="0" hidden="0"/>
    </dxf>
    <dxf>
      <border outline="0">
        <left style="medium">
          <color indexed="64"/>
        </left>
        <right style="medium">
          <color indexed="64"/>
        </right>
        <top style="medium">
          <color indexed="64"/>
        </top>
        <bottom style="medium">
          <color indexed="64"/>
        </bottom>
      </border>
    </dxf>
    <dxf>
      <font>
        <strike val="0"/>
        <outline val="0"/>
        <shadow val="0"/>
        <u val="none"/>
        <vertAlign val="baseline"/>
        <sz val="11"/>
        <name val="Aptos Narrow"/>
        <family val="2"/>
        <scheme val="minor"/>
      </font>
      <alignment horizontal="center" vertical="center" textRotation="0" indent="0" justifyLastLine="0" shrinkToFit="0" readingOrder="0"/>
      <protection locked="0" hidden="0"/>
    </dxf>
    <dxf>
      <font>
        <b val="0"/>
        <i val="0"/>
        <strike val="0"/>
        <condense val="0"/>
        <extend val="0"/>
        <outline val="0"/>
        <shadow val="0"/>
        <u val="none"/>
        <vertAlign val="baseline"/>
        <sz val="11"/>
        <color theme="0"/>
        <name val="Aptos Narrow"/>
        <family val="2"/>
        <scheme val="minor"/>
      </font>
      <fill>
        <patternFill patternType="solid">
          <fgColor indexed="64"/>
          <bgColor rgb="FF246740"/>
        </patternFill>
      </fill>
      <alignment horizontal="center" vertical="center" textRotation="0" wrapText="0" indent="0" justifyLastLine="0" shrinkToFit="0" readingOrder="0"/>
      <border diagonalUp="0" diagonalDown="0">
        <left style="medium">
          <color indexed="64"/>
        </left>
        <right style="medium">
          <color indexed="64"/>
        </right>
        <top/>
        <bottom/>
      </border>
      <protection locked="0" hidden="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9"/>
      </font>
      <fill>
        <patternFill patternType="solid">
          <fgColor theme="9"/>
          <bgColor theme="9"/>
        </patternFill>
      </fill>
    </dxf>
    <dxf>
      <font>
        <color rgb="FF00B0F0"/>
      </font>
      <fill>
        <patternFill patternType="solid">
          <fgColor theme="3" tint="0.499984740745262"/>
          <bgColor rgb="FF00B0F0"/>
        </patternFill>
      </fill>
    </dxf>
    <dxf>
      <font>
        <color rgb="FFFFC000"/>
      </font>
      <fill>
        <patternFill>
          <bgColor rgb="FFFFC000"/>
        </patternFill>
      </fill>
    </dxf>
  </dxfs>
  <tableStyles count="0" defaultTableStyle="TableStyleMedium2" defaultPivotStyle="PivotStyleLight16"/>
  <colors>
    <mruColors>
      <color rgb="FFFFF2CC"/>
      <color rgb="FF1F4B31"/>
      <color rgb="FFFFDD71"/>
      <color rgb="FF2467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B31"/>
                </a:solidFill>
                <a:latin typeface="+mn-lt"/>
                <a:ea typeface="+mn-ea"/>
                <a:cs typeface="+mn-cs"/>
              </a:defRPr>
            </a:pPr>
            <a:r>
              <a:rPr lang="pt-BR" b="1">
                <a:solidFill>
                  <a:srgbClr val="1F4B31"/>
                </a:solidFill>
              </a:rPr>
              <a:t>Período</a:t>
            </a:r>
            <a:r>
              <a:rPr lang="pt-BR" b="1" baseline="0">
                <a:solidFill>
                  <a:srgbClr val="1F4B31"/>
                </a:solidFill>
              </a:rPr>
              <a:t> de acúmulo de forragem</a:t>
            </a:r>
            <a:endParaRPr lang="pt-BR" b="1">
              <a:solidFill>
                <a:srgbClr val="1F4B31"/>
              </a:solidFill>
            </a:endParaRPr>
          </a:p>
        </c:rich>
      </c:tx>
      <c:layout>
        <c:manualLayout>
          <c:xMode val="edge"/>
          <c:yMode val="edge"/>
          <c:x val="0.24943529814490123"/>
          <c:y val="3.25634965203548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B31"/>
              </a:solidFill>
              <a:latin typeface="+mn-lt"/>
              <a:ea typeface="+mn-ea"/>
              <a:cs typeface="+mn-cs"/>
            </a:defRPr>
          </a:pPr>
          <a:endParaRPr lang="en-US"/>
        </a:p>
      </c:txPr>
    </c:title>
    <c:autoTitleDeleted val="0"/>
    <c:plotArea>
      <c:layout/>
      <c:areaChart>
        <c:grouping val="stacked"/>
        <c:varyColors val="0"/>
        <c:ser>
          <c:idx val="0"/>
          <c:order val="0"/>
          <c:spPr>
            <a:solidFill>
              <a:srgbClr val="1F4B31"/>
            </a:solidFill>
            <a:ln>
              <a:noFill/>
            </a:ln>
            <a:effectLst/>
          </c:spPr>
          <c:cat>
            <c:strRef>
              <c:f>CHUVAS!$A$8:$A$19</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CHUVAS!$D$8:$D$19</c:f>
              <c:numCache>
                <c:formatCode>General</c:formatCode>
                <c:ptCount val="12"/>
              </c:numCache>
            </c:numRef>
          </c:val>
          <c:extLst>
            <c:ext xmlns:c16="http://schemas.microsoft.com/office/drawing/2014/chart" uri="{C3380CC4-5D6E-409C-BE32-E72D297353CC}">
              <c16:uniqueId val="{00000000-3A6C-4290-AFCF-912117576A7F}"/>
            </c:ext>
          </c:extLst>
        </c:ser>
        <c:dLbls>
          <c:showLegendKey val="0"/>
          <c:showVal val="0"/>
          <c:showCatName val="0"/>
          <c:showSerName val="0"/>
          <c:showPercent val="0"/>
          <c:showBubbleSize val="0"/>
        </c:dLbls>
        <c:axId val="30940704"/>
        <c:axId val="30954016"/>
      </c:areaChart>
      <c:catAx>
        <c:axId val="3094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0954016"/>
        <c:crosses val="autoZero"/>
        <c:auto val="1"/>
        <c:lblAlgn val="ctr"/>
        <c:lblOffset val="100"/>
        <c:noMultiLvlLbl val="0"/>
      </c:catAx>
      <c:valAx>
        <c:axId val="30954016"/>
        <c:scaling>
          <c:orientation val="minMax"/>
        </c:scaling>
        <c:delete val="1"/>
        <c:axPos val="l"/>
        <c:numFmt formatCode="General" sourceLinked="1"/>
        <c:majorTickMark val="none"/>
        <c:minorTickMark val="none"/>
        <c:tickLblPos val="nextTo"/>
        <c:crossAx val="3094070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Lotação mensal total</a:t>
            </a:r>
            <a:r>
              <a:rPr lang="pt-BR" baseline="0"/>
              <a:t> e corrigida (U.A/ha)</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'Resultado lotação'!$A$13</c:f>
              <c:strCache>
                <c:ptCount val="1"/>
                <c:pt idx="0">
                  <c:v>Lotação total (U.A/ha)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 lotação'!$B$12:$M$12</c:f>
              <c:strCache>
                <c:ptCount val="12"/>
                <c:pt idx="0">
                  <c:v>Julho</c:v>
                </c:pt>
                <c:pt idx="1">
                  <c:v>Agosto</c:v>
                </c:pt>
                <c:pt idx="2">
                  <c:v>Setembro</c:v>
                </c:pt>
                <c:pt idx="3">
                  <c:v>Outubro</c:v>
                </c:pt>
                <c:pt idx="4">
                  <c:v>Novembro</c:v>
                </c:pt>
                <c:pt idx="5">
                  <c:v>Dezembro</c:v>
                </c:pt>
                <c:pt idx="6">
                  <c:v>Janeiro</c:v>
                </c:pt>
                <c:pt idx="7">
                  <c:v>Fevereiro</c:v>
                </c:pt>
                <c:pt idx="8">
                  <c:v>Março</c:v>
                </c:pt>
                <c:pt idx="9">
                  <c:v>Abril</c:v>
                </c:pt>
                <c:pt idx="10">
                  <c:v>Maio</c:v>
                </c:pt>
                <c:pt idx="11">
                  <c:v>Junho</c:v>
                </c:pt>
              </c:strCache>
            </c:strRef>
          </c:cat>
          <c:val>
            <c:numRef>
              <c:f>'Resultado lotação'!$B$13:$M$13</c:f>
              <c:numCache>
                <c:formatCode>0.00</c:formatCode>
                <c:ptCount val="12"/>
                <c:pt idx="0">
                  <c:v>0.34</c:v>
                </c:pt>
                <c:pt idx="1">
                  <c:v>0.35</c:v>
                </c:pt>
                <c:pt idx="2">
                  <c:v>0.36</c:v>
                </c:pt>
                <c:pt idx="3">
                  <c:v>0.36</c:v>
                </c:pt>
                <c:pt idx="4">
                  <c:v>0.37</c:v>
                </c:pt>
                <c:pt idx="5">
                  <c:v>0.38</c:v>
                </c:pt>
                <c:pt idx="6">
                  <c:v>0.39</c:v>
                </c:pt>
                <c:pt idx="7">
                  <c:v>0.4</c:v>
                </c:pt>
                <c:pt idx="8">
                  <c:v>0.41</c:v>
                </c:pt>
                <c:pt idx="9">
                  <c:v>0.42</c:v>
                </c:pt>
                <c:pt idx="10">
                  <c:v>0.43</c:v>
                </c:pt>
                <c:pt idx="11">
                  <c:v>0.44</c:v>
                </c:pt>
              </c:numCache>
            </c:numRef>
          </c:val>
          <c:extLst>
            <c:ext xmlns:c16="http://schemas.microsoft.com/office/drawing/2014/chart" uri="{C3380CC4-5D6E-409C-BE32-E72D297353CC}">
              <c16:uniqueId val="{00000000-D4A1-4F71-B6C1-45AF4B01F5C3}"/>
            </c:ext>
          </c:extLst>
        </c:ser>
        <c:ser>
          <c:idx val="1"/>
          <c:order val="1"/>
          <c:tx>
            <c:strRef>
              <c:f>'Resultado lotação'!$A$14</c:f>
              <c:strCache>
                <c:ptCount val="1"/>
                <c:pt idx="0">
                  <c:v>Lotação corrigida (U.A/ha)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 lotação'!$B$12:$M$12</c:f>
              <c:strCache>
                <c:ptCount val="12"/>
                <c:pt idx="0">
                  <c:v>Julho</c:v>
                </c:pt>
                <c:pt idx="1">
                  <c:v>Agosto</c:v>
                </c:pt>
                <c:pt idx="2">
                  <c:v>Setembro</c:v>
                </c:pt>
                <c:pt idx="3">
                  <c:v>Outubro</c:v>
                </c:pt>
                <c:pt idx="4">
                  <c:v>Novembro</c:v>
                </c:pt>
                <c:pt idx="5">
                  <c:v>Dezembro</c:v>
                </c:pt>
                <c:pt idx="6">
                  <c:v>Janeiro</c:v>
                </c:pt>
                <c:pt idx="7">
                  <c:v>Fevereiro</c:v>
                </c:pt>
                <c:pt idx="8">
                  <c:v>Março</c:v>
                </c:pt>
                <c:pt idx="9">
                  <c:v>Abril</c:v>
                </c:pt>
                <c:pt idx="10">
                  <c:v>Maio</c:v>
                </c:pt>
                <c:pt idx="11">
                  <c:v>Junho</c:v>
                </c:pt>
              </c:strCache>
            </c:strRef>
          </c:cat>
          <c:val>
            <c:numRef>
              <c:f>'Resultado lotação'!$B$14:$M$14</c:f>
              <c:numCache>
                <c:formatCode>0.00</c:formatCode>
                <c:ptCount val="12"/>
                <c:pt idx="0">
                  <c:v>0.4</c:v>
                </c:pt>
                <c:pt idx="1">
                  <c:v>0.41</c:v>
                </c:pt>
                <c:pt idx="2">
                  <c:v>0.42</c:v>
                </c:pt>
                <c:pt idx="3">
                  <c:v>0.44</c:v>
                </c:pt>
                <c:pt idx="4">
                  <c:v>0.45</c:v>
                </c:pt>
                <c:pt idx="5">
                  <c:v>0.46</c:v>
                </c:pt>
                <c:pt idx="6">
                  <c:v>0.47</c:v>
                </c:pt>
                <c:pt idx="7">
                  <c:v>0.48</c:v>
                </c:pt>
                <c:pt idx="8">
                  <c:v>0.49</c:v>
                </c:pt>
                <c:pt idx="9">
                  <c:v>0.5</c:v>
                </c:pt>
                <c:pt idx="10">
                  <c:v>0.51</c:v>
                </c:pt>
                <c:pt idx="11">
                  <c:v>0.52</c:v>
                </c:pt>
              </c:numCache>
            </c:numRef>
          </c:val>
          <c:extLst>
            <c:ext xmlns:c16="http://schemas.microsoft.com/office/drawing/2014/chart" uri="{C3380CC4-5D6E-409C-BE32-E72D297353CC}">
              <c16:uniqueId val="{00000001-D4A1-4F71-B6C1-45AF4B01F5C3}"/>
            </c:ext>
          </c:extLst>
        </c:ser>
        <c:dLbls>
          <c:dLblPos val="outEnd"/>
          <c:showLegendKey val="0"/>
          <c:showVal val="1"/>
          <c:showCatName val="0"/>
          <c:showSerName val="0"/>
          <c:showPercent val="0"/>
          <c:showBubbleSize val="0"/>
        </c:dLbls>
        <c:gapWidth val="219"/>
        <c:overlap val="-27"/>
        <c:axId val="862507599"/>
        <c:axId val="198740543"/>
      </c:barChart>
      <c:catAx>
        <c:axId val="86250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0543"/>
        <c:crosses val="autoZero"/>
        <c:auto val="1"/>
        <c:lblAlgn val="ctr"/>
        <c:lblOffset val="100"/>
        <c:noMultiLvlLbl val="0"/>
      </c:catAx>
      <c:valAx>
        <c:axId val="1987405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07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LOTAÇÃO ÁREA INTENSIVA X EXTENSIVA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'Resultado lotação'!$A$17</c:f>
              <c:strCache>
                <c:ptCount val="1"/>
                <c:pt idx="0">
                  <c:v>Lotação área intensiva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'Resultado lotação'!$B$17:$M$17</c:f>
              <c:numCache>
                <c:formatCode>0.0</c:formatCode>
                <c:ptCount val="12"/>
                <c:pt idx="0">
                  <c:v>1</c:v>
                </c:pt>
                <c:pt idx="1">
                  <c:v>1</c:v>
                </c:pt>
                <c:pt idx="2">
                  <c:v>1</c:v>
                </c:pt>
                <c:pt idx="3">
                  <c:v>3</c:v>
                </c:pt>
                <c:pt idx="4">
                  <c:v>3</c:v>
                </c:pt>
                <c:pt idx="5">
                  <c:v>3</c:v>
                </c:pt>
                <c:pt idx="6">
                  <c:v>3</c:v>
                </c:pt>
                <c:pt idx="7">
                  <c:v>3</c:v>
                </c:pt>
                <c:pt idx="8">
                  <c:v>3</c:v>
                </c:pt>
                <c:pt idx="9">
                  <c:v>1</c:v>
                </c:pt>
                <c:pt idx="10">
                  <c:v>1</c:v>
                </c:pt>
                <c:pt idx="11">
                  <c:v>1</c:v>
                </c:pt>
              </c:numCache>
            </c:numRef>
          </c:val>
          <c:extLst>
            <c:ext xmlns:c16="http://schemas.microsoft.com/office/drawing/2014/chart" uri="{C3380CC4-5D6E-409C-BE32-E72D297353CC}">
              <c16:uniqueId val="{00000000-B415-4FA1-BCDE-6D53E0630A3F}"/>
            </c:ext>
          </c:extLst>
        </c:ser>
        <c:ser>
          <c:idx val="1"/>
          <c:order val="1"/>
          <c:tx>
            <c:strRef>
              <c:f>'Resultado lotação'!$A$25</c:f>
              <c:strCache>
                <c:ptCount val="1"/>
                <c:pt idx="0">
                  <c:v>Lotação área extensiva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'Resultado lotação'!$B$25:$M$25</c:f>
              <c:numCache>
                <c:formatCode>0.0</c:formatCode>
                <c:ptCount val="12"/>
                <c:pt idx="0">
                  <c:v>0.33370165745856356</c:v>
                </c:pt>
                <c:pt idx="1">
                  <c:v>0.34480662983425414</c:v>
                </c:pt>
                <c:pt idx="2">
                  <c:v>0.35591160220994478</c:v>
                </c:pt>
                <c:pt idx="3">
                  <c:v>0.1571270718232044</c:v>
                </c:pt>
                <c:pt idx="4">
                  <c:v>0.16823204419889504</c:v>
                </c:pt>
                <c:pt idx="5">
                  <c:v>0.17933701657458567</c:v>
                </c:pt>
                <c:pt idx="6">
                  <c:v>0.19044198895027623</c:v>
                </c:pt>
                <c:pt idx="7">
                  <c:v>0.20154696132596681</c:v>
                </c:pt>
                <c:pt idx="8">
                  <c:v>0.21265193370165744</c:v>
                </c:pt>
                <c:pt idx="9">
                  <c:v>0.44475138121546959</c:v>
                </c:pt>
                <c:pt idx="10">
                  <c:v>0.45585635359116022</c:v>
                </c:pt>
                <c:pt idx="11">
                  <c:v>0.46696132596685086</c:v>
                </c:pt>
              </c:numCache>
            </c:numRef>
          </c:val>
          <c:extLst>
            <c:ext xmlns:c16="http://schemas.microsoft.com/office/drawing/2014/chart" uri="{C3380CC4-5D6E-409C-BE32-E72D297353CC}">
              <c16:uniqueId val="{00000001-B415-4FA1-BCDE-6D53E0630A3F}"/>
            </c:ext>
          </c:extLst>
        </c:ser>
        <c:dLbls>
          <c:showLegendKey val="0"/>
          <c:showVal val="0"/>
          <c:showCatName val="0"/>
          <c:showSerName val="0"/>
          <c:showPercent val="0"/>
          <c:showBubbleSize val="0"/>
        </c:dLbls>
        <c:gapWidth val="219"/>
        <c:overlap val="-27"/>
        <c:axId val="360186191"/>
        <c:axId val="942946863"/>
      </c:barChart>
      <c:catAx>
        <c:axId val="36018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946863"/>
        <c:crosses val="autoZero"/>
        <c:auto val="1"/>
        <c:lblAlgn val="ctr"/>
        <c:lblOffset val="100"/>
        <c:noMultiLvlLbl val="0"/>
      </c:catAx>
      <c:valAx>
        <c:axId val="94294686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18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microsoft.com/office/2007/relationships/hdphoto" Target="../media/hdphoto2.wdp"/><Relationship Id="rId2" Type="http://schemas.openxmlformats.org/officeDocument/2006/relationships/image" Target="../media/image3.pn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18" Type="http://schemas.openxmlformats.org/officeDocument/2006/relationships/image" Target="../media/image19.png"/><Relationship Id="rId3" Type="http://schemas.openxmlformats.org/officeDocument/2006/relationships/image" Target="../media/image6.jpeg"/><Relationship Id="rId21" Type="http://schemas.openxmlformats.org/officeDocument/2006/relationships/image" Target="../media/image22.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8.png"/><Relationship Id="rId25" Type="http://schemas.openxmlformats.org/officeDocument/2006/relationships/image" Target="../media/image25.png"/><Relationship Id="rId2" Type="http://schemas.openxmlformats.org/officeDocument/2006/relationships/image" Target="../media/image5.jpeg"/><Relationship Id="rId16" Type="http://schemas.microsoft.com/office/2007/relationships/hdphoto" Target="../media/hdphoto4.wdp"/><Relationship Id="rId20" Type="http://schemas.openxmlformats.org/officeDocument/2006/relationships/image" Target="../media/image21.png"/><Relationship Id="rId1" Type="http://schemas.openxmlformats.org/officeDocument/2006/relationships/image" Target="../media/image4.jpeg"/><Relationship Id="rId6" Type="http://schemas.microsoft.com/office/2007/relationships/hdphoto" Target="../media/hdphoto3.wdp"/><Relationship Id="rId11" Type="http://schemas.openxmlformats.org/officeDocument/2006/relationships/image" Target="../media/image13.png"/><Relationship Id="rId24" Type="http://schemas.microsoft.com/office/2007/relationships/hdphoto" Target="../media/hdphoto5.wdp"/><Relationship Id="rId5" Type="http://schemas.openxmlformats.org/officeDocument/2006/relationships/image" Target="../media/image8.png"/><Relationship Id="rId15" Type="http://schemas.openxmlformats.org/officeDocument/2006/relationships/image" Target="../media/image17.png"/><Relationship Id="rId23" Type="http://schemas.openxmlformats.org/officeDocument/2006/relationships/image" Target="../media/image24.png"/><Relationship Id="rId10" Type="http://schemas.openxmlformats.org/officeDocument/2006/relationships/image" Target="../media/image12.png"/><Relationship Id="rId19" Type="http://schemas.openxmlformats.org/officeDocument/2006/relationships/image" Target="../media/image20.png"/><Relationship Id="rId4" Type="http://schemas.openxmlformats.org/officeDocument/2006/relationships/image" Target="../media/image7.jpe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5" Type="http://schemas.microsoft.com/office/2007/relationships/hdphoto" Target="../media/hdphoto6.wdp"/><Relationship Id="rId4"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85417</xdr:colOff>
      <xdr:row>0</xdr:row>
      <xdr:rowOff>114461</xdr:rowOff>
    </xdr:from>
    <xdr:to>
      <xdr:col>0</xdr:col>
      <xdr:colOff>720998</xdr:colOff>
      <xdr:row>0</xdr:row>
      <xdr:rowOff>204468</xdr:rowOff>
    </xdr:to>
    <xdr:sp macro="" textlink="">
      <xdr:nvSpPr>
        <xdr:cNvPr id="2" name="Gráfico 2">
          <a:extLst>
            <a:ext uri="{FF2B5EF4-FFF2-40B4-BE49-F238E27FC236}">
              <a16:creationId xmlns:a16="http://schemas.microsoft.com/office/drawing/2014/main" id="{83064B65-D40F-4C30-B1E4-1CB34840D8F2}"/>
            </a:ext>
          </a:extLst>
        </xdr:cNvPr>
        <xdr:cNvSpPr/>
      </xdr:nvSpPr>
      <xdr:spPr>
        <a:xfrm>
          <a:off x="85417" y="114461"/>
          <a:ext cx="635581" cy="90007"/>
        </a:xfrm>
        <a:custGeom>
          <a:avLst/>
          <a:gdLst>
            <a:gd name="connsiteX0" fmla="*/ 64367 w 635581"/>
            <a:gd name="connsiteY0" fmla="*/ 4440 h 90007"/>
            <a:gd name="connsiteX1" fmla="*/ 80420 w 635581"/>
            <a:gd name="connsiteY1" fmla="*/ 17607 h 90007"/>
            <a:gd name="connsiteX2" fmla="*/ 81146 w 635581"/>
            <a:gd name="connsiteY2" fmla="*/ 18570 h 90007"/>
            <a:gd name="connsiteX3" fmla="*/ 89480 w 635581"/>
            <a:gd name="connsiteY3" fmla="*/ 39856 h 90007"/>
            <a:gd name="connsiteX4" fmla="*/ 85872 w 635581"/>
            <a:gd name="connsiteY4" fmla="*/ 63303 h 90007"/>
            <a:gd name="connsiteX5" fmla="*/ 70491 w 635581"/>
            <a:gd name="connsiteY5" fmla="*/ 81887 h 90007"/>
            <a:gd name="connsiteX6" fmla="*/ 49390 w 635581"/>
            <a:gd name="connsiteY6" fmla="*/ 89748 h 90007"/>
            <a:gd name="connsiteX7" fmla="*/ 25465 w 635581"/>
            <a:gd name="connsiteY7" fmla="*/ 85564 h 90007"/>
            <a:gd name="connsiteX8" fmla="*/ 14889 w 635581"/>
            <a:gd name="connsiteY8" fmla="*/ 78506 h 90007"/>
            <a:gd name="connsiteX9" fmla="*/ 14559 w 635581"/>
            <a:gd name="connsiteY9" fmla="*/ 78215 h 90007"/>
            <a:gd name="connsiteX10" fmla="*/ 6302 w 635581"/>
            <a:gd name="connsiteY10" fmla="*/ 68151 h 90007"/>
            <a:gd name="connsiteX11" fmla="*/ 6069 w 635581"/>
            <a:gd name="connsiteY11" fmla="*/ 67767 h 90007"/>
            <a:gd name="connsiteX12" fmla="*/ 14 w 635581"/>
            <a:gd name="connsiteY12" fmla="*/ 47718 h 90007"/>
            <a:gd name="connsiteX13" fmla="*/ 9 w 635581"/>
            <a:gd name="connsiteY13" fmla="*/ 47264 h 90007"/>
            <a:gd name="connsiteX14" fmla="*/ 3 w 635581"/>
            <a:gd name="connsiteY14" fmla="*/ 46776 h 90007"/>
            <a:gd name="connsiteX15" fmla="*/ 5661 w 635581"/>
            <a:gd name="connsiteY15" fmla="*/ 22841 h 90007"/>
            <a:gd name="connsiteX16" fmla="*/ 11383 w 635581"/>
            <a:gd name="connsiteY16" fmla="*/ 15028 h 90007"/>
            <a:gd name="connsiteX17" fmla="*/ 12387 w 635581"/>
            <a:gd name="connsiteY17" fmla="*/ 13871 h 90007"/>
            <a:gd name="connsiteX18" fmla="*/ 22697 w 635581"/>
            <a:gd name="connsiteY18" fmla="*/ 5823 h 90007"/>
            <a:gd name="connsiteX19" fmla="*/ 23137 w 635581"/>
            <a:gd name="connsiteY19" fmla="*/ 5570 h 90007"/>
            <a:gd name="connsiteX20" fmla="*/ 64367 w 635581"/>
            <a:gd name="connsiteY20" fmla="*/ 4440 h 90007"/>
            <a:gd name="connsiteX21" fmla="*/ 38114 w 635581"/>
            <a:gd name="connsiteY21" fmla="*/ 16373 h 90007"/>
            <a:gd name="connsiteX22" fmla="*/ 37658 w 635581"/>
            <a:gd name="connsiteY22" fmla="*/ 16485 h 90007"/>
            <a:gd name="connsiteX23" fmla="*/ 23866 w 635581"/>
            <a:gd name="connsiteY23" fmla="*/ 24385 h 90007"/>
            <a:gd name="connsiteX24" fmla="*/ 16526 w 635581"/>
            <a:gd name="connsiteY24" fmla="*/ 36909 h 90007"/>
            <a:gd name="connsiteX25" fmla="*/ 16411 w 635581"/>
            <a:gd name="connsiteY25" fmla="*/ 52671 h 90007"/>
            <a:gd name="connsiteX26" fmla="*/ 22697 w 635581"/>
            <a:gd name="connsiteY26" fmla="*/ 64243 h 90007"/>
            <a:gd name="connsiteX27" fmla="*/ 23123 w 635581"/>
            <a:gd name="connsiteY27" fmla="*/ 64749 h 90007"/>
            <a:gd name="connsiteX28" fmla="*/ 26600 w 635581"/>
            <a:gd name="connsiteY28" fmla="*/ 67956 h 90007"/>
            <a:gd name="connsiteX29" fmla="*/ 27098 w 635581"/>
            <a:gd name="connsiteY29" fmla="*/ 68373 h 90007"/>
            <a:gd name="connsiteX30" fmla="*/ 40653 w 635581"/>
            <a:gd name="connsiteY30" fmla="*/ 74012 h 90007"/>
            <a:gd name="connsiteX31" fmla="*/ 55923 w 635581"/>
            <a:gd name="connsiteY31" fmla="*/ 72145 h 90007"/>
            <a:gd name="connsiteX32" fmla="*/ 63877 w 635581"/>
            <a:gd name="connsiteY32" fmla="*/ 67174 h 90007"/>
            <a:gd name="connsiteX33" fmla="*/ 64452 w 635581"/>
            <a:gd name="connsiteY33" fmla="*/ 66676 h 90007"/>
            <a:gd name="connsiteX34" fmla="*/ 72445 w 635581"/>
            <a:gd name="connsiteY34" fmla="*/ 54701 h 90007"/>
            <a:gd name="connsiteX35" fmla="*/ 73644 w 635581"/>
            <a:gd name="connsiteY35" fmla="*/ 39594 h 90007"/>
            <a:gd name="connsiteX36" fmla="*/ 66931 w 635581"/>
            <a:gd name="connsiteY36" fmla="*/ 25800 h 90007"/>
            <a:gd name="connsiteX37" fmla="*/ 65634 w 635581"/>
            <a:gd name="connsiteY37" fmla="*/ 24385 h 90007"/>
            <a:gd name="connsiteX38" fmla="*/ 65267 w 635581"/>
            <a:gd name="connsiteY38" fmla="*/ 23985 h 90007"/>
            <a:gd name="connsiteX39" fmla="*/ 53350 w 635581"/>
            <a:gd name="connsiteY39" fmla="*/ 16898 h 90007"/>
            <a:gd name="connsiteX40" fmla="*/ 51386 w 635581"/>
            <a:gd name="connsiteY40" fmla="*/ 16373 h 90007"/>
            <a:gd name="connsiteX41" fmla="*/ 50971 w 635581"/>
            <a:gd name="connsiteY41" fmla="*/ 16267 h 90007"/>
            <a:gd name="connsiteX42" fmla="*/ 38114 w 635581"/>
            <a:gd name="connsiteY42" fmla="*/ 16373 h 90007"/>
            <a:gd name="connsiteX43" fmla="*/ 136873 w 635581"/>
            <a:gd name="connsiteY43" fmla="*/ 157 h 90007"/>
            <a:gd name="connsiteX44" fmla="*/ 186390 w 635581"/>
            <a:gd name="connsiteY44" fmla="*/ 3994 h 90007"/>
            <a:gd name="connsiteX45" fmla="*/ 191521 w 635581"/>
            <a:gd name="connsiteY45" fmla="*/ 8168 h 90007"/>
            <a:gd name="connsiteX46" fmla="*/ 191896 w 635581"/>
            <a:gd name="connsiteY46" fmla="*/ 8504 h 90007"/>
            <a:gd name="connsiteX47" fmla="*/ 197962 w 635581"/>
            <a:gd name="connsiteY47" fmla="*/ 18524 h 90007"/>
            <a:gd name="connsiteX48" fmla="*/ 198186 w 635581"/>
            <a:gd name="connsiteY48" fmla="*/ 19147 h 90007"/>
            <a:gd name="connsiteX49" fmla="*/ 198998 w 635581"/>
            <a:gd name="connsiteY49" fmla="*/ 32677 h 90007"/>
            <a:gd name="connsiteX50" fmla="*/ 198547 w 635581"/>
            <a:gd name="connsiteY50" fmla="*/ 34544 h 90007"/>
            <a:gd name="connsiteX51" fmla="*/ 198441 w 635581"/>
            <a:gd name="connsiteY51" fmla="*/ 34947 h 90007"/>
            <a:gd name="connsiteX52" fmla="*/ 190919 w 635581"/>
            <a:gd name="connsiteY52" fmla="*/ 47332 h 90007"/>
            <a:gd name="connsiteX53" fmla="*/ 178208 w 635581"/>
            <a:gd name="connsiteY53" fmla="*/ 54193 h 90007"/>
            <a:gd name="connsiteX54" fmla="*/ 170112 w 635581"/>
            <a:gd name="connsiteY54" fmla="*/ 54884 h 90007"/>
            <a:gd name="connsiteX55" fmla="*/ 169175 w 635581"/>
            <a:gd name="connsiteY55" fmla="*/ 54884 h 90007"/>
            <a:gd name="connsiteX56" fmla="*/ 165733 w 635581"/>
            <a:gd name="connsiteY56" fmla="*/ 54876 h 90007"/>
            <a:gd name="connsiteX57" fmla="*/ 157951 w 635581"/>
            <a:gd name="connsiteY57" fmla="*/ 54865 h 90007"/>
            <a:gd name="connsiteX58" fmla="*/ 157951 w 635581"/>
            <a:gd name="connsiteY58" fmla="*/ 39233 h 90007"/>
            <a:gd name="connsiteX59" fmla="*/ 168146 w 635581"/>
            <a:gd name="connsiteY59" fmla="*/ 39158 h 90007"/>
            <a:gd name="connsiteX60" fmla="*/ 169606 w 635581"/>
            <a:gd name="connsiteY60" fmla="*/ 39142 h 90007"/>
            <a:gd name="connsiteX61" fmla="*/ 170571 w 635581"/>
            <a:gd name="connsiteY61" fmla="*/ 39136 h 90007"/>
            <a:gd name="connsiteX62" fmla="*/ 177652 w 635581"/>
            <a:gd name="connsiteY62" fmla="*/ 37694 h 90007"/>
            <a:gd name="connsiteX63" fmla="*/ 178017 w 635581"/>
            <a:gd name="connsiteY63" fmla="*/ 37501 h 90007"/>
            <a:gd name="connsiteX64" fmla="*/ 180006 w 635581"/>
            <a:gd name="connsiteY64" fmla="*/ 35912 h 90007"/>
            <a:gd name="connsiteX65" fmla="*/ 180396 w 635581"/>
            <a:gd name="connsiteY65" fmla="*/ 35912 h 90007"/>
            <a:gd name="connsiteX66" fmla="*/ 180558 w 635581"/>
            <a:gd name="connsiteY66" fmla="*/ 35563 h 90007"/>
            <a:gd name="connsiteX67" fmla="*/ 181324 w 635581"/>
            <a:gd name="connsiteY67" fmla="*/ 34459 h 90007"/>
            <a:gd name="connsiteX68" fmla="*/ 183471 w 635581"/>
            <a:gd name="connsiteY68" fmla="*/ 29796 h 90007"/>
            <a:gd name="connsiteX69" fmla="*/ 182421 w 635581"/>
            <a:gd name="connsiteY69" fmla="*/ 22223 h 90007"/>
            <a:gd name="connsiteX70" fmla="*/ 178137 w 635581"/>
            <a:gd name="connsiteY70" fmla="*/ 17535 h 90007"/>
            <a:gd name="connsiteX71" fmla="*/ 152486 w 635581"/>
            <a:gd name="connsiteY71" fmla="*/ 15788 h 90007"/>
            <a:gd name="connsiteX72" fmla="*/ 152486 w 635581"/>
            <a:gd name="connsiteY72" fmla="*/ 89839 h 90007"/>
            <a:gd name="connsiteX73" fmla="*/ 136873 w 635581"/>
            <a:gd name="connsiteY73" fmla="*/ 89839 h 90007"/>
            <a:gd name="connsiteX74" fmla="*/ 234034 w 635581"/>
            <a:gd name="connsiteY74" fmla="*/ 19476 h 90007"/>
            <a:gd name="connsiteX75" fmla="*/ 251735 w 635581"/>
            <a:gd name="connsiteY75" fmla="*/ 23744 h 90007"/>
            <a:gd name="connsiteX76" fmla="*/ 259247 w 635581"/>
            <a:gd name="connsiteY76" fmla="*/ 29269 h 90007"/>
            <a:gd name="connsiteX77" fmla="*/ 259788 w 635581"/>
            <a:gd name="connsiteY77" fmla="*/ 29767 h 90007"/>
            <a:gd name="connsiteX78" fmla="*/ 268715 w 635581"/>
            <a:gd name="connsiteY78" fmla="*/ 44874 h 90007"/>
            <a:gd name="connsiteX79" fmla="*/ 269396 w 635581"/>
            <a:gd name="connsiteY79" fmla="*/ 47635 h 90007"/>
            <a:gd name="connsiteX80" fmla="*/ 269493 w 635581"/>
            <a:gd name="connsiteY80" fmla="*/ 48077 h 90007"/>
            <a:gd name="connsiteX81" fmla="*/ 270029 w 635581"/>
            <a:gd name="connsiteY81" fmla="*/ 54816 h 90007"/>
            <a:gd name="connsiteX82" fmla="*/ 270029 w 635581"/>
            <a:gd name="connsiteY82" fmla="*/ 55229 h 90007"/>
            <a:gd name="connsiteX83" fmla="*/ 269786 w 635581"/>
            <a:gd name="connsiteY83" fmla="*/ 59359 h 90007"/>
            <a:gd name="connsiteX84" fmla="*/ 221773 w 635581"/>
            <a:gd name="connsiteY84" fmla="*/ 59359 h 90007"/>
            <a:gd name="connsiteX85" fmla="*/ 221773 w 635581"/>
            <a:gd name="connsiteY85" fmla="*/ 47830 h 90007"/>
            <a:gd name="connsiteX86" fmla="*/ 253002 w 635581"/>
            <a:gd name="connsiteY86" fmla="*/ 47635 h 90007"/>
            <a:gd name="connsiteX87" fmla="*/ 246401 w 635581"/>
            <a:gd name="connsiteY87" fmla="*/ 38891 h 90007"/>
            <a:gd name="connsiteX88" fmla="*/ 236646 w 635581"/>
            <a:gd name="connsiteY88" fmla="*/ 35287 h 90007"/>
            <a:gd name="connsiteX89" fmla="*/ 234996 w 635581"/>
            <a:gd name="connsiteY89" fmla="*/ 35266 h 90007"/>
            <a:gd name="connsiteX90" fmla="*/ 234403 w 635581"/>
            <a:gd name="connsiteY90" fmla="*/ 35268 h 90007"/>
            <a:gd name="connsiteX91" fmla="*/ 224441 w 635581"/>
            <a:gd name="connsiteY91" fmla="*/ 38250 h 90007"/>
            <a:gd name="connsiteX92" fmla="*/ 217845 w 635581"/>
            <a:gd name="connsiteY92" fmla="*/ 45523 h 90007"/>
            <a:gd name="connsiteX93" fmla="*/ 215686 w 635581"/>
            <a:gd name="connsiteY93" fmla="*/ 56592 h 90007"/>
            <a:gd name="connsiteX94" fmla="*/ 218733 w 635581"/>
            <a:gd name="connsiteY94" fmla="*/ 65359 h 90007"/>
            <a:gd name="connsiteX95" fmla="*/ 226775 w 635581"/>
            <a:gd name="connsiteY95" fmla="*/ 72326 h 90007"/>
            <a:gd name="connsiteX96" fmla="*/ 236803 w 635581"/>
            <a:gd name="connsiteY96" fmla="*/ 74012 h 90007"/>
            <a:gd name="connsiteX97" fmla="*/ 246170 w 635581"/>
            <a:gd name="connsiteY97" fmla="*/ 70494 h 90007"/>
            <a:gd name="connsiteX98" fmla="*/ 246672 w 635581"/>
            <a:gd name="connsiteY98" fmla="*/ 69989 h 90007"/>
            <a:gd name="connsiteX99" fmla="*/ 247757 w 635581"/>
            <a:gd name="connsiteY99" fmla="*/ 69431 h 90007"/>
            <a:gd name="connsiteX100" fmla="*/ 249247 w 635581"/>
            <a:gd name="connsiteY100" fmla="*/ 69407 h 90007"/>
            <a:gd name="connsiteX101" fmla="*/ 249820 w 635581"/>
            <a:gd name="connsiteY101" fmla="*/ 69407 h 90007"/>
            <a:gd name="connsiteX102" fmla="*/ 251681 w 635581"/>
            <a:gd name="connsiteY102" fmla="*/ 69423 h 90007"/>
            <a:gd name="connsiteX103" fmla="*/ 252977 w 635581"/>
            <a:gd name="connsiteY103" fmla="*/ 69427 h 90007"/>
            <a:gd name="connsiteX104" fmla="*/ 256378 w 635581"/>
            <a:gd name="connsiteY104" fmla="*/ 69452 h 90007"/>
            <a:gd name="connsiteX105" fmla="*/ 259851 w 635581"/>
            <a:gd name="connsiteY105" fmla="*/ 69471 h 90007"/>
            <a:gd name="connsiteX106" fmla="*/ 266662 w 635581"/>
            <a:gd name="connsiteY106" fmla="*/ 69518 h 90007"/>
            <a:gd name="connsiteX107" fmla="*/ 260417 w 635581"/>
            <a:gd name="connsiteY107" fmla="*/ 78896 h 90007"/>
            <a:gd name="connsiteX108" fmla="*/ 260127 w 635581"/>
            <a:gd name="connsiteY108" fmla="*/ 79207 h 90007"/>
            <a:gd name="connsiteX109" fmla="*/ 245395 w 635581"/>
            <a:gd name="connsiteY109" fmla="*/ 88396 h 90007"/>
            <a:gd name="connsiteX110" fmla="*/ 226325 w 635581"/>
            <a:gd name="connsiteY110" fmla="*/ 88871 h 90007"/>
            <a:gd name="connsiteX111" fmla="*/ 219821 w 635581"/>
            <a:gd name="connsiteY111" fmla="*/ 86516 h 90007"/>
            <a:gd name="connsiteX112" fmla="*/ 219393 w 635581"/>
            <a:gd name="connsiteY112" fmla="*/ 86313 h 90007"/>
            <a:gd name="connsiteX113" fmla="*/ 211495 w 635581"/>
            <a:gd name="connsiteY113" fmla="*/ 80892 h 90007"/>
            <a:gd name="connsiteX114" fmla="*/ 210271 w 635581"/>
            <a:gd name="connsiteY114" fmla="*/ 79825 h 90007"/>
            <a:gd name="connsiteX115" fmla="*/ 201641 w 635581"/>
            <a:gd name="connsiteY115" fmla="*/ 66106 h 90007"/>
            <a:gd name="connsiteX116" fmla="*/ 200396 w 635581"/>
            <a:gd name="connsiteY116" fmla="*/ 47727 h 90007"/>
            <a:gd name="connsiteX117" fmla="*/ 208792 w 635581"/>
            <a:gd name="connsiteY117" fmla="*/ 31155 h 90007"/>
            <a:gd name="connsiteX118" fmla="*/ 224287 w 635581"/>
            <a:gd name="connsiteY118" fmla="*/ 21088 h 90007"/>
            <a:gd name="connsiteX119" fmla="*/ 234034 w 635581"/>
            <a:gd name="connsiteY119" fmla="*/ 19476 h 90007"/>
            <a:gd name="connsiteX120" fmla="*/ 472571 w 635581"/>
            <a:gd name="connsiteY120" fmla="*/ 23481 h 90007"/>
            <a:gd name="connsiteX121" fmla="*/ 477257 w 635581"/>
            <a:gd name="connsiteY121" fmla="*/ 26534 h 90007"/>
            <a:gd name="connsiteX122" fmla="*/ 477824 w 635581"/>
            <a:gd name="connsiteY122" fmla="*/ 26978 h 90007"/>
            <a:gd name="connsiteX123" fmla="*/ 488649 w 635581"/>
            <a:gd name="connsiteY123" fmla="*/ 41187 h 90007"/>
            <a:gd name="connsiteX124" fmla="*/ 490881 w 635581"/>
            <a:gd name="connsiteY124" fmla="*/ 49077 h 90007"/>
            <a:gd name="connsiteX125" fmla="*/ 490948 w 635581"/>
            <a:gd name="connsiteY125" fmla="*/ 49463 h 90007"/>
            <a:gd name="connsiteX126" fmla="*/ 491331 w 635581"/>
            <a:gd name="connsiteY126" fmla="*/ 57343 h 90007"/>
            <a:gd name="connsiteX127" fmla="*/ 491331 w 635581"/>
            <a:gd name="connsiteY127" fmla="*/ 58413 h 90007"/>
            <a:gd name="connsiteX128" fmla="*/ 491329 w 635581"/>
            <a:gd name="connsiteY128" fmla="*/ 61288 h 90007"/>
            <a:gd name="connsiteX129" fmla="*/ 491327 w 635581"/>
            <a:gd name="connsiteY129" fmla="*/ 64303 h 90007"/>
            <a:gd name="connsiteX130" fmla="*/ 491323 w 635581"/>
            <a:gd name="connsiteY130" fmla="*/ 70002 h 90007"/>
            <a:gd name="connsiteX131" fmla="*/ 491317 w 635581"/>
            <a:gd name="connsiteY131" fmla="*/ 77711 h 90007"/>
            <a:gd name="connsiteX132" fmla="*/ 491309 w 635581"/>
            <a:gd name="connsiteY132" fmla="*/ 89839 h 90007"/>
            <a:gd name="connsiteX133" fmla="*/ 475695 w 635581"/>
            <a:gd name="connsiteY133" fmla="*/ 89839 h 90007"/>
            <a:gd name="connsiteX134" fmla="*/ 475689 w 635581"/>
            <a:gd name="connsiteY134" fmla="*/ 86493 h 90007"/>
            <a:gd name="connsiteX135" fmla="*/ 475658 w 635581"/>
            <a:gd name="connsiteY135" fmla="*/ 75520 h 90007"/>
            <a:gd name="connsiteX136" fmla="*/ 475641 w 635581"/>
            <a:gd name="connsiteY136" fmla="*/ 68871 h 90007"/>
            <a:gd name="connsiteX137" fmla="*/ 475625 w 635581"/>
            <a:gd name="connsiteY137" fmla="*/ 63069 h 90007"/>
            <a:gd name="connsiteX138" fmla="*/ 475618 w 635581"/>
            <a:gd name="connsiteY138" fmla="*/ 60004 h 90007"/>
            <a:gd name="connsiteX139" fmla="*/ 475608 w 635581"/>
            <a:gd name="connsiteY139" fmla="*/ 57108 h 90007"/>
            <a:gd name="connsiteX140" fmla="*/ 475608 w 635581"/>
            <a:gd name="connsiteY140" fmla="*/ 56054 h 90007"/>
            <a:gd name="connsiteX141" fmla="*/ 473353 w 635581"/>
            <a:gd name="connsiteY141" fmla="*/ 45681 h 90007"/>
            <a:gd name="connsiteX142" fmla="*/ 473037 w 635581"/>
            <a:gd name="connsiteY142" fmla="*/ 45055 h 90007"/>
            <a:gd name="connsiteX143" fmla="*/ 466569 w 635581"/>
            <a:gd name="connsiteY143" fmla="*/ 38165 h 90007"/>
            <a:gd name="connsiteX144" fmla="*/ 457330 w 635581"/>
            <a:gd name="connsiteY144" fmla="*/ 35285 h 90007"/>
            <a:gd name="connsiteX145" fmla="*/ 451104 w 635581"/>
            <a:gd name="connsiteY145" fmla="*/ 35912 h 90007"/>
            <a:gd name="connsiteX146" fmla="*/ 450499 w 635581"/>
            <a:gd name="connsiteY146" fmla="*/ 36076 h 90007"/>
            <a:gd name="connsiteX147" fmla="*/ 441735 w 635581"/>
            <a:gd name="connsiteY147" fmla="*/ 41579 h 90007"/>
            <a:gd name="connsiteX148" fmla="*/ 437246 w 635581"/>
            <a:gd name="connsiteY148" fmla="*/ 50370 h 90007"/>
            <a:gd name="connsiteX149" fmla="*/ 437101 w 635581"/>
            <a:gd name="connsiteY149" fmla="*/ 50944 h 90007"/>
            <a:gd name="connsiteX150" fmla="*/ 437783 w 635581"/>
            <a:gd name="connsiteY150" fmla="*/ 60934 h 90007"/>
            <a:gd name="connsiteX151" fmla="*/ 441345 w 635581"/>
            <a:gd name="connsiteY151" fmla="*/ 67174 h 90007"/>
            <a:gd name="connsiteX152" fmla="*/ 441713 w 635581"/>
            <a:gd name="connsiteY152" fmla="*/ 67641 h 90007"/>
            <a:gd name="connsiteX153" fmla="*/ 449173 w 635581"/>
            <a:gd name="connsiteY153" fmla="*/ 72809 h 90007"/>
            <a:gd name="connsiteX154" fmla="*/ 459621 w 635581"/>
            <a:gd name="connsiteY154" fmla="*/ 73801 h 90007"/>
            <a:gd name="connsiteX155" fmla="*/ 465156 w 635581"/>
            <a:gd name="connsiteY155" fmla="*/ 71863 h 90007"/>
            <a:gd name="connsiteX156" fmla="*/ 465780 w 635581"/>
            <a:gd name="connsiteY156" fmla="*/ 71552 h 90007"/>
            <a:gd name="connsiteX157" fmla="*/ 469542 w 635581"/>
            <a:gd name="connsiteY157" fmla="*/ 68616 h 90007"/>
            <a:gd name="connsiteX158" fmla="*/ 470035 w 635581"/>
            <a:gd name="connsiteY158" fmla="*/ 68151 h 90007"/>
            <a:gd name="connsiteX159" fmla="*/ 470230 w 635581"/>
            <a:gd name="connsiteY159" fmla="*/ 68151 h 90007"/>
            <a:gd name="connsiteX160" fmla="*/ 470230 w 635581"/>
            <a:gd name="connsiteY160" fmla="*/ 86908 h 90007"/>
            <a:gd name="connsiteX161" fmla="*/ 460666 w 635581"/>
            <a:gd name="connsiteY161" fmla="*/ 89644 h 90007"/>
            <a:gd name="connsiteX162" fmla="*/ 460268 w 635581"/>
            <a:gd name="connsiteY162" fmla="*/ 89700 h 90007"/>
            <a:gd name="connsiteX163" fmla="*/ 443320 w 635581"/>
            <a:gd name="connsiteY163" fmla="*/ 87518 h 90007"/>
            <a:gd name="connsiteX164" fmla="*/ 433148 w 635581"/>
            <a:gd name="connsiteY164" fmla="*/ 81242 h 90007"/>
            <a:gd name="connsiteX165" fmla="*/ 432306 w 635581"/>
            <a:gd name="connsiteY165" fmla="*/ 80522 h 90007"/>
            <a:gd name="connsiteX166" fmla="*/ 422755 w 635581"/>
            <a:gd name="connsiteY166" fmla="*/ 65741 h 90007"/>
            <a:gd name="connsiteX167" fmla="*/ 421047 w 635581"/>
            <a:gd name="connsiteY167" fmla="*/ 55841 h 90007"/>
            <a:gd name="connsiteX168" fmla="*/ 421010 w 635581"/>
            <a:gd name="connsiteY168" fmla="*/ 55202 h 90007"/>
            <a:gd name="connsiteX169" fmla="*/ 421047 w 635581"/>
            <a:gd name="connsiteY169" fmla="*/ 53496 h 90007"/>
            <a:gd name="connsiteX170" fmla="*/ 421070 w 635581"/>
            <a:gd name="connsiteY170" fmla="*/ 53052 h 90007"/>
            <a:gd name="connsiteX171" fmla="*/ 425340 w 635581"/>
            <a:gd name="connsiteY171" fmla="*/ 37866 h 90007"/>
            <a:gd name="connsiteX172" fmla="*/ 425530 w 635581"/>
            <a:gd name="connsiteY172" fmla="*/ 37507 h 90007"/>
            <a:gd name="connsiteX173" fmla="*/ 430215 w 635581"/>
            <a:gd name="connsiteY173" fmla="*/ 31069 h 90007"/>
            <a:gd name="connsiteX174" fmla="*/ 431207 w 635581"/>
            <a:gd name="connsiteY174" fmla="*/ 29916 h 90007"/>
            <a:gd name="connsiteX175" fmla="*/ 443989 w 635581"/>
            <a:gd name="connsiteY175" fmla="*/ 21622 h 90007"/>
            <a:gd name="connsiteX176" fmla="*/ 472571 w 635581"/>
            <a:gd name="connsiteY176" fmla="*/ 23481 h 90007"/>
            <a:gd name="connsiteX177" fmla="*/ 599559 w 635581"/>
            <a:gd name="connsiteY177" fmla="*/ 19476 h 90007"/>
            <a:gd name="connsiteX178" fmla="*/ 617438 w 635581"/>
            <a:gd name="connsiteY178" fmla="*/ 23844 h 90007"/>
            <a:gd name="connsiteX179" fmla="*/ 624417 w 635581"/>
            <a:gd name="connsiteY179" fmla="*/ 29074 h 90007"/>
            <a:gd name="connsiteX180" fmla="*/ 624749 w 635581"/>
            <a:gd name="connsiteY180" fmla="*/ 29387 h 90007"/>
            <a:gd name="connsiteX181" fmla="*/ 634083 w 635581"/>
            <a:gd name="connsiteY181" fmla="*/ 44488 h 90007"/>
            <a:gd name="connsiteX182" fmla="*/ 635543 w 635581"/>
            <a:gd name="connsiteY182" fmla="*/ 52911 h 90007"/>
            <a:gd name="connsiteX183" fmla="*/ 635558 w 635581"/>
            <a:gd name="connsiteY183" fmla="*/ 53295 h 90007"/>
            <a:gd name="connsiteX184" fmla="*/ 631493 w 635581"/>
            <a:gd name="connsiteY184" fmla="*/ 71228 h 90007"/>
            <a:gd name="connsiteX185" fmla="*/ 619226 w 635581"/>
            <a:gd name="connsiteY185" fmla="*/ 84470 h 90007"/>
            <a:gd name="connsiteX186" fmla="*/ 606266 w 635581"/>
            <a:gd name="connsiteY186" fmla="*/ 89447 h 90007"/>
            <a:gd name="connsiteX187" fmla="*/ 605863 w 635581"/>
            <a:gd name="connsiteY187" fmla="*/ 89526 h 90007"/>
            <a:gd name="connsiteX188" fmla="*/ 588451 w 635581"/>
            <a:gd name="connsiteY188" fmla="*/ 87887 h 90007"/>
            <a:gd name="connsiteX189" fmla="*/ 575624 w 635581"/>
            <a:gd name="connsiteY189" fmla="*/ 79678 h 90007"/>
            <a:gd name="connsiteX190" fmla="*/ 575178 w 635581"/>
            <a:gd name="connsiteY190" fmla="*/ 79271 h 90007"/>
            <a:gd name="connsiteX191" fmla="*/ 569574 w 635581"/>
            <a:gd name="connsiteY191" fmla="*/ 71668 h 90007"/>
            <a:gd name="connsiteX192" fmla="*/ 569369 w 635581"/>
            <a:gd name="connsiteY192" fmla="*/ 71296 h 90007"/>
            <a:gd name="connsiteX193" fmla="*/ 565670 w 635581"/>
            <a:gd name="connsiteY193" fmla="*/ 60531 h 90007"/>
            <a:gd name="connsiteX194" fmla="*/ 565591 w 635581"/>
            <a:gd name="connsiteY194" fmla="*/ 60122 h 90007"/>
            <a:gd name="connsiteX195" fmla="*/ 567213 w 635581"/>
            <a:gd name="connsiteY195" fmla="*/ 42831 h 90007"/>
            <a:gd name="connsiteX196" fmla="*/ 568597 w 635581"/>
            <a:gd name="connsiteY196" fmla="*/ 39625 h 90007"/>
            <a:gd name="connsiteX197" fmla="*/ 568802 w 635581"/>
            <a:gd name="connsiteY197" fmla="*/ 39196 h 90007"/>
            <a:gd name="connsiteX198" fmla="*/ 580510 w 635581"/>
            <a:gd name="connsiteY198" fmla="*/ 25617 h 90007"/>
            <a:gd name="connsiteX199" fmla="*/ 597654 w 635581"/>
            <a:gd name="connsiteY199" fmla="*/ 19549 h 90007"/>
            <a:gd name="connsiteX200" fmla="*/ 599559 w 635581"/>
            <a:gd name="connsiteY200" fmla="*/ 19476 h 90007"/>
            <a:gd name="connsiteX201" fmla="*/ 589615 w 635581"/>
            <a:gd name="connsiteY201" fmla="*/ 38225 h 90007"/>
            <a:gd name="connsiteX202" fmla="*/ 582601 w 635581"/>
            <a:gd name="connsiteY202" fmla="*/ 46561 h 90007"/>
            <a:gd name="connsiteX203" fmla="*/ 580933 w 635581"/>
            <a:gd name="connsiteY203" fmla="*/ 56859 h 90007"/>
            <a:gd name="connsiteX204" fmla="*/ 584758 w 635581"/>
            <a:gd name="connsiteY204" fmla="*/ 66456 h 90007"/>
            <a:gd name="connsiteX205" fmla="*/ 591042 w 635581"/>
            <a:gd name="connsiteY205" fmla="*/ 71863 h 90007"/>
            <a:gd name="connsiteX206" fmla="*/ 591526 w 635581"/>
            <a:gd name="connsiteY206" fmla="*/ 72141 h 90007"/>
            <a:gd name="connsiteX207" fmla="*/ 601216 w 635581"/>
            <a:gd name="connsiteY207" fmla="*/ 74255 h 90007"/>
            <a:gd name="connsiteX208" fmla="*/ 611144 w 635581"/>
            <a:gd name="connsiteY208" fmla="*/ 71081 h 90007"/>
            <a:gd name="connsiteX209" fmla="*/ 613096 w 635581"/>
            <a:gd name="connsiteY209" fmla="*/ 69518 h 90007"/>
            <a:gd name="connsiteX210" fmla="*/ 613446 w 635581"/>
            <a:gd name="connsiteY210" fmla="*/ 69255 h 90007"/>
            <a:gd name="connsiteX211" fmla="*/ 618463 w 635581"/>
            <a:gd name="connsiteY211" fmla="*/ 62235 h 90007"/>
            <a:gd name="connsiteX212" fmla="*/ 619929 w 635581"/>
            <a:gd name="connsiteY212" fmla="*/ 55646 h 90007"/>
            <a:gd name="connsiteX213" fmla="*/ 619952 w 635581"/>
            <a:gd name="connsiteY213" fmla="*/ 55202 h 90007"/>
            <a:gd name="connsiteX214" fmla="*/ 617411 w 635581"/>
            <a:gd name="connsiteY214" fmla="*/ 45034 h 90007"/>
            <a:gd name="connsiteX215" fmla="*/ 615440 w 635581"/>
            <a:gd name="connsiteY215" fmla="*/ 42165 h 90007"/>
            <a:gd name="connsiteX216" fmla="*/ 615040 w 635581"/>
            <a:gd name="connsiteY216" fmla="*/ 41667 h 90007"/>
            <a:gd name="connsiteX217" fmla="*/ 606890 w 635581"/>
            <a:gd name="connsiteY217" fmla="*/ 36107 h 90007"/>
            <a:gd name="connsiteX218" fmla="*/ 589615 w 635581"/>
            <a:gd name="connsiteY218" fmla="*/ 38225 h 90007"/>
            <a:gd name="connsiteX219" fmla="*/ 350782 w 635581"/>
            <a:gd name="connsiteY219" fmla="*/ 19501 h 90007"/>
            <a:gd name="connsiteX220" fmla="*/ 356804 w 635581"/>
            <a:gd name="connsiteY220" fmla="*/ 19489 h 90007"/>
            <a:gd name="connsiteX221" fmla="*/ 359599 w 635581"/>
            <a:gd name="connsiteY221" fmla="*/ 19485 h 90007"/>
            <a:gd name="connsiteX222" fmla="*/ 362294 w 635581"/>
            <a:gd name="connsiteY222" fmla="*/ 19481 h 90007"/>
            <a:gd name="connsiteX223" fmla="*/ 363325 w 635581"/>
            <a:gd name="connsiteY223" fmla="*/ 19479 h 90007"/>
            <a:gd name="connsiteX224" fmla="*/ 364763 w 635581"/>
            <a:gd name="connsiteY224" fmla="*/ 19478 h 90007"/>
            <a:gd name="connsiteX225" fmla="*/ 365200 w 635581"/>
            <a:gd name="connsiteY225" fmla="*/ 19476 h 90007"/>
            <a:gd name="connsiteX226" fmla="*/ 366202 w 635581"/>
            <a:gd name="connsiteY226" fmla="*/ 19501 h 90007"/>
            <a:gd name="connsiteX227" fmla="*/ 366397 w 635581"/>
            <a:gd name="connsiteY227" fmla="*/ 19696 h 90007"/>
            <a:gd name="connsiteX228" fmla="*/ 366422 w 635581"/>
            <a:gd name="connsiteY228" fmla="*/ 21263 h 90007"/>
            <a:gd name="connsiteX229" fmla="*/ 366424 w 635581"/>
            <a:gd name="connsiteY229" fmla="*/ 21769 h 90007"/>
            <a:gd name="connsiteX230" fmla="*/ 366426 w 635581"/>
            <a:gd name="connsiteY230" fmla="*/ 23456 h 90007"/>
            <a:gd name="connsiteX231" fmla="*/ 366428 w 635581"/>
            <a:gd name="connsiteY231" fmla="*/ 24659 h 90007"/>
            <a:gd name="connsiteX232" fmla="*/ 366430 w 635581"/>
            <a:gd name="connsiteY232" fmla="*/ 27262 h 90007"/>
            <a:gd name="connsiteX233" fmla="*/ 366437 w 635581"/>
            <a:gd name="connsiteY233" fmla="*/ 31381 h 90007"/>
            <a:gd name="connsiteX234" fmla="*/ 366441 w 635581"/>
            <a:gd name="connsiteY234" fmla="*/ 32791 h 90007"/>
            <a:gd name="connsiteX235" fmla="*/ 366443 w 635581"/>
            <a:gd name="connsiteY235" fmla="*/ 33505 h 90007"/>
            <a:gd name="connsiteX236" fmla="*/ 366460 w 635581"/>
            <a:gd name="connsiteY236" fmla="*/ 43098 h 90007"/>
            <a:gd name="connsiteX237" fmla="*/ 366474 w 635581"/>
            <a:gd name="connsiteY237" fmla="*/ 49561 h 90007"/>
            <a:gd name="connsiteX238" fmla="*/ 366480 w 635581"/>
            <a:gd name="connsiteY238" fmla="*/ 52982 h 90007"/>
            <a:gd name="connsiteX239" fmla="*/ 366487 w 635581"/>
            <a:gd name="connsiteY239" fmla="*/ 56206 h 90007"/>
            <a:gd name="connsiteX240" fmla="*/ 366487 w 635581"/>
            <a:gd name="connsiteY240" fmla="*/ 57384 h 90007"/>
            <a:gd name="connsiteX241" fmla="*/ 368128 w 635581"/>
            <a:gd name="connsiteY241" fmla="*/ 65500 h 90007"/>
            <a:gd name="connsiteX242" fmla="*/ 368335 w 635581"/>
            <a:gd name="connsiteY242" fmla="*/ 65898 h 90007"/>
            <a:gd name="connsiteX243" fmla="*/ 370105 w 635581"/>
            <a:gd name="connsiteY243" fmla="*/ 68541 h 90007"/>
            <a:gd name="connsiteX244" fmla="*/ 370406 w 635581"/>
            <a:gd name="connsiteY244" fmla="*/ 68927 h 90007"/>
            <a:gd name="connsiteX245" fmla="*/ 376741 w 635581"/>
            <a:gd name="connsiteY245" fmla="*/ 73230 h 90007"/>
            <a:gd name="connsiteX246" fmla="*/ 385098 w 635581"/>
            <a:gd name="connsiteY246" fmla="*/ 73780 h 90007"/>
            <a:gd name="connsiteX247" fmla="*/ 392392 w 635581"/>
            <a:gd name="connsiteY247" fmla="*/ 70068 h 90007"/>
            <a:gd name="connsiteX248" fmla="*/ 396691 w 635581"/>
            <a:gd name="connsiteY248" fmla="*/ 63342 h 90007"/>
            <a:gd name="connsiteX249" fmla="*/ 397461 w 635581"/>
            <a:gd name="connsiteY249" fmla="*/ 57822 h 90007"/>
            <a:gd name="connsiteX250" fmla="*/ 397463 w 635581"/>
            <a:gd name="connsiteY250" fmla="*/ 57322 h 90007"/>
            <a:gd name="connsiteX251" fmla="*/ 397469 w 635581"/>
            <a:gd name="connsiteY251" fmla="*/ 55677 h 90007"/>
            <a:gd name="connsiteX252" fmla="*/ 397475 w 635581"/>
            <a:gd name="connsiteY252" fmla="*/ 54492 h 90007"/>
            <a:gd name="connsiteX253" fmla="*/ 397488 w 635581"/>
            <a:gd name="connsiteY253" fmla="*/ 51287 h 90007"/>
            <a:gd name="connsiteX254" fmla="*/ 397504 w 635581"/>
            <a:gd name="connsiteY254" fmla="*/ 47934 h 90007"/>
            <a:gd name="connsiteX255" fmla="*/ 397531 w 635581"/>
            <a:gd name="connsiteY255" fmla="*/ 41588 h 90007"/>
            <a:gd name="connsiteX256" fmla="*/ 397562 w 635581"/>
            <a:gd name="connsiteY256" fmla="*/ 34362 h 90007"/>
            <a:gd name="connsiteX257" fmla="*/ 397625 w 635581"/>
            <a:gd name="connsiteY257" fmla="*/ 19501 h 90007"/>
            <a:gd name="connsiteX258" fmla="*/ 413240 w 635581"/>
            <a:gd name="connsiteY258" fmla="*/ 19501 h 90007"/>
            <a:gd name="connsiteX259" fmla="*/ 413259 w 635581"/>
            <a:gd name="connsiteY259" fmla="*/ 35378 h 90007"/>
            <a:gd name="connsiteX260" fmla="*/ 413269 w 635581"/>
            <a:gd name="connsiteY260" fmla="*/ 42750 h 90007"/>
            <a:gd name="connsiteX261" fmla="*/ 413276 w 635581"/>
            <a:gd name="connsiteY261" fmla="*/ 49179 h 90007"/>
            <a:gd name="connsiteX262" fmla="*/ 413280 w 635581"/>
            <a:gd name="connsiteY262" fmla="*/ 52581 h 90007"/>
            <a:gd name="connsiteX263" fmla="*/ 413282 w 635581"/>
            <a:gd name="connsiteY263" fmla="*/ 55789 h 90007"/>
            <a:gd name="connsiteX264" fmla="*/ 413286 w 635581"/>
            <a:gd name="connsiteY264" fmla="*/ 56959 h 90007"/>
            <a:gd name="connsiteX265" fmla="*/ 412410 w 635581"/>
            <a:gd name="connsiteY265" fmla="*/ 65915 h 90007"/>
            <a:gd name="connsiteX266" fmla="*/ 412280 w 635581"/>
            <a:gd name="connsiteY266" fmla="*/ 66438 h 90007"/>
            <a:gd name="connsiteX267" fmla="*/ 406602 w 635581"/>
            <a:gd name="connsiteY267" fmla="*/ 77919 h 90007"/>
            <a:gd name="connsiteX268" fmla="*/ 406328 w 635581"/>
            <a:gd name="connsiteY268" fmla="*/ 78265 h 90007"/>
            <a:gd name="connsiteX269" fmla="*/ 393094 w 635581"/>
            <a:gd name="connsiteY269" fmla="*/ 87933 h 90007"/>
            <a:gd name="connsiteX270" fmla="*/ 387476 w 635581"/>
            <a:gd name="connsiteY270" fmla="*/ 89447 h 90007"/>
            <a:gd name="connsiteX271" fmla="*/ 386752 w 635581"/>
            <a:gd name="connsiteY271" fmla="*/ 89593 h 90007"/>
            <a:gd name="connsiteX272" fmla="*/ 371277 w 635581"/>
            <a:gd name="connsiteY272" fmla="*/ 88080 h 90007"/>
            <a:gd name="connsiteX273" fmla="*/ 357584 w 635581"/>
            <a:gd name="connsiteY273" fmla="*/ 78238 h 90007"/>
            <a:gd name="connsiteX274" fmla="*/ 355078 w 635581"/>
            <a:gd name="connsiteY274" fmla="*/ 74599 h 90007"/>
            <a:gd name="connsiteX275" fmla="*/ 354867 w 635581"/>
            <a:gd name="connsiteY275" fmla="*/ 74253 h 90007"/>
            <a:gd name="connsiteX276" fmla="*/ 350740 w 635581"/>
            <a:gd name="connsiteY276" fmla="*/ 59481 h 90007"/>
            <a:gd name="connsiteX277" fmla="*/ 350738 w 635581"/>
            <a:gd name="connsiteY277" fmla="*/ 56764 h 90007"/>
            <a:gd name="connsiteX278" fmla="*/ 350738 w 635581"/>
            <a:gd name="connsiteY278" fmla="*/ 55538 h 90007"/>
            <a:gd name="connsiteX279" fmla="*/ 350744 w 635581"/>
            <a:gd name="connsiteY279" fmla="*/ 52241 h 90007"/>
            <a:gd name="connsiteX280" fmla="*/ 350748 w 635581"/>
            <a:gd name="connsiteY280" fmla="*/ 48783 h 90007"/>
            <a:gd name="connsiteX281" fmla="*/ 350755 w 635581"/>
            <a:gd name="connsiteY281" fmla="*/ 42248 h 90007"/>
            <a:gd name="connsiteX282" fmla="*/ 350763 w 635581"/>
            <a:gd name="connsiteY282" fmla="*/ 34802 h 90007"/>
            <a:gd name="connsiteX283" fmla="*/ 350782 w 635581"/>
            <a:gd name="connsiteY283" fmla="*/ 19501 h 90007"/>
            <a:gd name="connsiteX284" fmla="*/ 326033 w 635581"/>
            <a:gd name="connsiteY284" fmla="*/ 23213 h 90007"/>
            <a:gd name="connsiteX285" fmla="*/ 334975 w 635581"/>
            <a:gd name="connsiteY285" fmla="*/ 29659 h 90007"/>
            <a:gd name="connsiteX286" fmla="*/ 335367 w 635581"/>
            <a:gd name="connsiteY286" fmla="*/ 30022 h 90007"/>
            <a:gd name="connsiteX287" fmla="*/ 342195 w 635581"/>
            <a:gd name="connsiteY287" fmla="*/ 39820 h 90007"/>
            <a:gd name="connsiteX288" fmla="*/ 342195 w 635581"/>
            <a:gd name="connsiteY288" fmla="*/ 40210 h 90007"/>
            <a:gd name="connsiteX289" fmla="*/ 334921 w 635581"/>
            <a:gd name="connsiteY289" fmla="*/ 40312 h 90007"/>
            <a:gd name="connsiteX290" fmla="*/ 331544 w 635581"/>
            <a:gd name="connsiteY290" fmla="*/ 40358 h 90007"/>
            <a:gd name="connsiteX291" fmla="*/ 328278 w 635581"/>
            <a:gd name="connsiteY291" fmla="*/ 40395 h 90007"/>
            <a:gd name="connsiteX292" fmla="*/ 327039 w 635581"/>
            <a:gd name="connsiteY292" fmla="*/ 40416 h 90007"/>
            <a:gd name="connsiteX293" fmla="*/ 322843 w 635581"/>
            <a:gd name="connsiteY293" fmla="*/ 40017 h 90007"/>
            <a:gd name="connsiteX294" fmla="*/ 320726 w 635581"/>
            <a:gd name="connsiteY294" fmla="*/ 38256 h 90007"/>
            <a:gd name="connsiteX295" fmla="*/ 319189 w 635581"/>
            <a:gd name="connsiteY295" fmla="*/ 37414 h 90007"/>
            <a:gd name="connsiteX296" fmla="*/ 318797 w 635581"/>
            <a:gd name="connsiteY296" fmla="*/ 37225 h 90007"/>
            <a:gd name="connsiteX297" fmla="*/ 308040 w 635581"/>
            <a:gd name="connsiteY297" fmla="*/ 35325 h 90007"/>
            <a:gd name="connsiteX298" fmla="*/ 298879 w 635581"/>
            <a:gd name="connsiteY298" fmla="*/ 38947 h 90007"/>
            <a:gd name="connsiteX299" fmla="*/ 292231 w 635581"/>
            <a:gd name="connsiteY299" fmla="*/ 47635 h 90007"/>
            <a:gd name="connsiteX300" fmla="*/ 291451 w 635581"/>
            <a:gd name="connsiteY300" fmla="*/ 50175 h 90007"/>
            <a:gd name="connsiteX301" fmla="*/ 291318 w 635581"/>
            <a:gd name="connsiteY301" fmla="*/ 50697 h 90007"/>
            <a:gd name="connsiteX302" fmla="*/ 291964 w 635581"/>
            <a:gd name="connsiteY302" fmla="*/ 60917 h 90007"/>
            <a:gd name="connsiteX303" fmla="*/ 297627 w 635581"/>
            <a:gd name="connsiteY303" fmla="*/ 69419 h 90007"/>
            <a:gd name="connsiteX304" fmla="*/ 306820 w 635581"/>
            <a:gd name="connsiteY304" fmla="*/ 73780 h 90007"/>
            <a:gd name="connsiteX305" fmla="*/ 316836 w 635581"/>
            <a:gd name="connsiteY305" fmla="*/ 72979 h 90007"/>
            <a:gd name="connsiteX306" fmla="*/ 324513 w 635581"/>
            <a:gd name="connsiteY306" fmla="*/ 67832 h 90007"/>
            <a:gd name="connsiteX307" fmla="*/ 324826 w 635581"/>
            <a:gd name="connsiteY307" fmla="*/ 67564 h 90007"/>
            <a:gd name="connsiteX308" fmla="*/ 326558 w 635581"/>
            <a:gd name="connsiteY308" fmla="*/ 67498 h 90007"/>
            <a:gd name="connsiteX309" fmla="*/ 327095 w 635581"/>
            <a:gd name="connsiteY309" fmla="*/ 67498 h 90007"/>
            <a:gd name="connsiteX310" fmla="*/ 328853 w 635581"/>
            <a:gd name="connsiteY310" fmla="*/ 67508 h 90007"/>
            <a:gd name="connsiteX311" fmla="*/ 330071 w 635581"/>
            <a:gd name="connsiteY311" fmla="*/ 67510 h 90007"/>
            <a:gd name="connsiteX312" fmla="*/ 333280 w 635581"/>
            <a:gd name="connsiteY312" fmla="*/ 67523 h 90007"/>
            <a:gd name="connsiteX313" fmla="*/ 336552 w 635581"/>
            <a:gd name="connsiteY313" fmla="*/ 67537 h 90007"/>
            <a:gd name="connsiteX314" fmla="*/ 342977 w 635581"/>
            <a:gd name="connsiteY314" fmla="*/ 67564 h 90007"/>
            <a:gd name="connsiteX315" fmla="*/ 342514 w 635581"/>
            <a:gd name="connsiteY315" fmla="*/ 68684 h 90007"/>
            <a:gd name="connsiteX316" fmla="*/ 342253 w 635581"/>
            <a:gd name="connsiteY316" fmla="*/ 69313 h 90007"/>
            <a:gd name="connsiteX317" fmla="*/ 338292 w 635581"/>
            <a:gd name="connsiteY317" fmla="*/ 75966 h 90007"/>
            <a:gd name="connsiteX318" fmla="*/ 337902 w 635581"/>
            <a:gd name="connsiteY318" fmla="*/ 76489 h 90007"/>
            <a:gd name="connsiteX319" fmla="*/ 323264 w 635581"/>
            <a:gd name="connsiteY319" fmla="*/ 87493 h 90007"/>
            <a:gd name="connsiteX320" fmla="*/ 305783 w 635581"/>
            <a:gd name="connsiteY320" fmla="*/ 89678 h 90007"/>
            <a:gd name="connsiteX321" fmla="*/ 288889 w 635581"/>
            <a:gd name="connsiteY321" fmla="*/ 82620 h 90007"/>
            <a:gd name="connsiteX322" fmla="*/ 285985 w 635581"/>
            <a:gd name="connsiteY322" fmla="*/ 80068 h 90007"/>
            <a:gd name="connsiteX323" fmla="*/ 285690 w 635581"/>
            <a:gd name="connsiteY323" fmla="*/ 79794 h 90007"/>
            <a:gd name="connsiteX324" fmla="*/ 276520 w 635581"/>
            <a:gd name="connsiteY324" fmla="*/ 64707 h 90007"/>
            <a:gd name="connsiteX325" fmla="*/ 275446 w 635581"/>
            <a:gd name="connsiteY325" fmla="*/ 59554 h 90007"/>
            <a:gd name="connsiteX326" fmla="*/ 275333 w 635581"/>
            <a:gd name="connsiteY326" fmla="*/ 58845 h 90007"/>
            <a:gd name="connsiteX327" fmla="*/ 278140 w 635581"/>
            <a:gd name="connsiteY327" fmla="*/ 40378 h 90007"/>
            <a:gd name="connsiteX328" fmla="*/ 289346 w 635581"/>
            <a:gd name="connsiteY328" fmla="*/ 26395 h 90007"/>
            <a:gd name="connsiteX329" fmla="*/ 306283 w 635581"/>
            <a:gd name="connsiteY329" fmla="*/ 19696 h 90007"/>
            <a:gd name="connsiteX330" fmla="*/ 306841 w 635581"/>
            <a:gd name="connsiteY330" fmla="*/ 19630 h 90007"/>
            <a:gd name="connsiteX331" fmla="*/ 326033 w 635581"/>
            <a:gd name="connsiteY331" fmla="*/ 23213 h 90007"/>
            <a:gd name="connsiteX332" fmla="*/ 534052 w 635581"/>
            <a:gd name="connsiteY332" fmla="*/ 19501 h 90007"/>
            <a:gd name="connsiteX333" fmla="*/ 534052 w 635581"/>
            <a:gd name="connsiteY333" fmla="*/ 35130 h 90007"/>
            <a:gd name="connsiteX334" fmla="*/ 532403 w 635581"/>
            <a:gd name="connsiteY334" fmla="*/ 35432 h 90007"/>
            <a:gd name="connsiteX335" fmla="*/ 522779 w 635581"/>
            <a:gd name="connsiteY335" fmla="*/ 38880 h 90007"/>
            <a:gd name="connsiteX336" fmla="*/ 520974 w 635581"/>
            <a:gd name="connsiteY336" fmla="*/ 40407 h 90007"/>
            <a:gd name="connsiteX337" fmla="*/ 520503 w 635581"/>
            <a:gd name="connsiteY337" fmla="*/ 40837 h 90007"/>
            <a:gd name="connsiteX338" fmla="*/ 515511 w 635581"/>
            <a:gd name="connsiteY338" fmla="*/ 49231 h 90007"/>
            <a:gd name="connsiteX339" fmla="*/ 514862 w 635581"/>
            <a:gd name="connsiteY339" fmla="*/ 55834 h 90007"/>
            <a:gd name="connsiteX340" fmla="*/ 514856 w 635581"/>
            <a:gd name="connsiteY340" fmla="*/ 56950 h 90007"/>
            <a:gd name="connsiteX341" fmla="*/ 514845 w 635581"/>
            <a:gd name="connsiteY341" fmla="*/ 59961 h 90007"/>
            <a:gd name="connsiteX342" fmla="*/ 514833 w 635581"/>
            <a:gd name="connsiteY342" fmla="*/ 63116 h 90007"/>
            <a:gd name="connsiteX343" fmla="*/ 514810 w 635581"/>
            <a:gd name="connsiteY343" fmla="*/ 69079 h 90007"/>
            <a:gd name="connsiteX344" fmla="*/ 514783 w 635581"/>
            <a:gd name="connsiteY344" fmla="*/ 75871 h 90007"/>
            <a:gd name="connsiteX345" fmla="*/ 514729 w 635581"/>
            <a:gd name="connsiteY345" fmla="*/ 89839 h 90007"/>
            <a:gd name="connsiteX346" fmla="*/ 499116 w 635581"/>
            <a:gd name="connsiteY346" fmla="*/ 89839 h 90007"/>
            <a:gd name="connsiteX347" fmla="*/ 499086 w 635581"/>
            <a:gd name="connsiteY347" fmla="*/ 74823 h 90007"/>
            <a:gd name="connsiteX348" fmla="*/ 499072 w 635581"/>
            <a:gd name="connsiteY348" fmla="*/ 67850 h 90007"/>
            <a:gd name="connsiteX349" fmla="*/ 499060 w 635581"/>
            <a:gd name="connsiteY349" fmla="*/ 61766 h 90007"/>
            <a:gd name="connsiteX350" fmla="*/ 499053 w 635581"/>
            <a:gd name="connsiteY350" fmla="*/ 58550 h 90007"/>
            <a:gd name="connsiteX351" fmla="*/ 499049 w 635581"/>
            <a:gd name="connsiteY351" fmla="*/ 55513 h 90007"/>
            <a:gd name="connsiteX352" fmla="*/ 499045 w 635581"/>
            <a:gd name="connsiteY352" fmla="*/ 54407 h 90007"/>
            <a:gd name="connsiteX353" fmla="*/ 500250 w 635581"/>
            <a:gd name="connsiteY353" fmla="*/ 45144 h 90007"/>
            <a:gd name="connsiteX354" fmla="*/ 500402 w 635581"/>
            <a:gd name="connsiteY354" fmla="*/ 44627 h 90007"/>
            <a:gd name="connsiteX355" fmla="*/ 502043 w 635581"/>
            <a:gd name="connsiteY355" fmla="*/ 40210 h 90007"/>
            <a:gd name="connsiteX356" fmla="*/ 502209 w 635581"/>
            <a:gd name="connsiteY356" fmla="*/ 39839 h 90007"/>
            <a:gd name="connsiteX357" fmla="*/ 513103 w 635581"/>
            <a:gd name="connsiteY357" fmla="*/ 26397 h 90007"/>
            <a:gd name="connsiteX358" fmla="*/ 531442 w 635581"/>
            <a:gd name="connsiteY358" fmla="*/ 19561 h 90007"/>
            <a:gd name="connsiteX359" fmla="*/ 534052 w 635581"/>
            <a:gd name="connsiteY359" fmla="*/ 19501 h 90007"/>
            <a:gd name="connsiteX360" fmla="*/ 541859 w 635581"/>
            <a:gd name="connsiteY360" fmla="*/ 19501 h 90007"/>
            <a:gd name="connsiteX361" fmla="*/ 557473 w 635581"/>
            <a:gd name="connsiteY361" fmla="*/ 19501 h 90007"/>
            <a:gd name="connsiteX362" fmla="*/ 557473 w 635581"/>
            <a:gd name="connsiteY362" fmla="*/ 89839 h 90007"/>
            <a:gd name="connsiteX363" fmla="*/ 541859 w 635581"/>
            <a:gd name="connsiteY363" fmla="*/ 89839 h 90007"/>
            <a:gd name="connsiteX364" fmla="*/ 452858 w 635581"/>
            <a:gd name="connsiteY364" fmla="*/ 157 h 90007"/>
            <a:gd name="connsiteX365" fmla="*/ 468863 w 635581"/>
            <a:gd name="connsiteY365" fmla="*/ 157 h 90007"/>
            <a:gd name="connsiteX366" fmla="*/ 467847 w 635581"/>
            <a:gd name="connsiteY366" fmla="*/ 2261 h 90007"/>
            <a:gd name="connsiteX367" fmla="*/ 467467 w 635581"/>
            <a:gd name="connsiteY367" fmla="*/ 2927 h 90007"/>
            <a:gd name="connsiteX368" fmla="*/ 467058 w 635581"/>
            <a:gd name="connsiteY368" fmla="*/ 3637 h 90007"/>
            <a:gd name="connsiteX369" fmla="*/ 466635 w 635581"/>
            <a:gd name="connsiteY369" fmla="*/ 4375 h 90007"/>
            <a:gd name="connsiteX370" fmla="*/ 462617 w 635581"/>
            <a:gd name="connsiteY370" fmla="*/ 11294 h 90007"/>
            <a:gd name="connsiteX371" fmla="*/ 462256 w 635581"/>
            <a:gd name="connsiteY371" fmla="*/ 11910 h 90007"/>
            <a:gd name="connsiteX372" fmla="*/ 461191 w 635581"/>
            <a:gd name="connsiteY372" fmla="*/ 13724 h 90007"/>
            <a:gd name="connsiteX373" fmla="*/ 460861 w 635581"/>
            <a:gd name="connsiteY373" fmla="*/ 14286 h 90007"/>
            <a:gd name="connsiteX374" fmla="*/ 460559 w 635581"/>
            <a:gd name="connsiteY374" fmla="*/ 14798 h 90007"/>
            <a:gd name="connsiteX375" fmla="*/ 460293 w 635581"/>
            <a:gd name="connsiteY375" fmla="*/ 15250 h 90007"/>
            <a:gd name="connsiteX376" fmla="*/ 459886 w 635581"/>
            <a:gd name="connsiteY376" fmla="*/ 15788 h 90007"/>
            <a:gd name="connsiteX377" fmla="*/ 458413 w 635581"/>
            <a:gd name="connsiteY377" fmla="*/ 15809 h 90007"/>
            <a:gd name="connsiteX378" fmla="*/ 457945 w 635581"/>
            <a:gd name="connsiteY378" fmla="*/ 15809 h 90007"/>
            <a:gd name="connsiteX379" fmla="*/ 456409 w 635581"/>
            <a:gd name="connsiteY379" fmla="*/ 15808 h 90007"/>
            <a:gd name="connsiteX380" fmla="*/ 455345 w 635581"/>
            <a:gd name="connsiteY380" fmla="*/ 15806 h 90007"/>
            <a:gd name="connsiteX381" fmla="*/ 452544 w 635581"/>
            <a:gd name="connsiteY381" fmla="*/ 15802 h 90007"/>
            <a:gd name="connsiteX382" fmla="*/ 449687 w 635581"/>
            <a:gd name="connsiteY382" fmla="*/ 15798 h 90007"/>
            <a:gd name="connsiteX383" fmla="*/ 444076 w 635581"/>
            <a:gd name="connsiteY383" fmla="*/ 15788 h 90007"/>
            <a:gd name="connsiteX384" fmla="*/ 445007 w 635581"/>
            <a:gd name="connsiteY384" fmla="*/ 13811 h 90007"/>
            <a:gd name="connsiteX385" fmla="*/ 445333 w 635581"/>
            <a:gd name="connsiteY385" fmla="*/ 13226 h 90007"/>
            <a:gd name="connsiteX386" fmla="*/ 445686 w 635581"/>
            <a:gd name="connsiteY386" fmla="*/ 12601 h 90007"/>
            <a:gd name="connsiteX387" fmla="*/ 446055 w 635581"/>
            <a:gd name="connsiteY387" fmla="*/ 11944 h 90007"/>
            <a:gd name="connsiteX388" fmla="*/ 449932 w 635581"/>
            <a:gd name="connsiteY388" fmla="*/ 5238 h 90007"/>
            <a:gd name="connsiteX389" fmla="*/ 552099 w 635581"/>
            <a:gd name="connsiteY389" fmla="*/ 317 h 90007"/>
            <a:gd name="connsiteX390" fmla="*/ 555716 w 635581"/>
            <a:gd name="connsiteY390" fmla="*/ 2892 h 90007"/>
            <a:gd name="connsiteX391" fmla="*/ 557473 w 635581"/>
            <a:gd name="connsiteY391" fmla="*/ 6605 h 90007"/>
            <a:gd name="connsiteX392" fmla="*/ 556962 w 635581"/>
            <a:gd name="connsiteY392" fmla="*/ 10919 h 90007"/>
            <a:gd name="connsiteX393" fmla="*/ 554166 w 635581"/>
            <a:gd name="connsiteY393" fmla="*/ 14419 h 90007"/>
            <a:gd name="connsiteX394" fmla="*/ 549689 w 635581"/>
            <a:gd name="connsiteY394" fmla="*/ 15800 h 90007"/>
            <a:gd name="connsiteX395" fmla="*/ 545527 w 635581"/>
            <a:gd name="connsiteY395" fmla="*/ 14643 h 90007"/>
            <a:gd name="connsiteX396" fmla="*/ 542444 w 635581"/>
            <a:gd name="connsiteY396" fmla="*/ 11099 h 90007"/>
            <a:gd name="connsiteX397" fmla="*/ 541859 w 635581"/>
            <a:gd name="connsiteY397" fmla="*/ 6605 h 90007"/>
            <a:gd name="connsiteX398" fmla="*/ 543616 w 635581"/>
            <a:gd name="connsiteY398" fmla="*/ 2892 h 90007"/>
            <a:gd name="connsiteX399" fmla="*/ 547197 w 635581"/>
            <a:gd name="connsiteY399" fmla="*/ 352 h 90007"/>
            <a:gd name="connsiteX400" fmla="*/ 552099 w 635581"/>
            <a:gd name="connsiteY400" fmla="*/ 317 h 90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Lst>
          <a:rect l="l" t="t" r="r" b="b"/>
          <a:pathLst>
            <a:path w="635581" h="90007">
              <a:moveTo>
                <a:pt x="64367" y="4440"/>
              </a:moveTo>
              <a:cubicBezTo>
                <a:pt x="70543" y="7496"/>
                <a:pt x="76321" y="12028"/>
                <a:pt x="80420" y="17607"/>
              </a:cubicBezTo>
              <a:cubicBezTo>
                <a:pt x="80659" y="17931"/>
                <a:pt x="80901" y="18252"/>
                <a:pt x="81146" y="18570"/>
              </a:cubicBezTo>
              <a:cubicBezTo>
                <a:pt x="85779" y="24752"/>
                <a:pt x="88538" y="32217"/>
                <a:pt x="89480" y="39856"/>
              </a:cubicBezTo>
              <a:cubicBezTo>
                <a:pt x="90314" y="47857"/>
                <a:pt x="89140" y="55946"/>
                <a:pt x="85872" y="63303"/>
              </a:cubicBezTo>
              <a:cubicBezTo>
                <a:pt x="82445" y="70776"/>
                <a:pt x="77157" y="77093"/>
                <a:pt x="70491" y="81887"/>
              </a:cubicBezTo>
              <a:cubicBezTo>
                <a:pt x="64358" y="86207"/>
                <a:pt x="56848" y="89008"/>
                <a:pt x="49390" y="89748"/>
              </a:cubicBezTo>
              <a:cubicBezTo>
                <a:pt x="41110" y="90400"/>
                <a:pt x="32986" y="89147"/>
                <a:pt x="25465" y="85564"/>
              </a:cubicBezTo>
              <a:cubicBezTo>
                <a:pt x="21583" y="83672"/>
                <a:pt x="18117" y="81373"/>
                <a:pt x="14889" y="78506"/>
              </a:cubicBezTo>
              <a:lnTo>
                <a:pt x="14559" y="78215"/>
              </a:lnTo>
              <a:cubicBezTo>
                <a:pt x="11289" y="75294"/>
                <a:pt x="8549" y="71917"/>
                <a:pt x="6302" y="68151"/>
              </a:cubicBezTo>
              <a:lnTo>
                <a:pt x="6069" y="67767"/>
              </a:lnTo>
              <a:cubicBezTo>
                <a:pt x="2511" y="61815"/>
                <a:pt x="134" y="54697"/>
                <a:pt x="14" y="47718"/>
              </a:cubicBezTo>
              <a:lnTo>
                <a:pt x="9" y="47264"/>
              </a:lnTo>
              <a:lnTo>
                <a:pt x="3" y="46776"/>
              </a:lnTo>
              <a:cubicBezTo>
                <a:pt x="-76" y="38293"/>
                <a:pt x="1476" y="30306"/>
                <a:pt x="5661" y="22841"/>
              </a:cubicBezTo>
              <a:cubicBezTo>
                <a:pt x="7283" y="20020"/>
                <a:pt x="9167" y="17412"/>
                <a:pt x="11383" y="15028"/>
              </a:cubicBezTo>
              <a:cubicBezTo>
                <a:pt x="11733" y="14651"/>
                <a:pt x="12061" y="14265"/>
                <a:pt x="12387" y="13871"/>
              </a:cubicBezTo>
              <a:cubicBezTo>
                <a:pt x="15281" y="10570"/>
                <a:pt x="18907" y="7987"/>
                <a:pt x="22697" y="5823"/>
              </a:cubicBezTo>
              <a:lnTo>
                <a:pt x="23137" y="5570"/>
              </a:lnTo>
              <a:cubicBezTo>
                <a:pt x="35625" y="-1566"/>
                <a:pt x="51473" y="-1739"/>
                <a:pt x="64367" y="4440"/>
              </a:cubicBezTo>
              <a:moveTo>
                <a:pt x="38114" y="16373"/>
              </a:moveTo>
              <a:lnTo>
                <a:pt x="37658" y="16485"/>
              </a:lnTo>
              <a:cubicBezTo>
                <a:pt x="32318" y="17825"/>
                <a:pt x="27826" y="20591"/>
                <a:pt x="23866" y="24385"/>
              </a:cubicBezTo>
              <a:cubicBezTo>
                <a:pt x="20395" y="27800"/>
                <a:pt x="17884" y="32235"/>
                <a:pt x="16526" y="36909"/>
              </a:cubicBezTo>
              <a:cubicBezTo>
                <a:pt x="15109" y="42121"/>
                <a:pt x="15104" y="47438"/>
                <a:pt x="16411" y="52671"/>
              </a:cubicBezTo>
              <a:cubicBezTo>
                <a:pt x="17584" y="57021"/>
                <a:pt x="19783" y="60842"/>
                <a:pt x="22697" y="64243"/>
              </a:cubicBezTo>
              <a:lnTo>
                <a:pt x="23123" y="64749"/>
              </a:lnTo>
              <a:cubicBezTo>
                <a:pt x="24175" y="65969"/>
                <a:pt x="25330" y="66969"/>
                <a:pt x="26600" y="67956"/>
              </a:cubicBezTo>
              <a:lnTo>
                <a:pt x="27098" y="68373"/>
              </a:lnTo>
              <a:cubicBezTo>
                <a:pt x="30981" y="71510"/>
                <a:pt x="35780" y="73211"/>
                <a:pt x="40653" y="74012"/>
              </a:cubicBezTo>
              <a:cubicBezTo>
                <a:pt x="45817" y="74771"/>
                <a:pt x="51066" y="73981"/>
                <a:pt x="55923" y="72145"/>
              </a:cubicBezTo>
              <a:cubicBezTo>
                <a:pt x="58831" y="70977"/>
                <a:pt x="61545" y="69259"/>
                <a:pt x="63877" y="67174"/>
              </a:cubicBezTo>
              <a:lnTo>
                <a:pt x="64452" y="66676"/>
              </a:lnTo>
              <a:cubicBezTo>
                <a:pt x="68122" y="63456"/>
                <a:pt x="70825" y="59307"/>
                <a:pt x="72445" y="54701"/>
              </a:cubicBezTo>
              <a:cubicBezTo>
                <a:pt x="74090" y="49828"/>
                <a:pt x="74570" y="44677"/>
                <a:pt x="73644" y="39594"/>
              </a:cubicBezTo>
              <a:cubicBezTo>
                <a:pt x="72586" y="34414"/>
                <a:pt x="70356" y="29808"/>
                <a:pt x="66931" y="25800"/>
              </a:cubicBezTo>
              <a:cubicBezTo>
                <a:pt x="66507" y="25321"/>
                <a:pt x="66074" y="24850"/>
                <a:pt x="65634" y="24385"/>
              </a:cubicBezTo>
              <a:lnTo>
                <a:pt x="65267" y="23985"/>
              </a:lnTo>
              <a:cubicBezTo>
                <a:pt x="62091" y="20655"/>
                <a:pt x="57723" y="18234"/>
                <a:pt x="53350" y="16898"/>
              </a:cubicBezTo>
              <a:cubicBezTo>
                <a:pt x="52699" y="16713"/>
                <a:pt x="52045" y="16537"/>
                <a:pt x="51386" y="16373"/>
              </a:cubicBezTo>
              <a:cubicBezTo>
                <a:pt x="51249" y="16338"/>
                <a:pt x="51112" y="16304"/>
                <a:pt x="50971" y="16267"/>
              </a:cubicBezTo>
              <a:cubicBezTo>
                <a:pt x="46983" y="15296"/>
                <a:pt x="42087" y="15364"/>
                <a:pt x="38114" y="16373"/>
              </a:cubicBezTo>
              <a:moveTo>
                <a:pt x="136873" y="157"/>
              </a:moveTo>
              <a:cubicBezTo>
                <a:pt x="179683" y="157"/>
                <a:pt x="179683" y="157"/>
                <a:pt x="186390" y="3994"/>
              </a:cubicBezTo>
              <a:cubicBezTo>
                <a:pt x="188303" y="5133"/>
                <a:pt x="189915" y="6641"/>
                <a:pt x="191521" y="8168"/>
              </a:cubicBezTo>
              <a:lnTo>
                <a:pt x="191896" y="8504"/>
              </a:lnTo>
              <a:cubicBezTo>
                <a:pt x="194742" y="11151"/>
                <a:pt x="196674" y="14906"/>
                <a:pt x="197962" y="18524"/>
              </a:cubicBezTo>
              <a:lnTo>
                <a:pt x="198186" y="19147"/>
              </a:lnTo>
              <a:cubicBezTo>
                <a:pt x="199610" y="23422"/>
                <a:pt x="199850" y="28258"/>
                <a:pt x="198998" y="32677"/>
              </a:cubicBezTo>
              <a:cubicBezTo>
                <a:pt x="198865" y="33304"/>
                <a:pt x="198715" y="33924"/>
                <a:pt x="198547" y="34544"/>
              </a:cubicBezTo>
              <a:lnTo>
                <a:pt x="198441" y="34947"/>
              </a:lnTo>
              <a:cubicBezTo>
                <a:pt x="197118" y="39692"/>
                <a:pt x="194394" y="43882"/>
                <a:pt x="190919" y="47332"/>
              </a:cubicBezTo>
              <a:cubicBezTo>
                <a:pt x="187355" y="50753"/>
                <a:pt x="182975" y="52982"/>
                <a:pt x="178208" y="54193"/>
              </a:cubicBezTo>
              <a:cubicBezTo>
                <a:pt x="175508" y="54832"/>
                <a:pt x="172868" y="54892"/>
                <a:pt x="170112" y="54884"/>
              </a:cubicBezTo>
              <a:lnTo>
                <a:pt x="169175" y="54884"/>
              </a:lnTo>
              <a:cubicBezTo>
                <a:pt x="168029" y="54882"/>
                <a:pt x="166882" y="54880"/>
                <a:pt x="165733" y="54876"/>
              </a:cubicBezTo>
              <a:lnTo>
                <a:pt x="157951" y="54865"/>
              </a:lnTo>
              <a:lnTo>
                <a:pt x="157951" y="39233"/>
              </a:lnTo>
              <a:cubicBezTo>
                <a:pt x="165710" y="39173"/>
                <a:pt x="165710" y="39173"/>
                <a:pt x="168146" y="39158"/>
              </a:cubicBezTo>
              <a:cubicBezTo>
                <a:pt x="168876" y="39150"/>
                <a:pt x="168876" y="39150"/>
                <a:pt x="169606" y="39142"/>
              </a:cubicBezTo>
              <a:cubicBezTo>
                <a:pt x="169928" y="39140"/>
                <a:pt x="170249" y="39138"/>
                <a:pt x="170571" y="39136"/>
              </a:cubicBezTo>
              <a:cubicBezTo>
                <a:pt x="173100" y="39127"/>
                <a:pt x="175397" y="38966"/>
                <a:pt x="177652" y="37694"/>
              </a:cubicBezTo>
              <a:lnTo>
                <a:pt x="178017" y="37501"/>
              </a:lnTo>
              <a:cubicBezTo>
                <a:pt x="178809" y="37069"/>
                <a:pt x="179382" y="36555"/>
                <a:pt x="180006" y="35912"/>
              </a:cubicBezTo>
              <a:lnTo>
                <a:pt x="180396" y="35912"/>
              </a:lnTo>
              <a:lnTo>
                <a:pt x="180558" y="35563"/>
              </a:lnTo>
              <a:cubicBezTo>
                <a:pt x="180780" y="35144"/>
                <a:pt x="181023" y="34824"/>
                <a:pt x="181324" y="34459"/>
              </a:cubicBezTo>
              <a:cubicBezTo>
                <a:pt x="182334" y="33128"/>
                <a:pt x="183176" y="31453"/>
                <a:pt x="183471" y="29796"/>
              </a:cubicBezTo>
              <a:cubicBezTo>
                <a:pt x="183716" y="27115"/>
                <a:pt x="183562" y="24698"/>
                <a:pt x="182421" y="22223"/>
              </a:cubicBezTo>
              <a:cubicBezTo>
                <a:pt x="181361" y="20234"/>
                <a:pt x="180013" y="18765"/>
                <a:pt x="178137" y="17535"/>
              </a:cubicBezTo>
              <a:cubicBezTo>
                <a:pt x="170774" y="13346"/>
                <a:pt x="158619" y="15844"/>
                <a:pt x="152486" y="15788"/>
              </a:cubicBezTo>
              <a:lnTo>
                <a:pt x="152486" y="89839"/>
              </a:lnTo>
              <a:lnTo>
                <a:pt x="136873" y="89839"/>
              </a:lnTo>
              <a:close/>
              <a:moveTo>
                <a:pt x="234034" y="19476"/>
              </a:moveTo>
              <a:cubicBezTo>
                <a:pt x="240222" y="19348"/>
                <a:pt x="246284" y="20823"/>
                <a:pt x="251735" y="23744"/>
              </a:cubicBezTo>
              <a:cubicBezTo>
                <a:pt x="254500" y="25275"/>
                <a:pt x="256927" y="27128"/>
                <a:pt x="259247" y="29269"/>
              </a:cubicBezTo>
              <a:lnTo>
                <a:pt x="259788" y="29767"/>
              </a:lnTo>
              <a:cubicBezTo>
                <a:pt x="264056" y="33879"/>
                <a:pt x="267014" y="39235"/>
                <a:pt x="268715" y="44874"/>
              </a:cubicBezTo>
              <a:cubicBezTo>
                <a:pt x="268975" y="45787"/>
                <a:pt x="269195" y="46706"/>
                <a:pt x="269396" y="47635"/>
              </a:cubicBezTo>
              <a:lnTo>
                <a:pt x="269493" y="48077"/>
              </a:lnTo>
              <a:cubicBezTo>
                <a:pt x="269962" y="50312"/>
                <a:pt x="270031" y="52538"/>
                <a:pt x="270029" y="54816"/>
              </a:cubicBezTo>
              <a:lnTo>
                <a:pt x="270029" y="55229"/>
              </a:lnTo>
              <a:cubicBezTo>
                <a:pt x="270025" y="56633"/>
                <a:pt x="269960" y="57959"/>
                <a:pt x="269786" y="59359"/>
              </a:cubicBezTo>
              <a:lnTo>
                <a:pt x="221773" y="59359"/>
              </a:lnTo>
              <a:lnTo>
                <a:pt x="221773" y="47830"/>
              </a:lnTo>
              <a:lnTo>
                <a:pt x="253002" y="47635"/>
              </a:lnTo>
              <a:cubicBezTo>
                <a:pt x="251343" y="44108"/>
                <a:pt x="249544" y="41196"/>
                <a:pt x="246401" y="38891"/>
              </a:cubicBezTo>
              <a:cubicBezTo>
                <a:pt x="243440" y="36953"/>
                <a:pt x="240218" y="35547"/>
                <a:pt x="236646" y="35287"/>
              </a:cubicBezTo>
              <a:cubicBezTo>
                <a:pt x="236098" y="35268"/>
                <a:pt x="235546" y="35262"/>
                <a:pt x="234996" y="35266"/>
              </a:cubicBezTo>
              <a:lnTo>
                <a:pt x="234403" y="35268"/>
              </a:lnTo>
              <a:cubicBezTo>
                <a:pt x="230820" y="35324"/>
                <a:pt x="227517" y="36436"/>
                <a:pt x="224441" y="38250"/>
              </a:cubicBezTo>
              <a:cubicBezTo>
                <a:pt x="221598" y="40013"/>
                <a:pt x="219441" y="42621"/>
                <a:pt x="217845" y="45523"/>
              </a:cubicBezTo>
              <a:cubicBezTo>
                <a:pt x="215972" y="49050"/>
                <a:pt x="215549" y="52641"/>
                <a:pt x="215686" y="56592"/>
              </a:cubicBezTo>
              <a:cubicBezTo>
                <a:pt x="215875" y="59720"/>
                <a:pt x="217065" y="62726"/>
                <a:pt x="218733" y="65359"/>
              </a:cubicBezTo>
              <a:cubicBezTo>
                <a:pt x="220841" y="68411"/>
                <a:pt x="223437" y="70718"/>
                <a:pt x="226775" y="72326"/>
              </a:cubicBezTo>
              <a:cubicBezTo>
                <a:pt x="229995" y="73722"/>
                <a:pt x="233306" y="74282"/>
                <a:pt x="236803" y="74012"/>
              </a:cubicBezTo>
              <a:cubicBezTo>
                <a:pt x="240237" y="73603"/>
                <a:pt x="243330" y="72481"/>
                <a:pt x="246170" y="70494"/>
              </a:cubicBezTo>
              <a:lnTo>
                <a:pt x="246672" y="69989"/>
              </a:lnTo>
              <a:cubicBezTo>
                <a:pt x="247040" y="69682"/>
                <a:pt x="247284" y="69531"/>
                <a:pt x="247757" y="69431"/>
              </a:cubicBezTo>
              <a:cubicBezTo>
                <a:pt x="248255" y="69398"/>
                <a:pt x="248747" y="69398"/>
                <a:pt x="249247" y="69407"/>
              </a:cubicBezTo>
              <a:lnTo>
                <a:pt x="249820" y="69407"/>
              </a:lnTo>
              <a:cubicBezTo>
                <a:pt x="250440" y="69407"/>
                <a:pt x="251062" y="69415"/>
                <a:pt x="251681" y="69423"/>
              </a:cubicBezTo>
              <a:cubicBezTo>
                <a:pt x="252114" y="69425"/>
                <a:pt x="252544" y="69427"/>
                <a:pt x="252977" y="69427"/>
              </a:cubicBezTo>
              <a:cubicBezTo>
                <a:pt x="254110" y="69431"/>
                <a:pt x="255245" y="69440"/>
                <a:pt x="256378" y="69452"/>
              </a:cubicBezTo>
              <a:cubicBezTo>
                <a:pt x="257537" y="69462"/>
                <a:pt x="258695" y="69465"/>
                <a:pt x="259851" y="69471"/>
              </a:cubicBezTo>
              <a:cubicBezTo>
                <a:pt x="262122" y="69481"/>
                <a:pt x="264392" y="69498"/>
                <a:pt x="266662" y="69518"/>
              </a:cubicBezTo>
              <a:cubicBezTo>
                <a:pt x="265525" y="73070"/>
                <a:pt x="262969" y="76242"/>
                <a:pt x="260417" y="78896"/>
              </a:cubicBezTo>
              <a:lnTo>
                <a:pt x="260127" y="79207"/>
              </a:lnTo>
              <a:cubicBezTo>
                <a:pt x="256112" y="83468"/>
                <a:pt x="250998" y="86659"/>
                <a:pt x="245395" y="88396"/>
              </a:cubicBezTo>
              <a:cubicBezTo>
                <a:pt x="239135" y="90200"/>
                <a:pt x="232662" y="90371"/>
                <a:pt x="226325" y="88871"/>
              </a:cubicBezTo>
              <a:cubicBezTo>
                <a:pt x="224057" y="88304"/>
                <a:pt x="221930" y="87524"/>
                <a:pt x="219821" y="86516"/>
              </a:cubicBezTo>
              <a:lnTo>
                <a:pt x="219393" y="86313"/>
              </a:lnTo>
              <a:cubicBezTo>
                <a:pt x="216489" y="84908"/>
                <a:pt x="213835" y="83118"/>
                <a:pt x="211495" y="80892"/>
              </a:cubicBezTo>
              <a:cubicBezTo>
                <a:pt x="211099" y="80516"/>
                <a:pt x="210692" y="80170"/>
                <a:pt x="210271" y="79825"/>
              </a:cubicBezTo>
              <a:cubicBezTo>
                <a:pt x="206228" y="76282"/>
                <a:pt x="203365" y="71128"/>
                <a:pt x="201641" y="66106"/>
              </a:cubicBezTo>
              <a:cubicBezTo>
                <a:pt x="199659" y="60162"/>
                <a:pt x="199192" y="53890"/>
                <a:pt x="200396" y="47727"/>
              </a:cubicBezTo>
              <a:cubicBezTo>
                <a:pt x="201719" y="41524"/>
                <a:pt x="204574" y="35876"/>
                <a:pt x="208792" y="31155"/>
              </a:cubicBezTo>
              <a:cubicBezTo>
                <a:pt x="213028" y="26497"/>
                <a:pt x="218289" y="23045"/>
                <a:pt x="224287" y="21088"/>
              </a:cubicBezTo>
              <a:cubicBezTo>
                <a:pt x="227439" y="20105"/>
                <a:pt x="230737" y="19582"/>
                <a:pt x="234034" y="19476"/>
              </a:cubicBezTo>
              <a:moveTo>
                <a:pt x="472571" y="23481"/>
              </a:moveTo>
              <a:cubicBezTo>
                <a:pt x="474222" y="24362"/>
                <a:pt x="475784" y="25379"/>
                <a:pt x="477257" y="26534"/>
              </a:cubicBezTo>
              <a:lnTo>
                <a:pt x="477824" y="26978"/>
              </a:lnTo>
              <a:cubicBezTo>
                <a:pt x="482570" y="30787"/>
                <a:pt x="486354" y="35515"/>
                <a:pt x="488649" y="41187"/>
              </a:cubicBezTo>
              <a:cubicBezTo>
                <a:pt x="489637" y="43741"/>
                <a:pt x="490417" y="46376"/>
                <a:pt x="490881" y="49077"/>
              </a:cubicBezTo>
              <a:lnTo>
                <a:pt x="490948" y="49463"/>
              </a:lnTo>
              <a:cubicBezTo>
                <a:pt x="491348" y="52069"/>
                <a:pt x="491336" y="54712"/>
                <a:pt x="491331" y="57343"/>
              </a:cubicBezTo>
              <a:lnTo>
                <a:pt x="491331" y="58413"/>
              </a:lnTo>
              <a:cubicBezTo>
                <a:pt x="491331" y="59371"/>
                <a:pt x="491331" y="60330"/>
                <a:pt x="491329" y="61288"/>
              </a:cubicBezTo>
              <a:cubicBezTo>
                <a:pt x="491327" y="62293"/>
                <a:pt x="491327" y="63299"/>
                <a:pt x="491327" y="64303"/>
              </a:cubicBezTo>
              <a:cubicBezTo>
                <a:pt x="491327" y="66203"/>
                <a:pt x="491325" y="68102"/>
                <a:pt x="491323" y="70002"/>
              </a:cubicBezTo>
              <a:cubicBezTo>
                <a:pt x="491321" y="72572"/>
                <a:pt x="491319" y="75141"/>
                <a:pt x="491317" y="77711"/>
              </a:cubicBezTo>
              <a:cubicBezTo>
                <a:pt x="491315" y="81753"/>
                <a:pt x="491311" y="85796"/>
                <a:pt x="491309" y="89839"/>
              </a:cubicBezTo>
              <a:lnTo>
                <a:pt x="475695" y="89839"/>
              </a:lnTo>
              <a:lnTo>
                <a:pt x="475689" y="86493"/>
              </a:lnTo>
              <a:cubicBezTo>
                <a:pt x="475683" y="82834"/>
                <a:pt x="475672" y="79178"/>
                <a:pt x="475658" y="75520"/>
              </a:cubicBezTo>
              <a:cubicBezTo>
                <a:pt x="475651" y="73303"/>
                <a:pt x="475645" y="71087"/>
                <a:pt x="475641" y="68871"/>
              </a:cubicBezTo>
              <a:cubicBezTo>
                <a:pt x="475639" y="66936"/>
                <a:pt x="475633" y="65004"/>
                <a:pt x="475625" y="63069"/>
              </a:cubicBezTo>
              <a:cubicBezTo>
                <a:pt x="475622" y="62048"/>
                <a:pt x="475618" y="61025"/>
                <a:pt x="475618" y="60004"/>
              </a:cubicBezTo>
              <a:cubicBezTo>
                <a:pt x="475618" y="59038"/>
                <a:pt x="475614" y="58073"/>
                <a:pt x="475608" y="57108"/>
              </a:cubicBezTo>
              <a:cubicBezTo>
                <a:pt x="475606" y="56757"/>
                <a:pt x="475606" y="56405"/>
                <a:pt x="475608" y="56054"/>
              </a:cubicBezTo>
              <a:cubicBezTo>
                <a:pt x="475618" y="52368"/>
                <a:pt x="475046" y="48976"/>
                <a:pt x="473353" y="45681"/>
              </a:cubicBezTo>
              <a:lnTo>
                <a:pt x="473037" y="45055"/>
              </a:lnTo>
              <a:cubicBezTo>
                <a:pt x="471510" y="42252"/>
                <a:pt x="469251" y="39887"/>
                <a:pt x="466569" y="38165"/>
              </a:cubicBezTo>
              <a:cubicBezTo>
                <a:pt x="463772" y="36457"/>
                <a:pt x="460610" y="35405"/>
                <a:pt x="457330" y="35285"/>
              </a:cubicBezTo>
              <a:cubicBezTo>
                <a:pt x="455177" y="35233"/>
                <a:pt x="453189" y="35341"/>
                <a:pt x="451104" y="35912"/>
              </a:cubicBezTo>
              <a:lnTo>
                <a:pt x="450499" y="36076"/>
              </a:lnTo>
              <a:cubicBezTo>
                <a:pt x="447105" y="37113"/>
                <a:pt x="444208" y="39053"/>
                <a:pt x="441735" y="41579"/>
              </a:cubicBezTo>
              <a:cubicBezTo>
                <a:pt x="439518" y="44108"/>
                <a:pt x="438065" y="47127"/>
                <a:pt x="437246" y="50370"/>
              </a:cubicBezTo>
              <a:lnTo>
                <a:pt x="437101" y="50944"/>
              </a:lnTo>
              <a:cubicBezTo>
                <a:pt x="436412" y="54272"/>
                <a:pt x="436800" y="57716"/>
                <a:pt x="437783" y="60934"/>
              </a:cubicBezTo>
              <a:cubicBezTo>
                <a:pt x="438609" y="63263"/>
                <a:pt x="439785" y="65263"/>
                <a:pt x="441345" y="67174"/>
              </a:cubicBezTo>
              <a:lnTo>
                <a:pt x="441713" y="67641"/>
              </a:lnTo>
              <a:cubicBezTo>
                <a:pt x="443661" y="69987"/>
                <a:pt x="446358" y="71686"/>
                <a:pt x="449173" y="72809"/>
              </a:cubicBezTo>
              <a:cubicBezTo>
                <a:pt x="452530" y="74041"/>
                <a:pt x="456092" y="74392"/>
                <a:pt x="459621" y="73801"/>
              </a:cubicBezTo>
              <a:cubicBezTo>
                <a:pt x="461600" y="73423"/>
                <a:pt x="463366" y="72780"/>
                <a:pt x="465156" y="71863"/>
              </a:cubicBezTo>
              <a:lnTo>
                <a:pt x="465780" y="71552"/>
              </a:lnTo>
              <a:cubicBezTo>
                <a:pt x="467233" y="70772"/>
                <a:pt x="468369" y="69757"/>
                <a:pt x="469542" y="68616"/>
              </a:cubicBezTo>
              <a:lnTo>
                <a:pt x="470035" y="68151"/>
              </a:lnTo>
              <a:lnTo>
                <a:pt x="470230" y="68151"/>
              </a:lnTo>
              <a:lnTo>
                <a:pt x="470230" y="86908"/>
              </a:lnTo>
              <a:cubicBezTo>
                <a:pt x="467036" y="88186"/>
                <a:pt x="464052" y="89167"/>
                <a:pt x="460666" y="89644"/>
              </a:cubicBezTo>
              <a:lnTo>
                <a:pt x="460268" y="89700"/>
              </a:lnTo>
              <a:cubicBezTo>
                <a:pt x="454550" y="90429"/>
                <a:pt x="448679" y="89584"/>
                <a:pt x="443320" y="87518"/>
              </a:cubicBezTo>
              <a:cubicBezTo>
                <a:pt x="439565" y="85925"/>
                <a:pt x="436190" y="83966"/>
                <a:pt x="433148" y="81242"/>
              </a:cubicBezTo>
              <a:lnTo>
                <a:pt x="432306" y="80522"/>
              </a:lnTo>
              <a:cubicBezTo>
                <a:pt x="427896" y="76603"/>
                <a:pt x="424634" y="71313"/>
                <a:pt x="422755" y="65741"/>
              </a:cubicBezTo>
              <a:cubicBezTo>
                <a:pt x="421724" y="62510"/>
                <a:pt x="421232" y="59222"/>
                <a:pt x="421047" y="55841"/>
              </a:cubicBezTo>
              <a:lnTo>
                <a:pt x="421010" y="55202"/>
              </a:lnTo>
              <a:cubicBezTo>
                <a:pt x="420997" y="54629"/>
                <a:pt x="421014" y="54069"/>
                <a:pt x="421047" y="53496"/>
              </a:cubicBezTo>
              <a:lnTo>
                <a:pt x="421070" y="53052"/>
              </a:lnTo>
              <a:cubicBezTo>
                <a:pt x="421390" y="47675"/>
                <a:pt x="422769" y="42602"/>
                <a:pt x="425340" y="37866"/>
              </a:cubicBezTo>
              <a:lnTo>
                <a:pt x="425530" y="37507"/>
              </a:lnTo>
              <a:cubicBezTo>
                <a:pt x="426802" y="35109"/>
                <a:pt x="428379" y="33061"/>
                <a:pt x="430215" y="31069"/>
              </a:cubicBezTo>
              <a:cubicBezTo>
                <a:pt x="430557" y="30692"/>
                <a:pt x="430887" y="30310"/>
                <a:pt x="431207" y="29916"/>
              </a:cubicBezTo>
              <a:cubicBezTo>
                <a:pt x="434431" y="26128"/>
                <a:pt x="439391" y="23335"/>
                <a:pt x="443989" y="21622"/>
              </a:cubicBezTo>
              <a:cubicBezTo>
                <a:pt x="453393" y="18296"/>
                <a:pt x="463689" y="18883"/>
                <a:pt x="472571" y="23481"/>
              </a:cubicBezTo>
              <a:moveTo>
                <a:pt x="599559" y="19476"/>
              </a:moveTo>
              <a:cubicBezTo>
                <a:pt x="605789" y="19371"/>
                <a:pt x="611969" y="20829"/>
                <a:pt x="617438" y="23844"/>
              </a:cubicBezTo>
              <a:cubicBezTo>
                <a:pt x="619971" y="25312"/>
                <a:pt x="622297" y="27055"/>
                <a:pt x="624417" y="29074"/>
              </a:cubicBezTo>
              <a:lnTo>
                <a:pt x="624749" y="29387"/>
              </a:lnTo>
              <a:cubicBezTo>
                <a:pt x="629151" y="33561"/>
                <a:pt x="632307" y="38673"/>
                <a:pt x="634083" y="44488"/>
              </a:cubicBezTo>
              <a:cubicBezTo>
                <a:pt x="634885" y="47229"/>
                <a:pt x="635427" y="50052"/>
                <a:pt x="635543" y="52911"/>
              </a:cubicBezTo>
              <a:lnTo>
                <a:pt x="635558" y="53295"/>
              </a:lnTo>
              <a:cubicBezTo>
                <a:pt x="635784" y="59538"/>
                <a:pt x="634354" y="65683"/>
                <a:pt x="631493" y="71228"/>
              </a:cubicBezTo>
              <a:cubicBezTo>
                <a:pt x="628614" y="76612"/>
                <a:pt x="624353" y="81178"/>
                <a:pt x="619226" y="84470"/>
              </a:cubicBezTo>
              <a:cubicBezTo>
                <a:pt x="615152" y="86972"/>
                <a:pt x="610946" y="88557"/>
                <a:pt x="606266" y="89447"/>
              </a:cubicBezTo>
              <a:lnTo>
                <a:pt x="605863" y="89526"/>
              </a:lnTo>
              <a:cubicBezTo>
                <a:pt x="600127" y="90595"/>
                <a:pt x="593916" y="89813"/>
                <a:pt x="588451" y="87887"/>
              </a:cubicBezTo>
              <a:cubicBezTo>
                <a:pt x="583565" y="86072"/>
                <a:pt x="579368" y="83288"/>
                <a:pt x="575624" y="79678"/>
              </a:cubicBezTo>
              <a:lnTo>
                <a:pt x="575178" y="79271"/>
              </a:lnTo>
              <a:cubicBezTo>
                <a:pt x="572893" y="77108"/>
                <a:pt x="571074" y="74421"/>
                <a:pt x="569574" y="71668"/>
              </a:cubicBezTo>
              <a:lnTo>
                <a:pt x="569369" y="71296"/>
              </a:lnTo>
              <a:cubicBezTo>
                <a:pt x="567528" y="67886"/>
                <a:pt x="566390" y="64334"/>
                <a:pt x="565670" y="60531"/>
              </a:cubicBezTo>
              <a:lnTo>
                <a:pt x="565591" y="60122"/>
              </a:lnTo>
              <a:cubicBezTo>
                <a:pt x="564558" y="54455"/>
                <a:pt x="565309" y="48237"/>
                <a:pt x="567213" y="42831"/>
              </a:cubicBezTo>
              <a:cubicBezTo>
                <a:pt x="567626" y="41739"/>
                <a:pt x="568095" y="40679"/>
                <a:pt x="568597" y="39625"/>
              </a:cubicBezTo>
              <a:lnTo>
                <a:pt x="568802" y="39196"/>
              </a:lnTo>
              <a:cubicBezTo>
                <a:pt x="571425" y="33762"/>
                <a:pt x="575526" y="29013"/>
                <a:pt x="580510" y="25617"/>
              </a:cubicBezTo>
              <a:cubicBezTo>
                <a:pt x="585686" y="22176"/>
                <a:pt x="591457" y="20109"/>
                <a:pt x="597654" y="19549"/>
              </a:cubicBezTo>
              <a:cubicBezTo>
                <a:pt x="598289" y="19514"/>
                <a:pt x="598924" y="19497"/>
                <a:pt x="599559" y="19476"/>
              </a:cubicBezTo>
              <a:moveTo>
                <a:pt x="589615" y="38225"/>
              </a:moveTo>
              <a:cubicBezTo>
                <a:pt x="586515" y="40360"/>
                <a:pt x="584231" y="43173"/>
                <a:pt x="582601" y="46561"/>
              </a:cubicBezTo>
              <a:cubicBezTo>
                <a:pt x="581144" y="49859"/>
                <a:pt x="580599" y="53274"/>
                <a:pt x="580933" y="56859"/>
              </a:cubicBezTo>
              <a:cubicBezTo>
                <a:pt x="581348" y="60324"/>
                <a:pt x="582678" y="63652"/>
                <a:pt x="584758" y="66456"/>
              </a:cubicBezTo>
              <a:cubicBezTo>
                <a:pt x="586520" y="68743"/>
                <a:pt x="588515" y="70458"/>
                <a:pt x="591042" y="71863"/>
              </a:cubicBezTo>
              <a:lnTo>
                <a:pt x="591526" y="72141"/>
              </a:lnTo>
              <a:cubicBezTo>
                <a:pt x="594505" y="73755"/>
                <a:pt x="597864" y="74328"/>
                <a:pt x="601216" y="74255"/>
              </a:cubicBezTo>
              <a:cubicBezTo>
                <a:pt x="604772" y="74114"/>
                <a:pt x="608131" y="72967"/>
                <a:pt x="611144" y="71081"/>
              </a:cubicBezTo>
              <a:cubicBezTo>
                <a:pt x="611824" y="70589"/>
                <a:pt x="612461" y="70064"/>
                <a:pt x="613096" y="69518"/>
              </a:cubicBezTo>
              <a:lnTo>
                <a:pt x="613446" y="69255"/>
              </a:lnTo>
              <a:cubicBezTo>
                <a:pt x="615679" y="67525"/>
                <a:pt x="617309" y="64768"/>
                <a:pt x="618463" y="62235"/>
              </a:cubicBezTo>
              <a:cubicBezTo>
                <a:pt x="619320" y="60133"/>
                <a:pt x="619807" y="57913"/>
                <a:pt x="619929" y="55646"/>
              </a:cubicBezTo>
              <a:lnTo>
                <a:pt x="619952" y="55202"/>
              </a:lnTo>
              <a:cubicBezTo>
                <a:pt x="620048" y="51585"/>
                <a:pt x="619100" y="48208"/>
                <a:pt x="617411" y="45034"/>
              </a:cubicBezTo>
              <a:cubicBezTo>
                <a:pt x="616842" y="44009"/>
                <a:pt x="616179" y="43075"/>
                <a:pt x="615440" y="42165"/>
              </a:cubicBezTo>
              <a:lnTo>
                <a:pt x="615040" y="41667"/>
              </a:lnTo>
              <a:cubicBezTo>
                <a:pt x="612884" y="39129"/>
                <a:pt x="610005" y="37244"/>
                <a:pt x="606890" y="36107"/>
              </a:cubicBezTo>
              <a:cubicBezTo>
                <a:pt x="601142" y="34134"/>
                <a:pt x="594714" y="34914"/>
                <a:pt x="589615" y="38225"/>
              </a:cubicBezTo>
              <a:moveTo>
                <a:pt x="350782" y="19501"/>
              </a:moveTo>
              <a:cubicBezTo>
                <a:pt x="352790" y="19495"/>
                <a:pt x="354798" y="19493"/>
                <a:pt x="356804" y="19489"/>
              </a:cubicBezTo>
              <a:cubicBezTo>
                <a:pt x="357736" y="19489"/>
                <a:pt x="358669" y="19487"/>
                <a:pt x="359599" y="19485"/>
              </a:cubicBezTo>
              <a:cubicBezTo>
                <a:pt x="360499" y="19483"/>
                <a:pt x="361397" y="19481"/>
                <a:pt x="362294" y="19481"/>
              </a:cubicBezTo>
              <a:cubicBezTo>
                <a:pt x="362638" y="19481"/>
                <a:pt x="362982" y="19479"/>
                <a:pt x="363325" y="19479"/>
              </a:cubicBezTo>
              <a:cubicBezTo>
                <a:pt x="363806" y="19478"/>
                <a:pt x="364285" y="19478"/>
                <a:pt x="364763" y="19478"/>
              </a:cubicBezTo>
              <a:lnTo>
                <a:pt x="365200" y="19476"/>
              </a:lnTo>
              <a:cubicBezTo>
                <a:pt x="365534" y="19476"/>
                <a:pt x="365868" y="19487"/>
                <a:pt x="366202" y="19501"/>
              </a:cubicBezTo>
              <a:lnTo>
                <a:pt x="366397" y="19696"/>
              </a:lnTo>
              <a:cubicBezTo>
                <a:pt x="366416" y="20221"/>
                <a:pt x="366424" y="20740"/>
                <a:pt x="366422" y="21263"/>
              </a:cubicBezTo>
              <a:lnTo>
                <a:pt x="366424" y="21769"/>
              </a:lnTo>
              <a:cubicBezTo>
                <a:pt x="366426" y="22331"/>
                <a:pt x="366426" y="22893"/>
                <a:pt x="366426" y="23456"/>
              </a:cubicBezTo>
              <a:lnTo>
                <a:pt x="366428" y="24659"/>
              </a:lnTo>
              <a:cubicBezTo>
                <a:pt x="366428" y="25526"/>
                <a:pt x="366430" y="26395"/>
                <a:pt x="366430" y="27262"/>
              </a:cubicBezTo>
              <a:cubicBezTo>
                <a:pt x="366431" y="28634"/>
                <a:pt x="366433" y="30007"/>
                <a:pt x="366437" y="31381"/>
              </a:cubicBezTo>
              <a:lnTo>
                <a:pt x="366441" y="32791"/>
              </a:lnTo>
              <a:lnTo>
                <a:pt x="366443" y="33505"/>
              </a:lnTo>
              <a:cubicBezTo>
                <a:pt x="366453" y="36702"/>
                <a:pt x="366458" y="39899"/>
                <a:pt x="366460" y="43098"/>
              </a:cubicBezTo>
              <a:cubicBezTo>
                <a:pt x="366462" y="45252"/>
                <a:pt x="366466" y="47407"/>
                <a:pt x="366474" y="49561"/>
              </a:cubicBezTo>
              <a:cubicBezTo>
                <a:pt x="366478" y="50702"/>
                <a:pt x="366480" y="51843"/>
                <a:pt x="366480" y="52982"/>
              </a:cubicBezTo>
              <a:cubicBezTo>
                <a:pt x="366480" y="54058"/>
                <a:pt x="366482" y="55133"/>
                <a:pt x="366487" y="56206"/>
              </a:cubicBezTo>
              <a:cubicBezTo>
                <a:pt x="366487" y="56600"/>
                <a:pt x="366487" y="56992"/>
                <a:pt x="366487" y="57384"/>
              </a:cubicBezTo>
              <a:cubicBezTo>
                <a:pt x="366478" y="60284"/>
                <a:pt x="366735" y="62896"/>
                <a:pt x="368128" y="65500"/>
              </a:cubicBezTo>
              <a:lnTo>
                <a:pt x="368335" y="65898"/>
              </a:lnTo>
              <a:cubicBezTo>
                <a:pt x="368841" y="66851"/>
                <a:pt x="369401" y="67720"/>
                <a:pt x="370105" y="68541"/>
              </a:cubicBezTo>
              <a:lnTo>
                <a:pt x="370406" y="68927"/>
              </a:lnTo>
              <a:cubicBezTo>
                <a:pt x="372032" y="70931"/>
                <a:pt x="374356" y="72301"/>
                <a:pt x="376741" y="73230"/>
              </a:cubicBezTo>
              <a:cubicBezTo>
                <a:pt x="379476" y="74147"/>
                <a:pt x="382270" y="74282"/>
                <a:pt x="385098" y="73780"/>
              </a:cubicBezTo>
              <a:cubicBezTo>
                <a:pt x="387801" y="73164"/>
                <a:pt x="390326" y="71931"/>
                <a:pt x="392392" y="70068"/>
              </a:cubicBezTo>
              <a:cubicBezTo>
                <a:pt x="394423" y="68160"/>
                <a:pt x="395803" y="65981"/>
                <a:pt x="396691" y="63342"/>
              </a:cubicBezTo>
              <a:cubicBezTo>
                <a:pt x="397249" y="61492"/>
                <a:pt x="397457" y="59745"/>
                <a:pt x="397461" y="57822"/>
              </a:cubicBezTo>
              <a:lnTo>
                <a:pt x="397463" y="57322"/>
              </a:lnTo>
              <a:cubicBezTo>
                <a:pt x="397467" y="56774"/>
                <a:pt x="397469" y="56226"/>
                <a:pt x="397469" y="55677"/>
              </a:cubicBezTo>
              <a:lnTo>
                <a:pt x="397475" y="54492"/>
              </a:lnTo>
              <a:cubicBezTo>
                <a:pt x="397481" y="53424"/>
                <a:pt x="397484" y="52355"/>
                <a:pt x="397488" y="51287"/>
              </a:cubicBezTo>
              <a:cubicBezTo>
                <a:pt x="397494" y="50169"/>
                <a:pt x="397498" y="49052"/>
                <a:pt x="397504" y="47934"/>
              </a:cubicBezTo>
              <a:cubicBezTo>
                <a:pt x="397513" y="45818"/>
                <a:pt x="397523" y="43702"/>
                <a:pt x="397531" y="41588"/>
              </a:cubicBezTo>
              <a:cubicBezTo>
                <a:pt x="397540" y="39179"/>
                <a:pt x="397552" y="36770"/>
                <a:pt x="397562" y="34362"/>
              </a:cubicBezTo>
              <a:cubicBezTo>
                <a:pt x="397585" y="29408"/>
                <a:pt x="397606" y="24454"/>
                <a:pt x="397625" y="19501"/>
              </a:cubicBezTo>
              <a:lnTo>
                <a:pt x="413240" y="19501"/>
              </a:lnTo>
              <a:cubicBezTo>
                <a:pt x="413247" y="24792"/>
                <a:pt x="413255" y="30084"/>
                <a:pt x="413259" y="35378"/>
              </a:cubicBezTo>
              <a:cubicBezTo>
                <a:pt x="413261" y="37835"/>
                <a:pt x="413265" y="40293"/>
                <a:pt x="413269" y="42750"/>
              </a:cubicBezTo>
              <a:cubicBezTo>
                <a:pt x="413272" y="44893"/>
                <a:pt x="413274" y="47036"/>
                <a:pt x="413276" y="49179"/>
              </a:cubicBezTo>
              <a:cubicBezTo>
                <a:pt x="413276" y="50312"/>
                <a:pt x="413278" y="51448"/>
                <a:pt x="413280" y="52581"/>
              </a:cubicBezTo>
              <a:cubicBezTo>
                <a:pt x="413282" y="53650"/>
                <a:pt x="413284" y="54720"/>
                <a:pt x="413282" y="55789"/>
              </a:cubicBezTo>
              <a:cubicBezTo>
                <a:pt x="413282" y="56179"/>
                <a:pt x="413284" y="56569"/>
                <a:pt x="413286" y="56959"/>
              </a:cubicBezTo>
              <a:cubicBezTo>
                <a:pt x="413298" y="59994"/>
                <a:pt x="413147" y="62959"/>
                <a:pt x="412410" y="65915"/>
              </a:cubicBezTo>
              <a:lnTo>
                <a:pt x="412280" y="66438"/>
              </a:lnTo>
              <a:cubicBezTo>
                <a:pt x="411216" y="70606"/>
                <a:pt x="409290" y="74556"/>
                <a:pt x="406602" y="77919"/>
              </a:cubicBezTo>
              <a:lnTo>
                <a:pt x="406328" y="78265"/>
              </a:lnTo>
              <a:cubicBezTo>
                <a:pt x="402815" y="82622"/>
                <a:pt x="398295" y="85875"/>
                <a:pt x="393094" y="87933"/>
              </a:cubicBezTo>
              <a:cubicBezTo>
                <a:pt x="391264" y="88620"/>
                <a:pt x="389392" y="89072"/>
                <a:pt x="387476" y="89447"/>
              </a:cubicBezTo>
              <a:lnTo>
                <a:pt x="386752" y="89593"/>
              </a:lnTo>
              <a:cubicBezTo>
                <a:pt x="381584" y="90451"/>
                <a:pt x="376196" y="89802"/>
                <a:pt x="371277" y="88080"/>
              </a:cubicBezTo>
              <a:cubicBezTo>
                <a:pt x="365922" y="86049"/>
                <a:pt x="361219" y="82667"/>
                <a:pt x="357584" y="78238"/>
              </a:cubicBezTo>
              <a:cubicBezTo>
                <a:pt x="356663" y="77081"/>
                <a:pt x="355846" y="75863"/>
                <a:pt x="355078" y="74599"/>
              </a:cubicBezTo>
              <a:lnTo>
                <a:pt x="354867" y="74253"/>
              </a:lnTo>
              <a:cubicBezTo>
                <a:pt x="352248" y="69863"/>
                <a:pt x="350821" y="64585"/>
                <a:pt x="350740" y="59481"/>
              </a:cubicBezTo>
              <a:cubicBezTo>
                <a:pt x="350734" y="58575"/>
                <a:pt x="350736" y="57670"/>
                <a:pt x="350738" y="56764"/>
              </a:cubicBezTo>
              <a:lnTo>
                <a:pt x="350738" y="55538"/>
              </a:lnTo>
              <a:cubicBezTo>
                <a:pt x="350738" y="54440"/>
                <a:pt x="350742" y="53339"/>
                <a:pt x="350744" y="52241"/>
              </a:cubicBezTo>
              <a:cubicBezTo>
                <a:pt x="350746" y="51087"/>
                <a:pt x="350746" y="49936"/>
                <a:pt x="350748" y="48783"/>
              </a:cubicBezTo>
              <a:cubicBezTo>
                <a:pt x="350748" y="46604"/>
                <a:pt x="350752" y="44426"/>
                <a:pt x="350755" y="42248"/>
              </a:cubicBezTo>
              <a:cubicBezTo>
                <a:pt x="350759" y="39766"/>
                <a:pt x="350761" y="37285"/>
                <a:pt x="350763" y="34802"/>
              </a:cubicBezTo>
              <a:cubicBezTo>
                <a:pt x="350767" y="29702"/>
                <a:pt x="350775" y="24601"/>
                <a:pt x="350782" y="19501"/>
              </a:cubicBezTo>
              <a:moveTo>
                <a:pt x="326033" y="23213"/>
              </a:moveTo>
              <a:cubicBezTo>
                <a:pt x="329371" y="24951"/>
                <a:pt x="332218" y="27095"/>
                <a:pt x="334975" y="29659"/>
              </a:cubicBezTo>
              <a:lnTo>
                <a:pt x="335367" y="30022"/>
              </a:lnTo>
              <a:cubicBezTo>
                <a:pt x="338209" y="32739"/>
                <a:pt x="340518" y="36279"/>
                <a:pt x="342195" y="39820"/>
              </a:cubicBezTo>
              <a:lnTo>
                <a:pt x="342195" y="40210"/>
              </a:lnTo>
              <a:cubicBezTo>
                <a:pt x="339771" y="40256"/>
                <a:pt x="337348" y="40291"/>
                <a:pt x="334921" y="40312"/>
              </a:cubicBezTo>
              <a:cubicBezTo>
                <a:pt x="333795" y="40322"/>
                <a:pt x="332670" y="40335"/>
                <a:pt x="331544" y="40358"/>
              </a:cubicBezTo>
              <a:cubicBezTo>
                <a:pt x="330456" y="40380"/>
                <a:pt x="329367" y="40391"/>
                <a:pt x="328278" y="40395"/>
              </a:cubicBezTo>
              <a:cubicBezTo>
                <a:pt x="327865" y="40399"/>
                <a:pt x="327452" y="40407"/>
                <a:pt x="327039" y="40416"/>
              </a:cubicBezTo>
              <a:cubicBezTo>
                <a:pt x="323884" y="40495"/>
                <a:pt x="323884" y="40495"/>
                <a:pt x="322843" y="40017"/>
              </a:cubicBezTo>
              <a:cubicBezTo>
                <a:pt x="322044" y="39526"/>
                <a:pt x="321397" y="38910"/>
                <a:pt x="320726" y="38256"/>
              </a:cubicBezTo>
              <a:cubicBezTo>
                <a:pt x="320231" y="37932"/>
                <a:pt x="319726" y="37665"/>
                <a:pt x="319189" y="37414"/>
              </a:cubicBezTo>
              <a:lnTo>
                <a:pt x="318797" y="37225"/>
              </a:lnTo>
              <a:cubicBezTo>
                <a:pt x="315339" y="35602"/>
                <a:pt x="311843" y="35051"/>
                <a:pt x="308040" y="35325"/>
              </a:cubicBezTo>
              <a:cubicBezTo>
                <a:pt x="304748" y="35741"/>
                <a:pt x="301549" y="36974"/>
                <a:pt x="298879" y="38947"/>
              </a:cubicBezTo>
              <a:cubicBezTo>
                <a:pt x="295823" y="41273"/>
                <a:pt x="293731" y="44117"/>
                <a:pt x="292231" y="47635"/>
              </a:cubicBezTo>
              <a:cubicBezTo>
                <a:pt x="291916" y="48473"/>
                <a:pt x="291663" y="49307"/>
                <a:pt x="291451" y="50175"/>
              </a:cubicBezTo>
              <a:lnTo>
                <a:pt x="291318" y="50697"/>
              </a:lnTo>
              <a:cubicBezTo>
                <a:pt x="290607" y="54077"/>
                <a:pt x="290922" y="57650"/>
                <a:pt x="291964" y="60917"/>
              </a:cubicBezTo>
              <a:cubicBezTo>
                <a:pt x="293107" y="64315"/>
                <a:pt x="295042" y="66985"/>
                <a:pt x="297627" y="69419"/>
              </a:cubicBezTo>
              <a:cubicBezTo>
                <a:pt x="300279" y="71722"/>
                <a:pt x="303399" y="73076"/>
                <a:pt x="306820" y="73780"/>
              </a:cubicBezTo>
              <a:cubicBezTo>
                <a:pt x="310189" y="74390"/>
                <a:pt x="313592" y="74052"/>
                <a:pt x="316836" y="72979"/>
              </a:cubicBezTo>
              <a:cubicBezTo>
                <a:pt x="319776" y="71879"/>
                <a:pt x="322448" y="70224"/>
                <a:pt x="324513" y="67832"/>
              </a:cubicBezTo>
              <a:lnTo>
                <a:pt x="324826" y="67564"/>
              </a:lnTo>
              <a:cubicBezTo>
                <a:pt x="325417" y="67510"/>
                <a:pt x="325967" y="67490"/>
                <a:pt x="326558" y="67498"/>
              </a:cubicBezTo>
              <a:lnTo>
                <a:pt x="327095" y="67498"/>
              </a:lnTo>
              <a:cubicBezTo>
                <a:pt x="327681" y="67498"/>
                <a:pt x="328266" y="67502"/>
                <a:pt x="328853" y="67508"/>
              </a:cubicBezTo>
              <a:cubicBezTo>
                <a:pt x="329259" y="67508"/>
                <a:pt x="329664" y="67510"/>
                <a:pt x="330071" y="67510"/>
              </a:cubicBezTo>
              <a:cubicBezTo>
                <a:pt x="331141" y="67512"/>
                <a:pt x="332210" y="67517"/>
                <a:pt x="333280" y="67523"/>
              </a:cubicBezTo>
              <a:cubicBezTo>
                <a:pt x="334371" y="67529"/>
                <a:pt x="335462" y="67533"/>
                <a:pt x="336552" y="67537"/>
              </a:cubicBezTo>
              <a:cubicBezTo>
                <a:pt x="338693" y="67543"/>
                <a:pt x="340834" y="67552"/>
                <a:pt x="342977" y="67564"/>
              </a:cubicBezTo>
              <a:cubicBezTo>
                <a:pt x="342823" y="67936"/>
                <a:pt x="342668" y="68311"/>
                <a:pt x="342514" y="68684"/>
              </a:cubicBezTo>
              <a:lnTo>
                <a:pt x="342253" y="69313"/>
              </a:lnTo>
              <a:cubicBezTo>
                <a:pt x="341230" y="71720"/>
                <a:pt x="339881" y="73894"/>
                <a:pt x="338292" y="75966"/>
              </a:cubicBezTo>
              <a:lnTo>
                <a:pt x="337902" y="76489"/>
              </a:lnTo>
              <a:cubicBezTo>
                <a:pt x="334066" y="81423"/>
                <a:pt x="329012" y="85107"/>
                <a:pt x="323264" y="87493"/>
              </a:cubicBezTo>
              <a:cubicBezTo>
                <a:pt x="317805" y="89694"/>
                <a:pt x="311611" y="90387"/>
                <a:pt x="305783" y="89678"/>
              </a:cubicBezTo>
              <a:cubicBezTo>
                <a:pt x="299632" y="88794"/>
                <a:pt x="293791" y="86468"/>
                <a:pt x="288889" y="82620"/>
              </a:cubicBezTo>
              <a:cubicBezTo>
                <a:pt x="287893" y="81802"/>
                <a:pt x="286926" y="80952"/>
                <a:pt x="285985" y="80068"/>
              </a:cubicBezTo>
              <a:lnTo>
                <a:pt x="285690" y="79794"/>
              </a:lnTo>
              <a:cubicBezTo>
                <a:pt x="281323" y="75688"/>
                <a:pt x="278298" y="70413"/>
                <a:pt x="276520" y="64707"/>
              </a:cubicBezTo>
              <a:cubicBezTo>
                <a:pt x="276028" y="63017"/>
                <a:pt x="275713" y="61289"/>
                <a:pt x="275446" y="59554"/>
              </a:cubicBezTo>
              <a:lnTo>
                <a:pt x="275333" y="58845"/>
              </a:lnTo>
              <a:cubicBezTo>
                <a:pt x="274587" y="52527"/>
                <a:pt x="275676" y="46204"/>
                <a:pt x="278140" y="40378"/>
              </a:cubicBezTo>
              <a:cubicBezTo>
                <a:pt x="280564" y="34883"/>
                <a:pt x="284526" y="29959"/>
                <a:pt x="289346" y="26395"/>
              </a:cubicBezTo>
              <a:cubicBezTo>
                <a:pt x="294350" y="22773"/>
                <a:pt x="300134" y="20402"/>
                <a:pt x="306283" y="19696"/>
              </a:cubicBezTo>
              <a:lnTo>
                <a:pt x="306841" y="19630"/>
              </a:lnTo>
              <a:cubicBezTo>
                <a:pt x="313417" y="18972"/>
                <a:pt x="320137" y="20232"/>
                <a:pt x="326033" y="23213"/>
              </a:cubicBezTo>
              <a:moveTo>
                <a:pt x="534052" y="19501"/>
              </a:moveTo>
              <a:lnTo>
                <a:pt x="534052" y="35130"/>
              </a:lnTo>
              <a:cubicBezTo>
                <a:pt x="533492" y="35318"/>
                <a:pt x="532988" y="35380"/>
                <a:pt x="532403" y="35432"/>
              </a:cubicBezTo>
              <a:cubicBezTo>
                <a:pt x="528889" y="35766"/>
                <a:pt x="525716" y="36893"/>
                <a:pt x="522779" y="38880"/>
              </a:cubicBezTo>
              <a:cubicBezTo>
                <a:pt x="522138" y="39347"/>
                <a:pt x="521551" y="39862"/>
                <a:pt x="520974" y="40407"/>
              </a:cubicBezTo>
              <a:cubicBezTo>
                <a:pt x="520820" y="40550"/>
                <a:pt x="520663" y="40690"/>
                <a:pt x="520503" y="40837"/>
              </a:cubicBezTo>
              <a:cubicBezTo>
                <a:pt x="518094" y="43138"/>
                <a:pt x="516536" y="46090"/>
                <a:pt x="515511" y="49231"/>
              </a:cubicBezTo>
              <a:cubicBezTo>
                <a:pt x="514928" y="51449"/>
                <a:pt x="514864" y="53556"/>
                <a:pt x="514862" y="55834"/>
              </a:cubicBezTo>
              <a:lnTo>
                <a:pt x="514856" y="56950"/>
              </a:lnTo>
              <a:cubicBezTo>
                <a:pt x="514850" y="57953"/>
                <a:pt x="514849" y="58957"/>
                <a:pt x="514845" y="59961"/>
              </a:cubicBezTo>
              <a:cubicBezTo>
                <a:pt x="514843" y="61013"/>
                <a:pt x="514837" y="62064"/>
                <a:pt x="514833" y="63116"/>
              </a:cubicBezTo>
              <a:cubicBezTo>
                <a:pt x="514823" y="65102"/>
                <a:pt x="514816" y="67091"/>
                <a:pt x="514810" y="69079"/>
              </a:cubicBezTo>
              <a:cubicBezTo>
                <a:pt x="514802" y="71344"/>
                <a:pt x="514793" y="73608"/>
                <a:pt x="514783" y="75871"/>
              </a:cubicBezTo>
              <a:cubicBezTo>
                <a:pt x="514762" y="80527"/>
                <a:pt x="514746" y="85182"/>
                <a:pt x="514729" y="89839"/>
              </a:cubicBezTo>
              <a:lnTo>
                <a:pt x="499116" y="89839"/>
              </a:lnTo>
              <a:cubicBezTo>
                <a:pt x="499103" y="84833"/>
                <a:pt x="499091" y="79827"/>
                <a:pt x="499086" y="74823"/>
              </a:cubicBezTo>
              <a:cubicBezTo>
                <a:pt x="499082" y="72498"/>
                <a:pt x="499078" y="70174"/>
                <a:pt x="499072" y="67850"/>
              </a:cubicBezTo>
              <a:cubicBezTo>
                <a:pt x="499066" y="65821"/>
                <a:pt x="499062" y="63793"/>
                <a:pt x="499060" y="61766"/>
              </a:cubicBezTo>
              <a:cubicBezTo>
                <a:pt x="499060" y="60695"/>
                <a:pt x="499059" y="59621"/>
                <a:pt x="499053" y="58550"/>
              </a:cubicBezTo>
              <a:cubicBezTo>
                <a:pt x="499049" y="57538"/>
                <a:pt x="499049" y="56525"/>
                <a:pt x="499049" y="55513"/>
              </a:cubicBezTo>
              <a:cubicBezTo>
                <a:pt x="499049" y="55145"/>
                <a:pt x="499049" y="54776"/>
                <a:pt x="499045" y="54407"/>
              </a:cubicBezTo>
              <a:cubicBezTo>
                <a:pt x="499028" y="51253"/>
                <a:pt x="499331" y="48177"/>
                <a:pt x="500250" y="45144"/>
              </a:cubicBezTo>
              <a:cubicBezTo>
                <a:pt x="500300" y="44972"/>
                <a:pt x="500350" y="44803"/>
                <a:pt x="500402" y="44627"/>
              </a:cubicBezTo>
              <a:cubicBezTo>
                <a:pt x="500860" y="43115"/>
                <a:pt x="501396" y="41654"/>
                <a:pt x="502043" y="40210"/>
              </a:cubicBezTo>
              <a:cubicBezTo>
                <a:pt x="502097" y="40088"/>
                <a:pt x="502153" y="39967"/>
                <a:pt x="502209" y="39839"/>
              </a:cubicBezTo>
              <a:cubicBezTo>
                <a:pt x="504590" y="34601"/>
                <a:pt x="508466" y="29808"/>
                <a:pt x="513103" y="26397"/>
              </a:cubicBezTo>
              <a:cubicBezTo>
                <a:pt x="518634" y="22534"/>
                <a:pt x="524708" y="20178"/>
                <a:pt x="531442" y="19561"/>
              </a:cubicBezTo>
              <a:cubicBezTo>
                <a:pt x="532318" y="19493"/>
                <a:pt x="533164" y="19501"/>
                <a:pt x="534052" y="19501"/>
              </a:cubicBezTo>
              <a:moveTo>
                <a:pt x="541859" y="19501"/>
              </a:moveTo>
              <a:lnTo>
                <a:pt x="557473" y="19501"/>
              </a:lnTo>
              <a:lnTo>
                <a:pt x="557473" y="89839"/>
              </a:lnTo>
              <a:lnTo>
                <a:pt x="541859" y="89839"/>
              </a:lnTo>
              <a:close/>
              <a:moveTo>
                <a:pt x="452858" y="157"/>
              </a:moveTo>
              <a:lnTo>
                <a:pt x="468863" y="157"/>
              </a:lnTo>
              <a:cubicBezTo>
                <a:pt x="468560" y="915"/>
                <a:pt x="468251" y="1558"/>
                <a:pt x="467847" y="2261"/>
              </a:cubicBezTo>
              <a:lnTo>
                <a:pt x="467467" y="2927"/>
              </a:lnTo>
              <a:lnTo>
                <a:pt x="467058" y="3637"/>
              </a:lnTo>
              <a:lnTo>
                <a:pt x="466635" y="4375"/>
              </a:lnTo>
              <a:cubicBezTo>
                <a:pt x="465307" y="6688"/>
                <a:pt x="463967" y="8995"/>
                <a:pt x="462617" y="11294"/>
              </a:cubicBezTo>
              <a:lnTo>
                <a:pt x="462256" y="11910"/>
              </a:lnTo>
              <a:cubicBezTo>
                <a:pt x="461901" y="12516"/>
                <a:pt x="461546" y="13120"/>
                <a:pt x="461191" y="13724"/>
              </a:cubicBezTo>
              <a:cubicBezTo>
                <a:pt x="461083" y="13910"/>
                <a:pt x="460973" y="14095"/>
                <a:pt x="460861" y="14286"/>
              </a:cubicBezTo>
              <a:lnTo>
                <a:pt x="460559" y="14798"/>
              </a:lnTo>
              <a:lnTo>
                <a:pt x="460293" y="15250"/>
              </a:lnTo>
              <a:cubicBezTo>
                <a:pt x="460081" y="15591"/>
                <a:pt x="460081" y="15591"/>
                <a:pt x="459886" y="15788"/>
              </a:cubicBezTo>
              <a:cubicBezTo>
                <a:pt x="459395" y="15806"/>
                <a:pt x="458903" y="15813"/>
                <a:pt x="458413" y="15809"/>
              </a:cubicBezTo>
              <a:lnTo>
                <a:pt x="457945" y="15809"/>
              </a:lnTo>
              <a:cubicBezTo>
                <a:pt x="457432" y="15809"/>
                <a:pt x="456920" y="15808"/>
                <a:pt x="456409" y="15808"/>
              </a:cubicBezTo>
              <a:lnTo>
                <a:pt x="455345" y="15806"/>
              </a:lnTo>
              <a:cubicBezTo>
                <a:pt x="454413" y="15806"/>
                <a:pt x="453478" y="15804"/>
                <a:pt x="452544" y="15802"/>
              </a:cubicBezTo>
              <a:cubicBezTo>
                <a:pt x="451592" y="15800"/>
                <a:pt x="450638" y="15798"/>
                <a:pt x="449687" y="15798"/>
              </a:cubicBezTo>
              <a:cubicBezTo>
                <a:pt x="447816" y="15796"/>
                <a:pt x="445947" y="15792"/>
                <a:pt x="444076" y="15788"/>
              </a:cubicBezTo>
              <a:cubicBezTo>
                <a:pt x="444347" y="15097"/>
                <a:pt x="444644" y="14458"/>
                <a:pt x="445007" y="13811"/>
              </a:cubicBezTo>
              <a:lnTo>
                <a:pt x="445333" y="13226"/>
              </a:lnTo>
              <a:lnTo>
                <a:pt x="445686" y="12601"/>
              </a:lnTo>
              <a:lnTo>
                <a:pt x="446055" y="11944"/>
              </a:lnTo>
              <a:cubicBezTo>
                <a:pt x="447324" y="9693"/>
                <a:pt x="448629" y="7466"/>
                <a:pt x="449932" y="5238"/>
              </a:cubicBezTo>
              <a:close/>
              <a:moveTo>
                <a:pt x="552099" y="317"/>
              </a:moveTo>
              <a:cubicBezTo>
                <a:pt x="553560" y="857"/>
                <a:pt x="554670" y="1751"/>
                <a:pt x="555716" y="2892"/>
              </a:cubicBezTo>
              <a:cubicBezTo>
                <a:pt x="556639" y="4008"/>
                <a:pt x="557224" y="5172"/>
                <a:pt x="557473" y="6605"/>
              </a:cubicBezTo>
              <a:cubicBezTo>
                <a:pt x="557628" y="8126"/>
                <a:pt x="557502" y="9485"/>
                <a:pt x="556962" y="10919"/>
              </a:cubicBezTo>
              <a:cubicBezTo>
                <a:pt x="556292" y="12334"/>
                <a:pt x="555427" y="13485"/>
                <a:pt x="554166" y="14419"/>
              </a:cubicBezTo>
              <a:cubicBezTo>
                <a:pt x="552747" y="15325"/>
                <a:pt x="551365" y="15696"/>
                <a:pt x="549689" y="15800"/>
              </a:cubicBezTo>
              <a:cubicBezTo>
                <a:pt x="548237" y="15769"/>
                <a:pt x="546797" y="15348"/>
                <a:pt x="545527" y="14643"/>
              </a:cubicBezTo>
              <a:cubicBezTo>
                <a:pt x="544102" y="13738"/>
                <a:pt x="543233" y="12589"/>
                <a:pt x="542444" y="11099"/>
              </a:cubicBezTo>
              <a:cubicBezTo>
                <a:pt x="541795" y="9645"/>
                <a:pt x="541720" y="8178"/>
                <a:pt x="541859" y="6605"/>
              </a:cubicBezTo>
              <a:cubicBezTo>
                <a:pt x="542104" y="5164"/>
                <a:pt x="542720" y="4035"/>
                <a:pt x="543616" y="2892"/>
              </a:cubicBezTo>
              <a:cubicBezTo>
                <a:pt x="544658" y="1745"/>
                <a:pt x="545759" y="923"/>
                <a:pt x="547197" y="352"/>
              </a:cubicBezTo>
              <a:cubicBezTo>
                <a:pt x="548799" y="-85"/>
                <a:pt x="550487" y="-64"/>
                <a:pt x="552099" y="317"/>
              </a:cubicBezTo>
            </a:path>
          </a:pathLst>
        </a:custGeom>
        <a:solidFill>
          <a:schemeClr val="bg1"/>
        </a:solidFill>
        <a:ln w="489" cap="flat">
          <a:noFill/>
          <a:prstDash val="solid"/>
          <a:miter/>
        </a:ln>
      </xdr:spPr>
      <xdr:txBody>
        <a:bodyPr rtlCol="0" anchor="ctr"/>
        <a:lstStyle/>
        <a:p>
          <a:endParaRPr lang="pt-B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121708</xdr:colOff>
      <xdr:row>0</xdr:row>
      <xdr:rowOff>164042</xdr:rowOff>
    </xdr:from>
    <xdr:to>
      <xdr:col>0</xdr:col>
      <xdr:colOff>757289</xdr:colOff>
      <xdr:row>0</xdr:row>
      <xdr:rowOff>254049</xdr:rowOff>
    </xdr:to>
    <xdr:sp macro="" textlink="">
      <xdr:nvSpPr>
        <xdr:cNvPr id="2" name="Gráfico 2">
          <a:extLst>
            <a:ext uri="{FF2B5EF4-FFF2-40B4-BE49-F238E27FC236}">
              <a16:creationId xmlns:a16="http://schemas.microsoft.com/office/drawing/2014/main" id="{9C741FF2-94DA-4725-B73E-471F7B61FFE3}"/>
            </a:ext>
          </a:extLst>
        </xdr:cNvPr>
        <xdr:cNvSpPr/>
      </xdr:nvSpPr>
      <xdr:spPr>
        <a:xfrm>
          <a:off x="121708" y="164042"/>
          <a:ext cx="635581" cy="90007"/>
        </a:xfrm>
        <a:custGeom>
          <a:avLst/>
          <a:gdLst>
            <a:gd name="connsiteX0" fmla="*/ 64367 w 635581"/>
            <a:gd name="connsiteY0" fmla="*/ 4440 h 90007"/>
            <a:gd name="connsiteX1" fmla="*/ 80420 w 635581"/>
            <a:gd name="connsiteY1" fmla="*/ 17607 h 90007"/>
            <a:gd name="connsiteX2" fmla="*/ 81146 w 635581"/>
            <a:gd name="connsiteY2" fmla="*/ 18570 h 90007"/>
            <a:gd name="connsiteX3" fmla="*/ 89480 w 635581"/>
            <a:gd name="connsiteY3" fmla="*/ 39856 h 90007"/>
            <a:gd name="connsiteX4" fmla="*/ 85872 w 635581"/>
            <a:gd name="connsiteY4" fmla="*/ 63303 h 90007"/>
            <a:gd name="connsiteX5" fmla="*/ 70491 w 635581"/>
            <a:gd name="connsiteY5" fmla="*/ 81887 h 90007"/>
            <a:gd name="connsiteX6" fmla="*/ 49390 w 635581"/>
            <a:gd name="connsiteY6" fmla="*/ 89748 h 90007"/>
            <a:gd name="connsiteX7" fmla="*/ 25465 w 635581"/>
            <a:gd name="connsiteY7" fmla="*/ 85564 h 90007"/>
            <a:gd name="connsiteX8" fmla="*/ 14889 w 635581"/>
            <a:gd name="connsiteY8" fmla="*/ 78506 h 90007"/>
            <a:gd name="connsiteX9" fmla="*/ 14559 w 635581"/>
            <a:gd name="connsiteY9" fmla="*/ 78215 h 90007"/>
            <a:gd name="connsiteX10" fmla="*/ 6302 w 635581"/>
            <a:gd name="connsiteY10" fmla="*/ 68151 h 90007"/>
            <a:gd name="connsiteX11" fmla="*/ 6069 w 635581"/>
            <a:gd name="connsiteY11" fmla="*/ 67767 h 90007"/>
            <a:gd name="connsiteX12" fmla="*/ 14 w 635581"/>
            <a:gd name="connsiteY12" fmla="*/ 47718 h 90007"/>
            <a:gd name="connsiteX13" fmla="*/ 9 w 635581"/>
            <a:gd name="connsiteY13" fmla="*/ 47264 h 90007"/>
            <a:gd name="connsiteX14" fmla="*/ 3 w 635581"/>
            <a:gd name="connsiteY14" fmla="*/ 46776 h 90007"/>
            <a:gd name="connsiteX15" fmla="*/ 5661 w 635581"/>
            <a:gd name="connsiteY15" fmla="*/ 22841 h 90007"/>
            <a:gd name="connsiteX16" fmla="*/ 11383 w 635581"/>
            <a:gd name="connsiteY16" fmla="*/ 15028 h 90007"/>
            <a:gd name="connsiteX17" fmla="*/ 12387 w 635581"/>
            <a:gd name="connsiteY17" fmla="*/ 13871 h 90007"/>
            <a:gd name="connsiteX18" fmla="*/ 22697 w 635581"/>
            <a:gd name="connsiteY18" fmla="*/ 5823 h 90007"/>
            <a:gd name="connsiteX19" fmla="*/ 23137 w 635581"/>
            <a:gd name="connsiteY19" fmla="*/ 5570 h 90007"/>
            <a:gd name="connsiteX20" fmla="*/ 64367 w 635581"/>
            <a:gd name="connsiteY20" fmla="*/ 4440 h 90007"/>
            <a:gd name="connsiteX21" fmla="*/ 38114 w 635581"/>
            <a:gd name="connsiteY21" fmla="*/ 16373 h 90007"/>
            <a:gd name="connsiteX22" fmla="*/ 37658 w 635581"/>
            <a:gd name="connsiteY22" fmla="*/ 16485 h 90007"/>
            <a:gd name="connsiteX23" fmla="*/ 23866 w 635581"/>
            <a:gd name="connsiteY23" fmla="*/ 24385 h 90007"/>
            <a:gd name="connsiteX24" fmla="*/ 16526 w 635581"/>
            <a:gd name="connsiteY24" fmla="*/ 36909 h 90007"/>
            <a:gd name="connsiteX25" fmla="*/ 16411 w 635581"/>
            <a:gd name="connsiteY25" fmla="*/ 52671 h 90007"/>
            <a:gd name="connsiteX26" fmla="*/ 22697 w 635581"/>
            <a:gd name="connsiteY26" fmla="*/ 64243 h 90007"/>
            <a:gd name="connsiteX27" fmla="*/ 23123 w 635581"/>
            <a:gd name="connsiteY27" fmla="*/ 64749 h 90007"/>
            <a:gd name="connsiteX28" fmla="*/ 26600 w 635581"/>
            <a:gd name="connsiteY28" fmla="*/ 67956 h 90007"/>
            <a:gd name="connsiteX29" fmla="*/ 27098 w 635581"/>
            <a:gd name="connsiteY29" fmla="*/ 68373 h 90007"/>
            <a:gd name="connsiteX30" fmla="*/ 40653 w 635581"/>
            <a:gd name="connsiteY30" fmla="*/ 74012 h 90007"/>
            <a:gd name="connsiteX31" fmla="*/ 55923 w 635581"/>
            <a:gd name="connsiteY31" fmla="*/ 72145 h 90007"/>
            <a:gd name="connsiteX32" fmla="*/ 63877 w 635581"/>
            <a:gd name="connsiteY32" fmla="*/ 67174 h 90007"/>
            <a:gd name="connsiteX33" fmla="*/ 64452 w 635581"/>
            <a:gd name="connsiteY33" fmla="*/ 66676 h 90007"/>
            <a:gd name="connsiteX34" fmla="*/ 72445 w 635581"/>
            <a:gd name="connsiteY34" fmla="*/ 54701 h 90007"/>
            <a:gd name="connsiteX35" fmla="*/ 73644 w 635581"/>
            <a:gd name="connsiteY35" fmla="*/ 39594 h 90007"/>
            <a:gd name="connsiteX36" fmla="*/ 66931 w 635581"/>
            <a:gd name="connsiteY36" fmla="*/ 25800 h 90007"/>
            <a:gd name="connsiteX37" fmla="*/ 65634 w 635581"/>
            <a:gd name="connsiteY37" fmla="*/ 24385 h 90007"/>
            <a:gd name="connsiteX38" fmla="*/ 65267 w 635581"/>
            <a:gd name="connsiteY38" fmla="*/ 23985 h 90007"/>
            <a:gd name="connsiteX39" fmla="*/ 53350 w 635581"/>
            <a:gd name="connsiteY39" fmla="*/ 16898 h 90007"/>
            <a:gd name="connsiteX40" fmla="*/ 51386 w 635581"/>
            <a:gd name="connsiteY40" fmla="*/ 16373 h 90007"/>
            <a:gd name="connsiteX41" fmla="*/ 50971 w 635581"/>
            <a:gd name="connsiteY41" fmla="*/ 16267 h 90007"/>
            <a:gd name="connsiteX42" fmla="*/ 38114 w 635581"/>
            <a:gd name="connsiteY42" fmla="*/ 16373 h 90007"/>
            <a:gd name="connsiteX43" fmla="*/ 136873 w 635581"/>
            <a:gd name="connsiteY43" fmla="*/ 157 h 90007"/>
            <a:gd name="connsiteX44" fmla="*/ 186390 w 635581"/>
            <a:gd name="connsiteY44" fmla="*/ 3994 h 90007"/>
            <a:gd name="connsiteX45" fmla="*/ 191521 w 635581"/>
            <a:gd name="connsiteY45" fmla="*/ 8168 h 90007"/>
            <a:gd name="connsiteX46" fmla="*/ 191896 w 635581"/>
            <a:gd name="connsiteY46" fmla="*/ 8504 h 90007"/>
            <a:gd name="connsiteX47" fmla="*/ 197962 w 635581"/>
            <a:gd name="connsiteY47" fmla="*/ 18524 h 90007"/>
            <a:gd name="connsiteX48" fmla="*/ 198186 w 635581"/>
            <a:gd name="connsiteY48" fmla="*/ 19147 h 90007"/>
            <a:gd name="connsiteX49" fmla="*/ 198998 w 635581"/>
            <a:gd name="connsiteY49" fmla="*/ 32677 h 90007"/>
            <a:gd name="connsiteX50" fmla="*/ 198547 w 635581"/>
            <a:gd name="connsiteY50" fmla="*/ 34544 h 90007"/>
            <a:gd name="connsiteX51" fmla="*/ 198441 w 635581"/>
            <a:gd name="connsiteY51" fmla="*/ 34947 h 90007"/>
            <a:gd name="connsiteX52" fmla="*/ 190919 w 635581"/>
            <a:gd name="connsiteY52" fmla="*/ 47332 h 90007"/>
            <a:gd name="connsiteX53" fmla="*/ 178208 w 635581"/>
            <a:gd name="connsiteY53" fmla="*/ 54193 h 90007"/>
            <a:gd name="connsiteX54" fmla="*/ 170112 w 635581"/>
            <a:gd name="connsiteY54" fmla="*/ 54884 h 90007"/>
            <a:gd name="connsiteX55" fmla="*/ 169175 w 635581"/>
            <a:gd name="connsiteY55" fmla="*/ 54884 h 90007"/>
            <a:gd name="connsiteX56" fmla="*/ 165733 w 635581"/>
            <a:gd name="connsiteY56" fmla="*/ 54876 h 90007"/>
            <a:gd name="connsiteX57" fmla="*/ 157951 w 635581"/>
            <a:gd name="connsiteY57" fmla="*/ 54865 h 90007"/>
            <a:gd name="connsiteX58" fmla="*/ 157951 w 635581"/>
            <a:gd name="connsiteY58" fmla="*/ 39233 h 90007"/>
            <a:gd name="connsiteX59" fmla="*/ 168146 w 635581"/>
            <a:gd name="connsiteY59" fmla="*/ 39158 h 90007"/>
            <a:gd name="connsiteX60" fmla="*/ 169606 w 635581"/>
            <a:gd name="connsiteY60" fmla="*/ 39142 h 90007"/>
            <a:gd name="connsiteX61" fmla="*/ 170571 w 635581"/>
            <a:gd name="connsiteY61" fmla="*/ 39136 h 90007"/>
            <a:gd name="connsiteX62" fmla="*/ 177652 w 635581"/>
            <a:gd name="connsiteY62" fmla="*/ 37694 h 90007"/>
            <a:gd name="connsiteX63" fmla="*/ 178017 w 635581"/>
            <a:gd name="connsiteY63" fmla="*/ 37501 h 90007"/>
            <a:gd name="connsiteX64" fmla="*/ 180006 w 635581"/>
            <a:gd name="connsiteY64" fmla="*/ 35912 h 90007"/>
            <a:gd name="connsiteX65" fmla="*/ 180396 w 635581"/>
            <a:gd name="connsiteY65" fmla="*/ 35912 h 90007"/>
            <a:gd name="connsiteX66" fmla="*/ 180558 w 635581"/>
            <a:gd name="connsiteY66" fmla="*/ 35563 h 90007"/>
            <a:gd name="connsiteX67" fmla="*/ 181324 w 635581"/>
            <a:gd name="connsiteY67" fmla="*/ 34459 h 90007"/>
            <a:gd name="connsiteX68" fmla="*/ 183471 w 635581"/>
            <a:gd name="connsiteY68" fmla="*/ 29796 h 90007"/>
            <a:gd name="connsiteX69" fmla="*/ 182421 w 635581"/>
            <a:gd name="connsiteY69" fmla="*/ 22223 h 90007"/>
            <a:gd name="connsiteX70" fmla="*/ 178137 w 635581"/>
            <a:gd name="connsiteY70" fmla="*/ 17535 h 90007"/>
            <a:gd name="connsiteX71" fmla="*/ 152486 w 635581"/>
            <a:gd name="connsiteY71" fmla="*/ 15788 h 90007"/>
            <a:gd name="connsiteX72" fmla="*/ 152486 w 635581"/>
            <a:gd name="connsiteY72" fmla="*/ 89839 h 90007"/>
            <a:gd name="connsiteX73" fmla="*/ 136873 w 635581"/>
            <a:gd name="connsiteY73" fmla="*/ 89839 h 90007"/>
            <a:gd name="connsiteX74" fmla="*/ 234034 w 635581"/>
            <a:gd name="connsiteY74" fmla="*/ 19476 h 90007"/>
            <a:gd name="connsiteX75" fmla="*/ 251735 w 635581"/>
            <a:gd name="connsiteY75" fmla="*/ 23744 h 90007"/>
            <a:gd name="connsiteX76" fmla="*/ 259247 w 635581"/>
            <a:gd name="connsiteY76" fmla="*/ 29269 h 90007"/>
            <a:gd name="connsiteX77" fmla="*/ 259788 w 635581"/>
            <a:gd name="connsiteY77" fmla="*/ 29767 h 90007"/>
            <a:gd name="connsiteX78" fmla="*/ 268715 w 635581"/>
            <a:gd name="connsiteY78" fmla="*/ 44874 h 90007"/>
            <a:gd name="connsiteX79" fmla="*/ 269396 w 635581"/>
            <a:gd name="connsiteY79" fmla="*/ 47635 h 90007"/>
            <a:gd name="connsiteX80" fmla="*/ 269493 w 635581"/>
            <a:gd name="connsiteY80" fmla="*/ 48077 h 90007"/>
            <a:gd name="connsiteX81" fmla="*/ 270029 w 635581"/>
            <a:gd name="connsiteY81" fmla="*/ 54816 h 90007"/>
            <a:gd name="connsiteX82" fmla="*/ 270029 w 635581"/>
            <a:gd name="connsiteY82" fmla="*/ 55229 h 90007"/>
            <a:gd name="connsiteX83" fmla="*/ 269786 w 635581"/>
            <a:gd name="connsiteY83" fmla="*/ 59359 h 90007"/>
            <a:gd name="connsiteX84" fmla="*/ 221773 w 635581"/>
            <a:gd name="connsiteY84" fmla="*/ 59359 h 90007"/>
            <a:gd name="connsiteX85" fmla="*/ 221773 w 635581"/>
            <a:gd name="connsiteY85" fmla="*/ 47830 h 90007"/>
            <a:gd name="connsiteX86" fmla="*/ 253002 w 635581"/>
            <a:gd name="connsiteY86" fmla="*/ 47635 h 90007"/>
            <a:gd name="connsiteX87" fmla="*/ 246401 w 635581"/>
            <a:gd name="connsiteY87" fmla="*/ 38891 h 90007"/>
            <a:gd name="connsiteX88" fmla="*/ 236646 w 635581"/>
            <a:gd name="connsiteY88" fmla="*/ 35287 h 90007"/>
            <a:gd name="connsiteX89" fmla="*/ 234996 w 635581"/>
            <a:gd name="connsiteY89" fmla="*/ 35266 h 90007"/>
            <a:gd name="connsiteX90" fmla="*/ 234403 w 635581"/>
            <a:gd name="connsiteY90" fmla="*/ 35268 h 90007"/>
            <a:gd name="connsiteX91" fmla="*/ 224441 w 635581"/>
            <a:gd name="connsiteY91" fmla="*/ 38250 h 90007"/>
            <a:gd name="connsiteX92" fmla="*/ 217845 w 635581"/>
            <a:gd name="connsiteY92" fmla="*/ 45523 h 90007"/>
            <a:gd name="connsiteX93" fmla="*/ 215686 w 635581"/>
            <a:gd name="connsiteY93" fmla="*/ 56592 h 90007"/>
            <a:gd name="connsiteX94" fmla="*/ 218733 w 635581"/>
            <a:gd name="connsiteY94" fmla="*/ 65359 h 90007"/>
            <a:gd name="connsiteX95" fmla="*/ 226775 w 635581"/>
            <a:gd name="connsiteY95" fmla="*/ 72326 h 90007"/>
            <a:gd name="connsiteX96" fmla="*/ 236803 w 635581"/>
            <a:gd name="connsiteY96" fmla="*/ 74012 h 90007"/>
            <a:gd name="connsiteX97" fmla="*/ 246170 w 635581"/>
            <a:gd name="connsiteY97" fmla="*/ 70494 h 90007"/>
            <a:gd name="connsiteX98" fmla="*/ 246672 w 635581"/>
            <a:gd name="connsiteY98" fmla="*/ 69989 h 90007"/>
            <a:gd name="connsiteX99" fmla="*/ 247757 w 635581"/>
            <a:gd name="connsiteY99" fmla="*/ 69431 h 90007"/>
            <a:gd name="connsiteX100" fmla="*/ 249247 w 635581"/>
            <a:gd name="connsiteY100" fmla="*/ 69407 h 90007"/>
            <a:gd name="connsiteX101" fmla="*/ 249820 w 635581"/>
            <a:gd name="connsiteY101" fmla="*/ 69407 h 90007"/>
            <a:gd name="connsiteX102" fmla="*/ 251681 w 635581"/>
            <a:gd name="connsiteY102" fmla="*/ 69423 h 90007"/>
            <a:gd name="connsiteX103" fmla="*/ 252977 w 635581"/>
            <a:gd name="connsiteY103" fmla="*/ 69427 h 90007"/>
            <a:gd name="connsiteX104" fmla="*/ 256378 w 635581"/>
            <a:gd name="connsiteY104" fmla="*/ 69452 h 90007"/>
            <a:gd name="connsiteX105" fmla="*/ 259851 w 635581"/>
            <a:gd name="connsiteY105" fmla="*/ 69471 h 90007"/>
            <a:gd name="connsiteX106" fmla="*/ 266662 w 635581"/>
            <a:gd name="connsiteY106" fmla="*/ 69518 h 90007"/>
            <a:gd name="connsiteX107" fmla="*/ 260417 w 635581"/>
            <a:gd name="connsiteY107" fmla="*/ 78896 h 90007"/>
            <a:gd name="connsiteX108" fmla="*/ 260127 w 635581"/>
            <a:gd name="connsiteY108" fmla="*/ 79207 h 90007"/>
            <a:gd name="connsiteX109" fmla="*/ 245395 w 635581"/>
            <a:gd name="connsiteY109" fmla="*/ 88396 h 90007"/>
            <a:gd name="connsiteX110" fmla="*/ 226325 w 635581"/>
            <a:gd name="connsiteY110" fmla="*/ 88871 h 90007"/>
            <a:gd name="connsiteX111" fmla="*/ 219821 w 635581"/>
            <a:gd name="connsiteY111" fmla="*/ 86516 h 90007"/>
            <a:gd name="connsiteX112" fmla="*/ 219393 w 635581"/>
            <a:gd name="connsiteY112" fmla="*/ 86313 h 90007"/>
            <a:gd name="connsiteX113" fmla="*/ 211495 w 635581"/>
            <a:gd name="connsiteY113" fmla="*/ 80892 h 90007"/>
            <a:gd name="connsiteX114" fmla="*/ 210271 w 635581"/>
            <a:gd name="connsiteY114" fmla="*/ 79825 h 90007"/>
            <a:gd name="connsiteX115" fmla="*/ 201641 w 635581"/>
            <a:gd name="connsiteY115" fmla="*/ 66106 h 90007"/>
            <a:gd name="connsiteX116" fmla="*/ 200396 w 635581"/>
            <a:gd name="connsiteY116" fmla="*/ 47727 h 90007"/>
            <a:gd name="connsiteX117" fmla="*/ 208792 w 635581"/>
            <a:gd name="connsiteY117" fmla="*/ 31155 h 90007"/>
            <a:gd name="connsiteX118" fmla="*/ 224287 w 635581"/>
            <a:gd name="connsiteY118" fmla="*/ 21088 h 90007"/>
            <a:gd name="connsiteX119" fmla="*/ 234034 w 635581"/>
            <a:gd name="connsiteY119" fmla="*/ 19476 h 90007"/>
            <a:gd name="connsiteX120" fmla="*/ 472571 w 635581"/>
            <a:gd name="connsiteY120" fmla="*/ 23481 h 90007"/>
            <a:gd name="connsiteX121" fmla="*/ 477257 w 635581"/>
            <a:gd name="connsiteY121" fmla="*/ 26534 h 90007"/>
            <a:gd name="connsiteX122" fmla="*/ 477824 w 635581"/>
            <a:gd name="connsiteY122" fmla="*/ 26978 h 90007"/>
            <a:gd name="connsiteX123" fmla="*/ 488649 w 635581"/>
            <a:gd name="connsiteY123" fmla="*/ 41187 h 90007"/>
            <a:gd name="connsiteX124" fmla="*/ 490881 w 635581"/>
            <a:gd name="connsiteY124" fmla="*/ 49077 h 90007"/>
            <a:gd name="connsiteX125" fmla="*/ 490948 w 635581"/>
            <a:gd name="connsiteY125" fmla="*/ 49463 h 90007"/>
            <a:gd name="connsiteX126" fmla="*/ 491331 w 635581"/>
            <a:gd name="connsiteY126" fmla="*/ 57343 h 90007"/>
            <a:gd name="connsiteX127" fmla="*/ 491331 w 635581"/>
            <a:gd name="connsiteY127" fmla="*/ 58413 h 90007"/>
            <a:gd name="connsiteX128" fmla="*/ 491329 w 635581"/>
            <a:gd name="connsiteY128" fmla="*/ 61288 h 90007"/>
            <a:gd name="connsiteX129" fmla="*/ 491327 w 635581"/>
            <a:gd name="connsiteY129" fmla="*/ 64303 h 90007"/>
            <a:gd name="connsiteX130" fmla="*/ 491323 w 635581"/>
            <a:gd name="connsiteY130" fmla="*/ 70002 h 90007"/>
            <a:gd name="connsiteX131" fmla="*/ 491317 w 635581"/>
            <a:gd name="connsiteY131" fmla="*/ 77711 h 90007"/>
            <a:gd name="connsiteX132" fmla="*/ 491309 w 635581"/>
            <a:gd name="connsiteY132" fmla="*/ 89839 h 90007"/>
            <a:gd name="connsiteX133" fmla="*/ 475695 w 635581"/>
            <a:gd name="connsiteY133" fmla="*/ 89839 h 90007"/>
            <a:gd name="connsiteX134" fmla="*/ 475689 w 635581"/>
            <a:gd name="connsiteY134" fmla="*/ 86493 h 90007"/>
            <a:gd name="connsiteX135" fmla="*/ 475658 w 635581"/>
            <a:gd name="connsiteY135" fmla="*/ 75520 h 90007"/>
            <a:gd name="connsiteX136" fmla="*/ 475641 w 635581"/>
            <a:gd name="connsiteY136" fmla="*/ 68871 h 90007"/>
            <a:gd name="connsiteX137" fmla="*/ 475625 w 635581"/>
            <a:gd name="connsiteY137" fmla="*/ 63069 h 90007"/>
            <a:gd name="connsiteX138" fmla="*/ 475618 w 635581"/>
            <a:gd name="connsiteY138" fmla="*/ 60004 h 90007"/>
            <a:gd name="connsiteX139" fmla="*/ 475608 w 635581"/>
            <a:gd name="connsiteY139" fmla="*/ 57108 h 90007"/>
            <a:gd name="connsiteX140" fmla="*/ 475608 w 635581"/>
            <a:gd name="connsiteY140" fmla="*/ 56054 h 90007"/>
            <a:gd name="connsiteX141" fmla="*/ 473353 w 635581"/>
            <a:gd name="connsiteY141" fmla="*/ 45681 h 90007"/>
            <a:gd name="connsiteX142" fmla="*/ 473037 w 635581"/>
            <a:gd name="connsiteY142" fmla="*/ 45055 h 90007"/>
            <a:gd name="connsiteX143" fmla="*/ 466569 w 635581"/>
            <a:gd name="connsiteY143" fmla="*/ 38165 h 90007"/>
            <a:gd name="connsiteX144" fmla="*/ 457330 w 635581"/>
            <a:gd name="connsiteY144" fmla="*/ 35285 h 90007"/>
            <a:gd name="connsiteX145" fmla="*/ 451104 w 635581"/>
            <a:gd name="connsiteY145" fmla="*/ 35912 h 90007"/>
            <a:gd name="connsiteX146" fmla="*/ 450499 w 635581"/>
            <a:gd name="connsiteY146" fmla="*/ 36076 h 90007"/>
            <a:gd name="connsiteX147" fmla="*/ 441735 w 635581"/>
            <a:gd name="connsiteY147" fmla="*/ 41579 h 90007"/>
            <a:gd name="connsiteX148" fmla="*/ 437246 w 635581"/>
            <a:gd name="connsiteY148" fmla="*/ 50370 h 90007"/>
            <a:gd name="connsiteX149" fmla="*/ 437101 w 635581"/>
            <a:gd name="connsiteY149" fmla="*/ 50944 h 90007"/>
            <a:gd name="connsiteX150" fmla="*/ 437783 w 635581"/>
            <a:gd name="connsiteY150" fmla="*/ 60934 h 90007"/>
            <a:gd name="connsiteX151" fmla="*/ 441345 w 635581"/>
            <a:gd name="connsiteY151" fmla="*/ 67174 h 90007"/>
            <a:gd name="connsiteX152" fmla="*/ 441713 w 635581"/>
            <a:gd name="connsiteY152" fmla="*/ 67641 h 90007"/>
            <a:gd name="connsiteX153" fmla="*/ 449173 w 635581"/>
            <a:gd name="connsiteY153" fmla="*/ 72809 h 90007"/>
            <a:gd name="connsiteX154" fmla="*/ 459621 w 635581"/>
            <a:gd name="connsiteY154" fmla="*/ 73801 h 90007"/>
            <a:gd name="connsiteX155" fmla="*/ 465156 w 635581"/>
            <a:gd name="connsiteY155" fmla="*/ 71863 h 90007"/>
            <a:gd name="connsiteX156" fmla="*/ 465780 w 635581"/>
            <a:gd name="connsiteY156" fmla="*/ 71552 h 90007"/>
            <a:gd name="connsiteX157" fmla="*/ 469542 w 635581"/>
            <a:gd name="connsiteY157" fmla="*/ 68616 h 90007"/>
            <a:gd name="connsiteX158" fmla="*/ 470035 w 635581"/>
            <a:gd name="connsiteY158" fmla="*/ 68151 h 90007"/>
            <a:gd name="connsiteX159" fmla="*/ 470230 w 635581"/>
            <a:gd name="connsiteY159" fmla="*/ 68151 h 90007"/>
            <a:gd name="connsiteX160" fmla="*/ 470230 w 635581"/>
            <a:gd name="connsiteY160" fmla="*/ 86908 h 90007"/>
            <a:gd name="connsiteX161" fmla="*/ 460666 w 635581"/>
            <a:gd name="connsiteY161" fmla="*/ 89644 h 90007"/>
            <a:gd name="connsiteX162" fmla="*/ 460268 w 635581"/>
            <a:gd name="connsiteY162" fmla="*/ 89700 h 90007"/>
            <a:gd name="connsiteX163" fmla="*/ 443320 w 635581"/>
            <a:gd name="connsiteY163" fmla="*/ 87518 h 90007"/>
            <a:gd name="connsiteX164" fmla="*/ 433148 w 635581"/>
            <a:gd name="connsiteY164" fmla="*/ 81242 h 90007"/>
            <a:gd name="connsiteX165" fmla="*/ 432306 w 635581"/>
            <a:gd name="connsiteY165" fmla="*/ 80522 h 90007"/>
            <a:gd name="connsiteX166" fmla="*/ 422755 w 635581"/>
            <a:gd name="connsiteY166" fmla="*/ 65741 h 90007"/>
            <a:gd name="connsiteX167" fmla="*/ 421047 w 635581"/>
            <a:gd name="connsiteY167" fmla="*/ 55841 h 90007"/>
            <a:gd name="connsiteX168" fmla="*/ 421010 w 635581"/>
            <a:gd name="connsiteY168" fmla="*/ 55202 h 90007"/>
            <a:gd name="connsiteX169" fmla="*/ 421047 w 635581"/>
            <a:gd name="connsiteY169" fmla="*/ 53496 h 90007"/>
            <a:gd name="connsiteX170" fmla="*/ 421070 w 635581"/>
            <a:gd name="connsiteY170" fmla="*/ 53052 h 90007"/>
            <a:gd name="connsiteX171" fmla="*/ 425340 w 635581"/>
            <a:gd name="connsiteY171" fmla="*/ 37866 h 90007"/>
            <a:gd name="connsiteX172" fmla="*/ 425530 w 635581"/>
            <a:gd name="connsiteY172" fmla="*/ 37507 h 90007"/>
            <a:gd name="connsiteX173" fmla="*/ 430215 w 635581"/>
            <a:gd name="connsiteY173" fmla="*/ 31069 h 90007"/>
            <a:gd name="connsiteX174" fmla="*/ 431207 w 635581"/>
            <a:gd name="connsiteY174" fmla="*/ 29916 h 90007"/>
            <a:gd name="connsiteX175" fmla="*/ 443989 w 635581"/>
            <a:gd name="connsiteY175" fmla="*/ 21622 h 90007"/>
            <a:gd name="connsiteX176" fmla="*/ 472571 w 635581"/>
            <a:gd name="connsiteY176" fmla="*/ 23481 h 90007"/>
            <a:gd name="connsiteX177" fmla="*/ 599559 w 635581"/>
            <a:gd name="connsiteY177" fmla="*/ 19476 h 90007"/>
            <a:gd name="connsiteX178" fmla="*/ 617438 w 635581"/>
            <a:gd name="connsiteY178" fmla="*/ 23844 h 90007"/>
            <a:gd name="connsiteX179" fmla="*/ 624417 w 635581"/>
            <a:gd name="connsiteY179" fmla="*/ 29074 h 90007"/>
            <a:gd name="connsiteX180" fmla="*/ 624749 w 635581"/>
            <a:gd name="connsiteY180" fmla="*/ 29387 h 90007"/>
            <a:gd name="connsiteX181" fmla="*/ 634083 w 635581"/>
            <a:gd name="connsiteY181" fmla="*/ 44488 h 90007"/>
            <a:gd name="connsiteX182" fmla="*/ 635543 w 635581"/>
            <a:gd name="connsiteY182" fmla="*/ 52911 h 90007"/>
            <a:gd name="connsiteX183" fmla="*/ 635558 w 635581"/>
            <a:gd name="connsiteY183" fmla="*/ 53295 h 90007"/>
            <a:gd name="connsiteX184" fmla="*/ 631493 w 635581"/>
            <a:gd name="connsiteY184" fmla="*/ 71228 h 90007"/>
            <a:gd name="connsiteX185" fmla="*/ 619226 w 635581"/>
            <a:gd name="connsiteY185" fmla="*/ 84470 h 90007"/>
            <a:gd name="connsiteX186" fmla="*/ 606266 w 635581"/>
            <a:gd name="connsiteY186" fmla="*/ 89447 h 90007"/>
            <a:gd name="connsiteX187" fmla="*/ 605863 w 635581"/>
            <a:gd name="connsiteY187" fmla="*/ 89526 h 90007"/>
            <a:gd name="connsiteX188" fmla="*/ 588451 w 635581"/>
            <a:gd name="connsiteY188" fmla="*/ 87887 h 90007"/>
            <a:gd name="connsiteX189" fmla="*/ 575624 w 635581"/>
            <a:gd name="connsiteY189" fmla="*/ 79678 h 90007"/>
            <a:gd name="connsiteX190" fmla="*/ 575178 w 635581"/>
            <a:gd name="connsiteY190" fmla="*/ 79271 h 90007"/>
            <a:gd name="connsiteX191" fmla="*/ 569574 w 635581"/>
            <a:gd name="connsiteY191" fmla="*/ 71668 h 90007"/>
            <a:gd name="connsiteX192" fmla="*/ 569369 w 635581"/>
            <a:gd name="connsiteY192" fmla="*/ 71296 h 90007"/>
            <a:gd name="connsiteX193" fmla="*/ 565670 w 635581"/>
            <a:gd name="connsiteY193" fmla="*/ 60531 h 90007"/>
            <a:gd name="connsiteX194" fmla="*/ 565591 w 635581"/>
            <a:gd name="connsiteY194" fmla="*/ 60122 h 90007"/>
            <a:gd name="connsiteX195" fmla="*/ 567213 w 635581"/>
            <a:gd name="connsiteY195" fmla="*/ 42831 h 90007"/>
            <a:gd name="connsiteX196" fmla="*/ 568597 w 635581"/>
            <a:gd name="connsiteY196" fmla="*/ 39625 h 90007"/>
            <a:gd name="connsiteX197" fmla="*/ 568802 w 635581"/>
            <a:gd name="connsiteY197" fmla="*/ 39196 h 90007"/>
            <a:gd name="connsiteX198" fmla="*/ 580510 w 635581"/>
            <a:gd name="connsiteY198" fmla="*/ 25617 h 90007"/>
            <a:gd name="connsiteX199" fmla="*/ 597654 w 635581"/>
            <a:gd name="connsiteY199" fmla="*/ 19549 h 90007"/>
            <a:gd name="connsiteX200" fmla="*/ 599559 w 635581"/>
            <a:gd name="connsiteY200" fmla="*/ 19476 h 90007"/>
            <a:gd name="connsiteX201" fmla="*/ 589615 w 635581"/>
            <a:gd name="connsiteY201" fmla="*/ 38225 h 90007"/>
            <a:gd name="connsiteX202" fmla="*/ 582601 w 635581"/>
            <a:gd name="connsiteY202" fmla="*/ 46561 h 90007"/>
            <a:gd name="connsiteX203" fmla="*/ 580933 w 635581"/>
            <a:gd name="connsiteY203" fmla="*/ 56859 h 90007"/>
            <a:gd name="connsiteX204" fmla="*/ 584758 w 635581"/>
            <a:gd name="connsiteY204" fmla="*/ 66456 h 90007"/>
            <a:gd name="connsiteX205" fmla="*/ 591042 w 635581"/>
            <a:gd name="connsiteY205" fmla="*/ 71863 h 90007"/>
            <a:gd name="connsiteX206" fmla="*/ 591526 w 635581"/>
            <a:gd name="connsiteY206" fmla="*/ 72141 h 90007"/>
            <a:gd name="connsiteX207" fmla="*/ 601216 w 635581"/>
            <a:gd name="connsiteY207" fmla="*/ 74255 h 90007"/>
            <a:gd name="connsiteX208" fmla="*/ 611144 w 635581"/>
            <a:gd name="connsiteY208" fmla="*/ 71081 h 90007"/>
            <a:gd name="connsiteX209" fmla="*/ 613096 w 635581"/>
            <a:gd name="connsiteY209" fmla="*/ 69518 h 90007"/>
            <a:gd name="connsiteX210" fmla="*/ 613446 w 635581"/>
            <a:gd name="connsiteY210" fmla="*/ 69255 h 90007"/>
            <a:gd name="connsiteX211" fmla="*/ 618463 w 635581"/>
            <a:gd name="connsiteY211" fmla="*/ 62235 h 90007"/>
            <a:gd name="connsiteX212" fmla="*/ 619929 w 635581"/>
            <a:gd name="connsiteY212" fmla="*/ 55646 h 90007"/>
            <a:gd name="connsiteX213" fmla="*/ 619952 w 635581"/>
            <a:gd name="connsiteY213" fmla="*/ 55202 h 90007"/>
            <a:gd name="connsiteX214" fmla="*/ 617411 w 635581"/>
            <a:gd name="connsiteY214" fmla="*/ 45034 h 90007"/>
            <a:gd name="connsiteX215" fmla="*/ 615440 w 635581"/>
            <a:gd name="connsiteY215" fmla="*/ 42165 h 90007"/>
            <a:gd name="connsiteX216" fmla="*/ 615040 w 635581"/>
            <a:gd name="connsiteY216" fmla="*/ 41667 h 90007"/>
            <a:gd name="connsiteX217" fmla="*/ 606890 w 635581"/>
            <a:gd name="connsiteY217" fmla="*/ 36107 h 90007"/>
            <a:gd name="connsiteX218" fmla="*/ 589615 w 635581"/>
            <a:gd name="connsiteY218" fmla="*/ 38225 h 90007"/>
            <a:gd name="connsiteX219" fmla="*/ 350782 w 635581"/>
            <a:gd name="connsiteY219" fmla="*/ 19501 h 90007"/>
            <a:gd name="connsiteX220" fmla="*/ 356804 w 635581"/>
            <a:gd name="connsiteY220" fmla="*/ 19489 h 90007"/>
            <a:gd name="connsiteX221" fmla="*/ 359599 w 635581"/>
            <a:gd name="connsiteY221" fmla="*/ 19485 h 90007"/>
            <a:gd name="connsiteX222" fmla="*/ 362294 w 635581"/>
            <a:gd name="connsiteY222" fmla="*/ 19481 h 90007"/>
            <a:gd name="connsiteX223" fmla="*/ 363325 w 635581"/>
            <a:gd name="connsiteY223" fmla="*/ 19479 h 90007"/>
            <a:gd name="connsiteX224" fmla="*/ 364763 w 635581"/>
            <a:gd name="connsiteY224" fmla="*/ 19478 h 90007"/>
            <a:gd name="connsiteX225" fmla="*/ 365200 w 635581"/>
            <a:gd name="connsiteY225" fmla="*/ 19476 h 90007"/>
            <a:gd name="connsiteX226" fmla="*/ 366202 w 635581"/>
            <a:gd name="connsiteY226" fmla="*/ 19501 h 90007"/>
            <a:gd name="connsiteX227" fmla="*/ 366397 w 635581"/>
            <a:gd name="connsiteY227" fmla="*/ 19696 h 90007"/>
            <a:gd name="connsiteX228" fmla="*/ 366422 w 635581"/>
            <a:gd name="connsiteY228" fmla="*/ 21263 h 90007"/>
            <a:gd name="connsiteX229" fmla="*/ 366424 w 635581"/>
            <a:gd name="connsiteY229" fmla="*/ 21769 h 90007"/>
            <a:gd name="connsiteX230" fmla="*/ 366426 w 635581"/>
            <a:gd name="connsiteY230" fmla="*/ 23456 h 90007"/>
            <a:gd name="connsiteX231" fmla="*/ 366428 w 635581"/>
            <a:gd name="connsiteY231" fmla="*/ 24659 h 90007"/>
            <a:gd name="connsiteX232" fmla="*/ 366430 w 635581"/>
            <a:gd name="connsiteY232" fmla="*/ 27262 h 90007"/>
            <a:gd name="connsiteX233" fmla="*/ 366437 w 635581"/>
            <a:gd name="connsiteY233" fmla="*/ 31381 h 90007"/>
            <a:gd name="connsiteX234" fmla="*/ 366441 w 635581"/>
            <a:gd name="connsiteY234" fmla="*/ 32791 h 90007"/>
            <a:gd name="connsiteX235" fmla="*/ 366443 w 635581"/>
            <a:gd name="connsiteY235" fmla="*/ 33505 h 90007"/>
            <a:gd name="connsiteX236" fmla="*/ 366460 w 635581"/>
            <a:gd name="connsiteY236" fmla="*/ 43098 h 90007"/>
            <a:gd name="connsiteX237" fmla="*/ 366474 w 635581"/>
            <a:gd name="connsiteY237" fmla="*/ 49561 h 90007"/>
            <a:gd name="connsiteX238" fmla="*/ 366480 w 635581"/>
            <a:gd name="connsiteY238" fmla="*/ 52982 h 90007"/>
            <a:gd name="connsiteX239" fmla="*/ 366487 w 635581"/>
            <a:gd name="connsiteY239" fmla="*/ 56206 h 90007"/>
            <a:gd name="connsiteX240" fmla="*/ 366487 w 635581"/>
            <a:gd name="connsiteY240" fmla="*/ 57384 h 90007"/>
            <a:gd name="connsiteX241" fmla="*/ 368128 w 635581"/>
            <a:gd name="connsiteY241" fmla="*/ 65500 h 90007"/>
            <a:gd name="connsiteX242" fmla="*/ 368335 w 635581"/>
            <a:gd name="connsiteY242" fmla="*/ 65898 h 90007"/>
            <a:gd name="connsiteX243" fmla="*/ 370105 w 635581"/>
            <a:gd name="connsiteY243" fmla="*/ 68541 h 90007"/>
            <a:gd name="connsiteX244" fmla="*/ 370406 w 635581"/>
            <a:gd name="connsiteY244" fmla="*/ 68927 h 90007"/>
            <a:gd name="connsiteX245" fmla="*/ 376741 w 635581"/>
            <a:gd name="connsiteY245" fmla="*/ 73230 h 90007"/>
            <a:gd name="connsiteX246" fmla="*/ 385098 w 635581"/>
            <a:gd name="connsiteY246" fmla="*/ 73780 h 90007"/>
            <a:gd name="connsiteX247" fmla="*/ 392392 w 635581"/>
            <a:gd name="connsiteY247" fmla="*/ 70068 h 90007"/>
            <a:gd name="connsiteX248" fmla="*/ 396691 w 635581"/>
            <a:gd name="connsiteY248" fmla="*/ 63342 h 90007"/>
            <a:gd name="connsiteX249" fmla="*/ 397461 w 635581"/>
            <a:gd name="connsiteY249" fmla="*/ 57822 h 90007"/>
            <a:gd name="connsiteX250" fmla="*/ 397463 w 635581"/>
            <a:gd name="connsiteY250" fmla="*/ 57322 h 90007"/>
            <a:gd name="connsiteX251" fmla="*/ 397469 w 635581"/>
            <a:gd name="connsiteY251" fmla="*/ 55677 h 90007"/>
            <a:gd name="connsiteX252" fmla="*/ 397475 w 635581"/>
            <a:gd name="connsiteY252" fmla="*/ 54492 h 90007"/>
            <a:gd name="connsiteX253" fmla="*/ 397488 w 635581"/>
            <a:gd name="connsiteY253" fmla="*/ 51287 h 90007"/>
            <a:gd name="connsiteX254" fmla="*/ 397504 w 635581"/>
            <a:gd name="connsiteY254" fmla="*/ 47934 h 90007"/>
            <a:gd name="connsiteX255" fmla="*/ 397531 w 635581"/>
            <a:gd name="connsiteY255" fmla="*/ 41588 h 90007"/>
            <a:gd name="connsiteX256" fmla="*/ 397562 w 635581"/>
            <a:gd name="connsiteY256" fmla="*/ 34362 h 90007"/>
            <a:gd name="connsiteX257" fmla="*/ 397625 w 635581"/>
            <a:gd name="connsiteY257" fmla="*/ 19501 h 90007"/>
            <a:gd name="connsiteX258" fmla="*/ 413240 w 635581"/>
            <a:gd name="connsiteY258" fmla="*/ 19501 h 90007"/>
            <a:gd name="connsiteX259" fmla="*/ 413259 w 635581"/>
            <a:gd name="connsiteY259" fmla="*/ 35378 h 90007"/>
            <a:gd name="connsiteX260" fmla="*/ 413269 w 635581"/>
            <a:gd name="connsiteY260" fmla="*/ 42750 h 90007"/>
            <a:gd name="connsiteX261" fmla="*/ 413276 w 635581"/>
            <a:gd name="connsiteY261" fmla="*/ 49179 h 90007"/>
            <a:gd name="connsiteX262" fmla="*/ 413280 w 635581"/>
            <a:gd name="connsiteY262" fmla="*/ 52581 h 90007"/>
            <a:gd name="connsiteX263" fmla="*/ 413282 w 635581"/>
            <a:gd name="connsiteY263" fmla="*/ 55789 h 90007"/>
            <a:gd name="connsiteX264" fmla="*/ 413286 w 635581"/>
            <a:gd name="connsiteY264" fmla="*/ 56959 h 90007"/>
            <a:gd name="connsiteX265" fmla="*/ 412410 w 635581"/>
            <a:gd name="connsiteY265" fmla="*/ 65915 h 90007"/>
            <a:gd name="connsiteX266" fmla="*/ 412280 w 635581"/>
            <a:gd name="connsiteY266" fmla="*/ 66438 h 90007"/>
            <a:gd name="connsiteX267" fmla="*/ 406602 w 635581"/>
            <a:gd name="connsiteY267" fmla="*/ 77919 h 90007"/>
            <a:gd name="connsiteX268" fmla="*/ 406328 w 635581"/>
            <a:gd name="connsiteY268" fmla="*/ 78265 h 90007"/>
            <a:gd name="connsiteX269" fmla="*/ 393094 w 635581"/>
            <a:gd name="connsiteY269" fmla="*/ 87933 h 90007"/>
            <a:gd name="connsiteX270" fmla="*/ 387476 w 635581"/>
            <a:gd name="connsiteY270" fmla="*/ 89447 h 90007"/>
            <a:gd name="connsiteX271" fmla="*/ 386752 w 635581"/>
            <a:gd name="connsiteY271" fmla="*/ 89593 h 90007"/>
            <a:gd name="connsiteX272" fmla="*/ 371277 w 635581"/>
            <a:gd name="connsiteY272" fmla="*/ 88080 h 90007"/>
            <a:gd name="connsiteX273" fmla="*/ 357584 w 635581"/>
            <a:gd name="connsiteY273" fmla="*/ 78238 h 90007"/>
            <a:gd name="connsiteX274" fmla="*/ 355078 w 635581"/>
            <a:gd name="connsiteY274" fmla="*/ 74599 h 90007"/>
            <a:gd name="connsiteX275" fmla="*/ 354867 w 635581"/>
            <a:gd name="connsiteY275" fmla="*/ 74253 h 90007"/>
            <a:gd name="connsiteX276" fmla="*/ 350740 w 635581"/>
            <a:gd name="connsiteY276" fmla="*/ 59481 h 90007"/>
            <a:gd name="connsiteX277" fmla="*/ 350738 w 635581"/>
            <a:gd name="connsiteY277" fmla="*/ 56764 h 90007"/>
            <a:gd name="connsiteX278" fmla="*/ 350738 w 635581"/>
            <a:gd name="connsiteY278" fmla="*/ 55538 h 90007"/>
            <a:gd name="connsiteX279" fmla="*/ 350744 w 635581"/>
            <a:gd name="connsiteY279" fmla="*/ 52241 h 90007"/>
            <a:gd name="connsiteX280" fmla="*/ 350748 w 635581"/>
            <a:gd name="connsiteY280" fmla="*/ 48783 h 90007"/>
            <a:gd name="connsiteX281" fmla="*/ 350755 w 635581"/>
            <a:gd name="connsiteY281" fmla="*/ 42248 h 90007"/>
            <a:gd name="connsiteX282" fmla="*/ 350763 w 635581"/>
            <a:gd name="connsiteY282" fmla="*/ 34802 h 90007"/>
            <a:gd name="connsiteX283" fmla="*/ 350782 w 635581"/>
            <a:gd name="connsiteY283" fmla="*/ 19501 h 90007"/>
            <a:gd name="connsiteX284" fmla="*/ 326033 w 635581"/>
            <a:gd name="connsiteY284" fmla="*/ 23213 h 90007"/>
            <a:gd name="connsiteX285" fmla="*/ 334975 w 635581"/>
            <a:gd name="connsiteY285" fmla="*/ 29659 h 90007"/>
            <a:gd name="connsiteX286" fmla="*/ 335367 w 635581"/>
            <a:gd name="connsiteY286" fmla="*/ 30022 h 90007"/>
            <a:gd name="connsiteX287" fmla="*/ 342195 w 635581"/>
            <a:gd name="connsiteY287" fmla="*/ 39820 h 90007"/>
            <a:gd name="connsiteX288" fmla="*/ 342195 w 635581"/>
            <a:gd name="connsiteY288" fmla="*/ 40210 h 90007"/>
            <a:gd name="connsiteX289" fmla="*/ 334921 w 635581"/>
            <a:gd name="connsiteY289" fmla="*/ 40312 h 90007"/>
            <a:gd name="connsiteX290" fmla="*/ 331544 w 635581"/>
            <a:gd name="connsiteY290" fmla="*/ 40358 h 90007"/>
            <a:gd name="connsiteX291" fmla="*/ 328278 w 635581"/>
            <a:gd name="connsiteY291" fmla="*/ 40395 h 90007"/>
            <a:gd name="connsiteX292" fmla="*/ 327039 w 635581"/>
            <a:gd name="connsiteY292" fmla="*/ 40416 h 90007"/>
            <a:gd name="connsiteX293" fmla="*/ 322843 w 635581"/>
            <a:gd name="connsiteY293" fmla="*/ 40017 h 90007"/>
            <a:gd name="connsiteX294" fmla="*/ 320726 w 635581"/>
            <a:gd name="connsiteY294" fmla="*/ 38256 h 90007"/>
            <a:gd name="connsiteX295" fmla="*/ 319189 w 635581"/>
            <a:gd name="connsiteY295" fmla="*/ 37414 h 90007"/>
            <a:gd name="connsiteX296" fmla="*/ 318797 w 635581"/>
            <a:gd name="connsiteY296" fmla="*/ 37225 h 90007"/>
            <a:gd name="connsiteX297" fmla="*/ 308040 w 635581"/>
            <a:gd name="connsiteY297" fmla="*/ 35325 h 90007"/>
            <a:gd name="connsiteX298" fmla="*/ 298879 w 635581"/>
            <a:gd name="connsiteY298" fmla="*/ 38947 h 90007"/>
            <a:gd name="connsiteX299" fmla="*/ 292231 w 635581"/>
            <a:gd name="connsiteY299" fmla="*/ 47635 h 90007"/>
            <a:gd name="connsiteX300" fmla="*/ 291451 w 635581"/>
            <a:gd name="connsiteY300" fmla="*/ 50175 h 90007"/>
            <a:gd name="connsiteX301" fmla="*/ 291318 w 635581"/>
            <a:gd name="connsiteY301" fmla="*/ 50697 h 90007"/>
            <a:gd name="connsiteX302" fmla="*/ 291964 w 635581"/>
            <a:gd name="connsiteY302" fmla="*/ 60917 h 90007"/>
            <a:gd name="connsiteX303" fmla="*/ 297627 w 635581"/>
            <a:gd name="connsiteY303" fmla="*/ 69419 h 90007"/>
            <a:gd name="connsiteX304" fmla="*/ 306820 w 635581"/>
            <a:gd name="connsiteY304" fmla="*/ 73780 h 90007"/>
            <a:gd name="connsiteX305" fmla="*/ 316836 w 635581"/>
            <a:gd name="connsiteY305" fmla="*/ 72979 h 90007"/>
            <a:gd name="connsiteX306" fmla="*/ 324513 w 635581"/>
            <a:gd name="connsiteY306" fmla="*/ 67832 h 90007"/>
            <a:gd name="connsiteX307" fmla="*/ 324826 w 635581"/>
            <a:gd name="connsiteY307" fmla="*/ 67564 h 90007"/>
            <a:gd name="connsiteX308" fmla="*/ 326558 w 635581"/>
            <a:gd name="connsiteY308" fmla="*/ 67498 h 90007"/>
            <a:gd name="connsiteX309" fmla="*/ 327095 w 635581"/>
            <a:gd name="connsiteY309" fmla="*/ 67498 h 90007"/>
            <a:gd name="connsiteX310" fmla="*/ 328853 w 635581"/>
            <a:gd name="connsiteY310" fmla="*/ 67508 h 90007"/>
            <a:gd name="connsiteX311" fmla="*/ 330071 w 635581"/>
            <a:gd name="connsiteY311" fmla="*/ 67510 h 90007"/>
            <a:gd name="connsiteX312" fmla="*/ 333280 w 635581"/>
            <a:gd name="connsiteY312" fmla="*/ 67523 h 90007"/>
            <a:gd name="connsiteX313" fmla="*/ 336552 w 635581"/>
            <a:gd name="connsiteY313" fmla="*/ 67537 h 90007"/>
            <a:gd name="connsiteX314" fmla="*/ 342977 w 635581"/>
            <a:gd name="connsiteY314" fmla="*/ 67564 h 90007"/>
            <a:gd name="connsiteX315" fmla="*/ 342514 w 635581"/>
            <a:gd name="connsiteY315" fmla="*/ 68684 h 90007"/>
            <a:gd name="connsiteX316" fmla="*/ 342253 w 635581"/>
            <a:gd name="connsiteY316" fmla="*/ 69313 h 90007"/>
            <a:gd name="connsiteX317" fmla="*/ 338292 w 635581"/>
            <a:gd name="connsiteY317" fmla="*/ 75966 h 90007"/>
            <a:gd name="connsiteX318" fmla="*/ 337902 w 635581"/>
            <a:gd name="connsiteY318" fmla="*/ 76489 h 90007"/>
            <a:gd name="connsiteX319" fmla="*/ 323264 w 635581"/>
            <a:gd name="connsiteY319" fmla="*/ 87493 h 90007"/>
            <a:gd name="connsiteX320" fmla="*/ 305783 w 635581"/>
            <a:gd name="connsiteY320" fmla="*/ 89678 h 90007"/>
            <a:gd name="connsiteX321" fmla="*/ 288889 w 635581"/>
            <a:gd name="connsiteY321" fmla="*/ 82620 h 90007"/>
            <a:gd name="connsiteX322" fmla="*/ 285985 w 635581"/>
            <a:gd name="connsiteY322" fmla="*/ 80068 h 90007"/>
            <a:gd name="connsiteX323" fmla="*/ 285690 w 635581"/>
            <a:gd name="connsiteY323" fmla="*/ 79794 h 90007"/>
            <a:gd name="connsiteX324" fmla="*/ 276520 w 635581"/>
            <a:gd name="connsiteY324" fmla="*/ 64707 h 90007"/>
            <a:gd name="connsiteX325" fmla="*/ 275446 w 635581"/>
            <a:gd name="connsiteY325" fmla="*/ 59554 h 90007"/>
            <a:gd name="connsiteX326" fmla="*/ 275333 w 635581"/>
            <a:gd name="connsiteY326" fmla="*/ 58845 h 90007"/>
            <a:gd name="connsiteX327" fmla="*/ 278140 w 635581"/>
            <a:gd name="connsiteY327" fmla="*/ 40378 h 90007"/>
            <a:gd name="connsiteX328" fmla="*/ 289346 w 635581"/>
            <a:gd name="connsiteY328" fmla="*/ 26395 h 90007"/>
            <a:gd name="connsiteX329" fmla="*/ 306283 w 635581"/>
            <a:gd name="connsiteY329" fmla="*/ 19696 h 90007"/>
            <a:gd name="connsiteX330" fmla="*/ 306841 w 635581"/>
            <a:gd name="connsiteY330" fmla="*/ 19630 h 90007"/>
            <a:gd name="connsiteX331" fmla="*/ 326033 w 635581"/>
            <a:gd name="connsiteY331" fmla="*/ 23213 h 90007"/>
            <a:gd name="connsiteX332" fmla="*/ 534052 w 635581"/>
            <a:gd name="connsiteY332" fmla="*/ 19501 h 90007"/>
            <a:gd name="connsiteX333" fmla="*/ 534052 w 635581"/>
            <a:gd name="connsiteY333" fmla="*/ 35130 h 90007"/>
            <a:gd name="connsiteX334" fmla="*/ 532403 w 635581"/>
            <a:gd name="connsiteY334" fmla="*/ 35432 h 90007"/>
            <a:gd name="connsiteX335" fmla="*/ 522779 w 635581"/>
            <a:gd name="connsiteY335" fmla="*/ 38880 h 90007"/>
            <a:gd name="connsiteX336" fmla="*/ 520974 w 635581"/>
            <a:gd name="connsiteY336" fmla="*/ 40407 h 90007"/>
            <a:gd name="connsiteX337" fmla="*/ 520503 w 635581"/>
            <a:gd name="connsiteY337" fmla="*/ 40837 h 90007"/>
            <a:gd name="connsiteX338" fmla="*/ 515511 w 635581"/>
            <a:gd name="connsiteY338" fmla="*/ 49231 h 90007"/>
            <a:gd name="connsiteX339" fmla="*/ 514862 w 635581"/>
            <a:gd name="connsiteY339" fmla="*/ 55834 h 90007"/>
            <a:gd name="connsiteX340" fmla="*/ 514856 w 635581"/>
            <a:gd name="connsiteY340" fmla="*/ 56950 h 90007"/>
            <a:gd name="connsiteX341" fmla="*/ 514845 w 635581"/>
            <a:gd name="connsiteY341" fmla="*/ 59961 h 90007"/>
            <a:gd name="connsiteX342" fmla="*/ 514833 w 635581"/>
            <a:gd name="connsiteY342" fmla="*/ 63116 h 90007"/>
            <a:gd name="connsiteX343" fmla="*/ 514810 w 635581"/>
            <a:gd name="connsiteY343" fmla="*/ 69079 h 90007"/>
            <a:gd name="connsiteX344" fmla="*/ 514783 w 635581"/>
            <a:gd name="connsiteY344" fmla="*/ 75871 h 90007"/>
            <a:gd name="connsiteX345" fmla="*/ 514729 w 635581"/>
            <a:gd name="connsiteY345" fmla="*/ 89839 h 90007"/>
            <a:gd name="connsiteX346" fmla="*/ 499116 w 635581"/>
            <a:gd name="connsiteY346" fmla="*/ 89839 h 90007"/>
            <a:gd name="connsiteX347" fmla="*/ 499086 w 635581"/>
            <a:gd name="connsiteY347" fmla="*/ 74823 h 90007"/>
            <a:gd name="connsiteX348" fmla="*/ 499072 w 635581"/>
            <a:gd name="connsiteY348" fmla="*/ 67850 h 90007"/>
            <a:gd name="connsiteX349" fmla="*/ 499060 w 635581"/>
            <a:gd name="connsiteY349" fmla="*/ 61766 h 90007"/>
            <a:gd name="connsiteX350" fmla="*/ 499053 w 635581"/>
            <a:gd name="connsiteY350" fmla="*/ 58550 h 90007"/>
            <a:gd name="connsiteX351" fmla="*/ 499049 w 635581"/>
            <a:gd name="connsiteY351" fmla="*/ 55513 h 90007"/>
            <a:gd name="connsiteX352" fmla="*/ 499045 w 635581"/>
            <a:gd name="connsiteY352" fmla="*/ 54407 h 90007"/>
            <a:gd name="connsiteX353" fmla="*/ 500250 w 635581"/>
            <a:gd name="connsiteY353" fmla="*/ 45144 h 90007"/>
            <a:gd name="connsiteX354" fmla="*/ 500402 w 635581"/>
            <a:gd name="connsiteY354" fmla="*/ 44627 h 90007"/>
            <a:gd name="connsiteX355" fmla="*/ 502043 w 635581"/>
            <a:gd name="connsiteY355" fmla="*/ 40210 h 90007"/>
            <a:gd name="connsiteX356" fmla="*/ 502209 w 635581"/>
            <a:gd name="connsiteY356" fmla="*/ 39839 h 90007"/>
            <a:gd name="connsiteX357" fmla="*/ 513103 w 635581"/>
            <a:gd name="connsiteY357" fmla="*/ 26397 h 90007"/>
            <a:gd name="connsiteX358" fmla="*/ 531442 w 635581"/>
            <a:gd name="connsiteY358" fmla="*/ 19561 h 90007"/>
            <a:gd name="connsiteX359" fmla="*/ 534052 w 635581"/>
            <a:gd name="connsiteY359" fmla="*/ 19501 h 90007"/>
            <a:gd name="connsiteX360" fmla="*/ 541859 w 635581"/>
            <a:gd name="connsiteY360" fmla="*/ 19501 h 90007"/>
            <a:gd name="connsiteX361" fmla="*/ 557473 w 635581"/>
            <a:gd name="connsiteY361" fmla="*/ 19501 h 90007"/>
            <a:gd name="connsiteX362" fmla="*/ 557473 w 635581"/>
            <a:gd name="connsiteY362" fmla="*/ 89839 h 90007"/>
            <a:gd name="connsiteX363" fmla="*/ 541859 w 635581"/>
            <a:gd name="connsiteY363" fmla="*/ 89839 h 90007"/>
            <a:gd name="connsiteX364" fmla="*/ 452858 w 635581"/>
            <a:gd name="connsiteY364" fmla="*/ 157 h 90007"/>
            <a:gd name="connsiteX365" fmla="*/ 468863 w 635581"/>
            <a:gd name="connsiteY365" fmla="*/ 157 h 90007"/>
            <a:gd name="connsiteX366" fmla="*/ 467847 w 635581"/>
            <a:gd name="connsiteY366" fmla="*/ 2261 h 90007"/>
            <a:gd name="connsiteX367" fmla="*/ 467467 w 635581"/>
            <a:gd name="connsiteY367" fmla="*/ 2927 h 90007"/>
            <a:gd name="connsiteX368" fmla="*/ 467058 w 635581"/>
            <a:gd name="connsiteY368" fmla="*/ 3637 h 90007"/>
            <a:gd name="connsiteX369" fmla="*/ 466635 w 635581"/>
            <a:gd name="connsiteY369" fmla="*/ 4375 h 90007"/>
            <a:gd name="connsiteX370" fmla="*/ 462617 w 635581"/>
            <a:gd name="connsiteY370" fmla="*/ 11294 h 90007"/>
            <a:gd name="connsiteX371" fmla="*/ 462256 w 635581"/>
            <a:gd name="connsiteY371" fmla="*/ 11910 h 90007"/>
            <a:gd name="connsiteX372" fmla="*/ 461191 w 635581"/>
            <a:gd name="connsiteY372" fmla="*/ 13724 h 90007"/>
            <a:gd name="connsiteX373" fmla="*/ 460861 w 635581"/>
            <a:gd name="connsiteY373" fmla="*/ 14286 h 90007"/>
            <a:gd name="connsiteX374" fmla="*/ 460559 w 635581"/>
            <a:gd name="connsiteY374" fmla="*/ 14798 h 90007"/>
            <a:gd name="connsiteX375" fmla="*/ 460293 w 635581"/>
            <a:gd name="connsiteY375" fmla="*/ 15250 h 90007"/>
            <a:gd name="connsiteX376" fmla="*/ 459886 w 635581"/>
            <a:gd name="connsiteY376" fmla="*/ 15788 h 90007"/>
            <a:gd name="connsiteX377" fmla="*/ 458413 w 635581"/>
            <a:gd name="connsiteY377" fmla="*/ 15809 h 90007"/>
            <a:gd name="connsiteX378" fmla="*/ 457945 w 635581"/>
            <a:gd name="connsiteY378" fmla="*/ 15809 h 90007"/>
            <a:gd name="connsiteX379" fmla="*/ 456409 w 635581"/>
            <a:gd name="connsiteY379" fmla="*/ 15808 h 90007"/>
            <a:gd name="connsiteX380" fmla="*/ 455345 w 635581"/>
            <a:gd name="connsiteY380" fmla="*/ 15806 h 90007"/>
            <a:gd name="connsiteX381" fmla="*/ 452544 w 635581"/>
            <a:gd name="connsiteY381" fmla="*/ 15802 h 90007"/>
            <a:gd name="connsiteX382" fmla="*/ 449687 w 635581"/>
            <a:gd name="connsiteY382" fmla="*/ 15798 h 90007"/>
            <a:gd name="connsiteX383" fmla="*/ 444076 w 635581"/>
            <a:gd name="connsiteY383" fmla="*/ 15788 h 90007"/>
            <a:gd name="connsiteX384" fmla="*/ 445007 w 635581"/>
            <a:gd name="connsiteY384" fmla="*/ 13811 h 90007"/>
            <a:gd name="connsiteX385" fmla="*/ 445333 w 635581"/>
            <a:gd name="connsiteY385" fmla="*/ 13226 h 90007"/>
            <a:gd name="connsiteX386" fmla="*/ 445686 w 635581"/>
            <a:gd name="connsiteY386" fmla="*/ 12601 h 90007"/>
            <a:gd name="connsiteX387" fmla="*/ 446055 w 635581"/>
            <a:gd name="connsiteY387" fmla="*/ 11944 h 90007"/>
            <a:gd name="connsiteX388" fmla="*/ 449932 w 635581"/>
            <a:gd name="connsiteY388" fmla="*/ 5238 h 90007"/>
            <a:gd name="connsiteX389" fmla="*/ 552099 w 635581"/>
            <a:gd name="connsiteY389" fmla="*/ 317 h 90007"/>
            <a:gd name="connsiteX390" fmla="*/ 555716 w 635581"/>
            <a:gd name="connsiteY390" fmla="*/ 2892 h 90007"/>
            <a:gd name="connsiteX391" fmla="*/ 557473 w 635581"/>
            <a:gd name="connsiteY391" fmla="*/ 6605 h 90007"/>
            <a:gd name="connsiteX392" fmla="*/ 556962 w 635581"/>
            <a:gd name="connsiteY392" fmla="*/ 10919 h 90007"/>
            <a:gd name="connsiteX393" fmla="*/ 554166 w 635581"/>
            <a:gd name="connsiteY393" fmla="*/ 14419 h 90007"/>
            <a:gd name="connsiteX394" fmla="*/ 549689 w 635581"/>
            <a:gd name="connsiteY394" fmla="*/ 15800 h 90007"/>
            <a:gd name="connsiteX395" fmla="*/ 545527 w 635581"/>
            <a:gd name="connsiteY395" fmla="*/ 14643 h 90007"/>
            <a:gd name="connsiteX396" fmla="*/ 542444 w 635581"/>
            <a:gd name="connsiteY396" fmla="*/ 11099 h 90007"/>
            <a:gd name="connsiteX397" fmla="*/ 541859 w 635581"/>
            <a:gd name="connsiteY397" fmla="*/ 6605 h 90007"/>
            <a:gd name="connsiteX398" fmla="*/ 543616 w 635581"/>
            <a:gd name="connsiteY398" fmla="*/ 2892 h 90007"/>
            <a:gd name="connsiteX399" fmla="*/ 547197 w 635581"/>
            <a:gd name="connsiteY399" fmla="*/ 352 h 90007"/>
            <a:gd name="connsiteX400" fmla="*/ 552099 w 635581"/>
            <a:gd name="connsiteY400" fmla="*/ 317 h 90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Lst>
          <a:rect l="l" t="t" r="r" b="b"/>
          <a:pathLst>
            <a:path w="635581" h="90007">
              <a:moveTo>
                <a:pt x="64367" y="4440"/>
              </a:moveTo>
              <a:cubicBezTo>
                <a:pt x="70543" y="7496"/>
                <a:pt x="76321" y="12028"/>
                <a:pt x="80420" y="17607"/>
              </a:cubicBezTo>
              <a:cubicBezTo>
                <a:pt x="80659" y="17931"/>
                <a:pt x="80901" y="18252"/>
                <a:pt x="81146" y="18570"/>
              </a:cubicBezTo>
              <a:cubicBezTo>
                <a:pt x="85779" y="24752"/>
                <a:pt x="88538" y="32217"/>
                <a:pt x="89480" y="39856"/>
              </a:cubicBezTo>
              <a:cubicBezTo>
                <a:pt x="90314" y="47857"/>
                <a:pt x="89140" y="55946"/>
                <a:pt x="85872" y="63303"/>
              </a:cubicBezTo>
              <a:cubicBezTo>
                <a:pt x="82445" y="70776"/>
                <a:pt x="77157" y="77093"/>
                <a:pt x="70491" y="81887"/>
              </a:cubicBezTo>
              <a:cubicBezTo>
                <a:pt x="64358" y="86207"/>
                <a:pt x="56848" y="89008"/>
                <a:pt x="49390" y="89748"/>
              </a:cubicBezTo>
              <a:cubicBezTo>
                <a:pt x="41110" y="90400"/>
                <a:pt x="32986" y="89147"/>
                <a:pt x="25465" y="85564"/>
              </a:cubicBezTo>
              <a:cubicBezTo>
                <a:pt x="21583" y="83672"/>
                <a:pt x="18117" y="81373"/>
                <a:pt x="14889" y="78506"/>
              </a:cubicBezTo>
              <a:lnTo>
                <a:pt x="14559" y="78215"/>
              </a:lnTo>
              <a:cubicBezTo>
                <a:pt x="11289" y="75294"/>
                <a:pt x="8549" y="71917"/>
                <a:pt x="6302" y="68151"/>
              </a:cubicBezTo>
              <a:lnTo>
                <a:pt x="6069" y="67767"/>
              </a:lnTo>
              <a:cubicBezTo>
                <a:pt x="2511" y="61815"/>
                <a:pt x="134" y="54697"/>
                <a:pt x="14" y="47718"/>
              </a:cubicBezTo>
              <a:lnTo>
                <a:pt x="9" y="47264"/>
              </a:lnTo>
              <a:lnTo>
                <a:pt x="3" y="46776"/>
              </a:lnTo>
              <a:cubicBezTo>
                <a:pt x="-76" y="38293"/>
                <a:pt x="1476" y="30306"/>
                <a:pt x="5661" y="22841"/>
              </a:cubicBezTo>
              <a:cubicBezTo>
                <a:pt x="7283" y="20020"/>
                <a:pt x="9167" y="17412"/>
                <a:pt x="11383" y="15028"/>
              </a:cubicBezTo>
              <a:cubicBezTo>
                <a:pt x="11733" y="14651"/>
                <a:pt x="12061" y="14265"/>
                <a:pt x="12387" y="13871"/>
              </a:cubicBezTo>
              <a:cubicBezTo>
                <a:pt x="15281" y="10570"/>
                <a:pt x="18907" y="7987"/>
                <a:pt x="22697" y="5823"/>
              </a:cubicBezTo>
              <a:lnTo>
                <a:pt x="23137" y="5570"/>
              </a:lnTo>
              <a:cubicBezTo>
                <a:pt x="35625" y="-1566"/>
                <a:pt x="51473" y="-1739"/>
                <a:pt x="64367" y="4440"/>
              </a:cubicBezTo>
              <a:moveTo>
                <a:pt x="38114" y="16373"/>
              </a:moveTo>
              <a:lnTo>
                <a:pt x="37658" y="16485"/>
              </a:lnTo>
              <a:cubicBezTo>
                <a:pt x="32318" y="17825"/>
                <a:pt x="27826" y="20591"/>
                <a:pt x="23866" y="24385"/>
              </a:cubicBezTo>
              <a:cubicBezTo>
                <a:pt x="20395" y="27800"/>
                <a:pt x="17884" y="32235"/>
                <a:pt x="16526" y="36909"/>
              </a:cubicBezTo>
              <a:cubicBezTo>
                <a:pt x="15109" y="42121"/>
                <a:pt x="15104" y="47438"/>
                <a:pt x="16411" y="52671"/>
              </a:cubicBezTo>
              <a:cubicBezTo>
                <a:pt x="17584" y="57021"/>
                <a:pt x="19783" y="60842"/>
                <a:pt x="22697" y="64243"/>
              </a:cubicBezTo>
              <a:lnTo>
                <a:pt x="23123" y="64749"/>
              </a:lnTo>
              <a:cubicBezTo>
                <a:pt x="24175" y="65969"/>
                <a:pt x="25330" y="66969"/>
                <a:pt x="26600" y="67956"/>
              </a:cubicBezTo>
              <a:lnTo>
                <a:pt x="27098" y="68373"/>
              </a:lnTo>
              <a:cubicBezTo>
                <a:pt x="30981" y="71510"/>
                <a:pt x="35780" y="73211"/>
                <a:pt x="40653" y="74012"/>
              </a:cubicBezTo>
              <a:cubicBezTo>
                <a:pt x="45817" y="74771"/>
                <a:pt x="51066" y="73981"/>
                <a:pt x="55923" y="72145"/>
              </a:cubicBezTo>
              <a:cubicBezTo>
                <a:pt x="58831" y="70977"/>
                <a:pt x="61545" y="69259"/>
                <a:pt x="63877" y="67174"/>
              </a:cubicBezTo>
              <a:lnTo>
                <a:pt x="64452" y="66676"/>
              </a:lnTo>
              <a:cubicBezTo>
                <a:pt x="68122" y="63456"/>
                <a:pt x="70825" y="59307"/>
                <a:pt x="72445" y="54701"/>
              </a:cubicBezTo>
              <a:cubicBezTo>
                <a:pt x="74090" y="49828"/>
                <a:pt x="74570" y="44677"/>
                <a:pt x="73644" y="39594"/>
              </a:cubicBezTo>
              <a:cubicBezTo>
                <a:pt x="72586" y="34414"/>
                <a:pt x="70356" y="29808"/>
                <a:pt x="66931" y="25800"/>
              </a:cubicBezTo>
              <a:cubicBezTo>
                <a:pt x="66507" y="25321"/>
                <a:pt x="66074" y="24850"/>
                <a:pt x="65634" y="24385"/>
              </a:cubicBezTo>
              <a:lnTo>
                <a:pt x="65267" y="23985"/>
              </a:lnTo>
              <a:cubicBezTo>
                <a:pt x="62091" y="20655"/>
                <a:pt x="57723" y="18234"/>
                <a:pt x="53350" y="16898"/>
              </a:cubicBezTo>
              <a:cubicBezTo>
                <a:pt x="52699" y="16713"/>
                <a:pt x="52045" y="16537"/>
                <a:pt x="51386" y="16373"/>
              </a:cubicBezTo>
              <a:cubicBezTo>
                <a:pt x="51249" y="16338"/>
                <a:pt x="51112" y="16304"/>
                <a:pt x="50971" y="16267"/>
              </a:cubicBezTo>
              <a:cubicBezTo>
                <a:pt x="46983" y="15296"/>
                <a:pt x="42087" y="15364"/>
                <a:pt x="38114" y="16373"/>
              </a:cubicBezTo>
              <a:moveTo>
                <a:pt x="136873" y="157"/>
              </a:moveTo>
              <a:cubicBezTo>
                <a:pt x="179683" y="157"/>
                <a:pt x="179683" y="157"/>
                <a:pt x="186390" y="3994"/>
              </a:cubicBezTo>
              <a:cubicBezTo>
                <a:pt x="188303" y="5133"/>
                <a:pt x="189915" y="6641"/>
                <a:pt x="191521" y="8168"/>
              </a:cubicBezTo>
              <a:lnTo>
                <a:pt x="191896" y="8504"/>
              </a:lnTo>
              <a:cubicBezTo>
                <a:pt x="194742" y="11151"/>
                <a:pt x="196674" y="14906"/>
                <a:pt x="197962" y="18524"/>
              </a:cubicBezTo>
              <a:lnTo>
                <a:pt x="198186" y="19147"/>
              </a:lnTo>
              <a:cubicBezTo>
                <a:pt x="199610" y="23422"/>
                <a:pt x="199850" y="28258"/>
                <a:pt x="198998" y="32677"/>
              </a:cubicBezTo>
              <a:cubicBezTo>
                <a:pt x="198865" y="33304"/>
                <a:pt x="198715" y="33924"/>
                <a:pt x="198547" y="34544"/>
              </a:cubicBezTo>
              <a:lnTo>
                <a:pt x="198441" y="34947"/>
              </a:lnTo>
              <a:cubicBezTo>
                <a:pt x="197118" y="39692"/>
                <a:pt x="194394" y="43882"/>
                <a:pt x="190919" y="47332"/>
              </a:cubicBezTo>
              <a:cubicBezTo>
                <a:pt x="187355" y="50753"/>
                <a:pt x="182975" y="52982"/>
                <a:pt x="178208" y="54193"/>
              </a:cubicBezTo>
              <a:cubicBezTo>
                <a:pt x="175508" y="54832"/>
                <a:pt x="172868" y="54892"/>
                <a:pt x="170112" y="54884"/>
              </a:cubicBezTo>
              <a:lnTo>
                <a:pt x="169175" y="54884"/>
              </a:lnTo>
              <a:cubicBezTo>
                <a:pt x="168029" y="54882"/>
                <a:pt x="166882" y="54880"/>
                <a:pt x="165733" y="54876"/>
              </a:cubicBezTo>
              <a:lnTo>
                <a:pt x="157951" y="54865"/>
              </a:lnTo>
              <a:lnTo>
                <a:pt x="157951" y="39233"/>
              </a:lnTo>
              <a:cubicBezTo>
                <a:pt x="165710" y="39173"/>
                <a:pt x="165710" y="39173"/>
                <a:pt x="168146" y="39158"/>
              </a:cubicBezTo>
              <a:cubicBezTo>
                <a:pt x="168876" y="39150"/>
                <a:pt x="168876" y="39150"/>
                <a:pt x="169606" y="39142"/>
              </a:cubicBezTo>
              <a:cubicBezTo>
                <a:pt x="169928" y="39140"/>
                <a:pt x="170249" y="39138"/>
                <a:pt x="170571" y="39136"/>
              </a:cubicBezTo>
              <a:cubicBezTo>
                <a:pt x="173100" y="39127"/>
                <a:pt x="175397" y="38966"/>
                <a:pt x="177652" y="37694"/>
              </a:cubicBezTo>
              <a:lnTo>
                <a:pt x="178017" y="37501"/>
              </a:lnTo>
              <a:cubicBezTo>
                <a:pt x="178809" y="37069"/>
                <a:pt x="179382" y="36555"/>
                <a:pt x="180006" y="35912"/>
              </a:cubicBezTo>
              <a:lnTo>
                <a:pt x="180396" y="35912"/>
              </a:lnTo>
              <a:lnTo>
                <a:pt x="180558" y="35563"/>
              </a:lnTo>
              <a:cubicBezTo>
                <a:pt x="180780" y="35144"/>
                <a:pt x="181023" y="34824"/>
                <a:pt x="181324" y="34459"/>
              </a:cubicBezTo>
              <a:cubicBezTo>
                <a:pt x="182334" y="33128"/>
                <a:pt x="183176" y="31453"/>
                <a:pt x="183471" y="29796"/>
              </a:cubicBezTo>
              <a:cubicBezTo>
                <a:pt x="183716" y="27115"/>
                <a:pt x="183562" y="24698"/>
                <a:pt x="182421" y="22223"/>
              </a:cubicBezTo>
              <a:cubicBezTo>
                <a:pt x="181361" y="20234"/>
                <a:pt x="180013" y="18765"/>
                <a:pt x="178137" y="17535"/>
              </a:cubicBezTo>
              <a:cubicBezTo>
                <a:pt x="170774" y="13346"/>
                <a:pt x="158619" y="15844"/>
                <a:pt x="152486" y="15788"/>
              </a:cubicBezTo>
              <a:lnTo>
                <a:pt x="152486" y="89839"/>
              </a:lnTo>
              <a:lnTo>
                <a:pt x="136873" y="89839"/>
              </a:lnTo>
              <a:close/>
              <a:moveTo>
                <a:pt x="234034" y="19476"/>
              </a:moveTo>
              <a:cubicBezTo>
                <a:pt x="240222" y="19348"/>
                <a:pt x="246284" y="20823"/>
                <a:pt x="251735" y="23744"/>
              </a:cubicBezTo>
              <a:cubicBezTo>
                <a:pt x="254500" y="25275"/>
                <a:pt x="256927" y="27128"/>
                <a:pt x="259247" y="29269"/>
              </a:cubicBezTo>
              <a:lnTo>
                <a:pt x="259788" y="29767"/>
              </a:lnTo>
              <a:cubicBezTo>
                <a:pt x="264056" y="33879"/>
                <a:pt x="267014" y="39235"/>
                <a:pt x="268715" y="44874"/>
              </a:cubicBezTo>
              <a:cubicBezTo>
                <a:pt x="268975" y="45787"/>
                <a:pt x="269195" y="46706"/>
                <a:pt x="269396" y="47635"/>
              </a:cubicBezTo>
              <a:lnTo>
                <a:pt x="269493" y="48077"/>
              </a:lnTo>
              <a:cubicBezTo>
                <a:pt x="269962" y="50312"/>
                <a:pt x="270031" y="52538"/>
                <a:pt x="270029" y="54816"/>
              </a:cubicBezTo>
              <a:lnTo>
                <a:pt x="270029" y="55229"/>
              </a:lnTo>
              <a:cubicBezTo>
                <a:pt x="270025" y="56633"/>
                <a:pt x="269960" y="57959"/>
                <a:pt x="269786" y="59359"/>
              </a:cubicBezTo>
              <a:lnTo>
                <a:pt x="221773" y="59359"/>
              </a:lnTo>
              <a:lnTo>
                <a:pt x="221773" y="47830"/>
              </a:lnTo>
              <a:lnTo>
                <a:pt x="253002" y="47635"/>
              </a:lnTo>
              <a:cubicBezTo>
                <a:pt x="251343" y="44108"/>
                <a:pt x="249544" y="41196"/>
                <a:pt x="246401" y="38891"/>
              </a:cubicBezTo>
              <a:cubicBezTo>
                <a:pt x="243440" y="36953"/>
                <a:pt x="240218" y="35547"/>
                <a:pt x="236646" y="35287"/>
              </a:cubicBezTo>
              <a:cubicBezTo>
                <a:pt x="236098" y="35268"/>
                <a:pt x="235546" y="35262"/>
                <a:pt x="234996" y="35266"/>
              </a:cubicBezTo>
              <a:lnTo>
                <a:pt x="234403" y="35268"/>
              </a:lnTo>
              <a:cubicBezTo>
                <a:pt x="230820" y="35324"/>
                <a:pt x="227517" y="36436"/>
                <a:pt x="224441" y="38250"/>
              </a:cubicBezTo>
              <a:cubicBezTo>
                <a:pt x="221598" y="40013"/>
                <a:pt x="219441" y="42621"/>
                <a:pt x="217845" y="45523"/>
              </a:cubicBezTo>
              <a:cubicBezTo>
                <a:pt x="215972" y="49050"/>
                <a:pt x="215549" y="52641"/>
                <a:pt x="215686" y="56592"/>
              </a:cubicBezTo>
              <a:cubicBezTo>
                <a:pt x="215875" y="59720"/>
                <a:pt x="217065" y="62726"/>
                <a:pt x="218733" y="65359"/>
              </a:cubicBezTo>
              <a:cubicBezTo>
                <a:pt x="220841" y="68411"/>
                <a:pt x="223437" y="70718"/>
                <a:pt x="226775" y="72326"/>
              </a:cubicBezTo>
              <a:cubicBezTo>
                <a:pt x="229995" y="73722"/>
                <a:pt x="233306" y="74282"/>
                <a:pt x="236803" y="74012"/>
              </a:cubicBezTo>
              <a:cubicBezTo>
                <a:pt x="240237" y="73603"/>
                <a:pt x="243330" y="72481"/>
                <a:pt x="246170" y="70494"/>
              </a:cubicBezTo>
              <a:lnTo>
                <a:pt x="246672" y="69989"/>
              </a:lnTo>
              <a:cubicBezTo>
                <a:pt x="247040" y="69682"/>
                <a:pt x="247284" y="69531"/>
                <a:pt x="247757" y="69431"/>
              </a:cubicBezTo>
              <a:cubicBezTo>
                <a:pt x="248255" y="69398"/>
                <a:pt x="248747" y="69398"/>
                <a:pt x="249247" y="69407"/>
              </a:cubicBezTo>
              <a:lnTo>
                <a:pt x="249820" y="69407"/>
              </a:lnTo>
              <a:cubicBezTo>
                <a:pt x="250440" y="69407"/>
                <a:pt x="251062" y="69415"/>
                <a:pt x="251681" y="69423"/>
              </a:cubicBezTo>
              <a:cubicBezTo>
                <a:pt x="252114" y="69425"/>
                <a:pt x="252544" y="69427"/>
                <a:pt x="252977" y="69427"/>
              </a:cubicBezTo>
              <a:cubicBezTo>
                <a:pt x="254110" y="69431"/>
                <a:pt x="255245" y="69440"/>
                <a:pt x="256378" y="69452"/>
              </a:cubicBezTo>
              <a:cubicBezTo>
                <a:pt x="257537" y="69462"/>
                <a:pt x="258695" y="69465"/>
                <a:pt x="259851" y="69471"/>
              </a:cubicBezTo>
              <a:cubicBezTo>
                <a:pt x="262122" y="69481"/>
                <a:pt x="264392" y="69498"/>
                <a:pt x="266662" y="69518"/>
              </a:cubicBezTo>
              <a:cubicBezTo>
                <a:pt x="265525" y="73070"/>
                <a:pt x="262969" y="76242"/>
                <a:pt x="260417" y="78896"/>
              </a:cubicBezTo>
              <a:lnTo>
                <a:pt x="260127" y="79207"/>
              </a:lnTo>
              <a:cubicBezTo>
                <a:pt x="256112" y="83468"/>
                <a:pt x="250998" y="86659"/>
                <a:pt x="245395" y="88396"/>
              </a:cubicBezTo>
              <a:cubicBezTo>
                <a:pt x="239135" y="90200"/>
                <a:pt x="232662" y="90371"/>
                <a:pt x="226325" y="88871"/>
              </a:cubicBezTo>
              <a:cubicBezTo>
                <a:pt x="224057" y="88304"/>
                <a:pt x="221930" y="87524"/>
                <a:pt x="219821" y="86516"/>
              </a:cubicBezTo>
              <a:lnTo>
                <a:pt x="219393" y="86313"/>
              </a:lnTo>
              <a:cubicBezTo>
                <a:pt x="216489" y="84908"/>
                <a:pt x="213835" y="83118"/>
                <a:pt x="211495" y="80892"/>
              </a:cubicBezTo>
              <a:cubicBezTo>
                <a:pt x="211099" y="80516"/>
                <a:pt x="210692" y="80170"/>
                <a:pt x="210271" y="79825"/>
              </a:cubicBezTo>
              <a:cubicBezTo>
                <a:pt x="206228" y="76282"/>
                <a:pt x="203365" y="71128"/>
                <a:pt x="201641" y="66106"/>
              </a:cubicBezTo>
              <a:cubicBezTo>
                <a:pt x="199659" y="60162"/>
                <a:pt x="199192" y="53890"/>
                <a:pt x="200396" y="47727"/>
              </a:cubicBezTo>
              <a:cubicBezTo>
                <a:pt x="201719" y="41524"/>
                <a:pt x="204574" y="35876"/>
                <a:pt x="208792" y="31155"/>
              </a:cubicBezTo>
              <a:cubicBezTo>
                <a:pt x="213028" y="26497"/>
                <a:pt x="218289" y="23045"/>
                <a:pt x="224287" y="21088"/>
              </a:cubicBezTo>
              <a:cubicBezTo>
                <a:pt x="227439" y="20105"/>
                <a:pt x="230737" y="19582"/>
                <a:pt x="234034" y="19476"/>
              </a:cubicBezTo>
              <a:moveTo>
                <a:pt x="472571" y="23481"/>
              </a:moveTo>
              <a:cubicBezTo>
                <a:pt x="474222" y="24362"/>
                <a:pt x="475784" y="25379"/>
                <a:pt x="477257" y="26534"/>
              </a:cubicBezTo>
              <a:lnTo>
                <a:pt x="477824" y="26978"/>
              </a:lnTo>
              <a:cubicBezTo>
                <a:pt x="482570" y="30787"/>
                <a:pt x="486354" y="35515"/>
                <a:pt x="488649" y="41187"/>
              </a:cubicBezTo>
              <a:cubicBezTo>
                <a:pt x="489637" y="43741"/>
                <a:pt x="490417" y="46376"/>
                <a:pt x="490881" y="49077"/>
              </a:cubicBezTo>
              <a:lnTo>
                <a:pt x="490948" y="49463"/>
              </a:lnTo>
              <a:cubicBezTo>
                <a:pt x="491348" y="52069"/>
                <a:pt x="491336" y="54712"/>
                <a:pt x="491331" y="57343"/>
              </a:cubicBezTo>
              <a:lnTo>
                <a:pt x="491331" y="58413"/>
              </a:lnTo>
              <a:cubicBezTo>
                <a:pt x="491331" y="59371"/>
                <a:pt x="491331" y="60330"/>
                <a:pt x="491329" y="61288"/>
              </a:cubicBezTo>
              <a:cubicBezTo>
                <a:pt x="491327" y="62293"/>
                <a:pt x="491327" y="63299"/>
                <a:pt x="491327" y="64303"/>
              </a:cubicBezTo>
              <a:cubicBezTo>
                <a:pt x="491327" y="66203"/>
                <a:pt x="491325" y="68102"/>
                <a:pt x="491323" y="70002"/>
              </a:cubicBezTo>
              <a:cubicBezTo>
                <a:pt x="491321" y="72572"/>
                <a:pt x="491319" y="75141"/>
                <a:pt x="491317" y="77711"/>
              </a:cubicBezTo>
              <a:cubicBezTo>
                <a:pt x="491315" y="81753"/>
                <a:pt x="491311" y="85796"/>
                <a:pt x="491309" y="89839"/>
              </a:cubicBezTo>
              <a:lnTo>
                <a:pt x="475695" y="89839"/>
              </a:lnTo>
              <a:lnTo>
                <a:pt x="475689" y="86493"/>
              </a:lnTo>
              <a:cubicBezTo>
                <a:pt x="475683" y="82834"/>
                <a:pt x="475672" y="79178"/>
                <a:pt x="475658" y="75520"/>
              </a:cubicBezTo>
              <a:cubicBezTo>
                <a:pt x="475651" y="73303"/>
                <a:pt x="475645" y="71087"/>
                <a:pt x="475641" y="68871"/>
              </a:cubicBezTo>
              <a:cubicBezTo>
                <a:pt x="475639" y="66936"/>
                <a:pt x="475633" y="65004"/>
                <a:pt x="475625" y="63069"/>
              </a:cubicBezTo>
              <a:cubicBezTo>
                <a:pt x="475622" y="62048"/>
                <a:pt x="475618" y="61025"/>
                <a:pt x="475618" y="60004"/>
              </a:cubicBezTo>
              <a:cubicBezTo>
                <a:pt x="475618" y="59038"/>
                <a:pt x="475614" y="58073"/>
                <a:pt x="475608" y="57108"/>
              </a:cubicBezTo>
              <a:cubicBezTo>
                <a:pt x="475606" y="56757"/>
                <a:pt x="475606" y="56405"/>
                <a:pt x="475608" y="56054"/>
              </a:cubicBezTo>
              <a:cubicBezTo>
                <a:pt x="475618" y="52368"/>
                <a:pt x="475046" y="48976"/>
                <a:pt x="473353" y="45681"/>
              </a:cubicBezTo>
              <a:lnTo>
                <a:pt x="473037" y="45055"/>
              </a:lnTo>
              <a:cubicBezTo>
                <a:pt x="471510" y="42252"/>
                <a:pt x="469251" y="39887"/>
                <a:pt x="466569" y="38165"/>
              </a:cubicBezTo>
              <a:cubicBezTo>
                <a:pt x="463772" y="36457"/>
                <a:pt x="460610" y="35405"/>
                <a:pt x="457330" y="35285"/>
              </a:cubicBezTo>
              <a:cubicBezTo>
                <a:pt x="455177" y="35233"/>
                <a:pt x="453189" y="35341"/>
                <a:pt x="451104" y="35912"/>
              </a:cubicBezTo>
              <a:lnTo>
                <a:pt x="450499" y="36076"/>
              </a:lnTo>
              <a:cubicBezTo>
                <a:pt x="447105" y="37113"/>
                <a:pt x="444208" y="39053"/>
                <a:pt x="441735" y="41579"/>
              </a:cubicBezTo>
              <a:cubicBezTo>
                <a:pt x="439518" y="44108"/>
                <a:pt x="438065" y="47127"/>
                <a:pt x="437246" y="50370"/>
              </a:cubicBezTo>
              <a:lnTo>
                <a:pt x="437101" y="50944"/>
              </a:lnTo>
              <a:cubicBezTo>
                <a:pt x="436412" y="54272"/>
                <a:pt x="436800" y="57716"/>
                <a:pt x="437783" y="60934"/>
              </a:cubicBezTo>
              <a:cubicBezTo>
                <a:pt x="438609" y="63263"/>
                <a:pt x="439785" y="65263"/>
                <a:pt x="441345" y="67174"/>
              </a:cubicBezTo>
              <a:lnTo>
                <a:pt x="441713" y="67641"/>
              </a:lnTo>
              <a:cubicBezTo>
                <a:pt x="443661" y="69987"/>
                <a:pt x="446358" y="71686"/>
                <a:pt x="449173" y="72809"/>
              </a:cubicBezTo>
              <a:cubicBezTo>
                <a:pt x="452530" y="74041"/>
                <a:pt x="456092" y="74392"/>
                <a:pt x="459621" y="73801"/>
              </a:cubicBezTo>
              <a:cubicBezTo>
                <a:pt x="461600" y="73423"/>
                <a:pt x="463366" y="72780"/>
                <a:pt x="465156" y="71863"/>
              </a:cubicBezTo>
              <a:lnTo>
                <a:pt x="465780" y="71552"/>
              </a:lnTo>
              <a:cubicBezTo>
                <a:pt x="467233" y="70772"/>
                <a:pt x="468369" y="69757"/>
                <a:pt x="469542" y="68616"/>
              </a:cubicBezTo>
              <a:lnTo>
                <a:pt x="470035" y="68151"/>
              </a:lnTo>
              <a:lnTo>
                <a:pt x="470230" y="68151"/>
              </a:lnTo>
              <a:lnTo>
                <a:pt x="470230" y="86908"/>
              </a:lnTo>
              <a:cubicBezTo>
                <a:pt x="467036" y="88186"/>
                <a:pt x="464052" y="89167"/>
                <a:pt x="460666" y="89644"/>
              </a:cubicBezTo>
              <a:lnTo>
                <a:pt x="460268" y="89700"/>
              </a:lnTo>
              <a:cubicBezTo>
                <a:pt x="454550" y="90429"/>
                <a:pt x="448679" y="89584"/>
                <a:pt x="443320" y="87518"/>
              </a:cubicBezTo>
              <a:cubicBezTo>
                <a:pt x="439565" y="85925"/>
                <a:pt x="436190" y="83966"/>
                <a:pt x="433148" y="81242"/>
              </a:cubicBezTo>
              <a:lnTo>
                <a:pt x="432306" y="80522"/>
              </a:lnTo>
              <a:cubicBezTo>
                <a:pt x="427896" y="76603"/>
                <a:pt x="424634" y="71313"/>
                <a:pt x="422755" y="65741"/>
              </a:cubicBezTo>
              <a:cubicBezTo>
                <a:pt x="421724" y="62510"/>
                <a:pt x="421232" y="59222"/>
                <a:pt x="421047" y="55841"/>
              </a:cubicBezTo>
              <a:lnTo>
                <a:pt x="421010" y="55202"/>
              </a:lnTo>
              <a:cubicBezTo>
                <a:pt x="420997" y="54629"/>
                <a:pt x="421014" y="54069"/>
                <a:pt x="421047" y="53496"/>
              </a:cubicBezTo>
              <a:lnTo>
                <a:pt x="421070" y="53052"/>
              </a:lnTo>
              <a:cubicBezTo>
                <a:pt x="421390" y="47675"/>
                <a:pt x="422769" y="42602"/>
                <a:pt x="425340" y="37866"/>
              </a:cubicBezTo>
              <a:lnTo>
                <a:pt x="425530" y="37507"/>
              </a:lnTo>
              <a:cubicBezTo>
                <a:pt x="426802" y="35109"/>
                <a:pt x="428379" y="33061"/>
                <a:pt x="430215" y="31069"/>
              </a:cubicBezTo>
              <a:cubicBezTo>
                <a:pt x="430557" y="30692"/>
                <a:pt x="430887" y="30310"/>
                <a:pt x="431207" y="29916"/>
              </a:cubicBezTo>
              <a:cubicBezTo>
                <a:pt x="434431" y="26128"/>
                <a:pt x="439391" y="23335"/>
                <a:pt x="443989" y="21622"/>
              </a:cubicBezTo>
              <a:cubicBezTo>
                <a:pt x="453393" y="18296"/>
                <a:pt x="463689" y="18883"/>
                <a:pt x="472571" y="23481"/>
              </a:cubicBezTo>
              <a:moveTo>
                <a:pt x="599559" y="19476"/>
              </a:moveTo>
              <a:cubicBezTo>
                <a:pt x="605789" y="19371"/>
                <a:pt x="611969" y="20829"/>
                <a:pt x="617438" y="23844"/>
              </a:cubicBezTo>
              <a:cubicBezTo>
                <a:pt x="619971" y="25312"/>
                <a:pt x="622297" y="27055"/>
                <a:pt x="624417" y="29074"/>
              </a:cubicBezTo>
              <a:lnTo>
                <a:pt x="624749" y="29387"/>
              </a:lnTo>
              <a:cubicBezTo>
                <a:pt x="629151" y="33561"/>
                <a:pt x="632307" y="38673"/>
                <a:pt x="634083" y="44488"/>
              </a:cubicBezTo>
              <a:cubicBezTo>
                <a:pt x="634885" y="47229"/>
                <a:pt x="635427" y="50052"/>
                <a:pt x="635543" y="52911"/>
              </a:cubicBezTo>
              <a:lnTo>
                <a:pt x="635558" y="53295"/>
              </a:lnTo>
              <a:cubicBezTo>
                <a:pt x="635784" y="59538"/>
                <a:pt x="634354" y="65683"/>
                <a:pt x="631493" y="71228"/>
              </a:cubicBezTo>
              <a:cubicBezTo>
                <a:pt x="628614" y="76612"/>
                <a:pt x="624353" y="81178"/>
                <a:pt x="619226" y="84470"/>
              </a:cubicBezTo>
              <a:cubicBezTo>
                <a:pt x="615152" y="86972"/>
                <a:pt x="610946" y="88557"/>
                <a:pt x="606266" y="89447"/>
              </a:cubicBezTo>
              <a:lnTo>
                <a:pt x="605863" y="89526"/>
              </a:lnTo>
              <a:cubicBezTo>
                <a:pt x="600127" y="90595"/>
                <a:pt x="593916" y="89813"/>
                <a:pt x="588451" y="87887"/>
              </a:cubicBezTo>
              <a:cubicBezTo>
                <a:pt x="583565" y="86072"/>
                <a:pt x="579368" y="83288"/>
                <a:pt x="575624" y="79678"/>
              </a:cubicBezTo>
              <a:lnTo>
                <a:pt x="575178" y="79271"/>
              </a:lnTo>
              <a:cubicBezTo>
                <a:pt x="572893" y="77108"/>
                <a:pt x="571074" y="74421"/>
                <a:pt x="569574" y="71668"/>
              </a:cubicBezTo>
              <a:lnTo>
                <a:pt x="569369" y="71296"/>
              </a:lnTo>
              <a:cubicBezTo>
                <a:pt x="567528" y="67886"/>
                <a:pt x="566390" y="64334"/>
                <a:pt x="565670" y="60531"/>
              </a:cubicBezTo>
              <a:lnTo>
                <a:pt x="565591" y="60122"/>
              </a:lnTo>
              <a:cubicBezTo>
                <a:pt x="564558" y="54455"/>
                <a:pt x="565309" y="48237"/>
                <a:pt x="567213" y="42831"/>
              </a:cubicBezTo>
              <a:cubicBezTo>
                <a:pt x="567626" y="41739"/>
                <a:pt x="568095" y="40679"/>
                <a:pt x="568597" y="39625"/>
              </a:cubicBezTo>
              <a:lnTo>
                <a:pt x="568802" y="39196"/>
              </a:lnTo>
              <a:cubicBezTo>
                <a:pt x="571425" y="33762"/>
                <a:pt x="575526" y="29013"/>
                <a:pt x="580510" y="25617"/>
              </a:cubicBezTo>
              <a:cubicBezTo>
                <a:pt x="585686" y="22176"/>
                <a:pt x="591457" y="20109"/>
                <a:pt x="597654" y="19549"/>
              </a:cubicBezTo>
              <a:cubicBezTo>
                <a:pt x="598289" y="19514"/>
                <a:pt x="598924" y="19497"/>
                <a:pt x="599559" y="19476"/>
              </a:cubicBezTo>
              <a:moveTo>
                <a:pt x="589615" y="38225"/>
              </a:moveTo>
              <a:cubicBezTo>
                <a:pt x="586515" y="40360"/>
                <a:pt x="584231" y="43173"/>
                <a:pt x="582601" y="46561"/>
              </a:cubicBezTo>
              <a:cubicBezTo>
                <a:pt x="581144" y="49859"/>
                <a:pt x="580599" y="53274"/>
                <a:pt x="580933" y="56859"/>
              </a:cubicBezTo>
              <a:cubicBezTo>
                <a:pt x="581348" y="60324"/>
                <a:pt x="582678" y="63652"/>
                <a:pt x="584758" y="66456"/>
              </a:cubicBezTo>
              <a:cubicBezTo>
                <a:pt x="586520" y="68743"/>
                <a:pt x="588515" y="70458"/>
                <a:pt x="591042" y="71863"/>
              </a:cubicBezTo>
              <a:lnTo>
                <a:pt x="591526" y="72141"/>
              </a:lnTo>
              <a:cubicBezTo>
                <a:pt x="594505" y="73755"/>
                <a:pt x="597864" y="74328"/>
                <a:pt x="601216" y="74255"/>
              </a:cubicBezTo>
              <a:cubicBezTo>
                <a:pt x="604772" y="74114"/>
                <a:pt x="608131" y="72967"/>
                <a:pt x="611144" y="71081"/>
              </a:cubicBezTo>
              <a:cubicBezTo>
                <a:pt x="611824" y="70589"/>
                <a:pt x="612461" y="70064"/>
                <a:pt x="613096" y="69518"/>
              </a:cubicBezTo>
              <a:lnTo>
                <a:pt x="613446" y="69255"/>
              </a:lnTo>
              <a:cubicBezTo>
                <a:pt x="615679" y="67525"/>
                <a:pt x="617309" y="64768"/>
                <a:pt x="618463" y="62235"/>
              </a:cubicBezTo>
              <a:cubicBezTo>
                <a:pt x="619320" y="60133"/>
                <a:pt x="619807" y="57913"/>
                <a:pt x="619929" y="55646"/>
              </a:cubicBezTo>
              <a:lnTo>
                <a:pt x="619952" y="55202"/>
              </a:lnTo>
              <a:cubicBezTo>
                <a:pt x="620048" y="51585"/>
                <a:pt x="619100" y="48208"/>
                <a:pt x="617411" y="45034"/>
              </a:cubicBezTo>
              <a:cubicBezTo>
                <a:pt x="616842" y="44009"/>
                <a:pt x="616179" y="43075"/>
                <a:pt x="615440" y="42165"/>
              </a:cubicBezTo>
              <a:lnTo>
                <a:pt x="615040" y="41667"/>
              </a:lnTo>
              <a:cubicBezTo>
                <a:pt x="612884" y="39129"/>
                <a:pt x="610005" y="37244"/>
                <a:pt x="606890" y="36107"/>
              </a:cubicBezTo>
              <a:cubicBezTo>
                <a:pt x="601142" y="34134"/>
                <a:pt x="594714" y="34914"/>
                <a:pt x="589615" y="38225"/>
              </a:cubicBezTo>
              <a:moveTo>
                <a:pt x="350782" y="19501"/>
              </a:moveTo>
              <a:cubicBezTo>
                <a:pt x="352790" y="19495"/>
                <a:pt x="354798" y="19493"/>
                <a:pt x="356804" y="19489"/>
              </a:cubicBezTo>
              <a:cubicBezTo>
                <a:pt x="357736" y="19489"/>
                <a:pt x="358669" y="19487"/>
                <a:pt x="359599" y="19485"/>
              </a:cubicBezTo>
              <a:cubicBezTo>
                <a:pt x="360499" y="19483"/>
                <a:pt x="361397" y="19481"/>
                <a:pt x="362294" y="19481"/>
              </a:cubicBezTo>
              <a:cubicBezTo>
                <a:pt x="362638" y="19481"/>
                <a:pt x="362982" y="19479"/>
                <a:pt x="363325" y="19479"/>
              </a:cubicBezTo>
              <a:cubicBezTo>
                <a:pt x="363806" y="19478"/>
                <a:pt x="364285" y="19478"/>
                <a:pt x="364763" y="19478"/>
              </a:cubicBezTo>
              <a:lnTo>
                <a:pt x="365200" y="19476"/>
              </a:lnTo>
              <a:cubicBezTo>
                <a:pt x="365534" y="19476"/>
                <a:pt x="365868" y="19487"/>
                <a:pt x="366202" y="19501"/>
              </a:cubicBezTo>
              <a:lnTo>
                <a:pt x="366397" y="19696"/>
              </a:lnTo>
              <a:cubicBezTo>
                <a:pt x="366416" y="20221"/>
                <a:pt x="366424" y="20740"/>
                <a:pt x="366422" y="21263"/>
              </a:cubicBezTo>
              <a:lnTo>
                <a:pt x="366424" y="21769"/>
              </a:lnTo>
              <a:cubicBezTo>
                <a:pt x="366426" y="22331"/>
                <a:pt x="366426" y="22893"/>
                <a:pt x="366426" y="23456"/>
              </a:cubicBezTo>
              <a:lnTo>
                <a:pt x="366428" y="24659"/>
              </a:lnTo>
              <a:cubicBezTo>
                <a:pt x="366428" y="25526"/>
                <a:pt x="366430" y="26395"/>
                <a:pt x="366430" y="27262"/>
              </a:cubicBezTo>
              <a:cubicBezTo>
                <a:pt x="366431" y="28634"/>
                <a:pt x="366433" y="30007"/>
                <a:pt x="366437" y="31381"/>
              </a:cubicBezTo>
              <a:lnTo>
                <a:pt x="366441" y="32791"/>
              </a:lnTo>
              <a:lnTo>
                <a:pt x="366443" y="33505"/>
              </a:lnTo>
              <a:cubicBezTo>
                <a:pt x="366453" y="36702"/>
                <a:pt x="366458" y="39899"/>
                <a:pt x="366460" y="43098"/>
              </a:cubicBezTo>
              <a:cubicBezTo>
                <a:pt x="366462" y="45252"/>
                <a:pt x="366466" y="47407"/>
                <a:pt x="366474" y="49561"/>
              </a:cubicBezTo>
              <a:cubicBezTo>
                <a:pt x="366478" y="50702"/>
                <a:pt x="366480" y="51843"/>
                <a:pt x="366480" y="52982"/>
              </a:cubicBezTo>
              <a:cubicBezTo>
                <a:pt x="366480" y="54058"/>
                <a:pt x="366482" y="55133"/>
                <a:pt x="366487" y="56206"/>
              </a:cubicBezTo>
              <a:cubicBezTo>
                <a:pt x="366487" y="56600"/>
                <a:pt x="366487" y="56992"/>
                <a:pt x="366487" y="57384"/>
              </a:cubicBezTo>
              <a:cubicBezTo>
                <a:pt x="366478" y="60284"/>
                <a:pt x="366735" y="62896"/>
                <a:pt x="368128" y="65500"/>
              </a:cubicBezTo>
              <a:lnTo>
                <a:pt x="368335" y="65898"/>
              </a:lnTo>
              <a:cubicBezTo>
                <a:pt x="368841" y="66851"/>
                <a:pt x="369401" y="67720"/>
                <a:pt x="370105" y="68541"/>
              </a:cubicBezTo>
              <a:lnTo>
                <a:pt x="370406" y="68927"/>
              </a:lnTo>
              <a:cubicBezTo>
                <a:pt x="372032" y="70931"/>
                <a:pt x="374356" y="72301"/>
                <a:pt x="376741" y="73230"/>
              </a:cubicBezTo>
              <a:cubicBezTo>
                <a:pt x="379476" y="74147"/>
                <a:pt x="382270" y="74282"/>
                <a:pt x="385098" y="73780"/>
              </a:cubicBezTo>
              <a:cubicBezTo>
                <a:pt x="387801" y="73164"/>
                <a:pt x="390326" y="71931"/>
                <a:pt x="392392" y="70068"/>
              </a:cubicBezTo>
              <a:cubicBezTo>
                <a:pt x="394423" y="68160"/>
                <a:pt x="395803" y="65981"/>
                <a:pt x="396691" y="63342"/>
              </a:cubicBezTo>
              <a:cubicBezTo>
                <a:pt x="397249" y="61492"/>
                <a:pt x="397457" y="59745"/>
                <a:pt x="397461" y="57822"/>
              </a:cubicBezTo>
              <a:lnTo>
                <a:pt x="397463" y="57322"/>
              </a:lnTo>
              <a:cubicBezTo>
                <a:pt x="397467" y="56774"/>
                <a:pt x="397469" y="56226"/>
                <a:pt x="397469" y="55677"/>
              </a:cubicBezTo>
              <a:lnTo>
                <a:pt x="397475" y="54492"/>
              </a:lnTo>
              <a:cubicBezTo>
                <a:pt x="397481" y="53424"/>
                <a:pt x="397484" y="52355"/>
                <a:pt x="397488" y="51287"/>
              </a:cubicBezTo>
              <a:cubicBezTo>
                <a:pt x="397494" y="50169"/>
                <a:pt x="397498" y="49052"/>
                <a:pt x="397504" y="47934"/>
              </a:cubicBezTo>
              <a:cubicBezTo>
                <a:pt x="397513" y="45818"/>
                <a:pt x="397523" y="43702"/>
                <a:pt x="397531" y="41588"/>
              </a:cubicBezTo>
              <a:cubicBezTo>
                <a:pt x="397540" y="39179"/>
                <a:pt x="397552" y="36770"/>
                <a:pt x="397562" y="34362"/>
              </a:cubicBezTo>
              <a:cubicBezTo>
                <a:pt x="397585" y="29408"/>
                <a:pt x="397606" y="24454"/>
                <a:pt x="397625" y="19501"/>
              </a:cubicBezTo>
              <a:lnTo>
                <a:pt x="413240" y="19501"/>
              </a:lnTo>
              <a:cubicBezTo>
                <a:pt x="413247" y="24792"/>
                <a:pt x="413255" y="30084"/>
                <a:pt x="413259" y="35378"/>
              </a:cubicBezTo>
              <a:cubicBezTo>
                <a:pt x="413261" y="37835"/>
                <a:pt x="413265" y="40293"/>
                <a:pt x="413269" y="42750"/>
              </a:cubicBezTo>
              <a:cubicBezTo>
                <a:pt x="413272" y="44893"/>
                <a:pt x="413274" y="47036"/>
                <a:pt x="413276" y="49179"/>
              </a:cubicBezTo>
              <a:cubicBezTo>
                <a:pt x="413276" y="50312"/>
                <a:pt x="413278" y="51448"/>
                <a:pt x="413280" y="52581"/>
              </a:cubicBezTo>
              <a:cubicBezTo>
                <a:pt x="413282" y="53650"/>
                <a:pt x="413284" y="54720"/>
                <a:pt x="413282" y="55789"/>
              </a:cubicBezTo>
              <a:cubicBezTo>
                <a:pt x="413282" y="56179"/>
                <a:pt x="413284" y="56569"/>
                <a:pt x="413286" y="56959"/>
              </a:cubicBezTo>
              <a:cubicBezTo>
                <a:pt x="413298" y="59994"/>
                <a:pt x="413147" y="62959"/>
                <a:pt x="412410" y="65915"/>
              </a:cubicBezTo>
              <a:lnTo>
                <a:pt x="412280" y="66438"/>
              </a:lnTo>
              <a:cubicBezTo>
                <a:pt x="411216" y="70606"/>
                <a:pt x="409290" y="74556"/>
                <a:pt x="406602" y="77919"/>
              </a:cubicBezTo>
              <a:lnTo>
                <a:pt x="406328" y="78265"/>
              </a:lnTo>
              <a:cubicBezTo>
                <a:pt x="402815" y="82622"/>
                <a:pt x="398295" y="85875"/>
                <a:pt x="393094" y="87933"/>
              </a:cubicBezTo>
              <a:cubicBezTo>
                <a:pt x="391264" y="88620"/>
                <a:pt x="389392" y="89072"/>
                <a:pt x="387476" y="89447"/>
              </a:cubicBezTo>
              <a:lnTo>
                <a:pt x="386752" y="89593"/>
              </a:lnTo>
              <a:cubicBezTo>
                <a:pt x="381584" y="90451"/>
                <a:pt x="376196" y="89802"/>
                <a:pt x="371277" y="88080"/>
              </a:cubicBezTo>
              <a:cubicBezTo>
                <a:pt x="365922" y="86049"/>
                <a:pt x="361219" y="82667"/>
                <a:pt x="357584" y="78238"/>
              </a:cubicBezTo>
              <a:cubicBezTo>
                <a:pt x="356663" y="77081"/>
                <a:pt x="355846" y="75863"/>
                <a:pt x="355078" y="74599"/>
              </a:cubicBezTo>
              <a:lnTo>
                <a:pt x="354867" y="74253"/>
              </a:lnTo>
              <a:cubicBezTo>
                <a:pt x="352248" y="69863"/>
                <a:pt x="350821" y="64585"/>
                <a:pt x="350740" y="59481"/>
              </a:cubicBezTo>
              <a:cubicBezTo>
                <a:pt x="350734" y="58575"/>
                <a:pt x="350736" y="57670"/>
                <a:pt x="350738" y="56764"/>
              </a:cubicBezTo>
              <a:lnTo>
                <a:pt x="350738" y="55538"/>
              </a:lnTo>
              <a:cubicBezTo>
                <a:pt x="350738" y="54440"/>
                <a:pt x="350742" y="53339"/>
                <a:pt x="350744" y="52241"/>
              </a:cubicBezTo>
              <a:cubicBezTo>
                <a:pt x="350746" y="51087"/>
                <a:pt x="350746" y="49936"/>
                <a:pt x="350748" y="48783"/>
              </a:cubicBezTo>
              <a:cubicBezTo>
                <a:pt x="350748" y="46604"/>
                <a:pt x="350752" y="44426"/>
                <a:pt x="350755" y="42248"/>
              </a:cubicBezTo>
              <a:cubicBezTo>
                <a:pt x="350759" y="39766"/>
                <a:pt x="350761" y="37285"/>
                <a:pt x="350763" y="34802"/>
              </a:cubicBezTo>
              <a:cubicBezTo>
                <a:pt x="350767" y="29702"/>
                <a:pt x="350775" y="24601"/>
                <a:pt x="350782" y="19501"/>
              </a:cubicBezTo>
              <a:moveTo>
                <a:pt x="326033" y="23213"/>
              </a:moveTo>
              <a:cubicBezTo>
                <a:pt x="329371" y="24951"/>
                <a:pt x="332218" y="27095"/>
                <a:pt x="334975" y="29659"/>
              </a:cubicBezTo>
              <a:lnTo>
                <a:pt x="335367" y="30022"/>
              </a:lnTo>
              <a:cubicBezTo>
                <a:pt x="338209" y="32739"/>
                <a:pt x="340518" y="36279"/>
                <a:pt x="342195" y="39820"/>
              </a:cubicBezTo>
              <a:lnTo>
                <a:pt x="342195" y="40210"/>
              </a:lnTo>
              <a:cubicBezTo>
                <a:pt x="339771" y="40256"/>
                <a:pt x="337348" y="40291"/>
                <a:pt x="334921" y="40312"/>
              </a:cubicBezTo>
              <a:cubicBezTo>
                <a:pt x="333795" y="40322"/>
                <a:pt x="332670" y="40335"/>
                <a:pt x="331544" y="40358"/>
              </a:cubicBezTo>
              <a:cubicBezTo>
                <a:pt x="330456" y="40380"/>
                <a:pt x="329367" y="40391"/>
                <a:pt x="328278" y="40395"/>
              </a:cubicBezTo>
              <a:cubicBezTo>
                <a:pt x="327865" y="40399"/>
                <a:pt x="327452" y="40407"/>
                <a:pt x="327039" y="40416"/>
              </a:cubicBezTo>
              <a:cubicBezTo>
                <a:pt x="323884" y="40495"/>
                <a:pt x="323884" y="40495"/>
                <a:pt x="322843" y="40017"/>
              </a:cubicBezTo>
              <a:cubicBezTo>
                <a:pt x="322044" y="39526"/>
                <a:pt x="321397" y="38910"/>
                <a:pt x="320726" y="38256"/>
              </a:cubicBezTo>
              <a:cubicBezTo>
                <a:pt x="320231" y="37932"/>
                <a:pt x="319726" y="37665"/>
                <a:pt x="319189" y="37414"/>
              </a:cubicBezTo>
              <a:lnTo>
                <a:pt x="318797" y="37225"/>
              </a:lnTo>
              <a:cubicBezTo>
                <a:pt x="315339" y="35602"/>
                <a:pt x="311843" y="35051"/>
                <a:pt x="308040" y="35325"/>
              </a:cubicBezTo>
              <a:cubicBezTo>
                <a:pt x="304748" y="35741"/>
                <a:pt x="301549" y="36974"/>
                <a:pt x="298879" y="38947"/>
              </a:cubicBezTo>
              <a:cubicBezTo>
                <a:pt x="295823" y="41273"/>
                <a:pt x="293731" y="44117"/>
                <a:pt x="292231" y="47635"/>
              </a:cubicBezTo>
              <a:cubicBezTo>
                <a:pt x="291916" y="48473"/>
                <a:pt x="291663" y="49307"/>
                <a:pt x="291451" y="50175"/>
              </a:cubicBezTo>
              <a:lnTo>
                <a:pt x="291318" y="50697"/>
              </a:lnTo>
              <a:cubicBezTo>
                <a:pt x="290607" y="54077"/>
                <a:pt x="290922" y="57650"/>
                <a:pt x="291964" y="60917"/>
              </a:cubicBezTo>
              <a:cubicBezTo>
                <a:pt x="293107" y="64315"/>
                <a:pt x="295042" y="66985"/>
                <a:pt x="297627" y="69419"/>
              </a:cubicBezTo>
              <a:cubicBezTo>
                <a:pt x="300279" y="71722"/>
                <a:pt x="303399" y="73076"/>
                <a:pt x="306820" y="73780"/>
              </a:cubicBezTo>
              <a:cubicBezTo>
                <a:pt x="310189" y="74390"/>
                <a:pt x="313592" y="74052"/>
                <a:pt x="316836" y="72979"/>
              </a:cubicBezTo>
              <a:cubicBezTo>
                <a:pt x="319776" y="71879"/>
                <a:pt x="322448" y="70224"/>
                <a:pt x="324513" y="67832"/>
              </a:cubicBezTo>
              <a:lnTo>
                <a:pt x="324826" y="67564"/>
              </a:lnTo>
              <a:cubicBezTo>
                <a:pt x="325417" y="67510"/>
                <a:pt x="325967" y="67490"/>
                <a:pt x="326558" y="67498"/>
              </a:cubicBezTo>
              <a:lnTo>
                <a:pt x="327095" y="67498"/>
              </a:lnTo>
              <a:cubicBezTo>
                <a:pt x="327681" y="67498"/>
                <a:pt x="328266" y="67502"/>
                <a:pt x="328853" y="67508"/>
              </a:cubicBezTo>
              <a:cubicBezTo>
                <a:pt x="329259" y="67508"/>
                <a:pt x="329664" y="67510"/>
                <a:pt x="330071" y="67510"/>
              </a:cubicBezTo>
              <a:cubicBezTo>
                <a:pt x="331141" y="67512"/>
                <a:pt x="332210" y="67517"/>
                <a:pt x="333280" y="67523"/>
              </a:cubicBezTo>
              <a:cubicBezTo>
                <a:pt x="334371" y="67529"/>
                <a:pt x="335462" y="67533"/>
                <a:pt x="336552" y="67537"/>
              </a:cubicBezTo>
              <a:cubicBezTo>
                <a:pt x="338693" y="67543"/>
                <a:pt x="340834" y="67552"/>
                <a:pt x="342977" y="67564"/>
              </a:cubicBezTo>
              <a:cubicBezTo>
                <a:pt x="342823" y="67936"/>
                <a:pt x="342668" y="68311"/>
                <a:pt x="342514" y="68684"/>
              </a:cubicBezTo>
              <a:lnTo>
                <a:pt x="342253" y="69313"/>
              </a:lnTo>
              <a:cubicBezTo>
                <a:pt x="341230" y="71720"/>
                <a:pt x="339881" y="73894"/>
                <a:pt x="338292" y="75966"/>
              </a:cubicBezTo>
              <a:lnTo>
                <a:pt x="337902" y="76489"/>
              </a:lnTo>
              <a:cubicBezTo>
                <a:pt x="334066" y="81423"/>
                <a:pt x="329012" y="85107"/>
                <a:pt x="323264" y="87493"/>
              </a:cubicBezTo>
              <a:cubicBezTo>
                <a:pt x="317805" y="89694"/>
                <a:pt x="311611" y="90387"/>
                <a:pt x="305783" y="89678"/>
              </a:cubicBezTo>
              <a:cubicBezTo>
                <a:pt x="299632" y="88794"/>
                <a:pt x="293791" y="86468"/>
                <a:pt x="288889" y="82620"/>
              </a:cubicBezTo>
              <a:cubicBezTo>
                <a:pt x="287893" y="81802"/>
                <a:pt x="286926" y="80952"/>
                <a:pt x="285985" y="80068"/>
              </a:cubicBezTo>
              <a:lnTo>
                <a:pt x="285690" y="79794"/>
              </a:lnTo>
              <a:cubicBezTo>
                <a:pt x="281323" y="75688"/>
                <a:pt x="278298" y="70413"/>
                <a:pt x="276520" y="64707"/>
              </a:cubicBezTo>
              <a:cubicBezTo>
                <a:pt x="276028" y="63017"/>
                <a:pt x="275713" y="61289"/>
                <a:pt x="275446" y="59554"/>
              </a:cubicBezTo>
              <a:lnTo>
                <a:pt x="275333" y="58845"/>
              </a:lnTo>
              <a:cubicBezTo>
                <a:pt x="274587" y="52527"/>
                <a:pt x="275676" y="46204"/>
                <a:pt x="278140" y="40378"/>
              </a:cubicBezTo>
              <a:cubicBezTo>
                <a:pt x="280564" y="34883"/>
                <a:pt x="284526" y="29959"/>
                <a:pt x="289346" y="26395"/>
              </a:cubicBezTo>
              <a:cubicBezTo>
                <a:pt x="294350" y="22773"/>
                <a:pt x="300134" y="20402"/>
                <a:pt x="306283" y="19696"/>
              </a:cubicBezTo>
              <a:lnTo>
                <a:pt x="306841" y="19630"/>
              </a:lnTo>
              <a:cubicBezTo>
                <a:pt x="313417" y="18972"/>
                <a:pt x="320137" y="20232"/>
                <a:pt x="326033" y="23213"/>
              </a:cubicBezTo>
              <a:moveTo>
                <a:pt x="534052" y="19501"/>
              </a:moveTo>
              <a:lnTo>
                <a:pt x="534052" y="35130"/>
              </a:lnTo>
              <a:cubicBezTo>
                <a:pt x="533492" y="35318"/>
                <a:pt x="532988" y="35380"/>
                <a:pt x="532403" y="35432"/>
              </a:cubicBezTo>
              <a:cubicBezTo>
                <a:pt x="528889" y="35766"/>
                <a:pt x="525716" y="36893"/>
                <a:pt x="522779" y="38880"/>
              </a:cubicBezTo>
              <a:cubicBezTo>
                <a:pt x="522138" y="39347"/>
                <a:pt x="521551" y="39862"/>
                <a:pt x="520974" y="40407"/>
              </a:cubicBezTo>
              <a:cubicBezTo>
                <a:pt x="520820" y="40550"/>
                <a:pt x="520663" y="40690"/>
                <a:pt x="520503" y="40837"/>
              </a:cubicBezTo>
              <a:cubicBezTo>
                <a:pt x="518094" y="43138"/>
                <a:pt x="516536" y="46090"/>
                <a:pt x="515511" y="49231"/>
              </a:cubicBezTo>
              <a:cubicBezTo>
                <a:pt x="514928" y="51449"/>
                <a:pt x="514864" y="53556"/>
                <a:pt x="514862" y="55834"/>
              </a:cubicBezTo>
              <a:lnTo>
                <a:pt x="514856" y="56950"/>
              </a:lnTo>
              <a:cubicBezTo>
                <a:pt x="514850" y="57953"/>
                <a:pt x="514849" y="58957"/>
                <a:pt x="514845" y="59961"/>
              </a:cubicBezTo>
              <a:cubicBezTo>
                <a:pt x="514843" y="61013"/>
                <a:pt x="514837" y="62064"/>
                <a:pt x="514833" y="63116"/>
              </a:cubicBezTo>
              <a:cubicBezTo>
                <a:pt x="514823" y="65102"/>
                <a:pt x="514816" y="67091"/>
                <a:pt x="514810" y="69079"/>
              </a:cubicBezTo>
              <a:cubicBezTo>
                <a:pt x="514802" y="71344"/>
                <a:pt x="514793" y="73608"/>
                <a:pt x="514783" y="75871"/>
              </a:cubicBezTo>
              <a:cubicBezTo>
                <a:pt x="514762" y="80527"/>
                <a:pt x="514746" y="85182"/>
                <a:pt x="514729" y="89839"/>
              </a:cubicBezTo>
              <a:lnTo>
                <a:pt x="499116" y="89839"/>
              </a:lnTo>
              <a:cubicBezTo>
                <a:pt x="499103" y="84833"/>
                <a:pt x="499091" y="79827"/>
                <a:pt x="499086" y="74823"/>
              </a:cubicBezTo>
              <a:cubicBezTo>
                <a:pt x="499082" y="72498"/>
                <a:pt x="499078" y="70174"/>
                <a:pt x="499072" y="67850"/>
              </a:cubicBezTo>
              <a:cubicBezTo>
                <a:pt x="499066" y="65821"/>
                <a:pt x="499062" y="63793"/>
                <a:pt x="499060" y="61766"/>
              </a:cubicBezTo>
              <a:cubicBezTo>
                <a:pt x="499060" y="60695"/>
                <a:pt x="499059" y="59621"/>
                <a:pt x="499053" y="58550"/>
              </a:cubicBezTo>
              <a:cubicBezTo>
                <a:pt x="499049" y="57538"/>
                <a:pt x="499049" y="56525"/>
                <a:pt x="499049" y="55513"/>
              </a:cubicBezTo>
              <a:cubicBezTo>
                <a:pt x="499049" y="55145"/>
                <a:pt x="499049" y="54776"/>
                <a:pt x="499045" y="54407"/>
              </a:cubicBezTo>
              <a:cubicBezTo>
                <a:pt x="499028" y="51253"/>
                <a:pt x="499331" y="48177"/>
                <a:pt x="500250" y="45144"/>
              </a:cubicBezTo>
              <a:cubicBezTo>
                <a:pt x="500300" y="44972"/>
                <a:pt x="500350" y="44803"/>
                <a:pt x="500402" y="44627"/>
              </a:cubicBezTo>
              <a:cubicBezTo>
                <a:pt x="500860" y="43115"/>
                <a:pt x="501396" y="41654"/>
                <a:pt x="502043" y="40210"/>
              </a:cubicBezTo>
              <a:cubicBezTo>
                <a:pt x="502097" y="40088"/>
                <a:pt x="502153" y="39967"/>
                <a:pt x="502209" y="39839"/>
              </a:cubicBezTo>
              <a:cubicBezTo>
                <a:pt x="504590" y="34601"/>
                <a:pt x="508466" y="29808"/>
                <a:pt x="513103" y="26397"/>
              </a:cubicBezTo>
              <a:cubicBezTo>
                <a:pt x="518634" y="22534"/>
                <a:pt x="524708" y="20178"/>
                <a:pt x="531442" y="19561"/>
              </a:cubicBezTo>
              <a:cubicBezTo>
                <a:pt x="532318" y="19493"/>
                <a:pt x="533164" y="19501"/>
                <a:pt x="534052" y="19501"/>
              </a:cubicBezTo>
              <a:moveTo>
                <a:pt x="541859" y="19501"/>
              </a:moveTo>
              <a:lnTo>
                <a:pt x="557473" y="19501"/>
              </a:lnTo>
              <a:lnTo>
                <a:pt x="557473" y="89839"/>
              </a:lnTo>
              <a:lnTo>
                <a:pt x="541859" y="89839"/>
              </a:lnTo>
              <a:close/>
              <a:moveTo>
                <a:pt x="452858" y="157"/>
              </a:moveTo>
              <a:lnTo>
                <a:pt x="468863" y="157"/>
              </a:lnTo>
              <a:cubicBezTo>
                <a:pt x="468560" y="915"/>
                <a:pt x="468251" y="1558"/>
                <a:pt x="467847" y="2261"/>
              </a:cubicBezTo>
              <a:lnTo>
                <a:pt x="467467" y="2927"/>
              </a:lnTo>
              <a:lnTo>
                <a:pt x="467058" y="3637"/>
              </a:lnTo>
              <a:lnTo>
                <a:pt x="466635" y="4375"/>
              </a:lnTo>
              <a:cubicBezTo>
                <a:pt x="465307" y="6688"/>
                <a:pt x="463967" y="8995"/>
                <a:pt x="462617" y="11294"/>
              </a:cubicBezTo>
              <a:lnTo>
                <a:pt x="462256" y="11910"/>
              </a:lnTo>
              <a:cubicBezTo>
                <a:pt x="461901" y="12516"/>
                <a:pt x="461546" y="13120"/>
                <a:pt x="461191" y="13724"/>
              </a:cubicBezTo>
              <a:cubicBezTo>
                <a:pt x="461083" y="13910"/>
                <a:pt x="460973" y="14095"/>
                <a:pt x="460861" y="14286"/>
              </a:cubicBezTo>
              <a:lnTo>
                <a:pt x="460559" y="14798"/>
              </a:lnTo>
              <a:lnTo>
                <a:pt x="460293" y="15250"/>
              </a:lnTo>
              <a:cubicBezTo>
                <a:pt x="460081" y="15591"/>
                <a:pt x="460081" y="15591"/>
                <a:pt x="459886" y="15788"/>
              </a:cubicBezTo>
              <a:cubicBezTo>
                <a:pt x="459395" y="15806"/>
                <a:pt x="458903" y="15813"/>
                <a:pt x="458413" y="15809"/>
              </a:cubicBezTo>
              <a:lnTo>
                <a:pt x="457945" y="15809"/>
              </a:lnTo>
              <a:cubicBezTo>
                <a:pt x="457432" y="15809"/>
                <a:pt x="456920" y="15808"/>
                <a:pt x="456409" y="15808"/>
              </a:cubicBezTo>
              <a:lnTo>
                <a:pt x="455345" y="15806"/>
              </a:lnTo>
              <a:cubicBezTo>
                <a:pt x="454413" y="15806"/>
                <a:pt x="453478" y="15804"/>
                <a:pt x="452544" y="15802"/>
              </a:cubicBezTo>
              <a:cubicBezTo>
                <a:pt x="451592" y="15800"/>
                <a:pt x="450638" y="15798"/>
                <a:pt x="449687" y="15798"/>
              </a:cubicBezTo>
              <a:cubicBezTo>
                <a:pt x="447816" y="15796"/>
                <a:pt x="445947" y="15792"/>
                <a:pt x="444076" y="15788"/>
              </a:cubicBezTo>
              <a:cubicBezTo>
                <a:pt x="444347" y="15097"/>
                <a:pt x="444644" y="14458"/>
                <a:pt x="445007" y="13811"/>
              </a:cubicBezTo>
              <a:lnTo>
                <a:pt x="445333" y="13226"/>
              </a:lnTo>
              <a:lnTo>
                <a:pt x="445686" y="12601"/>
              </a:lnTo>
              <a:lnTo>
                <a:pt x="446055" y="11944"/>
              </a:lnTo>
              <a:cubicBezTo>
                <a:pt x="447324" y="9693"/>
                <a:pt x="448629" y="7466"/>
                <a:pt x="449932" y="5238"/>
              </a:cubicBezTo>
              <a:close/>
              <a:moveTo>
                <a:pt x="552099" y="317"/>
              </a:moveTo>
              <a:cubicBezTo>
                <a:pt x="553560" y="857"/>
                <a:pt x="554670" y="1751"/>
                <a:pt x="555716" y="2892"/>
              </a:cubicBezTo>
              <a:cubicBezTo>
                <a:pt x="556639" y="4008"/>
                <a:pt x="557224" y="5172"/>
                <a:pt x="557473" y="6605"/>
              </a:cubicBezTo>
              <a:cubicBezTo>
                <a:pt x="557628" y="8126"/>
                <a:pt x="557502" y="9485"/>
                <a:pt x="556962" y="10919"/>
              </a:cubicBezTo>
              <a:cubicBezTo>
                <a:pt x="556292" y="12334"/>
                <a:pt x="555427" y="13485"/>
                <a:pt x="554166" y="14419"/>
              </a:cubicBezTo>
              <a:cubicBezTo>
                <a:pt x="552747" y="15325"/>
                <a:pt x="551365" y="15696"/>
                <a:pt x="549689" y="15800"/>
              </a:cubicBezTo>
              <a:cubicBezTo>
                <a:pt x="548237" y="15769"/>
                <a:pt x="546797" y="15348"/>
                <a:pt x="545527" y="14643"/>
              </a:cubicBezTo>
              <a:cubicBezTo>
                <a:pt x="544102" y="13738"/>
                <a:pt x="543233" y="12589"/>
                <a:pt x="542444" y="11099"/>
              </a:cubicBezTo>
              <a:cubicBezTo>
                <a:pt x="541795" y="9645"/>
                <a:pt x="541720" y="8178"/>
                <a:pt x="541859" y="6605"/>
              </a:cubicBezTo>
              <a:cubicBezTo>
                <a:pt x="542104" y="5164"/>
                <a:pt x="542720" y="4035"/>
                <a:pt x="543616" y="2892"/>
              </a:cubicBezTo>
              <a:cubicBezTo>
                <a:pt x="544658" y="1745"/>
                <a:pt x="545759" y="923"/>
                <a:pt x="547197" y="352"/>
              </a:cubicBezTo>
              <a:cubicBezTo>
                <a:pt x="548799" y="-85"/>
                <a:pt x="550487" y="-64"/>
                <a:pt x="552099" y="317"/>
              </a:cubicBezTo>
            </a:path>
          </a:pathLst>
        </a:custGeom>
        <a:solidFill>
          <a:schemeClr val="bg1"/>
        </a:solidFill>
        <a:ln w="489" cap="flat">
          <a:noFill/>
          <a:prstDash val="solid"/>
          <a:miter/>
        </a:ln>
      </xdr:spPr>
      <xdr:txBody>
        <a:bodyPr rtlCol="0" anchor="ctr"/>
        <a:lstStyle/>
        <a:p>
          <a:endParaRPr lang="pt-B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101203</xdr:colOff>
      <xdr:row>0</xdr:row>
      <xdr:rowOff>130970</xdr:rowOff>
    </xdr:from>
    <xdr:to>
      <xdr:col>0</xdr:col>
      <xdr:colOff>736785</xdr:colOff>
      <xdr:row>0</xdr:row>
      <xdr:rowOff>220977</xdr:rowOff>
    </xdr:to>
    <xdr:sp macro="" textlink="">
      <xdr:nvSpPr>
        <xdr:cNvPr id="2" name="Gráfico 2">
          <a:extLst>
            <a:ext uri="{FF2B5EF4-FFF2-40B4-BE49-F238E27FC236}">
              <a16:creationId xmlns:a16="http://schemas.microsoft.com/office/drawing/2014/main" id="{6833FC58-37E0-4AAE-8DCF-9921DBB4534A}"/>
            </a:ext>
          </a:extLst>
        </xdr:cNvPr>
        <xdr:cNvSpPr/>
      </xdr:nvSpPr>
      <xdr:spPr>
        <a:xfrm>
          <a:off x="101203" y="130970"/>
          <a:ext cx="635582" cy="90007"/>
        </a:xfrm>
        <a:custGeom>
          <a:avLst/>
          <a:gdLst>
            <a:gd name="connsiteX0" fmla="*/ 64367 w 635581"/>
            <a:gd name="connsiteY0" fmla="*/ 4440 h 90007"/>
            <a:gd name="connsiteX1" fmla="*/ 80420 w 635581"/>
            <a:gd name="connsiteY1" fmla="*/ 17607 h 90007"/>
            <a:gd name="connsiteX2" fmla="*/ 81146 w 635581"/>
            <a:gd name="connsiteY2" fmla="*/ 18570 h 90007"/>
            <a:gd name="connsiteX3" fmla="*/ 89480 w 635581"/>
            <a:gd name="connsiteY3" fmla="*/ 39856 h 90007"/>
            <a:gd name="connsiteX4" fmla="*/ 85872 w 635581"/>
            <a:gd name="connsiteY4" fmla="*/ 63303 h 90007"/>
            <a:gd name="connsiteX5" fmla="*/ 70491 w 635581"/>
            <a:gd name="connsiteY5" fmla="*/ 81887 h 90007"/>
            <a:gd name="connsiteX6" fmla="*/ 49390 w 635581"/>
            <a:gd name="connsiteY6" fmla="*/ 89748 h 90007"/>
            <a:gd name="connsiteX7" fmla="*/ 25465 w 635581"/>
            <a:gd name="connsiteY7" fmla="*/ 85564 h 90007"/>
            <a:gd name="connsiteX8" fmla="*/ 14889 w 635581"/>
            <a:gd name="connsiteY8" fmla="*/ 78506 h 90007"/>
            <a:gd name="connsiteX9" fmla="*/ 14559 w 635581"/>
            <a:gd name="connsiteY9" fmla="*/ 78215 h 90007"/>
            <a:gd name="connsiteX10" fmla="*/ 6302 w 635581"/>
            <a:gd name="connsiteY10" fmla="*/ 68151 h 90007"/>
            <a:gd name="connsiteX11" fmla="*/ 6069 w 635581"/>
            <a:gd name="connsiteY11" fmla="*/ 67767 h 90007"/>
            <a:gd name="connsiteX12" fmla="*/ 14 w 635581"/>
            <a:gd name="connsiteY12" fmla="*/ 47718 h 90007"/>
            <a:gd name="connsiteX13" fmla="*/ 9 w 635581"/>
            <a:gd name="connsiteY13" fmla="*/ 47264 h 90007"/>
            <a:gd name="connsiteX14" fmla="*/ 3 w 635581"/>
            <a:gd name="connsiteY14" fmla="*/ 46776 h 90007"/>
            <a:gd name="connsiteX15" fmla="*/ 5661 w 635581"/>
            <a:gd name="connsiteY15" fmla="*/ 22841 h 90007"/>
            <a:gd name="connsiteX16" fmla="*/ 11383 w 635581"/>
            <a:gd name="connsiteY16" fmla="*/ 15028 h 90007"/>
            <a:gd name="connsiteX17" fmla="*/ 12387 w 635581"/>
            <a:gd name="connsiteY17" fmla="*/ 13871 h 90007"/>
            <a:gd name="connsiteX18" fmla="*/ 22697 w 635581"/>
            <a:gd name="connsiteY18" fmla="*/ 5823 h 90007"/>
            <a:gd name="connsiteX19" fmla="*/ 23137 w 635581"/>
            <a:gd name="connsiteY19" fmla="*/ 5570 h 90007"/>
            <a:gd name="connsiteX20" fmla="*/ 64367 w 635581"/>
            <a:gd name="connsiteY20" fmla="*/ 4440 h 90007"/>
            <a:gd name="connsiteX21" fmla="*/ 38114 w 635581"/>
            <a:gd name="connsiteY21" fmla="*/ 16373 h 90007"/>
            <a:gd name="connsiteX22" fmla="*/ 37658 w 635581"/>
            <a:gd name="connsiteY22" fmla="*/ 16485 h 90007"/>
            <a:gd name="connsiteX23" fmla="*/ 23866 w 635581"/>
            <a:gd name="connsiteY23" fmla="*/ 24385 h 90007"/>
            <a:gd name="connsiteX24" fmla="*/ 16526 w 635581"/>
            <a:gd name="connsiteY24" fmla="*/ 36909 h 90007"/>
            <a:gd name="connsiteX25" fmla="*/ 16411 w 635581"/>
            <a:gd name="connsiteY25" fmla="*/ 52671 h 90007"/>
            <a:gd name="connsiteX26" fmla="*/ 22697 w 635581"/>
            <a:gd name="connsiteY26" fmla="*/ 64243 h 90007"/>
            <a:gd name="connsiteX27" fmla="*/ 23123 w 635581"/>
            <a:gd name="connsiteY27" fmla="*/ 64749 h 90007"/>
            <a:gd name="connsiteX28" fmla="*/ 26600 w 635581"/>
            <a:gd name="connsiteY28" fmla="*/ 67956 h 90007"/>
            <a:gd name="connsiteX29" fmla="*/ 27098 w 635581"/>
            <a:gd name="connsiteY29" fmla="*/ 68373 h 90007"/>
            <a:gd name="connsiteX30" fmla="*/ 40653 w 635581"/>
            <a:gd name="connsiteY30" fmla="*/ 74012 h 90007"/>
            <a:gd name="connsiteX31" fmla="*/ 55923 w 635581"/>
            <a:gd name="connsiteY31" fmla="*/ 72145 h 90007"/>
            <a:gd name="connsiteX32" fmla="*/ 63877 w 635581"/>
            <a:gd name="connsiteY32" fmla="*/ 67174 h 90007"/>
            <a:gd name="connsiteX33" fmla="*/ 64452 w 635581"/>
            <a:gd name="connsiteY33" fmla="*/ 66676 h 90007"/>
            <a:gd name="connsiteX34" fmla="*/ 72445 w 635581"/>
            <a:gd name="connsiteY34" fmla="*/ 54701 h 90007"/>
            <a:gd name="connsiteX35" fmla="*/ 73644 w 635581"/>
            <a:gd name="connsiteY35" fmla="*/ 39594 h 90007"/>
            <a:gd name="connsiteX36" fmla="*/ 66931 w 635581"/>
            <a:gd name="connsiteY36" fmla="*/ 25800 h 90007"/>
            <a:gd name="connsiteX37" fmla="*/ 65634 w 635581"/>
            <a:gd name="connsiteY37" fmla="*/ 24385 h 90007"/>
            <a:gd name="connsiteX38" fmla="*/ 65267 w 635581"/>
            <a:gd name="connsiteY38" fmla="*/ 23985 h 90007"/>
            <a:gd name="connsiteX39" fmla="*/ 53350 w 635581"/>
            <a:gd name="connsiteY39" fmla="*/ 16898 h 90007"/>
            <a:gd name="connsiteX40" fmla="*/ 51386 w 635581"/>
            <a:gd name="connsiteY40" fmla="*/ 16373 h 90007"/>
            <a:gd name="connsiteX41" fmla="*/ 50971 w 635581"/>
            <a:gd name="connsiteY41" fmla="*/ 16267 h 90007"/>
            <a:gd name="connsiteX42" fmla="*/ 38114 w 635581"/>
            <a:gd name="connsiteY42" fmla="*/ 16373 h 90007"/>
            <a:gd name="connsiteX43" fmla="*/ 136873 w 635581"/>
            <a:gd name="connsiteY43" fmla="*/ 157 h 90007"/>
            <a:gd name="connsiteX44" fmla="*/ 186390 w 635581"/>
            <a:gd name="connsiteY44" fmla="*/ 3994 h 90007"/>
            <a:gd name="connsiteX45" fmla="*/ 191521 w 635581"/>
            <a:gd name="connsiteY45" fmla="*/ 8168 h 90007"/>
            <a:gd name="connsiteX46" fmla="*/ 191896 w 635581"/>
            <a:gd name="connsiteY46" fmla="*/ 8504 h 90007"/>
            <a:gd name="connsiteX47" fmla="*/ 197962 w 635581"/>
            <a:gd name="connsiteY47" fmla="*/ 18524 h 90007"/>
            <a:gd name="connsiteX48" fmla="*/ 198186 w 635581"/>
            <a:gd name="connsiteY48" fmla="*/ 19147 h 90007"/>
            <a:gd name="connsiteX49" fmla="*/ 198998 w 635581"/>
            <a:gd name="connsiteY49" fmla="*/ 32677 h 90007"/>
            <a:gd name="connsiteX50" fmla="*/ 198547 w 635581"/>
            <a:gd name="connsiteY50" fmla="*/ 34544 h 90007"/>
            <a:gd name="connsiteX51" fmla="*/ 198441 w 635581"/>
            <a:gd name="connsiteY51" fmla="*/ 34947 h 90007"/>
            <a:gd name="connsiteX52" fmla="*/ 190919 w 635581"/>
            <a:gd name="connsiteY52" fmla="*/ 47332 h 90007"/>
            <a:gd name="connsiteX53" fmla="*/ 178208 w 635581"/>
            <a:gd name="connsiteY53" fmla="*/ 54193 h 90007"/>
            <a:gd name="connsiteX54" fmla="*/ 170112 w 635581"/>
            <a:gd name="connsiteY54" fmla="*/ 54884 h 90007"/>
            <a:gd name="connsiteX55" fmla="*/ 169175 w 635581"/>
            <a:gd name="connsiteY55" fmla="*/ 54884 h 90007"/>
            <a:gd name="connsiteX56" fmla="*/ 165733 w 635581"/>
            <a:gd name="connsiteY56" fmla="*/ 54876 h 90007"/>
            <a:gd name="connsiteX57" fmla="*/ 157951 w 635581"/>
            <a:gd name="connsiteY57" fmla="*/ 54865 h 90007"/>
            <a:gd name="connsiteX58" fmla="*/ 157951 w 635581"/>
            <a:gd name="connsiteY58" fmla="*/ 39233 h 90007"/>
            <a:gd name="connsiteX59" fmla="*/ 168146 w 635581"/>
            <a:gd name="connsiteY59" fmla="*/ 39158 h 90007"/>
            <a:gd name="connsiteX60" fmla="*/ 169606 w 635581"/>
            <a:gd name="connsiteY60" fmla="*/ 39142 h 90007"/>
            <a:gd name="connsiteX61" fmla="*/ 170571 w 635581"/>
            <a:gd name="connsiteY61" fmla="*/ 39136 h 90007"/>
            <a:gd name="connsiteX62" fmla="*/ 177652 w 635581"/>
            <a:gd name="connsiteY62" fmla="*/ 37694 h 90007"/>
            <a:gd name="connsiteX63" fmla="*/ 178017 w 635581"/>
            <a:gd name="connsiteY63" fmla="*/ 37501 h 90007"/>
            <a:gd name="connsiteX64" fmla="*/ 180006 w 635581"/>
            <a:gd name="connsiteY64" fmla="*/ 35912 h 90007"/>
            <a:gd name="connsiteX65" fmla="*/ 180396 w 635581"/>
            <a:gd name="connsiteY65" fmla="*/ 35912 h 90007"/>
            <a:gd name="connsiteX66" fmla="*/ 180558 w 635581"/>
            <a:gd name="connsiteY66" fmla="*/ 35563 h 90007"/>
            <a:gd name="connsiteX67" fmla="*/ 181324 w 635581"/>
            <a:gd name="connsiteY67" fmla="*/ 34459 h 90007"/>
            <a:gd name="connsiteX68" fmla="*/ 183471 w 635581"/>
            <a:gd name="connsiteY68" fmla="*/ 29796 h 90007"/>
            <a:gd name="connsiteX69" fmla="*/ 182421 w 635581"/>
            <a:gd name="connsiteY69" fmla="*/ 22223 h 90007"/>
            <a:gd name="connsiteX70" fmla="*/ 178137 w 635581"/>
            <a:gd name="connsiteY70" fmla="*/ 17535 h 90007"/>
            <a:gd name="connsiteX71" fmla="*/ 152486 w 635581"/>
            <a:gd name="connsiteY71" fmla="*/ 15788 h 90007"/>
            <a:gd name="connsiteX72" fmla="*/ 152486 w 635581"/>
            <a:gd name="connsiteY72" fmla="*/ 89839 h 90007"/>
            <a:gd name="connsiteX73" fmla="*/ 136873 w 635581"/>
            <a:gd name="connsiteY73" fmla="*/ 89839 h 90007"/>
            <a:gd name="connsiteX74" fmla="*/ 234034 w 635581"/>
            <a:gd name="connsiteY74" fmla="*/ 19476 h 90007"/>
            <a:gd name="connsiteX75" fmla="*/ 251735 w 635581"/>
            <a:gd name="connsiteY75" fmla="*/ 23744 h 90007"/>
            <a:gd name="connsiteX76" fmla="*/ 259247 w 635581"/>
            <a:gd name="connsiteY76" fmla="*/ 29269 h 90007"/>
            <a:gd name="connsiteX77" fmla="*/ 259788 w 635581"/>
            <a:gd name="connsiteY77" fmla="*/ 29767 h 90007"/>
            <a:gd name="connsiteX78" fmla="*/ 268715 w 635581"/>
            <a:gd name="connsiteY78" fmla="*/ 44874 h 90007"/>
            <a:gd name="connsiteX79" fmla="*/ 269396 w 635581"/>
            <a:gd name="connsiteY79" fmla="*/ 47635 h 90007"/>
            <a:gd name="connsiteX80" fmla="*/ 269493 w 635581"/>
            <a:gd name="connsiteY80" fmla="*/ 48077 h 90007"/>
            <a:gd name="connsiteX81" fmla="*/ 270029 w 635581"/>
            <a:gd name="connsiteY81" fmla="*/ 54816 h 90007"/>
            <a:gd name="connsiteX82" fmla="*/ 270029 w 635581"/>
            <a:gd name="connsiteY82" fmla="*/ 55229 h 90007"/>
            <a:gd name="connsiteX83" fmla="*/ 269786 w 635581"/>
            <a:gd name="connsiteY83" fmla="*/ 59359 h 90007"/>
            <a:gd name="connsiteX84" fmla="*/ 221773 w 635581"/>
            <a:gd name="connsiteY84" fmla="*/ 59359 h 90007"/>
            <a:gd name="connsiteX85" fmla="*/ 221773 w 635581"/>
            <a:gd name="connsiteY85" fmla="*/ 47830 h 90007"/>
            <a:gd name="connsiteX86" fmla="*/ 253002 w 635581"/>
            <a:gd name="connsiteY86" fmla="*/ 47635 h 90007"/>
            <a:gd name="connsiteX87" fmla="*/ 246401 w 635581"/>
            <a:gd name="connsiteY87" fmla="*/ 38891 h 90007"/>
            <a:gd name="connsiteX88" fmla="*/ 236646 w 635581"/>
            <a:gd name="connsiteY88" fmla="*/ 35287 h 90007"/>
            <a:gd name="connsiteX89" fmla="*/ 234996 w 635581"/>
            <a:gd name="connsiteY89" fmla="*/ 35266 h 90007"/>
            <a:gd name="connsiteX90" fmla="*/ 234403 w 635581"/>
            <a:gd name="connsiteY90" fmla="*/ 35268 h 90007"/>
            <a:gd name="connsiteX91" fmla="*/ 224441 w 635581"/>
            <a:gd name="connsiteY91" fmla="*/ 38250 h 90007"/>
            <a:gd name="connsiteX92" fmla="*/ 217845 w 635581"/>
            <a:gd name="connsiteY92" fmla="*/ 45523 h 90007"/>
            <a:gd name="connsiteX93" fmla="*/ 215686 w 635581"/>
            <a:gd name="connsiteY93" fmla="*/ 56592 h 90007"/>
            <a:gd name="connsiteX94" fmla="*/ 218733 w 635581"/>
            <a:gd name="connsiteY94" fmla="*/ 65359 h 90007"/>
            <a:gd name="connsiteX95" fmla="*/ 226775 w 635581"/>
            <a:gd name="connsiteY95" fmla="*/ 72326 h 90007"/>
            <a:gd name="connsiteX96" fmla="*/ 236803 w 635581"/>
            <a:gd name="connsiteY96" fmla="*/ 74012 h 90007"/>
            <a:gd name="connsiteX97" fmla="*/ 246170 w 635581"/>
            <a:gd name="connsiteY97" fmla="*/ 70494 h 90007"/>
            <a:gd name="connsiteX98" fmla="*/ 246672 w 635581"/>
            <a:gd name="connsiteY98" fmla="*/ 69989 h 90007"/>
            <a:gd name="connsiteX99" fmla="*/ 247757 w 635581"/>
            <a:gd name="connsiteY99" fmla="*/ 69431 h 90007"/>
            <a:gd name="connsiteX100" fmla="*/ 249247 w 635581"/>
            <a:gd name="connsiteY100" fmla="*/ 69407 h 90007"/>
            <a:gd name="connsiteX101" fmla="*/ 249820 w 635581"/>
            <a:gd name="connsiteY101" fmla="*/ 69407 h 90007"/>
            <a:gd name="connsiteX102" fmla="*/ 251681 w 635581"/>
            <a:gd name="connsiteY102" fmla="*/ 69423 h 90007"/>
            <a:gd name="connsiteX103" fmla="*/ 252977 w 635581"/>
            <a:gd name="connsiteY103" fmla="*/ 69427 h 90007"/>
            <a:gd name="connsiteX104" fmla="*/ 256378 w 635581"/>
            <a:gd name="connsiteY104" fmla="*/ 69452 h 90007"/>
            <a:gd name="connsiteX105" fmla="*/ 259851 w 635581"/>
            <a:gd name="connsiteY105" fmla="*/ 69471 h 90007"/>
            <a:gd name="connsiteX106" fmla="*/ 266662 w 635581"/>
            <a:gd name="connsiteY106" fmla="*/ 69518 h 90007"/>
            <a:gd name="connsiteX107" fmla="*/ 260417 w 635581"/>
            <a:gd name="connsiteY107" fmla="*/ 78896 h 90007"/>
            <a:gd name="connsiteX108" fmla="*/ 260127 w 635581"/>
            <a:gd name="connsiteY108" fmla="*/ 79207 h 90007"/>
            <a:gd name="connsiteX109" fmla="*/ 245395 w 635581"/>
            <a:gd name="connsiteY109" fmla="*/ 88396 h 90007"/>
            <a:gd name="connsiteX110" fmla="*/ 226325 w 635581"/>
            <a:gd name="connsiteY110" fmla="*/ 88871 h 90007"/>
            <a:gd name="connsiteX111" fmla="*/ 219821 w 635581"/>
            <a:gd name="connsiteY111" fmla="*/ 86516 h 90007"/>
            <a:gd name="connsiteX112" fmla="*/ 219393 w 635581"/>
            <a:gd name="connsiteY112" fmla="*/ 86313 h 90007"/>
            <a:gd name="connsiteX113" fmla="*/ 211495 w 635581"/>
            <a:gd name="connsiteY113" fmla="*/ 80892 h 90007"/>
            <a:gd name="connsiteX114" fmla="*/ 210271 w 635581"/>
            <a:gd name="connsiteY114" fmla="*/ 79825 h 90007"/>
            <a:gd name="connsiteX115" fmla="*/ 201641 w 635581"/>
            <a:gd name="connsiteY115" fmla="*/ 66106 h 90007"/>
            <a:gd name="connsiteX116" fmla="*/ 200396 w 635581"/>
            <a:gd name="connsiteY116" fmla="*/ 47727 h 90007"/>
            <a:gd name="connsiteX117" fmla="*/ 208792 w 635581"/>
            <a:gd name="connsiteY117" fmla="*/ 31155 h 90007"/>
            <a:gd name="connsiteX118" fmla="*/ 224287 w 635581"/>
            <a:gd name="connsiteY118" fmla="*/ 21088 h 90007"/>
            <a:gd name="connsiteX119" fmla="*/ 234034 w 635581"/>
            <a:gd name="connsiteY119" fmla="*/ 19476 h 90007"/>
            <a:gd name="connsiteX120" fmla="*/ 472571 w 635581"/>
            <a:gd name="connsiteY120" fmla="*/ 23481 h 90007"/>
            <a:gd name="connsiteX121" fmla="*/ 477257 w 635581"/>
            <a:gd name="connsiteY121" fmla="*/ 26534 h 90007"/>
            <a:gd name="connsiteX122" fmla="*/ 477824 w 635581"/>
            <a:gd name="connsiteY122" fmla="*/ 26978 h 90007"/>
            <a:gd name="connsiteX123" fmla="*/ 488649 w 635581"/>
            <a:gd name="connsiteY123" fmla="*/ 41187 h 90007"/>
            <a:gd name="connsiteX124" fmla="*/ 490881 w 635581"/>
            <a:gd name="connsiteY124" fmla="*/ 49077 h 90007"/>
            <a:gd name="connsiteX125" fmla="*/ 490948 w 635581"/>
            <a:gd name="connsiteY125" fmla="*/ 49463 h 90007"/>
            <a:gd name="connsiteX126" fmla="*/ 491331 w 635581"/>
            <a:gd name="connsiteY126" fmla="*/ 57343 h 90007"/>
            <a:gd name="connsiteX127" fmla="*/ 491331 w 635581"/>
            <a:gd name="connsiteY127" fmla="*/ 58413 h 90007"/>
            <a:gd name="connsiteX128" fmla="*/ 491329 w 635581"/>
            <a:gd name="connsiteY128" fmla="*/ 61288 h 90007"/>
            <a:gd name="connsiteX129" fmla="*/ 491327 w 635581"/>
            <a:gd name="connsiteY129" fmla="*/ 64303 h 90007"/>
            <a:gd name="connsiteX130" fmla="*/ 491323 w 635581"/>
            <a:gd name="connsiteY130" fmla="*/ 70002 h 90007"/>
            <a:gd name="connsiteX131" fmla="*/ 491317 w 635581"/>
            <a:gd name="connsiteY131" fmla="*/ 77711 h 90007"/>
            <a:gd name="connsiteX132" fmla="*/ 491309 w 635581"/>
            <a:gd name="connsiteY132" fmla="*/ 89839 h 90007"/>
            <a:gd name="connsiteX133" fmla="*/ 475695 w 635581"/>
            <a:gd name="connsiteY133" fmla="*/ 89839 h 90007"/>
            <a:gd name="connsiteX134" fmla="*/ 475689 w 635581"/>
            <a:gd name="connsiteY134" fmla="*/ 86493 h 90007"/>
            <a:gd name="connsiteX135" fmla="*/ 475658 w 635581"/>
            <a:gd name="connsiteY135" fmla="*/ 75520 h 90007"/>
            <a:gd name="connsiteX136" fmla="*/ 475641 w 635581"/>
            <a:gd name="connsiteY136" fmla="*/ 68871 h 90007"/>
            <a:gd name="connsiteX137" fmla="*/ 475625 w 635581"/>
            <a:gd name="connsiteY137" fmla="*/ 63069 h 90007"/>
            <a:gd name="connsiteX138" fmla="*/ 475618 w 635581"/>
            <a:gd name="connsiteY138" fmla="*/ 60004 h 90007"/>
            <a:gd name="connsiteX139" fmla="*/ 475608 w 635581"/>
            <a:gd name="connsiteY139" fmla="*/ 57108 h 90007"/>
            <a:gd name="connsiteX140" fmla="*/ 475608 w 635581"/>
            <a:gd name="connsiteY140" fmla="*/ 56054 h 90007"/>
            <a:gd name="connsiteX141" fmla="*/ 473353 w 635581"/>
            <a:gd name="connsiteY141" fmla="*/ 45681 h 90007"/>
            <a:gd name="connsiteX142" fmla="*/ 473037 w 635581"/>
            <a:gd name="connsiteY142" fmla="*/ 45055 h 90007"/>
            <a:gd name="connsiteX143" fmla="*/ 466569 w 635581"/>
            <a:gd name="connsiteY143" fmla="*/ 38165 h 90007"/>
            <a:gd name="connsiteX144" fmla="*/ 457330 w 635581"/>
            <a:gd name="connsiteY144" fmla="*/ 35285 h 90007"/>
            <a:gd name="connsiteX145" fmla="*/ 451104 w 635581"/>
            <a:gd name="connsiteY145" fmla="*/ 35912 h 90007"/>
            <a:gd name="connsiteX146" fmla="*/ 450499 w 635581"/>
            <a:gd name="connsiteY146" fmla="*/ 36076 h 90007"/>
            <a:gd name="connsiteX147" fmla="*/ 441735 w 635581"/>
            <a:gd name="connsiteY147" fmla="*/ 41579 h 90007"/>
            <a:gd name="connsiteX148" fmla="*/ 437246 w 635581"/>
            <a:gd name="connsiteY148" fmla="*/ 50370 h 90007"/>
            <a:gd name="connsiteX149" fmla="*/ 437101 w 635581"/>
            <a:gd name="connsiteY149" fmla="*/ 50944 h 90007"/>
            <a:gd name="connsiteX150" fmla="*/ 437783 w 635581"/>
            <a:gd name="connsiteY150" fmla="*/ 60934 h 90007"/>
            <a:gd name="connsiteX151" fmla="*/ 441345 w 635581"/>
            <a:gd name="connsiteY151" fmla="*/ 67174 h 90007"/>
            <a:gd name="connsiteX152" fmla="*/ 441713 w 635581"/>
            <a:gd name="connsiteY152" fmla="*/ 67641 h 90007"/>
            <a:gd name="connsiteX153" fmla="*/ 449173 w 635581"/>
            <a:gd name="connsiteY153" fmla="*/ 72809 h 90007"/>
            <a:gd name="connsiteX154" fmla="*/ 459621 w 635581"/>
            <a:gd name="connsiteY154" fmla="*/ 73801 h 90007"/>
            <a:gd name="connsiteX155" fmla="*/ 465156 w 635581"/>
            <a:gd name="connsiteY155" fmla="*/ 71863 h 90007"/>
            <a:gd name="connsiteX156" fmla="*/ 465780 w 635581"/>
            <a:gd name="connsiteY156" fmla="*/ 71552 h 90007"/>
            <a:gd name="connsiteX157" fmla="*/ 469542 w 635581"/>
            <a:gd name="connsiteY157" fmla="*/ 68616 h 90007"/>
            <a:gd name="connsiteX158" fmla="*/ 470035 w 635581"/>
            <a:gd name="connsiteY158" fmla="*/ 68151 h 90007"/>
            <a:gd name="connsiteX159" fmla="*/ 470230 w 635581"/>
            <a:gd name="connsiteY159" fmla="*/ 68151 h 90007"/>
            <a:gd name="connsiteX160" fmla="*/ 470230 w 635581"/>
            <a:gd name="connsiteY160" fmla="*/ 86908 h 90007"/>
            <a:gd name="connsiteX161" fmla="*/ 460666 w 635581"/>
            <a:gd name="connsiteY161" fmla="*/ 89644 h 90007"/>
            <a:gd name="connsiteX162" fmla="*/ 460268 w 635581"/>
            <a:gd name="connsiteY162" fmla="*/ 89700 h 90007"/>
            <a:gd name="connsiteX163" fmla="*/ 443320 w 635581"/>
            <a:gd name="connsiteY163" fmla="*/ 87518 h 90007"/>
            <a:gd name="connsiteX164" fmla="*/ 433148 w 635581"/>
            <a:gd name="connsiteY164" fmla="*/ 81242 h 90007"/>
            <a:gd name="connsiteX165" fmla="*/ 432306 w 635581"/>
            <a:gd name="connsiteY165" fmla="*/ 80522 h 90007"/>
            <a:gd name="connsiteX166" fmla="*/ 422755 w 635581"/>
            <a:gd name="connsiteY166" fmla="*/ 65741 h 90007"/>
            <a:gd name="connsiteX167" fmla="*/ 421047 w 635581"/>
            <a:gd name="connsiteY167" fmla="*/ 55841 h 90007"/>
            <a:gd name="connsiteX168" fmla="*/ 421010 w 635581"/>
            <a:gd name="connsiteY168" fmla="*/ 55202 h 90007"/>
            <a:gd name="connsiteX169" fmla="*/ 421047 w 635581"/>
            <a:gd name="connsiteY169" fmla="*/ 53496 h 90007"/>
            <a:gd name="connsiteX170" fmla="*/ 421070 w 635581"/>
            <a:gd name="connsiteY170" fmla="*/ 53052 h 90007"/>
            <a:gd name="connsiteX171" fmla="*/ 425340 w 635581"/>
            <a:gd name="connsiteY171" fmla="*/ 37866 h 90007"/>
            <a:gd name="connsiteX172" fmla="*/ 425530 w 635581"/>
            <a:gd name="connsiteY172" fmla="*/ 37507 h 90007"/>
            <a:gd name="connsiteX173" fmla="*/ 430215 w 635581"/>
            <a:gd name="connsiteY173" fmla="*/ 31069 h 90007"/>
            <a:gd name="connsiteX174" fmla="*/ 431207 w 635581"/>
            <a:gd name="connsiteY174" fmla="*/ 29916 h 90007"/>
            <a:gd name="connsiteX175" fmla="*/ 443989 w 635581"/>
            <a:gd name="connsiteY175" fmla="*/ 21622 h 90007"/>
            <a:gd name="connsiteX176" fmla="*/ 472571 w 635581"/>
            <a:gd name="connsiteY176" fmla="*/ 23481 h 90007"/>
            <a:gd name="connsiteX177" fmla="*/ 599559 w 635581"/>
            <a:gd name="connsiteY177" fmla="*/ 19476 h 90007"/>
            <a:gd name="connsiteX178" fmla="*/ 617438 w 635581"/>
            <a:gd name="connsiteY178" fmla="*/ 23844 h 90007"/>
            <a:gd name="connsiteX179" fmla="*/ 624417 w 635581"/>
            <a:gd name="connsiteY179" fmla="*/ 29074 h 90007"/>
            <a:gd name="connsiteX180" fmla="*/ 624749 w 635581"/>
            <a:gd name="connsiteY180" fmla="*/ 29387 h 90007"/>
            <a:gd name="connsiteX181" fmla="*/ 634083 w 635581"/>
            <a:gd name="connsiteY181" fmla="*/ 44488 h 90007"/>
            <a:gd name="connsiteX182" fmla="*/ 635543 w 635581"/>
            <a:gd name="connsiteY182" fmla="*/ 52911 h 90007"/>
            <a:gd name="connsiteX183" fmla="*/ 635558 w 635581"/>
            <a:gd name="connsiteY183" fmla="*/ 53295 h 90007"/>
            <a:gd name="connsiteX184" fmla="*/ 631493 w 635581"/>
            <a:gd name="connsiteY184" fmla="*/ 71228 h 90007"/>
            <a:gd name="connsiteX185" fmla="*/ 619226 w 635581"/>
            <a:gd name="connsiteY185" fmla="*/ 84470 h 90007"/>
            <a:gd name="connsiteX186" fmla="*/ 606266 w 635581"/>
            <a:gd name="connsiteY186" fmla="*/ 89447 h 90007"/>
            <a:gd name="connsiteX187" fmla="*/ 605863 w 635581"/>
            <a:gd name="connsiteY187" fmla="*/ 89526 h 90007"/>
            <a:gd name="connsiteX188" fmla="*/ 588451 w 635581"/>
            <a:gd name="connsiteY188" fmla="*/ 87887 h 90007"/>
            <a:gd name="connsiteX189" fmla="*/ 575624 w 635581"/>
            <a:gd name="connsiteY189" fmla="*/ 79678 h 90007"/>
            <a:gd name="connsiteX190" fmla="*/ 575178 w 635581"/>
            <a:gd name="connsiteY190" fmla="*/ 79271 h 90007"/>
            <a:gd name="connsiteX191" fmla="*/ 569574 w 635581"/>
            <a:gd name="connsiteY191" fmla="*/ 71668 h 90007"/>
            <a:gd name="connsiteX192" fmla="*/ 569369 w 635581"/>
            <a:gd name="connsiteY192" fmla="*/ 71296 h 90007"/>
            <a:gd name="connsiteX193" fmla="*/ 565670 w 635581"/>
            <a:gd name="connsiteY193" fmla="*/ 60531 h 90007"/>
            <a:gd name="connsiteX194" fmla="*/ 565591 w 635581"/>
            <a:gd name="connsiteY194" fmla="*/ 60122 h 90007"/>
            <a:gd name="connsiteX195" fmla="*/ 567213 w 635581"/>
            <a:gd name="connsiteY195" fmla="*/ 42831 h 90007"/>
            <a:gd name="connsiteX196" fmla="*/ 568597 w 635581"/>
            <a:gd name="connsiteY196" fmla="*/ 39625 h 90007"/>
            <a:gd name="connsiteX197" fmla="*/ 568802 w 635581"/>
            <a:gd name="connsiteY197" fmla="*/ 39196 h 90007"/>
            <a:gd name="connsiteX198" fmla="*/ 580510 w 635581"/>
            <a:gd name="connsiteY198" fmla="*/ 25617 h 90007"/>
            <a:gd name="connsiteX199" fmla="*/ 597654 w 635581"/>
            <a:gd name="connsiteY199" fmla="*/ 19549 h 90007"/>
            <a:gd name="connsiteX200" fmla="*/ 599559 w 635581"/>
            <a:gd name="connsiteY200" fmla="*/ 19476 h 90007"/>
            <a:gd name="connsiteX201" fmla="*/ 589615 w 635581"/>
            <a:gd name="connsiteY201" fmla="*/ 38225 h 90007"/>
            <a:gd name="connsiteX202" fmla="*/ 582601 w 635581"/>
            <a:gd name="connsiteY202" fmla="*/ 46561 h 90007"/>
            <a:gd name="connsiteX203" fmla="*/ 580933 w 635581"/>
            <a:gd name="connsiteY203" fmla="*/ 56859 h 90007"/>
            <a:gd name="connsiteX204" fmla="*/ 584758 w 635581"/>
            <a:gd name="connsiteY204" fmla="*/ 66456 h 90007"/>
            <a:gd name="connsiteX205" fmla="*/ 591042 w 635581"/>
            <a:gd name="connsiteY205" fmla="*/ 71863 h 90007"/>
            <a:gd name="connsiteX206" fmla="*/ 591526 w 635581"/>
            <a:gd name="connsiteY206" fmla="*/ 72141 h 90007"/>
            <a:gd name="connsiteX207" fmla="*/ 601216 w 635581"/>
            <a:gd name="connsiteY207" fmla="*/ 74255 h 90007"/>
            <a:gd name="connsiteX208" fmla="*/ 611144 w 635581"/>
            <a:gd name="connsiteY208" fmla="*/ 71081 h 90007"/>
            <a:gd name="connsiteX209" fmla="*/ 613096 w 635581"/>
            <a:gd name="connsiteY209" fmla="*/ 69518 h 90007"/>
            <a:gd name="connsiteX210" fmla="*/ 613446 w 635581"/>
            <a:gd name="connsiteY210" fmla="*/ 69255 h 90007"/>
            <a:gd name="connsiteX211" fmla="*/ 618463 w 635581"/>
            <a:gd name="connsiteY211" fmla="*/ 62235 h 90007"/>
            <a:gd name="connsiteX212" fmla="*/ 619929 w 635581"/>
            <a:gd name="connsiteY212" fmla="*/ 55646 h 90007"/>
            <a:gd name="connsiteX213" fmla="*/ 619952 w 635581"/>
            <a:gd name="connsiteY213" fmla="*/ 55202 h 90007"/>
            <a:gd name="connsiteX214" fmla="*/ 617411 w 635581"/>
            <a:gd name="connsiteY214" fmla="*/ 45034 h 90007"/>
            <a:gd name="connsiteX215" fmla="*/ 615440 w 635581"/>
            <a:gd name="connsiteY215" fmla="*/ 42165 h 90007"/>
            <a:gd name="connsiteX216" fmla="*/ 615040 w 635581"/>
            <a:gd name="connsiteY216" fmla="*/ 41667 h 90007"/>
            <a:gd name="connsiteX217" fmla="*/ 606890 w 635581"/>
            <a:gd name="connsiteY217" fmla="*/ 36107 h 90007"/>
            <a:gd name="connsiteX218" fmla="*/ 589615 w 635581"/>
            <a:gd name="connsiteY218" fmla="*/ 38225 h 90007"/>
            <a:gd name="connsiteX219" fmla="*/ 350782 w 635581"/>
            <a:gd name="connsiteY219" fmla="*/ 19501 h 90007"/>
            <a:gd name="connsiteX220" fmla="*/ 356804 w 635581"/>
            <a:gd name="connsiteY220" fmla="*/ 19489 h 90007"/>
            <a:gd name="connsiteX221" fmla="*/ 359599 w 635581"/>
            <a:gd name="connsiteY221" fmla="*/ 19485 h 90007"/>
            <a:gd name="connsiteX222" fmla="*/ 362294 w 635581"/>
            <a:gd name="connsiteY222" fmla="*/ 19481 h 90007"/>
            <a:gd name="connsiteX223" fmla="*/ 363325 w 635581"/>
            <a:gd name="connsiteY223" fmla="*/ 19479 h 90007"/>
            <a:gd name="connsiteX224" fmla="*/ 364763 w 635581"/>
            <a:gd name="connsiteY224" fmla="*/ 19478 h 90007"/>
            <a:gd name="connsiteX225" fmla="*/ 365200 w 635581"/>
            <a:gd name="connsiteY225" fmla="*/ 19476 h 90007"/>
            <a:gd name="connsiteX226" fmla="*/ 366202 w 635581"/>
            <a:gd name="connsiteY226" fmla="*/ 19501 h 90007"/>
            <a:gd name="connsiteX227" fmla="*/ 366397 w 635581"/>
            <a:gd name="connsiteY227" fmla="*/ 19696 h 90007"/>
            <a:gd name="connsiteX228" fmla="*/ 366422 w 635581"/>
            <a:gd name="connsiteY228" fmla="*/ 21263 h 90007"/>
            <a:gd name="connsiteX229" fmla="*/ 366424 w 635581"/>
            <a:gd name="connsiteY229" fmla="*/ 21769 h 90007"/>
            <a:gd name="connsiteX230" fmla="*/ 366426 w 635581"/>
            <a:gd name="connsiteY230" fmla="*/ 23456 h 90007"/>
            <a:gd name="connsiteX231" fmla="*/ 366428 w 635581"/>
            <a:gd name="connsiteY231" fmla="*/ 24659 h 90007"/>
            <a:gd name="connsiteX232" fmla="*/ 366430 w 635581"/>
            <a:gd name="connsiteY232" fmla="*/ 27262 h 90007"/>
            <a:gd name="connsiteX233" fmla="*/ 366437 w 635581"/>
            <a:gd name="connsiteY233" fmla="*/ 31381 h 90007"/>
            <a:gd name="connsiteX234" fmla="*/ 366441 w 635581"/>
            <a:gd name="connsiteY234" fmla="*/ 32791 h 90007"/>
            <a:gd name="connsiteX235" fmla="*/ 366443 w 635581"/>
            <a:gd name="connsiteY235" fmla="*/ 33505 h 90007"/>
            <a:gd name="connsiteX236" fmla="*/ 366460 w 635581"/>
            <a:gd name="connsiteY236" fmla="*/ 43098 h 90007"/>
            <a:gd name="connsiteX237" fmla="*/ 366474 w 635581"/>
            <a:gd name="connsiteY237" fmla="*/ 49561 h 90007"/>
            <a:gd name="connsiteX238" fmla="*/ 366480 w 635581"/>
            <a:gd name="connsiteY238" fmla="*/ 52982 h 90007"/>
            <a:gd name="connsiteX239" fmla="*/ 366487 w 635581"/>
            <a:gd name="connsiteY239" fmla="*/ 56206 h 90007"/>
            <a:gd name="connsiteX240" fmla="*/ 366487 w 635581"/>
            <a:gd name="connsiteY240" fmla="*/ 57384 h 90007"/>
            <a:gd name="connsiteX241" fmla="*/ 368128 w 635581"/>
            <a:gd name="connsiteY241" fmla="*/ 65500 h 90007"/>
            <a:gd name="connsiteX242" fmla="*/ 368335 w 635581"/>
            <a:gd name="connsiteY242" fmla="*/ 65898 h 90007"/>
            <a:gd name="connsiteX243" fmla="*/ 370105 w 635581"/>
            <a:gd name="connsiteY243" fmla="*/ 68541 h 90007"/>
            <a:gd name="connsiteX244" fmla="*/ 370406 w 635581"/>
            <a:gd name="connsiteY244" fmla="*/ 68927 h 90007"/>
            <a:gd name="connsiteX245" fmla="*/ 376741 w 635581"/>
            <a:gd name="connsiteY245" fmla="*/ 73230 h 90007"/>
            <a:gd name="connsiteX246" fmla="*/ 385098 w 635581"/>
            <a:gd name="connsiteY246" fmla="*/ 73780 h 90007"/>
            <a:gd name="connsiteX247" fmla="*/ 392392 w 635581"/>
            <a:gd name="connsiteY247" fmla="*/ 70068 h 90007"/>
            <a:gd name="connsiteX248" fmla="*/ 396691 w 635581"/>
            <a:gd name="connsiteY248" fmla="*/ 63342 h 90007"/>
            <a:gd name="connsiteX249" fmla="*/ 397461 w 635581"/>
            <a:gd name="connsiteY249" fmla="*/ 57822 h 90007"/>
            <a:gd name="connsiteX250" fmla="*/ 397463 w 635581"/>
            <a:gd name="connsiteY250" fmla="*/ 57322 h 90007"/>
            <a:gd name="connsiteX251" fmla="*/ 397469 w 635581"/>
            <a:gd name="connsiteY251" fmla="*/ 55677 h 90007"/>
            <a:gd name="connsiteX252" fmla="*/ 397475 w 635581"/>
            <a:gd name="connsiteY252" fmla="*/ 54492 h 90007"/>
            <a:gd name="connsiteX253" fmla="*/ 397488 w 635581"/>
            <a:gd name="connsiteY253" fmla="*/ 51287 h 90007"/>
            <a:gd name="connsiteX254" fmla="*/ 397504 w 635581"/>
            <a:gd name="connsiteY254" fmla="*/ 47934 h 90007"/>
            <a:gd name="connsiteX255" fmla="*/ 397531 w 635581"/>
            <a:gd name="connsiteY255" fmla="*/ 41588 h 90007"/>
            <a:gd name="connsiteX256" fmla="*/ 397562 w 635581"/>
            <a:gd name="connsiteY256" fmla="*/ 34362 h 90007"/>
            <a:gd name="connsiteX257" fmla="*/ 397625 w 635581"/>
            <a:gd name="connsiteY257" fmla="*/ 19501 h 90007"/>
            <a:gd name="connsiteX258" fmla="*/ 413240 w 635581"/>
            <a:gd name="connsiteY258" fmla="*/ 19501 h 90007"/>
            <a:gd name="connsiteX259" fmla="*/ 413259 w 635581"/>
            <a:gd name="connsiteY259" fmla="*/ 35378 h 90007"/>
            <a:gd name="connsiteX260" fmla="*/ 413269 w 635581"/>
            <a:gd name="connsiteY260" fmla="*/ 42750 h 90007"/>
            <a:gd name="connsiteX261" fmla="*/ 413276 w 635581"/>
            <a:gd name="connsiteY261" fmla="*/ 49179 h 90007"/>
            <a:gd name="connsiteX262" fmla="*/ 413280 w 635581"/>
            <a:gd name="connsiteY262" fmla="*/ 52581 h 90007"/>
            <a:gd name="connsiteX263" fmla="*/ 413282 w 635581"/>
            <a:gd name="connsiteY263" fmla="*/ 55789 h 90007"/>
            <a:gd name="connsiteX264" fmla="*/ 413286 w 635581"/>
            <a:gd name="connsiteY264" fmla="*/ 56959 h 90007"/>
            <a:gd name="connsiteX265" fmla="*/ 412410 w 635581"/>
            <a:gd name="connsiteY265" fmla="*/ 65915 h 90007"/>
            <a:gd name="connsiteX266" fmla="*/ 412280 w 635581"/>
            <a:gd name="connsiteY266" fmla="*/ 66438 h 90007"/>
            <a:gd name="connsiteX267" fmla="*/ 406602 w 635581"/>
            <a:gd name="connsiteY267" fmla="*/ 77919 h 90007"/>
            <a:gd name="connsiteX268" fmla="*/ 406328 w 635581"/>
            <a:gd name="connsiteY268" fmla="*/ 78265 h 90007"/>
            <a:gd name="connsiteX269" fmla="*/ 393094 w 635581"/>
            <a:gd name="connsiteY269" fmla="*/ 87933 h 90007"/>
            <a:gd name="connsiteX270" fmla="*/ 387476 w 635581"/>
            <a:gd name="connsiteY270" fmla="*/ 89447 h 90007"/>
            <a:gd name="connsiteX271" fmla="*/ 386752 w 635581"/>
            <a:gd name="connsiteY271" fmla="*/ 89593 h 90007"/>
            <a:gd name="connsiteX272" fmla="*/ 371277 w 635581"/>
            <a:gd name="connsiteY272" fmla="*/ 88080 h 90007"/>
            <a:gd name="connsiteX273" fmla="*/ 357584 w 635581"/>
            <a:gd name="connsiteY273" fmla="*/ 78238 h 90007"/>
            <a:gd name="connsiteX274" fmla="*/ 355078 w 635581"/>
            <a:gd name="connsiteY274" fmla="*/ 74599 h 90007"/>
            <a:gd name="connsiteX275" fmla="*/ 354867 w 635581"/>
            <a:gd name="connsiteY275" fmla="*/ 74253 h 90007"/>
            <a:gd name="connsiteX276" fmla="*/ 350740 w 635581"/>
            <a:gd name="connsiteY276" fmla="*/ 59481 h 90007"/>
            <a:gd name="connsiteX277" fmla="*/ 350738 w 635581"/>
            <a:gd name="connsiteY277" fmla="*/ 56764 h 90007"/>
            <a:gd name="connsiteX278" fmla="*/ 350738 w 635581"/>
            <a:gd name="connsiteY278" fmla="*/ 55538 h 90007"/>
            <a:gd name="connsiteX279" fmla="*/ 350744 w 635581"/>
            <a:gd name="connsiteY279" fmla="*/ 52241 h 90007"/>
            <a:gd name="connsiteX280" fmla="*/ 350748 w 635581"/>
            <a:gd name="connsiteY280" fmla="*/ 48783 h 90007"/>
            <a:gd name="connsiteX281" fmla="*/ 350755 w 635581"/>
            <a:gd name="connsiteY281" fmla="*/ 42248 h 90007"/>
            <a:gd name="connsiteX282" fmla="*/ 350763 w 635581"/>
            <a:gd name="connsiteY282" fmla="*/ 34802 h 90007"/>
            <a:gd name="connsiteX283" fmla="*/ 350782 w 635581"/>
            <a:gd name="connsiteY283" fmla="*/ 19501 h 90007"/>
            <a:gd name="connsiteX284" fmla="*/ 326033 w 635581"/>
            <a:gd name="connsiteY284" fmla="*/ 23213 h 90007"/>
            <a:gd name="connsiteX285" fmla="*/ 334975 w 635581"/>
            <a:gd name="connsiteY285" fmla="*/ 29659 h 90007"/>
            <a:gd name="connsiteX286" fmla="*/ 335367 w 635581"/>
            <a:gd name="connsiteY286" fmla="*/ 30022 h 90007"/>
            <a:gd name="connsiteX287" fmla="*/ 342195 w 635581"/>
            <a:gd name="connsiteY287" fmla="*/ 39820 h 90007"/>
            <a:gd name="connsiteX288" fmla="*/ 342195 w 635581"/>
            <a:gd name="connsiteY288" fmla="*/ 40210 h 90007"/>
            <a:gd name="connsiteX289" fmla="*/ 334921 w 635581"/>
            <a:gd name="connsiteY289" fmla="*/ 40312 h 90007"/>
            <a:gd name="connsiteX290" fmla="*/ 331544 w 635581"/>
            <a:gd name="connsiteY290" fmla="*/ 40358 h 90007"/>
            <a:gd name="connsiteX291" fmla="*/ 328278 w 635581"/>
            <a:gd name="connsiteY291" fmla="*/ 40395 h 90007"/>
            <a:gd name="connsiteX292" fmla="*/ 327039 w 635581"/>
            <a:gd name="connsiteY292" fmla="*/ 40416 h 90007"/>
            <a:gd name="connsiteX293" fmla="*/ 322843 w 635581"/>
            <a:gd name="connsiteY293" fmla="*/ 40017 h 90007"/>
            <a:gd name="connsiteX294" fmla="*/ 320726 w 635581"/>
            <a:gd name="connsiteY294" fmla="*/ 38256 h 90007"/>
            <a:gd name="connsiteX295" fmla="*/ 319189 w 635581"/>
            <a:gd name="connsiteY295" fmla="*/ 37414 h 90007"/>
            <a:gd name="connsiteX296" fmla="*/ 318797 w 635581"/>
            <a:gd name="connsiteY296" fmla="*/ 37225 h 90007"/>
            <a:gd name="connsiteX297" fmla="*/ 308040 w 635581"/>
            <a:gd name="connsiteY297" fmla="*/ 35325 h 90007"/>
            <a:gd name="connsiteX298" fmla="*/ 298879 w 635581"/>
            <a:gd name="connsiteY298" fmla="*/ 38947 h 90007"/>
            <a:gd name="connsiteX299" fmla="*/ 292231 w 635581"/>
            <a:gd name="connsiteY299" fmla="*/ 47635 h 90007"/>
            <a:gd name="connsiteX300" fmla="*/ 291451 w 635581"/>
            <a:gd name="connsiteY300" fmla="*/ 50175 h 90007"/>
            <a:gd name="connsiteX301" fmla="*/ 291318 w 635581"/>
            <a:gd name="connsiteY301" fmla="*/ 50697 h 90007"/>
            <a:gd name="connsiteX302" fmla="*/ 291964 w 635581"/>
            <a:gd name="connsiteY302" fmla="*/ 60917 h 90007"/>
            <a:gd name="connsiteX303" fmla="*/ 297627 w 635581"/>
            <a:gd name="connsiteY303" fmla="*/ 69419 h 90007"/>
            <a:gd name="connsiteX304" fmla="*/ 306820 w 635581"/>
            <a:gd name="connsiteY304" fmla="*/ 73780 h 90007"/>
            <a:gd name="connsiteX305" fmla="*/ 316836 w 635581"/>
            <a:gd name="connsiteY305" fmla="*/ 72979 h 90007"/>
            <a:gd name="connsiteX306" fmla="*/ 324513 w 635581"/>
            <a:gd name="connsiteY306" fmla="*/ 67832 h 90007"/>
            <a:gd name="connsiteX307" fmla="*/ 324826 w 635581"/>
            <a:gd name="connsiteY307" fmla="*/ 67564 h 90007"/>
            <a:gd name="connsiteX308" fmla="*/ 326558 w 635581"/>
            <a:gd name="connsiteY308" fmla="*/ 67498 h 90007"/>
            <a:gd name="connsiteX309" fmla="*/ 327095 w 635581"/>
            <a:gd name="connsiteY309" fmla="*/ 67498 h 90007"/>
            <a:gd name="connsiteX310" fmla="*/ 328853 w 635581"/>
            <a:gd name="connsiteY310" fmla="*/ 67508 h 90007"/>
            <a:gd name="connsiteX311" fmla="*/ 330071 w 635581"/>
            <a:gd name="connsiteY311" fmla="*/ 67510 h 90007"/>
            <a:gd name="connsiteX312" fmla="*/ 333280 w 635581"/>
            <a:gd name="connsiteY312" fmla="*/ 67523 h 90007"/>
            <a:gd name="connsiteX313" fmla="*/ 336552 w 635581"/>
            <a:gd name="connsiteY313" fmla="*/ 67537 h 90007"/>
            <a:gd name="connsiteX314" fmla="*/ 342977 w 635581"/>
            <a:gd name="connsiteY314" fmla="*/ 67564 h 90007"/>
            <a:gd name="connsiteX315" fmla="*/ 342514 w 635581"/>
            <a:gd name="connsiteY315" fmla="*/ 68684 h 90007"/>
            <a:gd name="connsiteX316" fmla="*/ 342253 w 635581"/>
            <a:gd name="connsiteY316" fmla="*/ 69313 h 90007"/>
            <a:gd name="connsiteX317" fmla="*/ 338292 w 635581"/>
            <a:gd name="connsiteY317" fmla="*/ 75966 h 90007"/>
            <a:gd name="connsiteX318" fmla="*/ 337902 w 635581"/>
            <a:gd name="connsiteY318" fmla="*/ 76489 h 90007"/>
            <a:gd name="connsiteX319" fmla="*/ 323264 w 635581"/>
            <a:gd name="connsiteY319" fmla="*/ 87493 h 90007"/>
            <a:gd name="connsiteX320" fmla="*/ 305783 w 635581"/>
            <a:gd name="connsiteY320" fmla="*/ 89678 h 90007"/>
            <a:gd name="connsiteX321" fmla="*/ 288889 w 635581"/>
            <a:gd name="connsiteY321" fmla="*/ 82620 h 90007"/>
            <a:gd name="connsiteX322" fmla="*/ 285985 w 635581"/>
            <a:gd name="connsiteY322" fmla="*/ 80068 h 90007"/>
            <a:gd name="connsiteX323" fmla="*/ 285690 w 635581"/>
            <a:gd name="connsiteY323" fmla="*/ 79794 h 90007"/>
            <a:gd name="connsiteX324" fmla="*/ 276520 w 635581"/>
            <a:gd name="connsiteY324" fmla="*/ 64707 h 90007"/>
            <a:gd name="connsiteX325" fmla="*/ 275446 w 635581"/>
            <a:gd name="connsiteY325" fmla="*/ 59554 h 90007"/>
            <a:gd name="connsiteX326" fmla="*/ 275333 w 635581"/>
            <a:gd name="connsiteY326" fmla="*/ 58845 h 90007"/>
            <a:gd name="connsiteX327" fmla="*/ 278140 w 635581"/>
            <a:gd name="connsiteY327" fmla="*/ 40378 h 90007"/>
            <a:gd name="connsiteX328" fmla="*/ 289346 w 635581"/>
            <a:gd name="connsiteY328" fmla="*/ 26395 h 90007"/>
            <a:gd name="connsiteX329" fmla="*/ 306283 w 635581"/>
            <a:gd name="connsiteY329" fmla="*/ 19696 h 90007"/>
            <a:gd name="connsiteX330" fmla="*/ 306841 w 635581"/>
            <a:gd name="connsiteY330" fmla="*/ 19630 h 90007"/>
            <a:gd name="connsiteX331" fmla="*/ 326033 w 635581"/>
            <a:gd name="connsiteY331" fmla="*/ 23213 h 90007"/>
            <a:gd name="connsiteX332" fmla="*/ 534052 w 635581"/>
            <a:gd name="connsiteY332" fmla="*/ 19501 h 90007"/>
            <a:gd name="connsiteX333" fmla="*/ 534052 w 635581"/>
            <a:gd name="connsiteY333" fmla="*/ 35130 h 90007"/>
            <a:gd name="connsiteX334" fmla="*/ 532403 w 635581"/>
            <a:gd name="connsiteY334" fmla="*/ 35432 h 90007"/>
            <a:gd name="connsiteX335" fmla="*/ 522779 w 635581"/>
            <a:gd name="connsiteY335" fmla="*/ 38880 h 90007"/>
            <a:gd name="connsiteX336" fmla="*/ 520974 w 635581"/>
            <a:gd name="connsiteY336" fmla="*/ 40407 h 90007"/>
            <a:gd name="connsiteX337" fmla="*/ 520503 w 635581"/>
            <a:gd name="connsiteY337" fmla="*/ 40837 h 90007"/>
            <a:gd name="connsiteX338" fmla="*/ 515511 w 635581"/>
            <a:gd name="connsiteY338" fmla="*/ 49231 h 90007"/>
            <a:gd name="connsiteX339" fmla="*/ 514862 w 635581"/>
            <a:gd name="connsiteY339" fmla="*/ 55834 h 90007"/>
            <a:gd name="connsiteX340" fmla="*/ 514856 w 635581"/>
            <a:gd name="connsiteY340" fmla="*/ 56950 h 90007"/>
            <a:gd name="connsiteX341" fmla="*/ 514845 w 635581"/>
            <a:gd name="connsiteY341" fmla="*/ 59961 h 90007"/>
            <a:gd name="connsiteX342" fmla="*/ 514833 w 635581"/>
            <a:gd name="connsiteY342" fmla="*/ 63116 h 90007"/>
            <a:gd name="connsiteX343" fmla="*/ 514810 w 635581"/>
            <a:gd name="connsiteY343" fmla="*/ 69079 h 90007"/>
            <a:gd name="connsiteX344" fmla="*/ 514783 w 635581"/>
            <a:gd name="connsiteY344" fmla="*/ 75871 h 90007"/>
            <a:gd name="connsiteX345" fmla="*/ 514729 w 635581"/>
            <a:gd name="connsiteY345" fmla="*/ 89839 h 90007"/>
            <a:gd name="connsiteX346" fmla="*/ 499116 w 635581"/>
            <a:gd name="connsiteY346" fmla="*/ 89839 h 90007"/>
            <a:gd name="connsiteX347" fmla="*/ 499086 w 635581"/>
            <a:gd name="connsiteY347" fmla="*/ 74823 h 90007"/>
            <a:gd name="connsiteX348" fmla="*/ 499072 w 635581"/>
            <a:gd name="connsiteY348" fmla="*/ 67850 h 90007"/>
            <a:gd name="connsiteX349" fmla="*/ 499060 w 635581"/>
            <a:gd name="connsiteY349" fmla="*/ 61766 h 90007"/>
            <a:gd name="connsiteX350" fmla="*/ 499053 w 635581"/>
            <a:gd name="connsiteY350" fmla="*/ 58550 h 90007"/>
            <a:gd name="connsiteX351" fmla="*/ 499049 w 635581"/>
            <a:gd name="connsiteY351" fmla="*/ 55513 h 90007"/>
            <a:gd name="connsiteX352" fmla="*/ 499045 w 635581"/>
            <a:gd name="connsiteY352" fmla="*/ 54407 h 90007"/>
            <a:gd name="connsiteX353" fmla="*/ 500250 w 635581"/>
            <a:gd name="connsiteY353" fmla="*/ 45144 h 90007"/>
            <a:gd name="connsiteX354" fmla="*/ 500402 w 635581"/>
            <a:gd name="connsiteY354" fmla="*/ 44627 h 90007"/>
            <a:gd name="connsiteX355" fmla="*/ 502043 w 635581"/>
            <a:gd name="connsiteY355" fmla="*/ 40210 h 90007"/>
            <a:gd name="connsiteX356" fmla="*/ 502209 w 635581"/>
            <a:gd name="connsiteY356" fmla="*/ 39839 h 90007"/>
            <a:gd name="connsiteX357" fmla="*/ 513103 w 635581"/>
            <a:gd name="connsiteY357" fmla="*/ 26397 h 90007"/>
            <a:gd name="connsiteX358" fmla="*/ 531442 w 635581"/>
            <a:gd name="connsiteY358" fmla="*/ 19561 h 90007"/>
            <a:gd name="connsiteX359" fmla="*/ 534052 w 635581"/>
            <a:gd name="connsiteY359" fmla="*/ 19501 h 90007"/>
            <a:gd name="connsiteX360" fmla="*/ 541859 w 635581"/>
            <a:gd name="connsiteY360" fmla="*/ 19501 h 90007"/>
            <a:gd name="connsiteX361" fmla="*/ 557473 w 635581"/>
            <a:gd name="connsiteY361" fmla="*/ 19501 h 90007"/>
            <a:gd name="connsiteX362" fmla="*/ 557473 w 635581"/>
            <a:gd name="connsiteY362" fmla="*/ 89839 h 90007"/>
            <a:gd name="connsiteX363" fmla="*/ 541859 w 635581"/>
            <a:gd name="connsiteY363" fmla="*/ 89839 h 90007"/>
            <a:gd name="connsiteX364" fmla="*/ 452858 w 635581"/>
            <a:gd name="connsiteY364" fmla="*/ 157 h 90007"/>
            <a:gd name="connsiteX365" fmla="*/ 468863 w 635581"/>
            <a:gd name="connsiteY365" fmla="*/ 157 h 90007"/>
            <a:gd name="connsiteX366" fmla="*/ 467847 w 635581"/>
            <a:gd name="connsiteY366" fmla="*/ 2261 h 90007"/>
            <a:gd name="connsiteX367" fmla="*/ 467467 w 635581"/>
            <a:gd name="connsiteY367" fmla="*/ 2927 h 90007"/>
            <a:gd name="connsiteX368" fmla="*/ 467058 w 635581"/>
            <a:gd name="connsiteY368" fmla="*/ 3637 h 90007"/>
            <a:gd name="connsiteX369" fmla="*/ 466635 w 635581"/>
            <a:gd name="connsiteY369" fmla="*/ 4375 h 90007"/>
            <a:gd name="connsiteX370" fmla="*/ 462617 w 635581"/>
            <a:gd name="connsiteY370" fmla="*/ 11294 h 90007"/>
            <a:gd name="connsiteX371" fmla="*/ 462256 w 635581"/>
            <a:gd name="connsiteY371" fmla="*/ 11910 h 90007"/>
            <a:gd name="connsiteX372" fmla="*/ 461191 w 635581"/>
            <a:gd name="connsiteY372" fmla="*/ 13724 h 90007"/>
            <a:gd name="connsiteX373" fmla="*/ 460861 w 635581"/>
            <a:gd name="connsiteY373" fmla="*/ 14286 h 90007"/>
            <a:gd name="connsiteX374" fmla="*/ 460559 w 635581"/>
            <a:gd name="connsiteY374" fmla="*/ 14798 h 90007"/>
            <a:gd name="connsiteX375" fmla="*/ 460293 w 635581"/>
            <a:gd name="connsiteY375" fmla="*/ 15250 h 90007"/>
            <a:gd name="connsiteX376" fmla="*/ 459886 w 635581"/>
            <a:gd name="connsiteY376" fmla="*/ 15788 h 90007"/>
            <a:gd name="connsiteX377" fmla="*/ 458413 w 635581"/>
            <a:gd name="connsiteY377" fmla="*/ 15809 h 90007"/>
            <a:gd name="connsiteX378" fmla="*/ 457945 w 635581"/>
            <a:gd name="connsiteY378" fmla="*/ 15809 h 90007"/>
            <a:gd name="connsiteX379" fmla="*/ 456409 w 635581"/>
            <a:gd name="connsiteY379" fmla="*/ 15808 h 90007"/>
            <a:gd name="connsiteX380" fmla="*/ 455345 w 635581"/>
            <a:gd name="connsiteY380" fmla="*/ 15806 h 90007"/>
            <a:gd name="connsiteX381" fmla="*/ 452544 w 635581"/>
            <a:gd name="connsiteY381" fmla="*/ 15802 h 90007"/>
            <a:gd name="connsiteX382" fmla="*/ 449687 w 635581"/>
            <a:gd name="connsiteY382" fmla="*/ 15798 h 90007"/>
            <a:gd name="connsiteX383" fmla="*/ 444076 w 635581"/>
            <a:gd name="connsiteY383" fmla="*/ 15788 h 90007"/>
            <a:gd name="connsiteX384" fmla="*/ 445007 w 635581"/>
            <a:gd name="connsiteY384" fmla="*/ 13811 h 90007"/>
            <a:gd name="connsiteX385" fmla="*/ 445333 w 635581"/>
            <a:gd name="connsiteY385" fmla="*/ 13226 h 90007"/>
            <a:gd name="connsiteX386" fmla="*/ 445686 w 635581"/>
            <a:gd name="connsiteY386" fmla="*/ 12601 h 90007"/>
            <a:gd name="connsiteX387" fmla="*/ 446055 w 635581"/>
            <a:gd name="connsiteY387" fmla="*/ 11944 h 90007"/>
            <a:gd name="connsiteX388" fmla="*/ 449932 w 635581"/>
            <a:gd name="connsiteY388" fmla="*/ 5238 h 90007"/>
            <a:gd name="connsiteX389" fmla="*/ 552099 w 635581"/>
            <a:gd name="connsiteY389" fmla="*/ 317 h 90007"/>
            <a:gd name="connsiteX390" fmla="*/ 555716 w 635581"/>
            <a:gd name="connsiteY390" fmla="*/ 2892 h 90007"/>
            <a:gd name="connsiteX391" fmla="*/ 557473 w 635581"/>
            <a:gd name="connsiteY391" fmla="*/ 6605 h 90007"/>
            <a:gd name="connsiteX392" fmla="*/ 556962 w 635581"/>
            <a:gd name="connsiteY392" fmla="*/ 10919 h 90007"/>
            <a:gd name="connsiteX393" fmla="*/ 554166 w 635581"/>
            <a:gd name="connsiteY393" fmla="*/ 14419 h 90007"/>
            <a:gd name="connsiteX394" fmla="*/ 549689 w 635581"/>
            <a:gd name="connsiteY394" fmla="*/ 15800 h 90007"/>
            <a:gd name="connsiteX395" fmla="*/ 545527 w 635581"/>
            <a:gd name="connsiteY395" fmla="*/ 14643 h 90007"/>
            <a:gd name="connsiteX396" fmla="*/ 542444 w 635581"/>
            <a:gd name="connsiteY396" fmla="*/ 11099 h 90007"/>
            <a:gd name="connsiteX397" fmla="*/ 541859 w 635581"/>
            <a:gd name="connsiteY397" fmla="*/ 6605 h 90007"/>
            <a:gd name="connsiteX398" fmla="*/ 543616 w 635581"/>
            <a:gd name="connsiteY398" fmla="*/ 2892 h 90007"/>
            <a:gd name="connsiteX399" fmla="*/ 547197 w 635581"/>
            <a:gd name="connsiteY399" fmla="*/ 352 h 90007"/>
            <a:gd name="connsiteX400" fmla="*/ 552099 w 635581"/>
            <a:gd name="connsiteY400" fmla="*/ 317 h 90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Lst>
          <a:rect l="l" t="t" r="r" b="b"/>
          <a:pathLst>
            <a:path w="635581" h="90007">
              <a:moveTo>
                <a:pt x="64367" y="4440"/>
              </a:moveTo>
              <a:cubicBezTo>
                <a:pt x="70543" y="7496"/>
                <a:pt x="76321" y="12028"/>
                <a:pt x="80420" y="17607"/>
              </a:cubicBezTo>
              <a:cubicBezTo>
                <a:pt x="80659" y="17931"/>
                <a:pt x="80901" y="18252"/>
                <a:pt x="81146" y="18570"/>
              </a:cubicBezTo>
              <a:cubicBezTo>
                <a:pt x="85779" y="24752"/>
                <a:pt x="88538" y="32217"/>
                <a:pt x="89480" y="39856"/>
              </a:cubicBezTo>
              <a:cubicBezTo>
                <a:pt x="90314" y="47857"/>
                <a:pt x="89140" y="55946"/>
                <a:pt x="85872" y="63303"/>
              </a:cubicBezTo>
              <a:cubicBezTo>
                <a:pt x="82445" y="70776"/>
                <a:pt x="77157" y="77093"/>
                <a:pt x="70491" y="81887"/>
              </a:cubicBezTo>
              <a:cubicBezTo>
                <a:pt x="64358" y="86207"/>
                <a:pt x="56848" y="89008"/>
                <a:pt x="49390" y="89748"/>
              </a:cubicBezTo>
              <a:cubicBezTo>
                <a:pt x="41110" y="90400"/>
                <a:pt x="32986" y="89147"/>
                <a:pt x="25465" y="85564"/>
              </a:cubicBezTo>
              <a:cubicBezTo>
                <a:pt x="21583" y="83672"/>
                <a:pt x="18117" y="81373"/>
                <a:pt x="14889" y="78506"/>
              </a:cubicBezTo>
              <a:lnTo>
                <a:pt x="14559" y="78215"/>
              </a:lnTo>
              <a:cubicBezTo>
                <a:pt x="11289" y="75294"/>
                <a:pt x="8549" y="71917"/>
                <a:pt x="6302" y="68151"/>
              </a:cubicBezTo>
              <a:lnTo>
                <a:pt x="6069" y="67767"/>
              </a:lnTo>
              <a:cubicBezTo>
                <a:pt x="2511" y="61815"/>
                <a:pt x="134" y="54697"/>
                <a:pt x="14" y="47718"/>
              </a:cubicBezTo>
              <a:lnTo>
                <a:pt x="9" y="47264"/>
              </a:lnTo>
              <a:lnTo>
                <a:pt x="3" y="46776"/>
              </a:lnTo>
              <a:cubicBezTo>
                <a:pt x="-76" y="38293"/>
                <a:pt x="1476" y="30306"/>
                <a:pt x="5661" y="22841"/>
              </a:cubicBezTo>
              <a:cubicBezTo>
                <a:pt x="7283" y="20020"/>
                <a:pt x="9167" y="17412"/>
                <a:pt x="11383" y="15028"/>
              </a:cubicBezTo>
              <a:cubicBezTo>
                <a:pt x="11733" y="14651"/>
                <a:pt x="12061" y="14265"/>
                <a:pt x="12387" y="13871"/>
              </a:cubicBezTo>
              <a:cubicBezTo>
                <a:pt x="15281" y="10570"/>
                <a:pt x="18907" y="7987"/>
                <a:pt x="22697" y="5823"/>
              </a:cubicBezTo>
              <a:lnTo>
                <a:pt x="23137" y="5570"/>
              </a:lnTo>
              <a:cubicBezTo>
                <a:pt x="35625" y="-1566"/>
                <a:pt x="51473" y="-1739"/>
                <a:pt x="64367" y="4440"/>
              </a:cubicBezTo>
              <a:moveTo>
                <a:pt x="38114" y="16373"/>
              </a:moveTo>
              <a:lnTo>
                <a:pt x="37658" y="16485"/>
              </a:lnTo>
              <a:cubicBezTo>
                <a:pt x="32318" y="17825"/>
                <a:pt x="27826" y="20591"/>
                <a:pt x="23866" y="24385"/>
              </a:cubicBezTo>
              <a:cubicBezTo>
                <a:pt x="20395" y="27800"/>
                <a:pt x="17884" y="32235"/>
                <a:pt x="16526" y="36909"/>
              </a:cubicBezTo>
              <a:cubicBezTo>
                <a:pt x="15109" y="42121"/>
                <a:pt x="15104" y="47438"/>
                <a:pt x="16411" y="52671"/>
              </a:cubicBezTo>
              <a:cubicBezTo>
                <a:pt x="17584" y="57021"/>
                <a:pt x="19783" y="60842"/>
                <a:pt x="22697" y="64243"/>
              </a:cubicBezTo>
              <a:lnTo>
                <a:pt x="23123" y="64749"/>
              </a:lnTo>
              <a:cubicBezTo>
                <a:pt x="24175" y="65969"/>
                <a:pt x="25330" y="66969"/>
                <a:pt x="26600" y="67956"/>
              </a:cubicBezTo>
              <a:lnTo>
                <a:pt x="27098" y="68373"/>
              </a:lnTo>
              <a:cubicBezTo>
                <a:pt x="30981" y="71510"/>
                <a:pt x="35780" y="73211"/>
                <a:pt x="40653" y="74012"/>
              </a:cubicBezTo>
              <a:cubicBezTo>
                <a:pt x="45817" y="74771"/>
                <a:pt x="51066" y="73981"/>
                <a:pt x="55923" y="72145"/>
              </a:cubicBezTo>
              <a:cubicBezTo>
                <a:pt x="58831" y="70977"/>
                <a:pt x="61545" y="69259"/>
                <a:pt x="63877" y="67174"/>
              </a:cubicBezTo>
              <a:lnTo>
                <a:pt x="64452" y="66676"/>
              </a:lnTo>
              <a:cubicBezTo>
                <a:pt x="68122" y="63456"/>
                <a:pt x="70825" y="59307"/>
                <a:pt x="72445" y="54701"/>
              </a:cubicBezTo>
              <a:cubicBezTo>
                <a:pt x="74090" y="49828"/>
                <a:pt x="74570" y="44677"/>
                <a:pt x="73644" y="39594"/>
              </a:cubicBezTo>
              <a:cubicBezTo>
                <a:pt x="72586" y="34414"/>
                <a:pt x="70356" y="29808"/>
                <a:pt x="66931" y="25800"/>
              </a:cubicBezTo>
              <a:cubicBezTo>
                <a:pt x="66507" y="25321"/>
                <a:pt x="66074" y="24850"/>
                <a:pt x="65634" y="24385"/>
              </a:cubicBezTo>
              <a:lnTo>
                <a:pt x="65267" y="23985"/>
              </a:lnTo>
              <a:cubicBezTo>
                <a:pt x="62091" y="20655"/>
                <a:pt x="57723" y="18234"/>
                <a:pt x="53350" y="16898"/>
              </a:cubicBezTo>
              <a:cubicBezTo>
                <a:pt x="52699" y="16713"/>
                <a:pt x="52045" y="16537"/>
                <a:pt x="51386" y="16373"/>
              </a:cubicBezTo>
              <a:cubicBezTo>
                <a:pt x="51249" y="16338"/>
                <a:pt x="51112" y="16304"/>
                <a:pt x="50971" y="16267"/>
              </a:cubicBezTo>
              <a:cubicBezTo>
                <a:pt x="46983" y="15296"/>
                <a:pt x="42087" y="15364"/>
                <a:pt x="38114" y="16373"/>
              </a:cubicBezTo>
              <a:moveTo>
                <a:pt x="136873" y="157"/>
              </a:moveTo>
              <a:cubicBezTo>
                <a:pt x="179683" y="157"/>
                <a:pt x="179683" y="157"/>
                <a:pt x="186390" y="3994"/>
              </a:cubicBezTo>
              <a:cubicBezTo>
                <a:pt x="188303" y="5133"/>
                <a:pt x="189915" y="6641"/>
                <a:pt x="191521" y="8168"/>
              </a:cubicBezTo>
              <a:lnTo>
                <a:pt x="191896" y="8504"/>
              </a:lnTo>
              <a:cubicBezTo>
                <a:pt x="194742" y="11151"/>
                <a:pt x="196674" y="14906"/>
                <a:pt x="197962" y="18524"/>
              </a:cubicBezTo>
              <a:lnTo>
                <a:pt x="198186" y="19147"/>
              </a:lnTo>
              <a:cubicBezTo>
                <a:pt x="199610" y="23422"/>
                <a:pt x="199850" y="28258"/>
                <a:pt x="198998" y="32677"/>
              </a:cubicBezTo>
              <a:cubicBezTo>
                <a:pt x="198865" y="33304"/>
                <a:pt x="198715" y="33924"/>
                <a:pt x="198547" y="34544"/>
              </a:cubicBezTo>
              <a:lnTo>
                <a:pt x="198441" y="34947"/>
              </a:lnTo>
              <a:cubicBezTo>
                <a:pt x="197118" y="39692"/>
                <a:pt x="194394" y="43882"/>
                <a:pt x="190919" y="47332"/>
              </a:cubicBezTo>
              <a:cubicBezTo>
                <a:pt x="187355" y="50753"/>
                <a:pt x="182975" y="52982"/>
                <a:pt x="178208" y="54193"/>
              </a:cubicBezTo>
              <a:cubicBezTo>
                <a:pt x="175508" y="54832"/>
                <a:pt x="172868" y="54892"/>
                <a:pt x="170112" y="54884"/>
              </a:cubicBezTo>
              <a:lnTo>
                <a:pt x="169175" y="54884"/>
              </a:lnTo>
              <a:cubicBezTo>
                <a:pt x="168029" y="54882"/>
                <a:pt x="166882" y="54880"/>
                <a:pt x="165733" y="54876"/>
              </a:cubicBezTo>
              <a:lnTo>
                <a:pt x="157951" y="54865"/>
              </a:lnTo>
              <a:lnTo>
                <a:pt x="157951" y="39233"/>
              </a:lnTo>
              <a:cubicBezTo>
                <a:pt x="165710" y="39173"/>
                <a:pt x="165710" y="39173"/>
                <a:pt x="168146" y="39158"/>
              </a:cubicBezTo>
              <a:cubicBezTo>
                <a:pt x="168876" y="39150"/>
                <a:pt x="168876" y="39150"/>
                <a:pt x="169606" y="39142"/>
              </a:cubicBezTo>
              <a:cubicBezTo>
                <a:pt x="169928" y="39140"/>
                <a:pt x="170249" y="39138"/>
                <a:pt x="170571" y="39136"/>
              </a:cubicBezTo>
              <a:cubicBezTo>
                <a:pt x="173100" y="39127"/>
                <a:pt x="175397" y="38966"/>
                <a:pt x="177652" y="37694"/>
              </a:cubicBezTo>
              <a:lnTo>
                <a:pt x="178017" y="37501"/>
              </a:lnTo>
              <a:cubicBezTo>
                <a:pt x="178809" y="37069"/>
                <a:pt x="179382" y="36555"/>
                <a:pt x="180006" y="35912"/>
              </a:cubicBezTo>
              <a:lnTo>
                <a:pt x="180396" y="35912"/>
              </a:lnTo>
              <a:lnTo>
                <a:pt x="180558" y="35563"/>
              </a:lnTo>
              <a:cubicBezTo>
                <a:pt x="180780" y="35144"/>
                <a:pt x="181023" y="34824"/>
                <a:pt x="181324" y="34459"/>
              </a:cubicBezTo>
              <a:cubicBezTo>
                <a:pt x="182334" y="33128"/>
                <a:pt x="183176" y="31453"/>
                <a:pt x="183471" y="29796"/>
              </a:cubicBezTo>
              <a:cubicBezTo>
                <a:pt x="183716" y="27115"/>
                <a:pt x="183562" y="24698"/>
                <a:pt x="182421" y="22223"/>
              </a:cubicBezTo>
              <a:cubicBezTo>
                <a:pt x="181361" y="20234"/>
                <a:pt x="180013" y="18765"/>
                <a:pt x="178137" y="17535"/>
              </a:cubicBezTo>
              <a:cubicBezTo>
                <a:pt x="170774" y="13346"/>
                <a:pt x="158619" y="15844"/>
                <a:pt x="152486" y="15788"/>
              </a:cubicBezTo>
              <a:lnTo>
                <a:pt x="152486" y="89839"/>
              </a:lnTo>
              <a:lnTo>
                <a:pt x="136873" y="89839"/>
              </a:lnTo>
              <a:close/>
              <a:moveTo>
                <a:pt x="234034" y="19476"/>
              </a:moveTo>
              <a:cubicBezTo>
                <a:pt x="240222" y="19348"/>
                <a:pt x="246284" y="20823"/>
                <a:pt x="251735" y="23744"/>
              </a:cubicBezTo>
              <a:cubicBezTo>
                <a:pt x="254500" y="25275"/>
                <a:pt x="256927" y="27128"/>
                <a:pt x="259247" y="29269"/>
              </a:cubicBezTo>
              <a:lnTo>
                <a:pt x="259788" y="29767"/>
              </a:lnTo>
              <a:cubicBezTo>
                <a:pt x="264056" y="33879"/>
                <a:pt x="267014" y="39235"/>
                <a:pt x="268715" y="44874"/>
              </a:cubicBezTo>
              <a:cubicBezTo>
                <a:pt x="268975" y="45787"/>
                <a:pt x="269195" y="46706"/>
                <a:pt x="269396" y="47635"/>
              </a:cubicBezTo>
              <a:lnTo>
                <a:pt x="269493" y="48077"/>
              </a:lnTo>
              <a:cubicBezTo>
                <a:pt x="269962" y="50312"/>
                <a:pt x="270031" y="52538"/>
                <a:pt x="270029" y="54816"/>
              </a:cubicBezTo>
              <a:lnTo>
                <a:pt x="270029" y="55229"/>
              </a:lnTo>
              <a:cubicBezTo>
                <a:pt x="270025" y="56633"/>
                <a:pt x="269960" y="57959"/>
                <a:pt x="269786" y="59359"/>
              </a:cubicBezTo>
              <a:lnTo>
                <a:pt x="221773" y="59359"/>
              </a:lnTo>
              <a:lnTo>
                <a:pt x="221773" y="47830"/>
              </a:lnTo>
              <a:lnTo>
                <a:pt x="253002" y="47635"/>
              </a:lnTo>
              <a:cubicBezTo>
                <a:pt x="251343" y="44108"/>
                <a:pt x="249544" y="41196"/>
                <a:pt x="246401" y="38891"/>
              </a:cubicBezTo>
              <a:cubicBezTo>
                <a:pt x="243440" y="36953"/>
                <a:pt x="240218" y="35547"/>
                <a:pt x="236646" y="35287"/>
              </a:cubicBezTo>
              <a:cubicBezTo>
                <a:pt x="236098" y="35268"/>
                <a:pt x="235546" y="35262"/>
                <a:pt x="234996" y="35266"/>
              </a:cubicBezTo>
              <a:lnTo>
                <a:pt x="234403" y="35268"/>
              </a:lnTo>
              <a:cubicBezTo>
                <a:pt x="230820" y="35324"/>
                <a:pt x="227517" y="36436"/>
                <a:pt x="224441" y="38250"/>
              </a:cubicBezTo>
              <a:cubicBezTo>
                <a:pt x="221598" y="40013"/>
                <a:pt x="219441" y="42621"/>
                <a:pt x="217845" y="45523"/>
              </a:cubicBezTo>
              <a:cubicBezTo>
                <a:pt x="215972" y="49050"/>
                <a:pt x="215549" y="52641"/>
                <a:pt x="215686" y="56592"/>
              </a:cubicBezTo>
              <a:cubicBezTo>
                <a:pt x="215875" y="59720"/>
                <a:pt x="217065" y="62726"/>
                <a:pt x="218733" y="65359"/>
              </a:cubicBezTo>
              <a:cubicBezTo>
                <a:pt x="220841" y="68411"/>
                <a:pt x="223437" y="70718"/>
                <a:pt x="226775" y="72326"/>
              </a:cubicBezTo>
              <a:cubicBezTo>
                <a:pt x="229995" y="73722"/>
                <a:pt x="233306" y="74282"/>
                <a:pt x="236803" y="74012"/>
              </a:cubicBezTo>
              <a:cubicBezTo>
                <a:pt x="240237" y="73603"/>
                <a:pt x="243330" y="72481"/>
                <a:pt x="246170" y="70494"/>
              </a:cubicBezTo>
              <a:lnTo>
                <a:pt x="246672" y="69989"/>
              </a:lnTo>
              <a:cubicBezTo>
                <a:pt x="247040" y="69682"/>
                <a:pt x="247284" y="69531"/>
                <a:pt x="247757" y="69431"/>
              </a:cubicBezTo>
              <a:cubicBezTo>
                <a:pt x="248255" y="69398"/>
                <a:pt x="248747" y="69398"/>
                <a:pt x="249247" y="69407"/>
              </a:cubicBezTo>
              <a:lnTo>
                <a:pt x="249820" y="69407"/>
              </a:lnTo>
              <a:cubicBezTo>
                <a:pt x="250440" y="69407"/>
                <a:pt x="251062" y="69415"/>
                <a:pt x="251681" y="69423"/>
              </a:cubicBezTo>
              <a:cubicBezTo>
                <a:pt x="252114" y="69425"/>
                <a:pt x="252544" y="69427"/>
                <a:pt x="252977" y="69427"/>
              </a:cubicBezTo>
              <a:cubicBezTo>
                <a:pt x="254110" y="69431"/>
                <a:pt x="255245" y="69440"/>
                <a:pt x="256378" y="69452"/>
              </a:cubicBezTo>
              <a:cubicBezTo>
                <a:pt x="257537" y="69462"/>
                <a:pt x="258695" y="69465"/>
                <a:pt x="259851" y="69471"/>
              </a:cubicBezTo>
              <a:cubicBezTo>
                <a:pt x="262122" y="69481"/>
                <a:pt x="264392" y="69498"/>
                <a:pt x="266662" y="69518"/>
              </a:cubicBezTo>
              <a:cubicBezTo>
                <a:pt x="265525" y="73070"/>
                <a:pt x="262969" y="76242"/>
                <a:pt x="260417" y="78896"/>
              </a:cubicBezTo>
              <a:lnTo>
                <a:pt x="260127" y="79207"/>
              </a:lnTo>
              <a:cubicBezTo>
                <a:pt x="256112" y="83468"/>
                <a:pt x="250998" y="86659"/>
                <a:pt x="245395" y="88396"/>
              </a:cubicBezTo>
              <a:cubicBezTo>
                <a:pt x="239135" y="90200"/>
                <a:pt x="232662" y="90371"/>
                <a:pt x="226325" y="88871"/>
              </a:cubicBezTo>
              <a:cubicBezTo>
                <a:pt x="224057" y="88304"/>
                <a:pt x="221930" y="87524"/>
                <a:pt x="219821" y="86516"/>
              </a:cubicBezTo>
              <a:lnTo>
                <a:pt x="219393" y="86313"/>
              </a:lnTo>
              <a:cubicBezTo>
                <a:pt x="216489" y="84908"/>
                <a:pt x="213835" y="83118"/>
                <a:pt x="211495" y="80892"/>
              </a:cubicBezTo>
              <a:cubicBezTo>
                <a:pt x="211099" y="80516"/>
                <a:pt x="210692" y="80170"/>
                <a:pt x="210271" y="79825"/>
              </a:cubicBezTo>
              <a:cubicBezTo>
                <a:pt x="206228" y="76282"/>
                <a:pt x="203365" y="71128"/>
                <a:pt x="201641" y="66106"/>
              </a:cubicBezTo>
              <a:cubicBezTo>
                <a:pt x="199659" y="60162"/>
                <a:pt x="199192" y="53890"/>
                <a:pt x="200396" y="47727"/>
              </a:cubicBezTo>
              <a:cubicBezTo>
                <a:pt x="201719" y="41524"/>
                <a:pt x="204574" y="35876"/>
                <a:pt x="208792" y="31155"/>
              </a:cubicBezTo>
              <a:cubicBezTo>
                <a:pt x="213028" y="26497"/>
                <a:pt x="218289" y="23045"/>
                <a:pt x="224287" y="21088"/>
              </a:cubicBezTo>
              <a:cubicBezTo>
                <a:pt x="227439" y="20105"/>
                <a:pt x="230737" y="19582"/>
                <a:pt x="234034" y="19476"/>
              </a:cubicBezTo>
              <a:moveTo>
                <a:pt x="472571" y="23481"/>
              </a:moveTo>
              <a:cubicBezTo>
                <a:pt x="474222" y="24362"/>
                <a:pt x="475784" y="25379"/>
                <a:pt x="477257" y="26534"/>
              </a:cubicBezTo>
              <a:lnTo>
                <a:pt x="477824" y="26978"/>
              </a:lnTo>
              <a:cubicBezTo>
                <a:pt x="482570" y="30787"/>
                <a:pt x="486354" y="35515"/>
                <a:pt x="488649" y="41187"/>
              </a:cubicBezTo>
              <a:cubicBezTo>
                <a:pt x="489637" y="43741"/>
                <a:pt x="490417" y="46376"/>
                <a:pt x="490881" y="49077"/>
              </a:cubicBezTo>
              <a:lnTo>
                <a:pt x="490948" y="49463"/>
              </a:lnTo>
              <a:cubicBezTo>
                <a:pt x="491348" y="52069"/>
                <a:pt x="491336" y="54712"/>
                <a:pt x="491331" y="57343"/>
              </a:cubicBezTo>
              <a:lnTo>
                <a:pt x="491331" y="58413"/>
              </a:lnTo>
              <a:cubicBezTo>
                <a:pt x="491331" y="59371"/>
                <a:pt x="491331" y="60330"/>
                <a:pt x="491329" y="61288"/>
              </a:cubicBezTo>
              <a:cubicBezTo>
                <a:pt x="491327" y="62293"/>
                <a:pt x="491327" y="63299"/>
                <a:pt x="491327" y="64303"/>
              </a:cubicBezTo>
              <a:cubicBezTo>
                <a:pt x="491327" y="66203"/>
                <a:pt x="491325" y="68102"/>
                <a:pt x="491323" y="70002"/>
              </a:cubicBezTo>
              <a:cubicBezTo>
                <a:pt x="491321" y="72572"/>
                <a:pt x="491319" y="75141"/>
                <a:pt x="491317" y="77711"/>
              </a:cubicBezTo>
              <a:cubicBezTo>
                <a:pt x="491315" y="81753"/>
                <a:pt x="491311" y="85796"/>
                <a:pt x="491309" y="89839"/>
              </a:cubicBezTo>
              <a:lnTo>
                <a:pt x="475695" y="89839"/>
              </a:lnTo>
              <a:lnTo>
                <a:pt x="475689" y="86493"/>
              </a:lnTo>
              <a:cubicBezTo>
                <a:pt x="475683" y="82834"/>
                <a:pt x="475672" y="79178"/>
                <a:pt x="475658" y="75520"/>
              </a:cubicBezTo>
              <a:cubicBezTo>
                <a:pt x="475651" y="73303"/>
                <a:pt x="475645" y="71087"/>
                <a:pt x="475641" y="68871"/>
              </a:cubicBezTo>
              <a:cubicBezTo>
                <a:pt x="475639" y="66936"/>
                <a:pt x="475633" y="65004"/>
                <a:pt x="475625" y="63069"/>
              </a:cubicBezTo>
              <a:cubicBezTo>
                <a:pt x="475622" y="62048"/>
                <a:pt x="475618" y="61025"/>
                <a:pt x="475618" y="60004"/>
              </a:cubicBezTo>
              <a:cubicBezTo>
                <a:pt x="475618" y="59038"/>
                <a:pt x="475614" y="58073"/>
                <a:pt x="475608" y="57108"/>
              </a:cubicBezTo>
              <a:cubicBezTo>
                <a:pt x="475606" y="56757"/>
                <a:pt x="475606" y="56405"/>
                <a:pt x="475608" y="56054"/>
              </a:cubicBezTo>
              <a:cubicBezTo>
                <a:pt x="475618" y="52368"/>
                <a:pt x="475046" y="48976"/>
                <a:pt x="473353" y="45681"/>
              </a:cubicBezTo>
              <a:lnTo>
                <a:pt x="473037" y="45055"/>
              </a:lnTo>
              <a:cubicBezTo>
                <a:pt x="471510" y="42252"/>
                <a:pt x="469251" y="39887"/>
                <a:pt x="466569" y="38165"/>
              </a:cubicBezTo>
              <a:cubicBezTo>
                <a:pt x="463772" y="36457"/>
                <a:pt x="460610" y="35405"/>
                <a:pt x="457330" y="35285"/>
              </a:cubicBezTo>
              <a:cubicBezTo>
                <a:pt x="455177" y="35233"/>
                <a:pt x="453189" y="35341"/>
                <a:pt x="451104" y="35912"/>
              </a:cubicBezTo>
              <a:lnTo>
                <a:pt x="450499" y="36076"/>
              </a:lnTo>
              <a:cubicBezTo>
                <a:pt x="447105" y="37113"/>
                <a:pt x="444208" y="39053"/>
                <a:pt x="441735" y="41579"/>
              </a:cubicBezTo>
              <a:cubicBezTo>
                <a:pt x="439518" y="44108"/>
                <a:pt x="438065" y="47127"/>
                <a:pt x="437246" y="50370"/>
              </a:cubicBezTo>
              <a:lnTo>
                <a:pt x="437101" y="50944"/>
              </a:lnTo>
              <a:cubicBezTo>
                <a:pt x="436412" y="54272"/>
                <a:pt x="436800" y="57716"/>
                <a:pt x="437783" y="60934"/>
              </a:cubicBezTo>
              <a:cubicBezTo>
                <a:pt x="438609" y="63263"/>
                <a:pt x="439785" y="65263"/>
                <a:pt x="441345" y="67174"/>
              </a:cubicBezTo>
              <a:lnTo>
                <a:pt x="441713" y="67641"/>
              </a:lnTo>
              <a:cubicBezTo>
                <a:pt x="443661" y="69987"/>
                <a:pt x="446358" y="71686"/>
                <a:pt x="449173" y="72809"/>
              </a:cubicBezTo>
              <a:cubicBezTo>
                <a:pt x="452530" y="74041"/>
                <a:pt x="456092" y="74392"/>
                <a:pt x="459621" y="73801"/>
              </a:cubicBezTo>
              <a:cubicBezTo>
                <a:pt x="461600" y="73423"/>
                <a:pt x="463366" y="72780"/>
                <a:pt x="465156" y="71863"/>
              </a:cubicBezTo>
              <a:lnTo>
                <a:pt x="465780" y="71552"/>
              </a:lnTo>
              <a:cubicBezTo>
                <a:pt x="467233" y="70772"/>
                <a:pt x="468369" y="69757"/>
                <a:pt x="469542" y="68616"/>
              </a:cubicBezTo>
              <a:lnTo>
                <a:pt x="470035" y="68151"/>
              </a:lnTo>
              <a:lnTo>
                <a:pt x="470230" y="68151"/>
              </a:lnTo>
              <a:lnTo>
                <a:pt x="470230" y="86908"/>
              </a:lnTo>
              <a:cubicBezTo>
                <a:pt x="467036" y="88186"/>
                <a:pt x="464052" y="89167"/>
                <a:pt x="460666" y="89644"/>
              </a:cubicBezTo>
              <a:lnTo>
                <a:pt x="460268" y="89700"/>
              </a:lnTo>
              <a:cubicBezTo>
                <a:pt x="454550" y="90429"/>
                <a:pt x="448679" y="89584"/>
                <a:pt x="443320" y="87518"/>
              </a:cubicBezTo>
              <a:cubicBezTo>
                <a:pt x="439565" y="85925"/>
                <a:pt x="436190" y="83966"/>
                <a:pt x="433148" y="81242"/>
              </a:cubicBezTo>
              <a:lnTo>
                <a:pt x="432306" y="80522"/>
              </a:lnTo>
              <a:cubicBezTo>
                <a:pt x="427896" y="76603"/>
                <a:pt x="424634" y="71313"/>
                <a:pt x="422755" y="65741"/>
              </a:cubicBezTo>
              <a:cubicBezTo>
                <a:pt x="421724" y="62510"/>
                <a:pt x="421232" y="59222"/>
                <a:pt x="421047" y="55841"/>
              </a:cubicBezTo>
              <a:lnTo>
                <a:pt x="421010" y="55202"/>
              </a:lnTo>
              <a:cubicBezTo>
                <a:pt x="420997" y="54629"/>
                <a:pt x="421014" y="54069"/>
                <a:pt x="421047" y="53496"/>
              </a:cubicBezTo>
              <a:lnTo>
                <a:pt x="421070" y="53052"/>
              </a:lnTo>
              <a:cubicBezTo>
                <a:pt x="421390" y="47675"/>
                <a:pt x="422769" y="42602"/>
                <a:pt x="425340" y="37866"/>
              </a:cubicBezTo>
              <a:lnTo>
                <a:pt x="425530" y="37507"/>
              </a:lnTo>
              <a:cubicBezTo>
                <a:pt x="426802" y="35109"/>
                <a:pt x="428379" y="33061"/>
                <a:pt x="430215" y="31069"/>
              </a:cubicBezTo>
              <a:cubicBezTo>
                <a:pt x="430557" y="30692"/>
                <a:pt x="430887" y="30310"/>
                <a:pt x="431207" y="29916"/>
              </a:cubicBezTo>
              <a:cubicBezTo>
                <a:pt x="434431" y="26128"/>
                <a:pt x="439391" y="23335"/>
                <a:pt x="443989" y="21622"/>
              </a:cubicBezTo>
              <a:cubicBezTo>
                <a:pt x="453393" y="18296"/>
                <a:pt x="463689" y="18883"/>
                <a:pt x="472571" y="23481"/>
              </a:cubicBezTo>
              <a:moveTo>
                <a:pt x="599559" y="19476"/>
              </a:moveTo>
              <a:cubicBezTo>
                <a:pt x="605789" y="19371"/>
                <a:pt x="611969" y="20829"/>
                <a:pt x="617438" y="23844"/>
              </a:cubicBezTo>
              <a:cubicBezTo>
                <a:pt x="619971" y="25312"/>
                <a:pt x="622297" y="27055"/>
                <a:pt x="624417" y="29074"/>
              </a:cubicBezTo>
              <a:lnTo>
                <a:pt x="624749" y="29387"/>
              </a:lnTo>
              <a:cubicBezTo>
                <a:pt x="629151" y="33561"/>
                <a:pt x="632307" y="38673"/>
                <a:pt x="634083" y="44488"/>
              </a:cubicBezTo>
              <a:cubicBezTo>
                <a:pt x="634885" y="47229"/>
                <a:pt x="635427" y="50052"/>
                <a:pt x="635543" y="52911"/>
              </a:cubicBezTo>
              <a:lnTo>
                <a:pt x="635558" y="53295"/>
              </a:lnTo>
              <a:cubicBezTo>
                <a:pt x="635784" y="59538"/>
                <a:pt x="634354" y="65683"/>
                <a:pt x="631493" y="71228"/>
              </a:cubicBezTo>
              <a:cubicBezTo>
                <a:pt x="628614" y="76612"/>
                <a:pt x="624353" y="81178"/>
                <a:pt x="619226" y="84470"/>
              </a:cubicBezTo>
              <a:cubicBezTo>
                <a:pt x="615152" y="86972"/>
                <a:pt x="610946" y="88557"/>
                <a:pt x="606266" y="89447"/>
              </a:cubicBezTo>
              <a:lnTo>
                <a:pt x="605863" y="89526"/>
              </a:lnTo>
              <a:cubicBezTo>
                <a:pt x="600127" y="90595"/>
                <a:pt x="593916" y="89813"/>
                <a:pt x="588451" y="87887"/>
              </a:cubicBezTo>
              <a:cubicBezTo>
                <a:pt x="583565" y="86072"/>
                <a:pt x="579368" y="83288"/>
                <a:pt x="575624" y="79678"/>
              </a:cubicBezTo>
              <a:lnTo>
                <a:pt x="575178" y="79271"/>
              </a:lnTo>
              <a:cubicBezTo>
                <a:pt x="572893" y="77108"/>
                <a:pt x="571074" y="74421"/>
                <a:pt x="569574" y="71668"/>
              </a:cubicBezTo>
              <a:lnTo>
                <a:pt x="569369" y="71296"/>
              </a:lnTo>
              <a:cubicBezTo>
                <a:pt x="567528" y="67886"/>
                <a:pt x="566390" y="64334"/>
                <a:pt x="565670" y="60531"/>
              </a:cubicBezTo>
              <a:lnTo>
                <a:pt x="565591" y="60122"/>
              </a:lnTo>
              <a:cubicBezTo>
                <a:pt x="564558" y="54455"/>
                <a:pt x="565309" y="48237"/>
                <a:pt x="567213" y="42831"/>
              </a:cubicBezTo>
              <a:cubicBezTo>
                <a:pt x="567626" y="41739"/>
                <a:pt x="568095" y="40679"/>
                <a:pt x="568597" y="39625"/>
              </a:cubicBezTo>
              <a:lnTo>
                <a:pt x="568802" y="39196"/>
              </a:lnTo>
              <a:cubicBezTo>
                <a:pt x="571425" y="33762"/>
                <a:pt x="575526" y="29013"/>
                <a:pt x="580510" y="25617"/>
              </a:cubicBezTo>
              <a:cubicBezTo>
                <a:pt x="585686" y="22176"/>
                <a:pt x="591457" y="20109"/>
                <a:pt x="597654" y="19549"/>
              </a:cubicBezTo>
              <a:cubicBezTo>
                <a:pt x="598289" y="19514"/>
                <a:pt x="598924" y="19497"/>
                <a:pt x="599559" y="19476"/>
              </a:cubicBezTo>
              <a:moveTo>
                <a:pt x="589615" y="38225"/>
              </a:moveTo>
              <a:cubicBezTo>
                <a:pt x="586515" y="40360"/>
                <a:pt x="584231" y="43173"/>
                <a:pt x="582601" y="46561"/>
              </a:cubicBezTo>
              <a:cubicBezTo>
                <a:pt x="581144" y="49859"/>
                <a:pt x="580599" y="53274"/>
                <a:pt x="580933" y="56859"/>
              </a:cubicBezTo>
              <a:cubicBezTo>
                <a:pt x="581348" y="60324"/>
                <a:pt x="582678" y="63652"/>
                <a:pt x="584758" y="66456"/>
              </a:cubicBezTo>
              <a:cubicBezTo>
                <a:pt x="586520" y="68743"/>
                <a:pt x="588515" y="70458"/>
                <a:pt x="591042" y="71863"/>
              </a:cubicBezTo>
              <a:lnTo>
                <a:pt x="591526" y="72141"/>
              </a:lnTo>
              <a:cubicBezTo>
                <a:pt x="594505" y="73755"/>
                <a:pt x="597864" y="74328"/>
                <a:pt x="601216" y="74255"/>
              </a:cubicBezTo>
              <a:cubicBezTo>
                <a:pt x="604772" y="74114"/>
                <a:pt x="608131" y="72967"/>
                <a:pt x="611144" y="71081"/>
              </a:cubicBezTo>
              <a:cubicBezTo>
                <a:pt x="611824" y="70589"/>
                <a:pt x="612461" y="70064"/>
                <a:pt x="613096" y="69518"/>
              </a:cubicBezTo>
              <a:lnTo>
                <a:pt x="613446" y="69255"/>
              </a:lnTo>
              <a:cubicBezTo>
                <a:pt x="615679" y="67525"/>
                <a:pt x="617309" y="64768"/>
                <a:pt x="618463" y="62235"/>
              </a:cubicBezTo>
              <a:cubicBezTo>
                <a:pt x="619320" y="60133"/>
                <a:pt x="619807" y="57913"/>
                <a:pt x="619929" y="55646"/>
              </a:cubicBezTo>
              <a:lnTo>
                <a:pt x="619952" y="55202"/>
              </a:lnTo>
              <a:cubicBezTo>
                <a:pt x="620048" y="51585"/>
                <a:pt x="619100" y="48208"/>
                <a:pt x="617411" y="45034"/>
              </a:cubicBezTo>
              <a:cubicBezTo>
                <a:pt x="616842" y="44009"/>
                <a:pt x="616179" y="43075"/>
                <a:pt x="615440" y="42165"/>
              </a:cubicBezTo>
              <a:lnTo>
                <a:pt x="615040" y="41667"/>
              </a:lnTo>
              <a:cubicBezTo>
                <a:pt x="612884" y="39129"/>
                <a:pt x="610005" y="37244"/>
                <a:pt x="606890" y="36107"/>
              </a:cubicBezTo>
              <a:cubicBezTo>
                <a:pt x="601142" y="34134"/>
                <a:pt x="594714" y="34914"/>
                <a:pt x="589615" y="38225"/>
              </a:cubicBezTo>
              <a:moveTo>
                <a:pt x="350782" y="19501"/>
              </a:moveTo>
              <a:cubicBezTo>
                <a:pt x="352790" y="19495"/>
                <a:pt x="354798" y="19493"/>
                <a:pt x="356804" y="19489"/>
              </a:cubicBezTo>
              <a:cubicBezTo>
                <a:pt x="357736" y="19489"/>
                <a:pt x="358669" y="19487"/>
                <a:pt x="359599" y="19485"/>
              </a:cubicBezTo>
              <a:cubicBezTo>
                <a:pt x="360499" y="19483"/>
                <a:pt x="361397" y="19481"/>
                <a:pt x="362294" y="19481"/>
              </a:cubicBezTo>
              <a:cubicBezTo>
                <a:pt x="362638" y="19481"/>
                <a:pt x="362982" y="19479"/>
                <a:pt x="363325" y="19479"/>
              </a:cubicBezTo>
              <a:cubicBezTo>
                <a:pt x="363806" y="19478"/>
                <a:pt x="364285" y="19478"/>
                <a:pt x="364763" y="19478"/>
              </a:cubicBezTo>
              <a:lnTo>
                <a:pt x="365200" y="19476"/>
              </a:lnTo>
              <a:cubicBezTo>
                <a:pt x="365534" y="19476"/>
                <a:pt x="365868" y="19487"/>
                <a:pt x="366202" y="19501"/>
              </a:cubicBezTo>
              <a:lnTo>
                <a:pt x="366397" y="19696"/>
              </a:lnTo>
              <a:cubicBezTo>
                <a:pt x="366416" y="20221"/>
                <a:pt x="366424" y="20740"/>
                <a:pt x="366422" y="21263"/>
              </a:cubicBezTo>
              <a:lnTo>
                <a:pt x="366424" y="21769"/>
              </a:lnTo>
              <a:cubicBezTo>
                <a:pt x="366426" y="22331"/>
                <a:pt x="366426" y="22893"/>
                <a:pt x="366426" y="23456"/>
              </a:cubicBezTo>
              <a:lnTo>
                <a:pt x="366428" y="24659"/>
              </a:lnTo>
              <a:cubicBezTo>
                <a:pt x="366428" y="25526"/>
                <a:pt x="366430" y="26395"/>
                <a:pt x="366430" y="27262"/>
              </a:cubicBezTo>
              <a:cubicBezTo>
                <a:pt x="366431" y="28634"/>
                <a:pt x="366433" y="30007"/>
                <a:pt x="366437" y="31381"/>
              </a:cubicBezTo>
              <a:lnTo>
                <a:pt x="366441" y="32791"/>
              </a:lnTo>
              <a:lnTo>
                <a:pt x="366443" y="33505"/>
              </a:lnTo>
              <a:cubicBezTo>
                <a:pt x="366453" y="36702"/>
                <a:pt x="366458" y="39899"/>
                <a:pt x="366460" y="43098"/>
              </a:cubicBezTo>
              <a:cubicBezTo>
                <a:pt x="366462" y="45252"/>
                <a:pt x="366466" y="47407"/>
                <a:pt x="366474" y="49561"/>
              </a:cubicBezTo>
              <a:cubicBezTo>
                <a:pt x="366478" y="50702"/>
                <a:pt x="366480" y="51843"/>
                <a:pt x="366480" y="52982"/>
              </a:cubicBezTo>
              <a:cubicBezTo>
                <a:pt x="366480" y="54058"/>
                <a:pt x="366482" y="55133"/>
                <a:pt x="366487" y="56206"/>
              </a:cubicBezTo>
              <a:cubicBezTo>
                <a:pt x="366487" y="56600"/>
                <a:pt x="366487" y="56992"/>
                <a:pt x="366487" y="57384"/>
              </a:cubicBezTo>
              <a:cubicBezTo>
                <a:pt x="366478" y="60284"/>
                <a:pt x="366735" y="62896"/>
                <a:pt x="368128" y="65500"/>
              </a:cubicBezTo>
              <a:lnTo>
                <a:pt x="368335" y="65898"/>
              </a:lnTo>
              <a:cubicBezTo>
                <a:pt x="368841" y="66851"/>
                <a:pt x="369401" y="67720"/>
                <a:pt x="370105" y="68541"/>
              </a:cubicBezTo>
              <a:lnTo>
                <a:pt x="370406" y="68927"/>
              </a:lnTo>
              <a:cubicBezTo>
                <a:pt x="372032" y="70931"/>
                <a:pt x="374356" y="72301"/>
                <a:pt x="376741" y="73230"/>
              </a:cubicBezTo>
              <a:cubicBezTo>
                <a:pt x="379476" y="74147"/>
                <a:pt x="382270" y="74282"/>
                <a:pt x="385098" y="73780"/>
              </a:cubicBezTo>
              <a:cubicBezTo>
                <a:pt x="387801" y="73164"/>
                <a:pt x="390326" y="71931"/>
                <a:pt x="392392" y="70068"/>
              </a:cubicBezTo>
              <a:cubicBezTo>
                <a:pt x="394423" y="68160"/>
                <a:pt x="395803" y="65981"/>
                <a:pt x="396691" y="63342"/>
              </a:cubicBezTo>
              <a:cubicBezTo>
                <a:pt x="397249" y="61492"/>
                <a:pt x="397457" y="59745"/>
                <a:pt x="397461" y="57822"/>
              </a:cubicBezTo>
              <a:lnTo>
                <a:pt x="397463" y="57322"/>
              </a:lnTo>
              <a:cubicBezTo>
                <a:pt x="397467" y="56774"/>
                <a:pt x="397469" y="56226"/>
                <a:pt x="397469" y="55677"/>
              </a:cubicBezTo>
              <a:lnTo>
                <a:pt x="397475" y="54492"/>
              </a:lnTo>
              <a:cubicBezTo>
                <a:pt x="397481" y="53424"/>
                <a:pt x="397484" y="52355"/>
                <a:pt x="397488" y="51287"/>
              </a:cubicBezTo>
              <a:cubicBezTo>
                <a:pt x="397494" y="50169"/>
                <a:pt x="397498" y="49052"/>
                <a:pt x="397504" y="47934"/>
              </a:cubicBezTo>
              <a:cubicBezTo>
                <a:pt x="397513" y="45818"/>
                <a:pt x="397523" y="43702"/>
                <a:pt x="397531" y="41588"/>
              </a:cubicBezTo>
              <a:cubicBezTo>
                <a:pt x="397540" y="39179"/>
                <a:pt x="397552" y="36770"/>
                <a:pt x="397562" y="34362"/>
              </a:cubicBezTo>
              <a:cubicBezTo>
                <a:pt x="397585" y="29408"/>
                <a:pt x="397606" y="24454"/>
                <a:pt x="397625" y="19501"/>
              </a:cubicBezTo>
              <a:lnTo>
                <a:pt x="413240" y="19501"/>
              </a:lnTo>
              <a:cubicBezTo>
                <a:pt x="413247" y="24792"/>
                <a:pt x="413255" y="30084"/>
                <a:pt x="413259" y="35378"/>
              </a:cubicBezTo>
              <a:cubicBezTo>
                <a:pt x="413261" y="37835"/>
                <a:pt x="413265" y="40293"/>
                <a:pt x="413269" y="42750"/>
              </a:cubicBezTo>
              <a:cubicBezTo>
                <a:pt x="413272" y="44893"/>
                <a:pt x="413274" y="47036"/>
                <a:pt x="413276" y="49179"/>
              </a:cubicBezTo>
              <a:cubicBezTo>
                <a:pt x="413276" y="50312"/>
                <a:pt x="413278" y="51448"/>
                <a:pt x="413280" y="52581"/>
              </a:cubicBezTo>
              <a:cubicBezTo>
                <a:pt x="413282" y="53650"/>
                <a:pt x="413284" y="54720"/>
                <a:pt x="413282" y="55789"/>
              </a:cubicBezTo>
              <a:cubicBezTo>
                <a:pt x="413282" y="56179"/>
                <a:pt x="413284" y="56569"/>
                <a:pt x="413286" y="56959"/>
              </a:cubicBezTo>
              <a:cubicBezTo>
                <a:pt x="413298" y="59994"/>
                <a:pt x="413147" y="62959"/>
                <a:pt x="412410" y="65915"/>
              </a:cubicBezTo>
              <a:lnTo>
                <a:pt x="412280" y="66438"/>
              </a:lnTo>
              <a:cubicBezTo>
                <a:pt x="411216" y="70606"/>
                <a:pt x="409290" y="74556"/>
                <a:pt x="406602" y="77919"/>
              </a:cubicBezTo>
              <a:lnTo>
                <a:pt x="406328" y="78265"/>
              </a:lnTo>
              <a:cubicBezTo>
                <a:pt x="402815" y="82622"/>
                <a:pt x="398295" y="85875"/>
                <a:pt x="393094" y="87933"/>
              </a:cubicBezTo>
              <a:cubicBezTo>
                <a:pt x="391264" y="88620"/>
                <a:pt x="389392" y="89072"/>
                <a:pt x="387476" y="89447"/>
              </a:cubicBezTo>
              <a:lnTo>
                <a:pt x="386752" y="89593"/>
              </a:lnTo>
              <a:cubicBezTo>
                <a:pt x="381584" y="90451"/>
                <a:pt x="376196" y="89802"/>
                <a:pt x="371277" y="88080"/>
              </a:cubicBezTo>
              <a:cubicBezTo>
                <a:pt x="365922" y="86049"/>
                <a:pt x="361219" y="82667"/>
                <a:pt x="357584" y="78238"/>
              </a:cubicBezTo>
              <a:cubicBezTo>
                <a:pt x="356663" y="77081"/>
                <a:pt x="355846" y="75863"/>
                <a:pt x="355078" y="74599"/>
              </a:cubicBezTo>
              <a:lnTo>
                <a:pt x="354867" y="74253"/>
              </a:lnTo>
              <a:cubicBezTo>
                <a:pt x="352248" y="69863"/>
                <a:pt x="350821" y="64585"/>
                <a:pt x="350740" y="59481"/>
              </a:cubicBezTo>
              <a:cubicBezTo>
                <a:pt x="350734" y="58575"/>
                <a:pt x="350736" y="57670"/>
                <a:pt x="350738" y="56764"/>
              </a:cubicBezTo>
              <a:lnTo>
                <a:pt x="350738" y="55538"/>
              </a:lnTo>
              <a:cubicBezTo>
                <a:pt x="350738" y="54440"/>
                <a:pt x="350742" y="53339"/>
                <a:pt x="350744" y="52241"/>
              </a:cubicBezTo>
              <a:cubicBezTo>
                <a:pt x="350746" y="51087"/>
                <a:pt x="350746" y="49936"/>
                <a:pt x="350748" y="48783"/>
              </a:cubicBezTo>
              <a:cubicBezTo>
                <a:pt x="350748" y="46604"/>
                <a:pt x="350752" y="44426"/>
                <a:pt x="350755" y="42248"/>
              </a:cubicBezTo>
              <a:cubicBezTo>
                <a:pt x="350759" y="39766"/>
                <a:pt x="350761" y="37285"/>
                <a:pt x="350763" y="34802"/>
              </a:cubicBezTo>
              <a:cubicBezTo>
                <a:pt x="350767" y="29702"/>
                <a:pt x="350775" y="24601"/>
                <a:pt x="350782" y="19501"/>
              </a:cubicBezTo>
              <a:moveTo>
                <a:pt x="326033" y="23213"/>
              </a:moveTo>
              <a:cubicBezTo>
                <a:pt x="329371" y="24951"/>
                <a:pt x="332218" y="27095"/>
                <a:pt x="334975" y="29659"/>
              </a:cubicBezTo>
              <a:lnTo>
                <a:pt x="335367" y="30022"/>
              </a:lnTo>
              <a:cubicBezTo>
                <a:pt x="338209" y="32739"/>
                <a:pt x="340518" y="36279"/>
                <a:pt x="342195" y="39820"/>
              </a:cubicBezTo>
              <a:lnTo>
                <a:pt x="342195" y="40210"/>
              </a:lnTo>
              <a:cubicBezTo>
                <a:pt x="339771" y="40256"/>
                <a:pt x="337348" y="40291"/>
                <a:pt x="334921" y="40312"/>
              </a:cubicBezTo>
              <a:cubicBezTo>
                <a:pt x="333795" y="40322"/>
                <a:pt x="332670" y="40335"/>
                <a:pt x="331544" y="40358"/>
              </a:cubicBezTo>
              <a:cubicBezTo>
                <a:pt x="330456" y="40380"/>
                <a:pt x="329367" y="40391"/>
                <a:pt x="328278" y="40395"/>
              </a:cubicBezTo>
              <a:cubicBezTo>
                <a:pt x="327865" y="40399"/>
                <a:pt x="327452" y="40407"/>
                <a:pt x="327039" y="40416"/>
              </a:cubicBezTo>
              <a:cubicBezTo>
                <a:pt x="323884" y="40495"/>
                <a:pt x="323884" y="40495"/>
                <a:pt x="322843" y="40017"/>
              </a:cubicBezTo>
              <a:cubicBezTo>
                <a:pt x="322044" y="39526"/>
                <a:pt x="321397" y="38910"/>
                <a:pt x="320726" y="38256"/>
              </a:cubicBezTo>
              <a:cubicBezTo>
                <a:pt x="320231" y="37932"/>
                <a:pt x="319726" y="37665"/>
                <a:pt x="319189" y="37414"/>
              </a:cubicBezTo>
              <a:lnTo>
                <a:pt x="318797" y="37225"/>
              </a:lnTo>
              <a:cubicBezTo>
                <a:pt x="315339" y="35602"/>
                <a:pt x="311843" y="35051"/>
                <a:pt x="308040" y="35325"/>
              </a:cubicBezTo>
              <a:cubicBezTo>
                <a:pt x="304748" y="35741"/>
                <a:pt x="301549" y="36974"/>
                <a:pt x="298879" y="38947"/>
              </a:cubicBezTo>
              <a:cubicBezTo>
                <a:pt x="295823" y="41273"/>
                <a:pt x="293731" y="44117"/>
                <a:pt x="292231" y="47635"/>
              </a:cubicBezTo>
              <a:cubicBezTo>
                <a:pt x="291916" y="48473"/>
                <a:pt x="291663" y="49307"/>
                <a:pt x="291451" y="50175"/>
              </a:cubicBezTo>
              <a:lnTo>
                <a:pt x="291318" y="50697"/>
              </a:lnTo>
              <a:cubicBezTo>
                <a:pt x="290607" y="54077"/>
                <a:pt x="290922" y="57650"/>
                <a:pt x="291964" y="60917"/>
              </a:cubicBezTo>
              <a:cubicBezTo>
                <a:pt x="293107" y="64315"/>
                <a:pt x="295042" y="66985"/>
                <a:pt x="297627" y="69419"/>
              </a:cubicBezTo>
              <a:cubicBezTo>
                <a:pt x="300279" y="71722"/>
                <a:pt x="303399" y="73076"/>
                <a:pt x="306820" y="73780"/>
              </a:cubicBezTo>
              <a:cubicBezTo>
                <a:pt x="310189" y="74390"/>
                <a:pt x="313592" y="74052"/>
                <a:pt x="316836" y="72979"/>
              </a:cubicBezTo>
              <a:cubicBezTo>
                <a:pt x="319776" y="71879"/>
                <a:pt x="322448" y="70224"/>
                <a:pt x="324513" y="67832"/>
              </a:cubicBezTo>
              <a:lnTo>
                <a:pt x="324826" y="67564"/>
              </a:lnTo>
              <a:cubicBezTo>
                <a:pt x="325417" y="67510"/>
                <a:pt x="325967" y="67490"/>
                <a:pt x="326558" y="67498"/>
              </a:cubicBezTo>
              <a:lnTo>
                <a:pt x="327095" y="67498"/>
              </a:lnTo>
              <a:cubicBezTo>
                <a:pt x="327681" y="67498"/>
                <a:pt x="328266" y="67502"/>
                <a:pt x="328853" y="67508"/>
              </a:cubicBezTo>
              <a:cubicBezTo>
                <a:pt x="329259" y="67508"/>
                <a:pt x="329664" y="67510"/>
                <a:pt x="330071" y="67510"/>
              </a:cubicBezTo>
              <a:cubicBezTo>
                <a:pt x="331141" y="67512"/>
                <a:pt x="332210" y="67517"/>
                <a:pt x="333280" y="67523"/>
              </a:cubicBezTo>
              <a:cubicBezTo>
                <a:pt x="334371" y="67529"/>
                <a:pt x="335462" y="67533"/>
                <a:pt x="336552" y="67537"/>
              </a:cubicBezTo>
              <a:cubicBezTo>
                <a:pt x="338693" y="67543"/>
                <a:pt x="340834" y="67552"/>
                <a:pt x="342977" y="67564"/>
              </a:cubicBezTo>
              <a:cubicBezTo>
                <a:pt x="342823" y="67936"/>
                <a:pt x="342668" y="68311"/>
                <a:pt x="342514" y="68684"/>
              </a:cubicBezTo>
              <a:lnTo>
                <a:pt x="342253" y="69313"/>
              </a:lnTo>
              <a:cubicBezTo>
                <a:pt x="341230" y="71720"/>
                <a:pt x="339881" y="73894"/>
                <a:pt x="338292" y="75966"/>
              </a:cubicBezTo>
              <a:lnTo>
                <a:pt x="337902" y="76489"/>
              </a:lnTo>
              <a:cubicBezTo>
                <a:pt x="334066" y="81423"/>
                <a:pt x="329012" y="85107"/>
                <a:pt x="323264" y="87493"/>
              </a:cubicBezTo>
              <a:cubicBezTo>
                <a:pt x="317805" y="89694"/>
                <a:pt x="311611" y="90387"/>
                <a:pt x="305783" y="89678"/>
              </a:cubicBezTo>
              <a:cubicBezTo>
                <a:pt x="299632" y="88794"/>
                <a:pt x="293791" y="86468"/>
                <a:pt x="288889" y="82620"/>
              </a:cubicBezTo>
              <a:cubicBezTo>
                <a:pt x="287893" y="81802"/>
                <a:pt x="286926" y="80952"/>
                <a:pt x="285985" y="80068"/>
              </a:cubicBezTo>
              <a:lnTo>
                <a:pt x="285690" y="79794"/>
              </a:lnTo>
              <a:cubicBezTo>
                <a:pt x="281323" y="75688"/>
                <a:pt x="278298" y="70413"/>
                <a:pt x="276520" y="64707"/>
              </a:cubicBezTo>
              <a:cubicBezTo>
                <a:pt x="276028" y="63017"/>
                <a:pt x="275713" y="61289"/>
                <a:pt x="275446" y="59554"/>
              </a:cubicBezTo>
              <a:lnTo>
                <a:pt x="275333" y="58845"/>
              </a:lnTo>
              <a:cubicBezTo>
                <a:pt x="274587" y="52527"/>
                <a:pt x="275676" y="46204"/>
                <a:pt x="278140" y="40378"/>
              </a:cubicBezTo>
              <a:cubicBezTo>
                <a:pt x="280564" y="34883"/>
                <a:pt x="284526" y="29959"/>
                <a:pt x="289346" y="26395"/>
              </a:cubicBezTo>
              <a:cubicBezTo>
                <a:pt x="294350" y="22773"/>
                <a:pt x="300134" y="20402"/>
                <a:pt x="306283" y="19696"/>
              </a:cubicBezTo>
              <a:lnTo>
                <a:pt x="306841" y="19630"/>
              </a:lnTo>
              <a:cubicBezTo>
                <a:pt x="313417" y="18972"/>
                <a:pt x="320137" y="20232"/>
                <a:pt x="326033" y="23213"/>
              </a:cubicBezTo>
              <a:moveTo>
                <a:pt x="534052" y="19501"/>
              </a:moveTo>
              <a:lnTo>
                <a:pt x="534052" y="35130"/>
              </a:lnTo>
              <a:cubicBezTo>
                <a:pt x="533492" y="35318"/>
                <a:pt x="532988" y="35380"/>
                <a:pt x="532403" y="35432"/>
              </a:cubicBezTo>
              <a:cubicBezTo>
                <a:pt x="528889" y="35766"/>
                <a:pt x="525716" y="36893"/>
                <a:pt x="522779" y="38880"/>
              </a:cubicBezTo>
              <a:cubicBezTo>
                <a:pt x="522138" y="39347"/>
                <a:pt x="521551" y="39862"/>
                <a:pt x="520974" y="40407"/>
              </a:cubicBezTo>
              <a:cubicBezTo>
                <a:pt x="520820" y="40550"/>
                <a:pt x="520663" y="40690"/>
                <a:pt x="520503" y="40837"/>
              </a:cubicBezTo>
              <a:cubicBezTo>
                <a:pt x="518094" y="43138"/>
                <a:pt x="516536" y="46090"/>
                <a:pt x="515511" y="49231"/>
              </a:cubicBezTo>
              <a:cubicBezTo>
                <a:pt x="514928" y="51449"/>
                <a:pt x="514864" y="53556"/>
                <a:pt x="514862" y="55834"/>
              </a:cubicBezTo>
              <a:lnTo>
                <a:pt x="514856" y="56950"/>
              </a:lnTo>
              <a:cubicBezTo>
                <a:pt x="514850" y="57953"/>
                <a:pt x="514849" y="58957"/>
                <a:pt x="514845" y="59961"/>
              </a:cubicBezTo>
              <a:cubicBezTo>
                <a:pt x="514843" y="61013"/>
                <a:pt x="514837" y="62064"/>
                <a:pt x="514833" y="63116"/>
              </a:cubicBezTo>
              <a:cubicBezTo>
                <a:pt x="514823" y="65102"/>
                <a:pt x="514816" y="67091"/>
                <a:pt x="514810" y="69079"/>
              </a:cubicBezTo>
              <a:cubicBezTo>
                <a:pt x="514802" y="71344"/>
                <a:pt x="514793" y="73608"/>
                <a:pt x="514783" y="75871"/>
              </a:cubicBezTo>
              <a:cubicBezTo>
                <a:pt x="514762" y="80527"/>
                <a:pt x="514746" y="85182"/>
                <a:pt x="514729" y="89839"/>
              </a:cubicBezTo>
              <a:lnTo>
                <a:pt x="499116" y="89839"/>
              </a:lnTo>
              <a:cubicBezTo>
                <a:pt x="499103" y="84833"/>
                <a:pt x="499091" y="79827"/>
                <a:pt x="499086" y="74823"/>
              </a:cubicBezTo>
              <a:cubicBezTo>
                <a:pt x="499082" y="72498"/>
                <a:pt x="499078" y="70174"/>
                <a:pt x="499072" y="67850"/>
              </a:cubicBezTo>
              <a:cubicBezTo>
                <a:pt x="499066" y="65821"/>
                <a:pt x="499062" y="63793"/>
                <a:pt x="499060" y="61766"/>
              </a:cubicBezTo>
              <a:cubicBezTo>
                <a:pt x="499060" y="60695"/>
                <a:pt x="499059" y="59621"/>
                <a:pt x="499053" y="58550"/>
              </a:cubicBezTo>
              <a:cubicBezTo>
                <a:pt x="499049" y="57538"/>
                <a:pt x="499049" y="56525"/>
                <a:pt x="499049" y="55513"/>
              </a:cubicBezTo>
              <a:cubicBezTo>
                <a:pt x="499049" y="55145"/>
                <a:pt x="499049" y="54776"/>
                <a:pt x="499045" y="54407"/>
              </a:cubicBezTo>
              <a:cubicBezTo>
                <a:pt x="499028" y="51253"/>
                <a:pt x="499331" y="48177"/>
                <a:pt x="500250" y="45144"/>
              </a:cubicBezTo>
              <a:cubicBezTo>
                <a:pt x="500300" y="44972"/>
                <a:pt x="500350" y="44803"/>
                <a:pt x="500402" y="44627"/>
              </a:cubicBezTo>
              <a:cubicBezTo>
                <a:pt x="500860" y="43115"/>
                <a:pt x="501396" y="41654"/>
                <a:pt x="502043" y="40210"/>
              </a:cubicBezTo>
              <a:cubicBezTo>
                <a:pt x="502097" y="40088"/>
                <a:pt x="502153" y="39967"/>
                <a:pt x="502209" y="39839"/>
              </a:cubicBezTo>
              <a:cubicBezTo>
                <a:pt x="504590" y="34601"/>
                <a:pt x="508466" y="29808"/>
                <a:pt x="513103" y="26397"/>
              </a:cubicBezTo>
              <a:cubicBezTo>
                <a:pt x="518634" y="22534"/>
                <a:pt x="524708" y="20178"/>
                <a:pt x="531442" y="19561"/>
              </a:cubicBezTo>
              <a:cubicBezTo>
                <a:pt x="532318" y="19493"/>
                <a:pt x="533164" y="19501"/>
                <a:pt x="534052" y="19501"/>
              </a:cubicBezTo>
              <a:moveTo>
                <a:pt x="541859" y="19501"/>
              </a:moveTo>
              <a:lnTo>
                <a:pt x="557473" y="19501"/>
              </a:lnTo>
              <a:lnTo>
                <a:pt x="557473" y="89839"/>
              </a:lnTo>
              <a:lnTo>
                <a:pt x="541859" y="89839"/>
              </a:lnTo>
              <a:close/>
              <a:moveTo>
                <a:pt x="452858" y="157"/>
              </a:moveTo>
              <a:lnTo>
                <a:pt x="468863" y="157"/>
              </a:lnTo>
              <a:cubicBezTo>
                <a:pt x="468560" y="915"/>
                <a:pt x="468251" y="1558"/>
                <a:pt x="467847" y="2261"/>
              </a:cubicBezTo>
              <a:lnTo>
                <a:pt x="467467" y="2927"/>
              </a:lnTo>
              <a:lnTo>
                <a:pt x="467058" y="3637"/>
              </a:lnTo>
              <a:lnTo>
                <a:pt x="466635" y="4375"/>
              </a:lnTo>
              <a:cubicBezTo>
                <a:pt x="465307" y="6688"/>
                <a:pt x="463967" y="8995"/>
                <a:pt x="462617" y="11294"/>
              </a:cubicBezTo>
              <a:lnTo>
                <a:pt x="462256" y="11910"/>
              </a:lnTo>
              <a:cubicBezTo>
                <a:pt x="461901" y="12516"/>
                <a:pt x="461546" y="13120"/>
                <a:pt x="461191" y="13724"/>
              </a:cubicBezTo>
              <a:cubicBezTo>
                <a:pt x="461083" y="13910"/>
                <a:pt x="460973" y="14095"/>
                <a:pt x="460861" y="14286"/>
              </a:cubicBezTo>
              <a:lnTo>
                <a:pt x="460559" y="14798"/>
              </a:lnTo>
              <a:lnTo>
                <a:pt x="460293" y="15250"/>
              </a:lnTo>
              <a:cubicBezTo>
                <a:pt x="460081" y="15591"/>
                <a:pt x="460081" y="15591"/>
                <a:pt x="459886" y="15788"/>
              </a:cubicBezTo>
              <a:cubicBezTo>
                <a:pt x="459395" y="15806"/>
                <a:pt x="458903" y="15813"/>
                <a:pt x="458413" y="15809"/>
              </a:cubicBezTo>
              <a:lnTo>
                <a:pt x="457945" y="15809"/>
              </a:lnTo>
              <a:cubicBezTo>
                <a:pt x="457432" y="15809"/>
                <a:pt x="456920" y="15808"/>
                <a:pt x="456409" y="15808"/>
              </a:cubicBezTo>
              <a:lnTo>
                <a:pt x="455345" y="15806"/>
              </a:lnTo>
              <a:cubicBezTo>
                <a:pt x="454413" y="15806"/>
                <a:pt x="453478" y="15804"/>
                <a:pt x="452544" y="15802"/>
              </a:cubicBezTo>
              <a:cubicBezTo>
                <a:pt x="451592" y="15800"/>
                <a:pt x="450638" y="15798"/>
                <a:pt x="449687" y="15798"/>
              </a:cubicBezTo>
              <a:cubicBezTo>
                <a:pt x="447816" y="15796"/>
                <a:pt x="445947" y="15792"/>
                <a:pt x="444076" y="15788"/>
              </a:cubicBezTo>
              <a:cubicBezTo>
                <a:pt x="444347" y="15097"/>
                <a:pt x="444644" y="14458"/>
                <a:pt x="445007" y="13811"/>
              </a:cubicBezTo>
              <a:lnTo>
                <a:pt x="445333" y="13226"/>
              </a:lnTo>
              <a:lnTo>
                <a:pt x="445686" y="12601"/>
              </a:lnTo>
              <a:lnTo>
                <a:pt x="446055" y="11944"/>
              </a:lnTo>
              <a:cubicBezTo>
                <a:pt x="447324" y="9693"/>
                <a:pt x="448629" y="7466"/>
                <a:pt x="449932" y="5238"/>
              </a:cubicBezTo>
              <a:close/>
              <a:moveTo>
                <a:pt x="552099" y="317"/>
              </a:moveTo>
              <a:cubicBezTo>
                <a:pt x="553560" y="857"/>
                <a:pt x="554670" y="1751"/>
                <a:pt x="555716" y="2892"/>
              </a:cubicBezTo>
              <a:cubicBezTo>
                <a:pt x="556639" y="4008"/>
                <a:pt x="557224" y="5172"/>
                <a:pt x="557473" y="6605"/>
              </a:cubicBezTo>
              <a:cubicBezTo>
                <a:pt x="557628" y="8126"/>
                <a:pt x="557502" y="9485"/>
                <a:pt x="556962" y="10919"/>
              </a:cubicBezTo>
              <a:cubicBezTo>
                <a:pt x="556292" y="12334"/>
                <a:pt x="555427" y="13485"/>
                <a:pt x="554166" y="14419"/>
              </a:cubicBezTo>
              <a:cubicBezTo>
                <a:pt x="552747" y="15325"/>
                <a:pt x="551365" y="15696"/>
                <a:pt x="549689" y="15800"/>
              </a:cubicBezTo>
              <a:cubicBezTo>
                <a:pt x="548237" y="15769"/>
                <a:pt x="546797" y="15348"/>
                <a:pt x="545527" y="14643"/>
              </a:cubicBezTo>
              <a:cubicBezTo>
                <a:pt x="544102" y="13738"/>
                <a:pt x="543233" y="12589"/>
                <a:pt x="542444" y="11099"/>
              </a:cubicBezTo>
              <a:cubicBezTo>
                <a:pt x="541795" y="9645"/>
                <a:pt x="541720" y="8178"/>
                <a:pt x="541859" y="6605"/>
              </a:cubicBezTo>
              <a:cubicBezTo>
                <a:pt x="542104" y="5164"/>
                <a:pt x="542720" y="4035"/>
                <a:pt x="543616" y="2892"/>
              </a:cubicBezTo>
              <a:cubicBezTo>
                <a:pt x="544658" y="1745"/>
                <a:pt x="545759" y="923"/>
                <a:pt x="547197" y="352"/>
              </a:cubicBezTo>
              <a:cubicBezTo>
                <a:pt x="548799" y="-85"/>
                <a:pt x="550487" y="-64"/>
                <a:pt x="552099" y="317"/>
              </a:cubicBezTo>
            </a:path>
          </a:pathLst>
        </a:custGeom>
        <a:solidFill>
          <a:schemeClr val="bg1"/>
        </a:solidFill>
        <a:ln w="489" cap="flat">
          <a:noFill/>
          <a:prstDash val="solid"/>
          <a:miter/>
        </a:ln>
      </xdr:spPr>
      <xdr:txBody>
        <a:bodyPr rtlCol="0" anchor="ctr"/>
        <a:lstStyle/>
        <a:p>
          <a:endParaRPr lang="pt-B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68792</xdr:colOff>
      <xdr:row>0</xdr:row>
      <xdr:rowOff>121708</xdr:rowOff>
    </xdr:from>
    <xdr:to>
      <xdr:col>0</xdr:col>
      <xdr:colOff>704373</xdr:colOff>
      <xdr:row>0</xdr:row>
      <xdr:rowOff>211715</xdr:rowOff>
    </xdr:to>
    <xdr:sp macro="" textlink="">
      <xdr:nvSpPr>
        <xdr:cNvPr id="2" name="Gráfico 2">
          <a:extLst>
            <a:ext uri="{FF2B5EF4-FFF2-40B4-BE49-F238E27FC236}">
              <a16:creationId xmlns:a16="http://schemas.microsoft.com/office/drawing/2014/main" id="{D4494ECC-D723-4E55-8965-79287BE7CC77}"/>
            </a:ext>
          </a:extLst>
        </xdr:cNvPr>
        <xdr:cNvSpPr/>
      </xdr:nvSpPr>
      <xdr:spPr>
        <a:xfrm>
          <a:off x="68792" y="121708"/>
          <a:ext cx="635581" cy="90007"/>
        </a:xfrm>
        <a:custGeom>
          <a:avLst/>
          <a:gdLst>
            <a:gd name="connsiteX0" fmla="*/ 64367 w 635581"/>
            <a:gd name="connsiteY0" fmla="*/ 4440 h 90007"/>
            <a:gd name="connsiteX1" fmla="*/ 80420 w 635581"/>
            <a:gd name="connsiteY1" fmla="*/ 17607 h 90007"/>
            <a:gd name="connsiteX2" fmla="*/ 81146 w 635581"/>
            <a:gd name="connsiteY2" fmla="*/ 18570 h 90007"/>
            <a:gd name="connsiteX3" fmla="*/ 89480 w 635581"/>
            <a:gd name="connsiteY3" fmla="*/ 39856 h 90007"/>
            <a:gd name="connsiteX4" fmla="*/ 85872 w 635581"/>
            <a:gd name="connsiteY4" fmla="*/ 63303 h 90007"/>
            <a:gd name="connsiteX5" fmla="*/ 70491 w 635581"/>
            <a:gd name="connsiteY5" fmla="*/ 81887 h 90007"/>
            <a:gd name="connsiteX6" fmla="*/ 49390 w 635581"/>
            <a:gd name="connsiteY6" fmla="*/ 89748 h 90007"/>
            <a:gd name="connsiteX7" fmla="*/ 25465 w 635581"/>
            <a:gd name="connsiteY7" fmla="*/ 85564 h 90007"/>
            <a:gd name="connsiteX8" fmla="*/ 14889 w 635581"/>
            <a:gd name="connsiteY8" fmla="*/ 78506 h 90007"/>
            <a:gd name="connsiteX9" fmla="*/ 14559 w 635581"/>
            <a:gd name="connsiteY9" fmla="*/ 78215 h 90007"/>
            <a:gd name="connsiteX10" fmla="*/ 6302 w 635581"/>
            <a:gd name="connsiteY10" fmla="*/ 68151 h 90007"/>
            <a:gd name="connsiteX11" fmla="*/ 6069 w 635581"/>
            <a:gd name="connsiteY11" fmla="*/ 67767 h 90007"/>
            <a:gd name="connsiteX12" fmla="*/ 14 w 635581"/>
            <a:gd name="connsiteY12" fmla="*/ 47718 h 90007"/>
            <a:gd name="connsiteX13" fmla="*/ 9 w 635581"/>
            <a:gd name="connsiteY13" fmla="*/ 47264 h 90007"/>
            <a:gd name="connsiteX14" fmla="*/ 3 w 635581"/>
            <a:gd name="connsiteY14" fmla="*/ 46776 h 90007"/>
            <a:gd name="connsiteX15" fmla="*/ 5661 w 635581"/>
            <a:gd name="connsiteY15" fmla="*/ 22841 h 90007"/>
            <a:gd name="connsiteX16" fmla="*/ 11383 w 635581"/>
            <a:gd name="connsiteY16" fmla="*/ 15028 h 90007"/>
            <a:gd name="connsiteX17" fmla="*/ 12387 w 635581"/>
            <a:gd name="connsiteY17" fmla="*/ 13871 h 90007"/>
            <a:gd name="connsiteX18" fmla="*/ 22697 w 635581"/>
            <a:gd name="connsiteY18" fmla="*/ 5823 h 90007"/>
            <a:gd name="connsiteX19" fmla="*/ 23137 w 635581"/>
            <a:gd name="connsiteY19" fmla="*/ 5570 h 90007"/>
            <a:gd name="connsiteX20" fmla="*/ 64367 w 635581"/>
            <a:gd name="connsiteY20" fmla="*/ 4440 h 90007"/>
            <a:gd name="connsiteX21" fmla="*/ 38114 w 635581"/>
            <a:gd name="connsiteY21" fmla="*/ 16373 h 90007"/>
            <a:gd name="connsiteX22" fmla="*/ 37658 w 635581"/>
            <a:gd name="connsiteY22" fmla="*/ 16485 h 90007"/>
            <a:gd name="connsiteX23" fmla="*/ 23866 w 635581"/>
            <a:gd name="connsiteY23" fmla="*/ 24385 h 90007"/>
            <a:gd name="connsiteX24" fmla="*/ 16526 w 635581"/>
            <a:gd name="connsiteY24" fmla="*/ 36909 h 90007"/>
            <a:gd name="connsiteX25" fmla="*/ 16411 w 635581"/>
            <a:gd name="connsiteY25" fmla="*/ 52671 h 90007"/>
            <a:gd name="connsiteX26" fmla="*/ 22697 w 635581"/>
            <a:gd name="connsiteY26" fmla="*/ 64243 h 90007"/>
            <a:gd name="connsiteX27" fmla="*/ 23123 w 635581"/>
            <a:gd name="connsiteY27" fmla="*/ 64749 h 90007"/>
            <a:gd name="connsiteX28" fmla="*/ 26600 w 635581"/>
            <a:gd name="connsiteY28" fmla="*/ 67956 h 90007"/>
            <a:gd name="connsiteX29" fmla="*/ 27098 w 635581"/>
            <a:gd name="connsiteY29" fmla="*/ 68373 h 90007"/>
            <a:gd name="connsiteX30" fmla="*/ 40653 w 635581"/>
            <a:gd name="connsiteY30" fmla="*/ 74012 h 90007"/>
            <a:gd name="connsiteX31" fmla="*/ 55923 w 635581"/>
            <a:gd name="connsiteY31" fmla="*/ 72145 h 90007"/>
            <a:gd name="connsiteX32" fmla="*/ 63877 w 635581"/>
            <a:gd name="connsiteY32" fmla="*/ 67174 h 90007"/>
            <a:gd name="connsiteX33" fmla="*/ 64452 w 635581"/>
            <a:gd name="connsiteY33" fmla="*/ 66676 h 90007"/>
            <a:gd name="connsiteX34" fmla="*/ 72445 w 635581"/>
            <a:gd name="connsiteY34" fmla="*/ 54701 h 90007"/>
            <a:gd name="connsiteX35" fmla="*/ 73644 w 635581"/>
            <a:gd name="connsiteY35" fmla="*/ 39594 h 90007"/>
            <a:gd name="connsiteX36" fmla="*/ 66931 w 635581"/>
            <a:gd name="connsiteY36" fmla="*/ 25800 h 90007"/>
            <a:gd name="connsiteX37" fmla="*/ 65634 w 635581"/>
            <a:gd name="connsiteY37" fmla="*/ 24385 h 90007"/>
            <a:gd name="connsiteX38" fmla="*/ 65267 w 635581"/>
            <a:gd name="connsiteY38" fmla="*/ 23985 h 90007"/>
            <a:gd name="connsiteX39" fmla="*/ 53350 w 635581"/>
            <a:gd name="connsiteY39" fmla="*/ 16898 h 90007"/>
            <a:gd name="connsiteX40" fmla="*/ 51386 w 635581"/>
            <a:gd name="connsiteY40" fmla="*/ 16373 h 90007"/>
            <a:gd name="connsiteX41" fmla="*/ 50971 w 635581"/>
            <a:gd name="connsiteY41" fmla="*/ 16267 h 90007"/>
            <a:gd name="connsiteX42" fmla="*/ 38114 w 635581"/>
            <a:gd name="connsiteY42" fmla="*/ 16373 h 90007"/>
            <a:gd name="connsiteX43" fmla="*/ 136873 w 635581"/>
            <a:gd name="connsiteY43" fmla="*/ 157 h 90007"/>
            <a:gd name="connsiteX44" fmla="*/ 186390 w 635581"/>
            <a:gd name="connsiteY44" fmla="*/ 3994 h 90007"/>
            <a:gd name="connsiteX45" fmla="*/ 191521 w 635581"/>
            <a:gd name="connsiteY45" fmla="*/ 8168 h 90007"/>
            <a:gd name="connsiteX46" fmla="*/ 191896 w 635581"/>
            <a:gd name="connsiteY46" fmla="*/ 8504 h 90007"/>
            <a:gd name="connsiteX47" fmla="*/ 197962 w 635581"/>
            <a:gd name="connsiteY47" fmla="*/ 18524 h 90007"/>
            <a:gd name="connsiteX48" fmla="*/ 198186 w 635581"/>
            <a:gd name="connsiteY48" fmla="*/ 19147 h 90007"/>
            <a:gd name="connsiteX49" fmla="*/ 198998 w 635581"/>
            <a:gd name="connsiteY49" fmla="*/ 32677 h 90007"/>
            <a:gd name="connsiteX50" fmla="*/ 198547 w 635581"/>
            <a:gd name="connsiteY50" fmla="*/ 34544 h 90007"/>
            <a:gd name="connsiteX51" fmla="*/ 198441 w 635581"/>
            <a:gd name="connsiteY51" fmla="*/ 34947 h 90007"/>
            <a:gd name="connsiteX52" fmla="*/ 190919 w 635581"/>
            <a:gd name="connsiteY52" fmla="*/ 47332 h 90007"/>
            <a:gd name="connsiteX53" fmla="*/ 178208 w 635581"/>
            <a:gd name="connsiteY53" fmla="*/ 54193 h 90007"/>
            <a:gd name="connsiteX54" fmla="*/ 170112 w 635581"/>
            <a:gd name="connsiteY54" fmla="*/ 54884 h 90007"/>
            <a:gd name="connsiteX55" fmla="*/ 169175 w 635581"/>
            <a:gd name="connsiteY55" fmla="*/ 54884 h 90007"/>
            <a:gd name="connsiteX56" fmla="*/ 165733 w 635581"/>
            <a:gd name="connsiteY56" fmla="*/ 54876 h 90007"/>
            <a:gd name="connsiteX57" fmla="*/ 157951 w 635581"/>
            <a:gd name="connsiteY57" fmla="*/ 54865 h 90007"/>
            <a:gd name="connsiteX58" fmla="*/ 157951 w 635581"/>
            <a:gd name="connsiteY58" fmla="*/ 39233 h 90007"/>
            <a:gd name="connsiteX59" fmla="*/ 168146 w 635581"/>
            <a:gd name="connsiteY59" fmla="*/ 39158 h 90007"/>
            <a:gd name="connsiteX60" fmla="*/ 169606 w 635581"/>
            <a:gd name="connsiteY60" fmla="*/ 39142 h 90007"/>
            <a:gd name="connsiteX61" fmla="*/ 170571 w 635581"/>
            <a:gd name="connsiteY61" fmla="*/ 39136 h 90007"/>
            <a:gd name="connsiteX62" fmla="*/ 177652 w 635581"/>
            <a:gd name="connsiteY62" fmla="*/ 37694 h 90007"/>
            <a:gd name="connsiteX63" fmla="*/ 178017 w 635581"/>
            <a:gd name="connsiteY63" fmla="*/ 37501 h 90007"/>
            <a:gd name="connsiteX64" fmla="*/ 180006 w 635581"/>
            <a:gd name="connsiteY64" fmla="*/ 35912 h 90007"/>
            <a:gd name="connsiteX65" fmla="*/ 180396 w 635581"/>
            <a:gd name="connsiteY65" fmla="*/ 35912 h 90007"/>
            <a:gd name="connsiteX66" fmla="*/ 180558 w 635581"/>
            <a:gd name="connsiteY66" fmla="*/ 35563 h 90007"/>
            <a:gd name="connsiteX67" fmla="*/ 181324 w 635581"/>
            <a:gd name="connsiteY67" fmla="*/ 34459 h 90007"/>
            <a:gd name="connsiteX68" fmla="*/ 183471 w 635581"/>
            <a:gd name="connsiteY68" fmla="*/ 29796 h 90007"/>
            <a:gd name="connsiteX69" fmla="*/ 182421 w 635581"/>
            <a:gd name="connsiteY69" fmla="*/ 22223 h 90007"/>
            <a:gd name="connsiteX70" fmla="*/ 178137 w 635581"/>
            <a:gd name="connsiteY70" fmla="*/ 17535 h 90007"/>
            <a:gd name="connsiteX71" fmla="*/ 152486 w 635581"/>
            <a:gd name="connsiteY71" fmla="*/ 15788 h 90007"/>
            <a:gd name="connsiteX72" fmla="*/ 152486 w 635581"/>
            <a:gd name="connsiteY72" fmla="*/ 89839 h 90007"/>
            <a:gd name="connsiteX73" fmla="*/ 136873 w 635581"/>
            <a:gd name="connsiteY73" fmla="*/ 89839 h 90007"/>
            <a:gd name="connsiteX74" fmla="*/ 234034 w 635581"/>
            <a:gd name="connsiteY74" fmla="*/ 19476 h 90007"/>
            <a:gd name="connsiteX75" fmla="*/ 251735 w 635581"/>
            <a:gd name="connsiteY75" fmla="*/ 23744 h 90007"/>
            <a:gd name="connsiteX76" fmla="*/ 259247 w 635581"/>
            <a:gd name="connsiteY76" fmla="*/ 29269 h 90007"/>
            <a:gd name="connsiteX77" fmla="*/ 259788 w 635581"/>
            <a:gd name="connsiteY77" fmla="*/ 29767 h 90007"/>
            <a:gd name="connsiteX78" fmla="*/ 268715 w 635581"/>
            <a:gd name="connsiteY78" fmla="*/ 44874 h 90007"/>
            <a:gd name="connsiteX79" fmla="*/ 269396 w 635581"/>
            <a:gd name="connsiteY79" fmla="*/ 47635 h 90007"/>
            <a:gd name="connsiteX80" fmla="*/ 269493 w 635581"/>
            <a:gd name="connsiteY80" fmla="*/ 48077 h 90007"/>
            <a:gd name="connsiteX81" fmla="*/ 270029 w 635581"/>
            <a:gd name="connsiteY81" fmla="*/ 54816 h 90007"/>
            <a:gd name="connsiteX82" fmla="*/ 270029 w 635581"/>
            <a:gd name="connsiteY82" fmla="*/ 55229 h 90007"/>
            <a:gd name="connsiteX83" fmla="*/ 269786 w 635581"/>
            <a:gd name="connsiteY83" fmla="*/ 59359 h 90007"/>
            <a:gd name="connsiteX84" fmla="*/ 221773 w 635581"/>
            <a:gd name="connsiteY84" fmla="*/ 59359 h 90007"/>
            <a:gd name="connsiteX85" fmla="*/ 221773 w 635581"/>
            <a:gd name="connsiteY85" fmla="*/ 47830 h 90007"/>
            <a:gd name="connsiteX86" fmla="*/ 253002 w 635581"/>
            <a:gd name="connsiteY86" fmla="*/ 47635 h 90007"/>
            <a:gd name="connsiteX87" fmla="*/ 246401 w 635581"/>
            <a:gd name="connsiteY87" fmla="*/ 38891 h 90007"/>
            <a:gd name="connsiteX88" fmla="*/ 236646 w 635581"/>
            <a:gd name="connsiteY88" fmla="*/ 35287 h 90007"/>
            <a:gd name="connsiteX89" fmla="*/ 234996 w 635581"/>
            <a:gd name="connsiteY89" fmla="*/ 35266 h 90007"/>
            <a:gd name="connsiteX90" fmla="*/ 234403 w 635581"/>
            <a:gd name="connsiteY90" fmla="*/ 35268 h 90007"/>
            <a:gd name="connsiteX91" fmla="*/ 224441 w 635581"/>
            <a:gd name="connsiteY91" fmla="*/ 38250 h 90007"/>
            <a:gd name="connsiteX92" fmla="*/ 217845 w 635581"/>
            <a:gd name="connsiteY92" fmla="*/ 45523 h 90007"/>
            <a:gd name="connsiteX93" fmla="*/ 215686 w 635581"/>
            <a:gd name="connsiteY93" fmla="*/ 56592 h 90007"/>
            <a:gd name="connsiteX94" fmla="*/ 218733 w 635581"/>
            <a:gd name="connsiteY94" fmla="*/ 65359 h 90007"/>
            <a:gd name="connsiteX95" fmla="*/ 226775 w 635581"/>
            <a:gd name="connsiteY95" fmla="*/ 72326 h 90007"/>
            <a:gd name="connsiteX96" fmla="*/ 236803 w 635581"/>
            <a:gd name="connsiteY96" fmla="*/ 74012 h 90007"/>
            <a:gd name="connsiteX97" fmla="*/ 246170 w 635581"/>
            <a:gd name="connsiteY97" fmla="*/ 70494 h 90007"/>
            <a:gd name="connsiteX98" fmla="*/ 246672 w 635581"/>
            <a:gd name="connsiteY98" fmla="*/ 69989 h 90007"/>
            <a:gd name="connsiteX99" fmla="*/ 247757 w 635581"/>
            <a:gd name="connsiteY99" fmla="*/ 69431 h 90007"/>
            <a:gd name="connsiteX100" fmla="*/ 249247 w 635581"/>
            <a:gd name="connsiteY100" fmla="*/ 69407 h 90007"/>
            <a:gd name="connsiteX101" fmla="*/ 249820 w 635581"/>
            <a:gd name="connsiteY101" fmla="*/ 69407 h 90007"/>
            <a:gd name="connsiteX102" fmla="*/ 251681 w 635581"/>
            <a:gd name="connsiteY102" fmla="*/ 69423 h 90007"/>
            <a:gd name="connsiteX103" fmla="*/ 252977 w 635581"/>
            <a:gd name="connsiteY103" fmla="*/ 69427 h 90007"/>
            <a:gd name="connsiteX104" fmla="*/ 256378 w 635581"/>
            <a:gd name="connsiteY104" fmla="*/ 69452 h 90007"/>
            <a:gd name="connsiteX105" fmla="*/ 259851 w 635581"/>
            <a:gd name="connsiteY105" fmla="*/ 69471 h 90007"/>
            <a:gd name="connsiteX106" fmla="*/ 266662 w 635581"/>
            <a:gd name="connsiteY106" fmla="*/ 69518 h 90007"/>
            <a:gd name="connsiteX107" fmla="*/ 260417 w 635581"/>
            <a:gd name="connsiteY107" fmla="*/ 78896 h 90007"/>
            <a:gd name="connsiteX108" fmla="*/ 260127 w 635581"/>
            <a:gd name="connsiteY108" fmla="*/ 79207 h 90007"/>
            <a:gd name="connsiteX109" fmla="*/ 245395 w 635581"/>
            <a:gd name="connsiteY109" fmla="*/ 88396 h 90007"/>
            <a:gd name="connsiteX110" fmla="*/ 226325 w 635581"/>
            <a:gd name="connsiteY110" fmla="*/ 88871 h 90007"/>
            <a:gd name="connsiteX111" fmla="*/ 219821 w 635581"/>
            <a:gd name="connsiteY111" fmla="*/ 86516 h 90007"/>
            <a:gd name="connsiteX112" fmla="*/ 219393 w 635581"/>
            <a:gd name="connsiteY112" fmla="*/ 86313 h 90007"/>
            <a:gd name="connsiteX113" fmla="*/ 211495 w 635581"/>
            <a:gd name="connsiteY113" fmla="*/ 80892 h 90007"/>
            <a:gd name="connsiteX114" fmla="*/ 210271 w 635581"/>
            <a:gd name="connsiteY114" fmla="*/ 79825 h 90007"/>
            <a:gd name="connsiteX115" fmla="*/ 201641 w 635581"/>
            <a:gd name="connsiteY115" fmla="*/ 66106 h 90007"/>
            <a:gd name="connsiteX116" fmla="*/ 200396 w 635581"/>
            <a:gd name="connsiteY116" fmla="*/ 47727 h 90007"/>
            <a:gd name="connsiteX117" fmla="*/ 208792 w 635581"/>
            <a:gd name="connsiteY117" fmla="*/ 31155 h 90007"/>
            <a:gd name="connsiteX118" fmla="*/ 224287 w 635581"/>
            <a:gd name="connsiteY118" fmla="*/ 21088 h 90007"/>
            <a:gd name="connsiteX119" fmla="*/ 234034 w 635581"/>
            <a:gd name="connsiteY119" fmla="*/ 19476 h 90007"/>
            <a:gd name="connsiteX120" fmla="*/ 472571 w 635581"/>
            <a:gd name="connsiteY120" fmla="*/ 23481 h 90007"/>
            <a:gd name="connsiteX121" fmla="*/ 477257 w 635581"/>
            <a:gd name="connsiteY121" fmla="*/ 26534 h 90007"/>
            <a:gd name="connsiteX122" fmla="*/ 477824 w 635581"/>
            <a:gd name="connsiteY122" fmla="*/ 26978 h 90007"/>
            <a:gd name="connsiteX123" fmla="*/ 488649 w 635581"/>
            <a:gd name="connsiteY123" fmla="*/ 41187 h 90007"/>
            <a:gd name="connsiteX124" fmla="*/ 490881 w 635581"/>
            <a:gd name="connsiteY124" fmla="*/ 49077 h 90007"/>
            <a:gd name="connsiteX125" fmla="*/ 490948 w 635581"/>
            <a:gd name="connsiteY125" fmla="*/ 49463 h 90007"/>
            <a:gd name="connsiteX126" fmla="*/ 491331 w 635581"/>
            <a:gd name="connsiteY126" fmla="*/ 57343 h 90007"/>
            <a:gd name="connsiteX127" fmla="*/ 491331 w 635581"/>
            <a:gd name="connsiteY127" fmla="*/ 58413 h 90007"/>
            <a:gd name="connsiteX128" fmla="*/ 491329 w 635581"/>
            <a:gd name="connsiteY128" fmla="*/ 61288 h 90007"/>
            <a:gd name="connsiteX129" fmla="*/ 491327 w 635581"/>
            <a:gd name="connsiteY129" fmla="*/ 64303 h 90007"/>
            <a:gd name="connsiteX130" fmla="*/ 491323 w 635581"/>
            <a:gd name="connsiteY130" fmla="*/ 70002 h 90007"/>
            <a:gd name="connsiteX131" fmla="*/ 491317 w 635581"/>
            <a:gd name="connsiteY131" fmla="*/ 77711 h 90007"/>
            <a:gd name="connsiteX132" fmla="*/ 491309 w 635581"/>
            <a:gd name="connsiteY132" fmla="*/ 89839 h 90007"/>
            <a:gd name="connsiteX133" fmla="*/ 475695 w 635581"/>
            <a:gd name="connsiteY133" fmla="*/ 89839 h 90007"/>
            <a:gd name="connsiteX134" fmla="*/ 475689 w 635581"/>
            <a:gd name="connsiteY134" fmla="*/ 86493 h 90007"/>
            <a:gd name="connsiteX135" fmla="*/ 475658 w 635581"/>
            <a:gd name="connsiteY135" fmla="*/ 75520 h 90007"/>
            <a:gd name="connsiteX136" fmla="*/ 475641 w 635581"/>
            <a:gd name="connsiteY136" fmla="*/ 68871 h 90007"/>
            <a:gd name="connsiteX137" fmla="*/ 475625 w 635581"/>
            <a:gd name="connsiteY137" fmla="*/ 63069 h 90007"/>
            <a:gd name="connsiteX138" fmla="*/ 475618 w 635581"/>
            <a:gd name="connsiteY138" fmla="*/ 60004 h 90007"/>
            <a:gd name="connsiteX139" fmla="*/ 475608 w 635581"/>
            <a:gd name="connsiteY139" fmla="*/ 57108 h 90007"/>
            <a:gd name="connsiteX140" fmla="*/ 475608 w 635581"/>
            <a:gd name="connsiteY140" fmla="*/ 56054 h 90007"/>
            <a:gd name="connsiteX141" fmla="*/ 473353 w 635581"/>
            <a:gd name="connsiteY141" fmla="*/ 45681 h 90007"/>
            <a:gd name="connsiteX142" fmla="*/ 473037 w 635581"/>
            <a:gd name="connsiteY142" fmla="*/ 45055 h 90007"/>
            <a:gd name="connsiteX143" fmla="*/ 466569 w 635581"/>
            <a:gd name="connsiteY143" fmla="*/ 38165 h 90007"/>
            <a:gd name="connsiteX144" fmla="*/ 457330 w 635581"/>
            <a:gd name="connsiteY144" fmla="*/ 35285 h 90007"/>
            <a:gd name="connsiteX145" fmla="*/ 451104 w 635581"/>
            <a:gd name="connsiteY145" fmla="*/ 35912 h 90007"/>
            <a:gd name="connsiteX146" fmla="*/ 450499 w 635581"/>
            <a:gd name="connsiteY146" fmla="*/ 36076 h 90007"/>
            <a:gd name="connsiteX147" fmla="*/ 441735 w 635581"/>
            <a:gd name="connsiteY147" fmla="*/ 41579 h 90007"/>
            <a:gd name="connsiteX148" fmla="*/ 437246 w 635581"/>
            <a:gd name="connsiteY148" fmla="*/ 50370 h 90007"/>
            <a:gd name="connsiteX149" fmla="*/ 437101 w 635581"/>
            <a:gd name="connsiteY149" fmla="*/ 50944 h 90007"/>
            <a:gd name="connsiteX150" fmla="*/ 437783 w 635581"/>
            <a:gd name="connsiteY150" fmla="*/ 60934 h 90007"/>
            <a:gd name="connsiteX151" fmla="*/ 441345 w 635581"/>
            <a:gd name="connsiteY151" fmla="*/ 67174 h 90007"/>
            <a:gd name="connsiteX152" fmla="*/ 441713 w 635581"/>
            <a:gd name="connsiteY152" fmla="*/ 67641 h 90007"/>
            <a:gd name="connsiteX153" fmla="*/ 449173 w 635581"/>
            <a:gd name="connsiteY153" fmla="*/ 72809 h 90007"/>
            <a:gd name="connsiteX154" fmla="*/ 459621 w 635581"/>
            <a:gd name="connsiteY154" fmla="*/ 73801 h 90007"/>
            <a:gd name="connsiteX155" fmla="*/ 465156 w 635581"/>
            <a:gd name="connsiteY155" fmla="*/ 71863 h 90007"/>
            <a:gd name="connsiteX156" fmla="*/ 465780 w 635581"/>
            <a:gd name="connsiteY156" fmla="*/ 71552 h 90007"/>
            <a:gd name="connsiteX157" fmla="*/ 469542 w 635581"/>
            <a:gd name="connsiteY157" fmla="*/ 68616 h 90007"/>
            <a:gd name="connsiteX158" fmla="*/ 470035 w 635581"/>
            <a:gd name="connsiteY158" fmla="*/ 68151 h 90007"/>
            <a:gd name="connsiteX159" fmla="*/ 470230 w 635581"/>
            <a:gd name="connsiteY159" fmla="*/ 68151 h 90007"/>
            <a:gd name="connsiteX160" fmla="*/ 470230 w 635581"/>
            <a:gd name="connsiteY160" fmla="*/ 86908 h 90007"/>
            <a:gd name="connsiteX161" fmla="*/ 460666 w 635581"/>
            <a:gd name="connsiteY161" fmla="*/ 89644 h 90007"/>
            <a:gd name="connsiteX162" fmla="*/ 460268 w 635581"/>
            <a:gd name="connsiteY162" fmla="*/ 89700 h 90007"/>
            <a:gd name="connsiteX163" fmla="*/ 443320 w 635581"/>
            <a:gd name="connsiteY163" fmla="*/ 87518 h 90007"/>
            <a:gd name="connsiteX164" fmla="*/ 433148 w 635581"/>
            <a:gd name="connsiteY164" fmla="*/ 81242 h 90007"/>
            <a:gd name="connsiteX165" fmla="*/ 432306 w 635581"/>
            <a:gd name="connsiteY165" fmla="*/ 80522 h 90007"/>
            <a:gd name="connsiteX166" fmla="*/ 422755 w 635581"/>
            <a:gd name="connsiteY166" fmla="*/ 65741 h 90007"/>
            <a:gd name="connsiteX167" fmla="*/ 421047 w 635581"/>
            <a:gd name="connsiteY167" fmla="*/ 55841 h 90007"/>
            <a:gd name="connsiteX168" fmla="*/ 421010 w 635581"/>
            <a:gd name="connsiteY168" fmla="*/ 55202 h 90007"/>
            <a:gd name="connsiteX169" fmla="*/ 421047 w 635581"/>
            <a:gd name="connsiteY169" fmla="*/ 53496 h 90007"/>
            <a:gd name="connsiteX170" fmla="*/ 421070 w 635581"/>
            <a:gd name="connsiteY170" fmla="*/ 53052 h 90007"/>
            <a:gd name="connsiteX171" fmla="*/ 425340 w 635581"/>
            <a:gd name="connsiteY171" fmla="*/ 37866 h 90007"/>
            <a:gd name="connsiteX172" fmla="*/ 425530 w 635581"/>
            <a:gd name="connsiteY172" fmla="*/ 37507 h 90007"/>
            <a:gd name="connsiteX173" fmla="*/ 430215 w 635581"/>
            <a:gd name="connsiteY173" fmla="*/ 31069 h 90007"/>
            <a:gd name="connsiteX174" fmla="*/ 431207 w 635581"/>
            <a:gd name="connsiteY174" fmla="*/ 29916 h 90007"/>
            <a:gd name="connsiteX175" fmla="*/ 443989 w 635581"/>
            <a:gd name="connsiteY175" fmla="*/ 21622 h 90007"/>
            <a:gd name="connsiteX176" fmla="*/ 472571 w 635581"/>
            <a:gd name="connsiteY176" fmla="*/ 23481 h 90007"/>
            <a:gd name="connsiteX177" fmla="*/ 599559 w 635581"/>
            <a:gd name="connsiteY177" fmla="*/ 19476 h 90007"/>
            <a:gd name="connsiteX178" fmla="*/ 617438 w 635581"/>
            <a:gd name="connsiteY178" fmla="*/ 23844 h 90007"/>
            <a:gd name="connsiteX179" fmla="*/ 624417 w 635581"/>
            <a:gd name="connsiteY179" fmla="*/ 29074 h 90007"/>
            <a:gd name="connsiteX180" fmla="*/ 624749 w 635581"/>
            <a:gd name="connsiteY180" fmla="*/ 29387 h 90007"/>
            <a:gd name="connsiteX181" fmla="*/ 634083 w 635581"/>
            <a:gd name="connsiteY181" fmla="*/ 44488 h 90007"/>
            <a:gd name="connsiteX182" fmla="*/ 635543 w 635581"/>
            <a:gd name="connsiteY182" fmla="*/ 52911 h 90007"/>
            <a:gd name="connsiteX183" fmla="*/ 635558 w 635581"/>
            <a:gd name="connsiteY183" fmla="*/ 53295 h 90007"/>
            <a:gd name="connsiteX184" fmla="*/ 631493 w 635581"/>
            <a:gd name="connsiteY184" fmla="*/ 71228 h 90007"/>
            <a:gd name="connsiteX185" fmla="*/ 619226 w 635581"/>
            <a:gd name="connsiteY185" fmla="*/ 84470 h 90007"/>
            <a:gd name="connsiteX186" fmla="*/ 606266 w 635581"/>
            <a:gd name="connsiteY186" fmla="*/ 89447 h 90007"/>
            <a:gd name="connsiteX187" fmla="*/ 605863 w 635581"/>
            <a:gd name="connsiteY187" fmla="*/ 89526 h 90007"/>
            <a:gd name="connsiteX188" fmla="*/ 588451 w 635581"/>
            <a:gd name="connsiteY188" fmla="*/ 87887 h 90007"/>
            <a:gd name="connsiteX189" fmla="*/ 575624 w 635581"/>
            <a:gd name="connsiteY189" fmla="*/ 79678 h 90007"/>
            <a:gd name="connsiteX190" fmla="*/ 575178 w 635581"/>
            <a:gd name="connsiteY190" fmla="*/ 79271 h 90007"/>
            <a:gd name="connsiteX191" fmla="*/ 569574 w 635581"/>
            <a:gd name="connsiteY191" fmla="*/ 71668 h 90007"/>
            <a:gd name="connsiteX192" fmla="*/ 569369 w 635581"/>
            <a:gd name="connsiteY192" fmla="*/ 71296 h 90007"/>
            <a:gd name="connsiteX193" fmla="*/ 565670 w 635581"/>
            <a:gd name="connsiteY193" fmla="*/ 60531 h 90007"/>
            <a:gd name="connsiteX194" fmla="*/ 565591 w 635581"/>
            <a:gd name="connsiteY194" fmla="*/ 60122 h 90007"/>
            <a:gd name="connsiteX195" fmla="*/ 567213 w 635581"/>
            <a:gd name="connsiteY195" fmla="*/ 42831 h 90007"/>
            <a:gd name="connsiteX196" fmla="*/ 568597 w 635581"/>
            <a:gd name="connsiteY196" fmla="*/ 39625 h 90007"/>
            <a:gd name="connsiteX197" fmla="*/ 568802 w 635581"/>
            <a:gd name="connsiteY197" fmla="*/ 39196 h 90007"/>
            <a:gd name="connsiteX198" fmla="*/ 580510 w 635581"/>
            <a:gd name="connsiteY198" fmla="*/ 25617 h 90007"/>
            <a:gd name="connsiteX199" fmla="*/ 597654 w 635581"/>
            <a:gd name="connsiteY199" fmla="*/ 19549 h 90007"/>
            <a:gd name="connsiteX200" fmla="*/ 599559 w 635581"/>
            <a:gd name="connsiteY200" fmla="*/ 19476 h 90007"/>
            <a:gd name="connsiteX201" fmla="*/ 589615 w 635581"/>
            <a:gd name="connsiteY201" fmla="*/ 38225 h 90007"/>
            <a:gd name="connsiteX202" fmla="*/ 582601 w 635581"/>
            <a:gd name="connsiteY202" fmla="*/ 46561 h 90007"/>
            <a:gd name="connsiteX203" fmla="*/ 580933 w 635581"/>
            <a:gd name="connsiteY203" fmla="*/ 56859 h 90007"/>
            <a:gd name="connsiteX204" fmla="*/ 584758 w 635581"/>
            <a:gd name="connsiteY204" fmla="*/ 66456 h 90007"/>
            <a:gd name="connsiteX205" fmla="*/ 591042 w 635581"/>
            <a:gd name="connsiteY205" fmla="*/ 71863 h 90007"/>
            <a:gd name="connsiteX206" fmla="*/ 591526 w 635581"/>
            <a:gd name="connsiteY206" fmla="*/ 72141 h 90007"/>
            <a:gd name="connsiteX207" fmla="*/ 601216 w 635581"/>
            <a:gd name="connsiteY207" fmla="*/ 74255 h 90007"/>
            <a:gd name="connsiteX208" fmla="*/ 611144 w 635581"/>
            <a:gd name="connsiteY208" fmla="*/ 71081 h 90007"/>
            <a:gd name="connsiteX209" fmla="*/ 613096 w 635581"/>
            <a:gd name="connsiteY209" fmla="*/ 69518 h 90007"/>
            <a:gd name="connsiteX210" fmla="*/ 613446 w 635581"/>
            <a:gd name="connsiteY210" fmla="*/ 69255 h 90007"/>
            <a:gd name="connsiteX211" fmla="*/ 618463 w 635581"/>
            <a:gd name="connsiteY211" fmla="*/ 62235 h 90007"/>
            <a:gd name="connsiteX212" fmla="*/ 619929 w 635581"/>
            <a:gd name="connsiteY212" fmla="*/ 55646 h 90007"/>
            <a:gd name="connsiteX213" fmla="*/ 619952 w 635581"/>
            <a:gd name="connsiteY213" fmla="*/ 55202 h 90007"/>
            <a:gd name="connsiteX214" fmla="*/ 617411 w 635581"/>
            <a:gd name="connsiteY214" fmla="*/ 45034 h 90007"/>
            <a:gd name="connsiteX215" fmla="*/ 615440 w 635581"/>
            <a:gd name="connsiteY215" fmla="*/ 42165 h 90007"/>
            <a:gd name="connsiteX216" fmla="*/ 615040 w 635581"/>
            <a:gd name="connsiteY216" fmla="*/ 41667 h 90007"/>
            <a:gd name="connsiteX217" fmla="*/ 606890 w 635581"/>
            <a:gd name="connsiteY217" fmla="*/ 36107 h 90007"/>
            <a:gd name="connsiteX218" fmla="*/ 589615 w 635581"/>
            <a:gd name="connsiteY218" fmla="*/ 38225 h 90007"/>
            <a:gd name="connsiteX219" fmla="*/ 350782 w 635581"/>
            <a:gd name="connsiteY219" fmla="*/ 19501 h 90007"/>
            <a:gd name="connsiteX220" fmla="*/ 356804 w 635581"/>
            <a:gd name="connsiteY220" fmla="*/ 19489 h 90007"/>
            <a:gd name="connsiteX221" fmla="*/ 359599 w 635581"/>
            <a:gd name="connsiteY221" fmla="*/ 19485 h 90007"/>
            <a:gd name="connsiteX222" fmla="*/ 362294 w 635581"/>
            <a:gd name="connsiteY222" fmla="*/ 19481 h 90007"/>
            <a:gd name="connsiteX223" fmla="*/ 363325 w 635581"/>
            <a:gd name="connsiteY223" fmla="*/ 19479 h 90007"/>
            <a:gd name="connsiteX224" fmla="*/ 364763 w 635581"/>
            <a:gd name="connsiteY224" fmla="*/ 19478 h 90007"/>
            <a:gd name="connsiteX225" fmla="*/ 365200 w 635581"/>
            <a:gd name="connsiteY225" fmla="*/ 19476 h 90007"/>
            <a:gd name="connsiteX226" fmla="*/ 366202 w 635581"/>
            <a:gd name="connsiteY226" fmla="*/ 19501 h 90007"/>
            <a:gd name="connsiteX227" fmla="*/ 366397 w 635581"/>
            <a:gd name="connsiteY227" fmla="*/ 19696 h 90007"/>
            <a:gd name="connsiteX228" fmla="*/ 366422 w 635581"/>
            <a:gd name="connsiteY228" fmla="*/ 21263 h 90007"/>
            <a:gd name="connsiteX229" fmla="*/ 366424 w 635581"/>
            <a:gd name="connsiteY229" fmla="*/ 21769 h 90007"/>
            <a:gd name="connsiteX230" fmla="*/ 366426 w 635581"/>
            <a:gd name="connsiteY230" fmla="*/ 23456 h 90007"/>
            <a:gd name="connsiteX231" fmla="*/ 366428 w 635581"/>
            <a:gd name="connsiteY231" fmla="*/ 24659 h 90007"/>
            <a:gd name="connsiteX232" fmla="*/ 366430 w 635581"/>
            <a:gd name="connsiteY232" fmla="*/ 27262 h 90007"/>
            <a:gd name="connsiteX233" fmla="*/ 366437 w 635581"/>
            <a:gd name="connsiteY233" fmla="*/ 31381 h 90007"/>
            <a:gd name="connsiteX234" fmla="*/ 366441 w 635581"/>
            <a:gd name="connsiteY234" fmla="*/ 32791 h 90007"/>
            <a:gd name="connsiteX235" fmla="*/ 366443 w 635581"/>
            <a:gd name="connsiteY235" fmla="*/ 33505 h 90007"/>
            <a:gd name="connsiteX236" fmla="*/ 366460 w 635581"/>
            <a:gd name="connsiteY236" fmla="*/ 43098 h 90007"/>
            <a:gd name="connsiteX237" fmla="*/ 366474 w 635581"/>
            <a:gd name="connsiteY237" fmla="*/ 49561 h 90007"/>
            <a:gd name="connsiteX238" fmla="*/ 366480 w 635581"/>
            <a:gd name="connsiteY238" fmla="*/ 52982 h 90007"/>
            <a:gd name="connsiteX239" fmla="*/ 366487 w 635581"/>
            <a:gd name="connsiteY239" fmla="*/ 56206 h 90007"/>
            <a:gd name="connsiteX240" fmla="*/ 366487 w 635581"/>
            <a:gd name="connsiteY240" fmla="*/ 57384 h 90007"/>
            <a:gd name="connsiteX241" fmla="*/ 368128 w 635581"/>
            <a:gd name="connsiteY241" fmla="*/ 65500 h 90007"/>
            <a:gd name="connsiteX242" fmla="*/ 368335 w 635581"/>
            <a:gd name="connsiteY242" fmla="*/ 65898 h 90007"/>
            <a:gd name="connsiteX243" fmla="*/ 370105 w 635581"/>
            <a:gd name="connsiteY243" fmla="*/ 68541 h 90007"/>
            <a:gd name="connsiteX244" fmla="*/ 370406 w 635581"/>
            <a:gd name="connsiteY244" fmla="*/ 68927 h 90007"/>
            <a:gd name="connsiteX245" fmla="*/ 376741 w 635581"/>
            <a:gd name="connsiteY245" fmla="*/ 73230 h 90007"/>
            <a:gd name="connsiteX246" fmla="*/ 385098 w 635581"/>
            <a:gd name="connsiteY246" fmla="*/ 73780 h 90007"/>
            <a:gd name="connsiteX247" fmla="*/ 392392 w 635581"/>
            <a:gd name="connsiteY247" fmla="*/ 70068 h 90007"/>
            <a:gd name="connsiteX248" fmla="*/ 396691 w 635581"/>
            <a:gd name="connsiteY248" fmla="*/ 63342 h 90007"/>
            <a:gd name="connsiteX249" fmla="*/ 397461 w 635581"/>
            <a:gd name="connsiteY249" fmla="*/ 57822 h 90007"/>
            <a:gd name="connsiteX250" fmla="*/ 397463 w 635581"/>
            <a:gd name="connsiteY250" fmla="*/ 57322 h 90007"/>
            <a:gd name="connsiteX251" fmla="*/ 397469 w 635581"/>
            <a:gd name="connsiteY251" fmla="*/ 55677 h 90007"/>
            <a:gd name="connsiteX252" fmla="*/ 397475 w 635581"/>
            <a:gd name="connsiteY252" fmla="*/ 54492 h 90007"/>
            <a:gd name="connsiteX253" fmla="*/ 397488 w 635581"/>
            <a:gd name="connsiteY253" fmla="*/ 51287 h 90007"/>
            <a:gd name="connsiteX254" fmla="*/ 397504 w 635581"/>
            <a:gd name="connsiteY254" fmla="*/ 47934 h 90007"/>
            <a:gd name="connsiteX255" fmla="*/ 397531 w 635581"/>
            <a:gd name="connsiteY255" fmla="*/ 41588 h 90007"/>
            <a:gd name="connsiteX256" fmla="*/ 397562 w 635581"/>
            <a:gd name="connsiteY256" fmla="*/ 34362 h 90007"/>
            <a:gd name="connsiteX257" fmla="*/ 397625 w 635581"/>
            <a:gd name="connsiteY257" fmla="*/ 19501 h 90007"/>
            <a:gd name="connsiteX258" fmla="*/ 413240 w 635581"/>
            <a:gd name="connsiteY258" fmla="*/ 19501 h 90007"/>
            <a:gd name="connsiteX259" fmla="*/ 413259 w 635581"/>
            <a:gd name="connsiteY259" fmla="*/ 35378 h 90007"/>
            <a:gd name="connsiteX260" fmla="*/ 413269 w 635581"/>
            <a:gd name="connsiteY260" fmla="*/ 42750 h 90007"/>
            <a:gd name="connsiteX261" fmla="*/ 413276 w 635581"/>
            <a:gd name="connsiteY261" fmla="*/ 49179 h 90007"/>
            <a:gd name="connsiteX262" fmla="*/ 413280 w 635581"/>
            <a:gd name="connsiteY262" fmla="*/ 52581 h 90007"/>
            <a:gd name="connsiteX263" fmla="*/ 413282 w 635581"/>
            <a:gd name="connsiteY263" fmla="*/ 55789 h 90007"/>
            <a:gd name="connsiteX264" fmla="*/ 413286 w 635581"/>
            <a:gd name="connsiteY264" fmla="*/ 56959 h 90007"/>
            <a:gd name="connsiteX265" fmla="*/ 412410 w 635581"/>
            <a:gd name="connsiteY265" fmla="*/ 65915 h 90007"/>
            <a:gd name="connsiteX266" fmla="*/ 412280 w 635581"/>
            <a:gd name="connsiteY266" fmla="*/ 66438 h 90007"/>
            <a:gd name="connsiteX267" fmla="*/ 406602 w 635581"/>
            <a:gd name="connsiteY267" fmla="*/ 77919 h 90007"/>
            <a:gd name="connsiteX268" fmla="*/ 406328 w 635581"/>
            <a:gd name="connsiteY268" fmla="*/ 78265 h 90007"/>
            <a:gd name="connsiteX269" fmla="*/ 393094 w 635581"/>
            <a:gd name="connsiteY269" fmla="*/ 87933 h 90007"/>
            <a:gd name="connsiteX270" fmla="*/ 387476 w 635581"/>
            <a:gd name="connsiteY270" fmla="*/ 89447 h 90007"/>
            <a:gd name="connsiteX271" fmla="*/ 386752 w 635581"/>
            <a:gd name="connsiteY271" fmla="*/ 89593 h 90007"/>
            <a:gd name="connsiteX272" fmla="*/ 371277 w 635581"/>
            <a:gd name="connsiteY272" fmla="*/ 88080 h 90007"/>
            <a:gd name="connsiteX273" fmla="*/ 357584 w 635581"/>
            <a:gd name="connsiteY273" fmla="*/ 78238 h 90007"/>
            <a:gd name="connsiteX274" fmla="*/ 355078 w 635581"/>
            <a:gd name="connsiteY274" fmla="*/ 74599 h 90007"/>
            <a:gd name="connsiteX275" fmla="*/ 354867 w 635581"/>
            <a:gd name="connsiteY275" fmla="*/ 74253 h 90007"/>
            <a:gd name="connsiteX276" fmla="*/ 350740 w 635581"/>
            <a:gd name="connsiteY276" fmla="*/ 59481 h 90007"/>
            <a:gd name="connsiteX277" fmla="*/ 350738 w 635581"/>
            <a:gd name="connsiteY277" fmla="*/ 56764 h 90007"/>
            <a:gd name="connsiteX278" fmla="*/ 350738 w 635581"/>
            <a:gd name="connsiteY278" fmla="*/ 55538 h 90007"/>
            <a:gd name="connsiteX279" fmla="*/ 350744 w 635581"/>
            <a:gd name="connsiteY279" fmla="*/ 52241 h 90007"/>
            <a:gd name="connsiteX280" fmla="*/ 350748 w 635581"/>
            <a:gd name="connsiteY280" fmla="*/ 48783 h 90007"/>
            <a:gd name="connsiteX281" fmla="*/ 350755 w 635581"/>
            <a:gd name="connsiteY281" fmla="*/ 42248 h 90007"/>
            <a:gd name="connsiteX282" fmla="*/ 350763 w 635581"/>
            <a:gd name="connsiteY282" fmla="*/ 34802 h 90007"/>
            <a:gd name="connsiteX283" fmla="*/ 350782 w 635581"/>
            <a:gd name="connsiteY283" fmla="*/ 19501 h 90007"/>
            <a:gd name="connsiteX284" fmla="*/ 326033 w 635581"/>
            <a:gd name="connsiteY284" fmla="*/ 23213 h 90007"/>
            <a:gd name="connsiteX285" fmla="*/ 334975 w 635581"/>
            <a:gd name="connsiteY285" fmla="*/ 29659 h 90007"/>
            <a:gd name="connsiteX286" fmla="*/ 335367 w 635581"/>
            <a:gd name="connsiteY286" fmla="*/ 30022 h 90007"/>
            <a:gd name="connsiteX287" fmla="*/ 342195 w 635581"/>
            <a:gd name="connsiteY287" fmla="*/ 39820 h 90007"/>
            <a:gd name="connsiteX288" fmla="*/ 342195 w 635581"/>
            <a:gd name="connsiteY288" fmla="*/ 40210 h 90007"/>
            <a:gd name="connsiteX289" fmla="*/ 334921 w 635581"/>
            <a:gd name="connsiteY289" fmla="*/ 40312 h 90007"/>
            <a:gd name="connsiteX290" fmla="*/ 331544 w 635581"/>
            <a:gd name="connsiteY290" fmla="*/ 40358 h 90007"/>
            <a:gd name="connsiteX291" fmla="*/ 328278 w 635581"/>
            <a:gd name="connsiteY291" fmla="*/ 40395 h 90007"/>
            <a:gd name="connsiteX292" fmla="*/ 327039 w 635581"/>
            <a:gd name="connsiteY292" fmla="*/ 40416 h 90007"/>
            <a:gd name="connsiteX293" fmla="*/ 322843 w 635581"/>
            <a:gd name="connsiteY293" fmla="*/ 40017 h 90007"/>
            <a:gd name="connsiteX294" fmla="*/ 320726 w 635581"/>
            <a:gd name="connsiteY294" fmla="*/ 38256 h 90007"/>
            <a:gd name="connsiteX295" fmla="*/ 319189 w 635581"/>
            <a:gd name="connsiteY295" fmla="*/ 37414 h 90007"/>
            <a:gd name="connsiteX296" fmla="*/ 318797 w 635581"/>
            <a:gd name="connsiteY296" fmla="*/ 37225 h 90007"/>
            <a:gd name="connsiteX297" fmla="*/ 308040 w 635581"/>
            <a:gd name="connsiteY297" fmla="*/ 35325 h 90007"/>
            <a:gd name="connsiteX298" fmla="*/ 298879 w 635581"/>
            <a:gd name="connsiteY298" fmla="*/ 38947 h 90007"/>
            <a:gd name="connsiteX299" fmla="*/ 292231 w 635581"/>
            <a:gd name="connsiteY299" fmla="*/ 47635 h 90007"/>
            <a:gd name="connsiteX300" fmla="*/ 291451 w 635581"/>
            <a:gd name="connsiteY300" fmla="*/ 50175 h 90007"/>
            <a:gd name="connsiteX301" fmla="*/ 291318 w 635581"/>
            <a:gd name="connsiteY301" fmla="*/ 50697 h 90007"/>
            <a:gd name="connsiteX302" fmla="*/ 291964 w 635581"/>
            <a:gd name="connsiteY302" fmla="*/ 60917 h 90007"/>
            <a:gd name="connsiteX303" fmla="*/ 297627 w 635581"/>
            <a:gd name="connsiteY303" fmla="*/ 69419 h 90007"/>
            <a:gd name="connsiteX304" fmla="*/ 306820 w 635581"/>
            <a:gd name="connsiteY304" fmla="*/ 73780 h 90007"/>
            <a:gd name="connsiteX305" fmla="*/ 316836 w 635581"/>
            <a:gd name="connsiteY305" fmla="*/ 72979 h 90007"/>
            <a:gd name="connsiteX306" fmla="*/ 324513 w 635581"/>
            <a:gd name="connsiteY306" fmla="*/ 67832 h 90007"/>
            <a:gd name="connsiteX307" fmla="*/ 324826 w 635581"/>
            <a:gd name="connsiteY307" fmla="*/ 67564 h 90007"/>
            <a:gd name="connsiteX308" fmla="*/ 326558 w 635581"/>
            <a:gd name="connsiteY308" fmla="*/ 67498 h 90007"/>
            <a:gd name="connsiteX309" fmla="*/ 327095 w 635581"/>
            <a:gd name="connsiteY309" fmla="*/ 67498 h 90007"/>
            <a:gd name="connsiteX310" fmla="*/ 328853 w 635581"/>
            <a:gd name="connsiteY310" fmla="*/ 67508 h 90007"/>
            <a:gd name="connsiteX311" fmla="*/ 330071 w 635581"/>
            <a:gd name="connsiteY311" fmla="*/ 67510 h 90007"/>
            <a:gd name="connsiteX312" fmla="*/ 333280 w 635581"/>
            <a:gd name="connsiteY312" fmla="*/ 67523 h 90007"/>
            <a:gd name="connsiteX313" fmla="*/ 336552 w 635581"/>
            <a:gd name="connsiteY313" fmla="*/ 67537 h 90007"/>
            <a:gd name="connsiteX314" fmla="*/ 342977 w 635581"/>
            <a:gd name="connsiteY314" fmla="*/ 67564 h 90007"/>
            <a:gd name="connsiteX315" fmla="*/ 342514 w 635581"/>
            <a:gd name="connsiteY315" fmla="*/ 68684 h 90007"/>
            <a:gd name="connsiteX316" fmla="*/ 342253 w 635581"/>
            <a:gd name="connsiteY316" fmla="*/ 69313 h 90007"/>
            <a:gd name="connsiteX317" fmla="*/ 338292 w 635581"/>
            <a:gd name="connsiteY317" fmla="*/ 75966 h 90007"/>
            <a:gd name="connsiteX318" fmla="*/ 337902 w 635581"/>
            <a:gd name="connsiteY318" fmla="*/ 76489 h 90007"/>
            <a:gd name="connsiteX319" fmla="*/ 323264 w 635581"/>
            <a:gd name="connsiteY319" fmla="*/ 87493 h 90007"/>
            <a:gd name="connsiteX320" fmla="*/ 305783 w 635581"/>
            <a:gd name="connsiteY320" fmla="*/ 89678 h 90007"/>
            <a:gd name="connsiteX321" fmla="*/ 288889 w 635581"/>
            <a:gd name="connsiteY321" fmla="*/ 82620 h 90007"/>
            <a:gd name="connsiteX322" fmla="*/ 285985 w 635581"/>
            <a:gd name="connsiteY322" fmla="*/ 80068 h 90007"/>
            <a:gd name="connsiteX323" fmla="*/ 285690 w 635581"/>
            <a:gd name="connsiteY323" fmla="*/ 79794 h 90007"/>
            <a:gd name="connsiteX324" fmla="*/ 276520 w 635581"/>
            <a:gd name="connsiteY324" fmla="*/ 64707 h 90007"/>
            <a:gd name="connsiteX325" fmla="*/ 275446 w 635581"/>
            <a:gd name="connsiteY325" fmla="*/ 59554 h 90007"/>
            <a:gd name="connsiteX326" fmla="*/ 275333 w 635581"/>
            <a:gd name="connsiteY326" fmla="*/ 58845 h 90007"/>
            <a:gd name="connsiteX327" fmla="*/ 278140 w 635581"/>
            <a:gd name="connsiteY327" fmla="*/ 40378 h 90007"/>
            <a:gd name="connsiteX328" fmla="*/ 289346 w 635581"/>
            <a:gd name="connsiteY328" fmla="*/ 26395 h 90007"/>
            <a:gd name="connsiteX329" fmla="*/ 306283 w 635581"/>
            <a:gd name="connsiteY329" fmla="*/ 19696 h 90007"/>
            <a:gd name="connsiteX330" fmla="*/ 306841 w 635581"/>
            <a:gd name="connsiteY330" fmla="*/ 19630 h 90007"/>
            <a:gd name="connsiteX331" fmla="*/ 326033 w 635581"/>
            <a:gd name="connsiteY331" fmla="*/ 23213 h 90007"/>
            <a:gd name="connsiteX332" fmla="*/ 534052 w 635581"/>
            <a:gd name="connsiteY332" fmla="*/ 19501 h 90007"/>
            <a:gd name="connsiteX333" fmla="*/ 534052 w 635581"/>
            <a:gd name="connsiteY333" fmla="*/ 35130 h 90007"/>
            <a:gd name="connsiteX334" fmla="*/ 532403 w 635581"/>
            <a:gd name="connsiteY334" fmla="*/ 35432 h 90007"/>
            <a:gd name="connsiteX335" fmla="*/ 522779 w 635581"/>
            <a:gd name="connsiteY335" fmla="*/ 38880 h 90007"/>
            <a:gd name="connsiteX336" fmla="*/ 520974 w 635581"/>
            <a:gd name="connsiteY336" fmla="*/ 40407 h 90007"/>
            <a:gd name="connsiteX337" fmla="*/ 520503 w 635581"/>
            <a:gd name="connsiteY337" fmla="*/ 40837 h 90007"/>
            <a:gd name="connsiteX338" fmla="*/ 515511 w 635581"/>
            <a:gd name="connsiteY338" fmla="*/ 49231 h 90007"/>
            <a:gd name="connsiteX339" fmla="*/ 514862 w 635581"/>
            <a:gd name="connsiteY339" fmla="*/ 55834 h 90007"/>
            <a:gd name="connsiteX340" fmla="*/ 514856 w 635581"/>
            <a:gd name="connsiteY340" fmla="*/ 56950 h 90007"/>
            <a:gd name="connsiteX341" fmla="*/ 514845 w 635581"/>
            <a:gd name="connsiteY341" fmla="*/ 59961 h 90007"/>
            <a:gd name="connsiteX342" fmla="*/ 514833 w 635581"/>
            <a:gd name="connsiteY342" fmla="*/ 63116 h 90007"/>
            <a:gd name="connsiteX343" fmla="*/ 514810 w 635581"/>
            <a:gd name="connsiteY343" fmla="*/ 69079 h 90007"/>
            <a:gd name="connsiteX344" fmla="*/ 514783 w 635581"/>
            <a:gd name="connsiteY344" fmla="*/ 75871 h 90007"/>
            <a:gd name="connsiteX345" fmla="*/ 514729 w 635581"/>
            <a:gd name="connsiteY345" fmla="*/ 89839 h 90007"/>
            <a:gd name="connsiteX346" fmla="*/ 499116 w 635581"/>
            <a:gd name="connsiteY346" fmla="*/ 89839 h 90007"/>
            <a:gd name="connsiteX347" fmla="*/ 499086 w 635581"/>
            <a:gd name="connsiteY347" fmla="*/ 74823 h 90007"/>
            <a:gd name="connsiteX348" fmla="*/ 499072 w 635581"/>
            <a:gd name="connsiteY348" fmla="*/ 67850 h 90007"/>
            <a:gd name="connsiteX349" fmla="*/ 499060 w 635581"/>
            <a:gd name="connsiteY349" fmla="*/ 61766 h 90007"/>
            <a:gd name="connsiteX350" fmla="*/ 499053 w 635581"/>
            <a:gd name="connsiteY350" fmla="*/ 58550 h 90007"/>
            <a:gd name="connsiteX351" fmla="*/ 499049 w 635581"/>
            <a:gd name="connsiteY351" fmla="*/ 55513 h 90007"/>
            <a:gd name="connsiteX352" fmla="*/ 499045 w 635581"/>
            <a:gd name="connsiteY352" fmla="*/ 54407 h 90007"/>
            <a:gd name="connsiteX353" fmla="*/ 500250 w 635581"/>
            <a:gd name="connsiteY353" fmla="*/ 45144 h 90007"/>
            <a:gd name="connsiteX354" fmla="*/ 500402 w 635581"/>
            <a:gd name="connsiteY354" fmla="*/ 44627 h 90007"/>
            <a:gd name="connsiteX355" fmla="*/ 502043 w 635581"/>
            <a:gd name="connsiteY355" fmla="*/ 40210 h 90007"/>
            <a:gd name="connsiteX356" fmla="*/ 502209 w 635581"/>
            <a:gd name="connsiteY356" fmla="*/ 39839 h 90007"/>
            <a:gd name="connsiteX357" fmla="*/ 513103 w 635581"/>
            <a:gd name="connsiteY357" fmla="*/ 26397 h 90007"/>
            <a:gd name="connsiteX358" fmla="*/ 531442 w 635581"/>
            <a:gd name="connsiteY358" fmla="*/ 19561 h 90007"/>
            <a:gd name="connsiteX359" fmla="*/ 534052 w 635581"/>
            <a:gd name="connsiteY359" fmla="*/ 19501 h 90007"/>
            <a:gd name="connsiteX360" fmla="*/ 541859 w 635581"/>
            <a:gd name="connsiteY360" fmla="*/ 19501 h 90007"/>
            <a:gd name="connsiteX361" fmla="*/ 557473 w 635581"/>
            <a:gd name="connsiteY361" fmla="*/ 19501 h 90007"/>
            <a:gd name="connsiteX362" fmla="*/ 557473 w 635581"/>
            <a:gd name="connsiteY362" fmla="*/ 89839 h 90007"/>
            <a:gd name="connsiteX363" fmla="*/ 541859 w 635581"/>
            <a:gd name="connsiteY363" fmla="*/ 89839 h 90007"/>
            <a:gd name="connsiteX364" fmla="*/ 452858 w 635581"/>
            <a:gd name="connsiteY364" fmla="*/ 157 h 90007"/>
            <a:gd name="connsiteX365" fmla="*/ 468863 w 635581"/>
            <a:gd name="connsiteY365" fmla="*/ 157 h 90007"/>
            <a:gd name="connsiteX366" fmla="*/ 467847 w 635581"/>
            <a:gd name="connsiteY366" fmla="*/ 2261 h 90007"/>
            <a:gd name="connsiteX367" fmla="*/ 467467 w 635581"/>
            <a:gd name="connsiteY367" fmla="*/ 2927 h 90007"/>
            <a:gd name="connsiteX368" fmla="*/ 467058 w 635581"/>
            <a:gd name="connsiteY368" fmla="*/ 3637 h 90007"/>
            <a:gd name="connsiteX369" fmla="*/ 466635 w 635581"/>
            <a:gd name="connsiteY369" fmla="*/ 4375 h 90007"/>
            <a:gd name="connsiteX370" fmla="*/ 462617 w 635581"/>
            <a:gd name="connsiteY370" fmla="*/ 11294 h 90007"/>
            <a:gd name="connsiteX371" fmla="*/ 462256 w 635581"/>
            <a:gd name="connsiteY371" fmla="*/ 11910 h 90007"/>
            <a:gd name="connsiteX372" fmla="*/ 461191 w 635581"/>
            <a:gd name="connsiteY372" fmla="*/ 13724 h 90007"/>
            <a:gd name="connsiteX373" fmla="*/ 460861 w 635581"/>
            <a:gd name="connsiteY373" fmla="*/ 14286 h 90007"/>
            <a:gd name="connsiteX374" fmla="*/ 460559 w 635581"/>
            <a:gd name="connsiteY374" fmla="*/ 14798 h 90007"/>
            <a:gd name="connsiteX375" fmla="*/ 460293 w 635581"/>
            <a:gd name="connsiteY375" fmla="*/ 15250 h 90007"/>
            <a:gd name="connsiteX376" fmla="*/ 459886 w 635581"/>
            <a:gd name="connsiteY376" fmla="*/ 15788 h 90007"/>
            <a:gd name="connsiteX377" fmla="*/ 458413 w 635581"/>
            <a:gd name="connsiteY377" fmla="*/ 15809 h 90007"/>
            <a:gd name="connsiteX378" fmla="*/ 457945 w 635581"/>
            <a:gd name="connsiteY378" fmla="*/ 15809 h 90007"/>
            <a:gd name="connsiteX379" fmla="*/ 456409 w 635581"/>
            <a:gd name="connsiteY379" fmla="*/ 15808 h 90007"/>
            <a:gd name="connsiteX380" fmla="*/ 455345 w 635581"/>
            <a:gd name="connsiteY380" fmla="*/ 15806 h 90007"/>
            <a:gd name="connsiteX381" fmla="*/ 452544 w 635581"/>
            <a:gd name="connsiteY381" fmla="*/ 15802 h 90007"/>
            <a:gd name="connsiteX382" fmla="*/ 449687 w 635581"/>
            <a:gd name="connsiteY382" fmla="*/ 15798 h 90007"/>
            <a:gd name="connsiteX383" fmla="*/ 444076 w 635581"/>
            <a:gd name="connsiteY383" fmla="*/ 15788 h 90007"/>
            <a:gd name="connsiteX384" fmla="*/ 445007 w 635581"/>
            <a:gd name="connsiteY384" fmla="*/ 13811 h 90007"/>
            <a:gd name="connsiteX385" fmla="*/ 445333 w 635581"/>
            <a:gd name="connsiteY385" fmla="*/ 13226 h 90007"/>
            <a:gd name="connsiteX386" fmla="*/ 445686 w 635581"/>
            <a:gd name="connsiteY386" fmla="*/ 12601 h 90007"/>
            <a:gd name="connsiteX387" fmla="*/ 446055 w 635581"/>
            <a:gd name="connsiteY387" fmla="*/ 11944 h 90007"/>
            <a:gd name="connsiteX388" fmla="*/ 449932 w 635581"/>
            <a:gd name="connsiteY388" fmla="*/ 5238 h 90007"/>
            <a:gd name="connsiteX389" fmla="*/ 552099 w 635581"/>
            <a:gd name="connsiteY389" fmla="*/ 317 h 90007"/>
            <a:gd name="connsiteX390" fmla="*/ 555716 w 635581"/>
            <a:gd name="connsiteY390" fmla="*/ 2892 h 90007"/>
            <a:gd name="connsiteX391" fmla="*/ 557473 w 635581"/>
            <a:gd name="connsiteY391" fmla="*/ 6605 h 90007"/>
            <a:gd name="connsiteX392" fmla="*/ 556962 w 635581"/>
            <a:gd name="connsiteY392" fmla="*/ 10919 h 90007"/>
            <a:gd name="connsiteX393" fmla="*/ 554166 w 635581"/>
            <a:gd name="connsiteY393" fmla="*/ 14419 h 90007"/>
            <a:gd name="connsiteX394" fmla="*/ 549689 w 635581"/>
            <a:gd name="connsiteY394" fmla="*/ 15800 h 90007"/>
            <a:gd name="connsiteX395" fmla="*/ 545527 w 635581"/>
            <a:gd name="connsiteY395" fmla="*/ 14643 h 90007"/>
            <a:gd name="connsiteX396" fmla="*/ 542444 w 635581"/>
            <a:gd name="connsiteY396" fmla="*/ 11099 h 90007"/>
            <a:gd name="connsiteX397" fmla="*/ 541859 w 635581"/>
            <a:gd name="connsiteY397" fmla="*/ 6605 h 90007"/>
            <a:gd name="connsiteX398" fmla="*/ 543616 w 635581"/>
            <a:gd name="connsiteY398" fmla="*/ 2892 h 90007"/>
            <a:gd name="connsiteX399" fmla="*/ 547197 w 635581"/>
            <a:gd name="connsiteY399" fmla="*/ 352 h 90007"/>
            <a:gd name="connsiteX400" fmla="*/ 552099 w 635581"/>
            <a:gd name="connsiteY400" fmla="*/ 317 h 90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Lst>
          <a:rect l="l" t="t" r="r" b="b"/>
          <a:pathLst>
            <a:path w="635581" h="90007">
              <a:moveTo>
                <a:pt x="64367" y="4440"/>
              </a:moveTo>
              <a:cubicBezTo>
                <a:pt x="70543" y="7496"/>
                <a:pt x="76321" y="12028"/>
                <a:pt x="80420" y="17607"/>
              </a:cubicBezTo>
              <a:cubicBezTo>
                <a:pt x="80659" y="17931"/>
                <a:pt x="80901" y="18252"/>
                <a:pt x="81146" y="18570"/>
              </a:cubicBezTo>
              <a:cubicBezTo>
                <a:pt x="85779" y="24752"/>
                <a:pt x="88538" y="32217"/>
                <a:pt x="89480" y="39856"/>
              </a:cubicBezTo>
              <a:cubicBezTo>
                <a:pt x="90314" y="47857"/>
                <a:pt x="89140" y="55946"/>
                <a:pt x="85872" y="63303"/>
              </a:cubicBezTo>
              <a:cubicBezTo>
                <a:pt x="82445" y="70776"/>
                <a:pt x="77157" y="77093"/>
                <a:pt x="70491" y="81887"/>
              </a:cubicBezTo>
              <a:cubicBezTo>
                <a:pt x="64358" y="86207"/>
                <a:pt x="56848" y="89008"/>
                <a:pt x="49390" y="89748"/>
              </a:cubicBezTo>
              <a:cubicBezTo>
                <a:pt x="41110" y="90400"/>
                <a:pt x="32986" y="89147"/>
                <a:pt x="25465" y="85564"/>
              </a:cubicBezTo>
              <a:cubicBezTo>
                <a:pt x="21583" y="83672"/>
                <a:pt x="18117" y="81373"/>
                <a:pt x="14889" y="78506"/>
              </a:cubicBezTo>
              <a:lnTo>
                <a:pt x="14559" y="78215"/>
              </a:lnTo>
              <a:cubicBezTo>
                <a:pt x="11289" y="75294"/>
                <a:pt x="8549" y="71917"/>
                <a:pt x="6302" y="68151"/>
              </a:cubicBezTo>
              <a:lnTo>
                <a:pt x="6069" y="67767"/>
              </a:lnTo>
              <a:cubicBezTo>
                <a:pt x="2511" y="61815"/>
                <a:pt x="134" y="54697"/>
                <a:pt x="14" y="47718"/>
              </a:cubicBezTo>
              <a:lnTo>
                <a:pt x="9" y="47264"/>
              </a:lnTo>
              <a:lnTo>
                <a:pt x="3" y="46776"/>
              </a:lnTo>
              <a:cubicBezTo>
                <a:pt x="-76" y="38293"/>
                <a:pt x="1476" y="30306"/>
                <a:pt x="5661" y="22841"/>
              </a:cubicBezTo>
              <a:cubicBezTo>
                <a:pt x="7283" y="20020"/>
                <a:pt x="9167" y="17412"/>
                <a:pt x="11383" y="15028"/>
              </a:cubicBezTo>
              <a:cubicBezTo>
                <a:pt x="11733" y="14651"/>
                <a:pt x="12061" y="14265"/>
                <a:pt x="12387" y="13871"/>
              </a:cubicBezTo>
              <a:cubicBezTo>
                <a:pt x="15281" y="10570"/>
                <a:pt x="18907" y="7987"/>
                <a:pt x="22697" y="5823"/>
              </a:cubicBezTo>
              <a:lnTo>
                <a:pt x="23137" y="5570"/>
              </a:lnTo>
              <a:cubicBezTo>
                <a:pt x="35625" y="-1566"/>
                <a:pt x="51473" y="-1739"/>
                <a:pt x="64367" y="4440"/>
              </a:cubicBezTo>
              <a:moveTo>
                <a:pt x="38114" y="16373"/>
              </a:moveTo>
              <a:lnTo>
                <a:pt x="37658" y="16485"/>
              </a:lnTo>
              <a:cubicBezTo>
                <a:pt x="32318" y="17825"/>
                <a:pt x="27826" y="20591"/>
                <a:pt x="23866" y="24385"/>
              </a:cubicBezTo>
              <a:cubicBezTo>
                <a:pt x="20395" y="27800"/>
                <a:pt x="17884" y="32235"/>
                <a:pt x="16526" y="36909"/>
              </a:cubicBezTo>
              <a:cubicBezTo>
                <a:pt x="15109" y="42121"/>
                <a:pt x="15104" y="47438"/>
                <a:pt x="16411" y="52671"/>
              </a:cubicBezTo>
              <a:cubicBezTo>
                <a:pt x="17584" y="57021"/>
                <a:pt x="19783" y="60842"/>
                <a:pt x="22697" y="64243"/>
              </a:cubicBezTo>
              <a:lnTo>
                <a:pt x="23123" y="64749"/>
              </a:lnTo>
              <a:cubicBezTo>
                <a:pt x="24175" y="65969"/>
                <a:pt x="25330" y="66969"/>
                <a:pt x="26600" y="67956"/>
              </a:cubicBezTo>
              <a:lnTo>
                <a:pt x="27098" y="68373"/>
              </a:lnTo>
              <a:cubicBezTo>
                <a:pt x="30981" y="71510"/>
                <a:pt x="35780" y="73211"/>
                <a:pt x="40653" y="74012"/>
              </a:cubicBezTo>
              <a:cubicBezTo>
                <a:pt x="45817" y="74771"/>
                <a:pt x="51066" y="73981"/>
                <a:pt x="55923" y="72145"/>
              </a:cubicBezTo>
              <a:cubicBezTo>
                <a:pt x="58831" y="70977"/>
                <a:pt x="61545" y="69259"/>
                <a:pt x="63877" y="67174"/>
              </a:cubicBezTo>
              <a:lnTo>
                <a:pt x="64452" y="66676"/>
              </a:lnTo>
              <a:cubicBezTo>
                <a:pt x="68122" y="63456"/>
                <a:pt x="70825" y="59307"/>
                <a:pt x="72445" y="54701"/>
              </a:cubicBezTo>
              <a:cubicBezTo>
                <a:pt x="74090" y="49828"/>
                <a:pt x="74570" y="44677"/>
                <a:pt x="73644" y="39594"/>
              </a:cubicBezTo>
              <a:cubicBezTo>
                <a:pt x="72586" y="34414"/>
                <a:pt x="70356" y="29808"/>
                <a:pt x="66931" y="25800"/>
              </a:cubicBezTo>
              <a:cubicBezTo>
                <a:pt x="66507" y="25321"/>
                <a:pt x="66074" y="24850"/>
                <a:pt x="65634" y="24385"/>
              </a:cubicBezTo>
              <a:lnTo>
                <a:pt x="65267" y="23985"/>
              </a:lnTo>
              <a:cubicBezTo>
                <a:pt x="62091" y="20655"/>
                <a:pt x="57723" y="18234"/>
                <a:pt x="53350" y="16898"/>
              </a:cubicBezTo>
              <a:cubicBezTo>
                <a:pt x="52699" y="16713"/>
                <a:pt x="52045" y="16537"/>
                <a:pt x="51386" y="16373"/>
              </a:cubicBezTo>
              <a:cubicBezTo>
                <a:pt x="51249" y="16338"/>
                <a:pt x="51112" y="16304"/>
                <a:pt x="50971" y="16267"/>
              </a:cubicBezTo>
              <a:cubicBezTo>
                <a:pt x="46983" y="15296"/>
                <a:pt x="42087" y="15364"/>
                <a:pt x="38114" y="16373"/>
              </a:cubicBezTo>
              <a:moveTo>
                <a:pt x="136873" y="157"/>
              </a:moveTo>
              <a:cubicBezTo>
                <a:pt x="179683" y="157"/>
                <a:pt x="179683" y="157"/>
                <a:pt x="186390" y="3994"/>
              </a:cubicBezTo>
              <a:cubicBezTo>
                <a:pt x="188303" y="5133"/>
                <a:pt x="189915" y="6641"/>
                <a:pt x="191521" y="8168"/>
              </a:cubicBezTo>
              <a:lnTo>
                <a:pt x="191896" y="8504"/>
              </a:lnTo>
              <a:cubicBezTo>
                <a:pt x="194742" y="11151"/>
                <a:pt x="196674" y="14906"/>
                <a:pt x="197962" y="18524"/>
              </a:cubicBezTo>
              <a:lnTo>
                <a:pt x="198186" y="19147"/>
              </a:lnTo>
              <a:cubicBezTo>
                <a:pt x="199610" y="23422"/>
                <a:pt x="199850" y="28258"/>
                <a:pt x="198998" y="32677"/>
              </a:cubicBezTo>
              <a:cubicBezTo>
                <a:pt x="198865" y="33304"/>
                <a:pt x="198715" y="33924"/>
                <a:pt x="198547" y="34544"/>
              </a:cubicBezTo>
              <a:lnTo>
                <a:pt x="198441" y="34947"/>
              </a:lnTo>
              <a:cubicBezTo>
                <a:pt x="197118" y="39692"/>
                <a:pt x="194394" y="43882"/>
                <a:pt x="190919" y="47332"/>
              </a:cubicBezTo>
              <a:cubicBezTo>
                <a:pt x="187355" y="50753"/>
                <a:pt x="182975" y="52982"/>
                <a:pt x="178208" y="54193"/>
              </a:cubicBezTo>
              <a:cubicBezTo>
                <a:pt x="175508" y="54832"/>
                <a:pt x="172868" y="54892"/>
                <a:pt x="170112" y="54884"/>
              </a:cubicBezTo>
              <a:lnTo>
                <a:pt x="169175" y="54884"/>
              </a:lnTo>
              <a:cubicBezTo>
                <a:pt x="168029" y="54882"/>
                <a:pt x="166882" y="54880"/>
                <a:pt x="165733" y="54876"/>
              </a:cubicBezTo>
              <a:lnTo>
                <a:pt x="157951" y="54865"/>
              </a:lnTo>
              <a:lnTo>
                <a:pt x="157951" y="39233"/>
              </a:lnTo>
              <a:cubicBezTo>
                <a:pt x="165710" y="39173"/>
                <a:pt x="165710" y="39173"/>
                <a:pt x="168146" y="39158"/>
              </a:cubicBezTo>
              <a:cubicBezTo>
                <a:pt x="168876" y="39150"/>
                <a:pt x="168876" y="39150"/>
                <a:pt x="169606" y="39142"/>
              </a:cubicBezTo>
              <a:cubicBezTo>
                <a:pt x="169928" y="39140"/>
                <a:pt x="170249" y="39138"/>
                <a:pt x="170571" y="39136"/>
              </a:cubicBezTo>
              <a:cubicBezTo>
                <a:pt x="173100" y="39127"/>
                <a:pt x="175397" y="38966"/>
                <a:pt x="177652" y="37694"/>
              </a:cubicBezTo>
              <a:lnTo>
                <a:pt x="178017" y="37501"/>
              </a:lnTo>
              <a:cubicBezTo>
                <a:pt x="178809" y="37069"/>
                <a:pt x="179382" y="36555"/>
                <a:pt x="180006" y="35912"/>
              </a:cubicBezTo>
              <a:lnTo>
                <a:pt x="180396" y="35912"/>
              </a:lnTo>
              <a:lnTo>
                <a:pt x="180558" y="35563"/>
              </a:lnTo>
              <a:cubicBezTo>
                <a:pt x="180780" y="35144"/>
                <a:pt x="181023" y="34824"/>
                <a:pt x="181324" y="34459"/>
              </a:cubicBezTo>
              <a:cubicBezTo>
                <a:pt x="182334" y="33128"/>
                <a:pt x="183176" y="31453"/>
                <a:pt x="183471" y="29796"/>
              </a:cubicBezTo>
              <a:cubicBezTo>
                <a:pt x="183716" y="27115"/>
                <a:pt x="183562" y="24698"/>
                <a:pt x="182421" y="22223"/>
              </a:cubicBezTo>
              <a:cubicBezTo>
                <a:pt x="181361" y="20234"/>
                <a:pt x="180013" y="18765"/>
                <a:pt x="178137" y="17535"/>
              </a:cubicBezTo>
              <a:cubicBezTo>
                <a:pt x="170774" y="13346"/>
                <a:pt x="158619" y="15844"/>
                <a:pt x="152486" y="15788"/>
              </a:cubicBezTo>
              <a:lnTo>
                <a:pt x="152486" y="89839"/>
              </a:lnTo>
              <a:lnTo>
                <a:pt x="136873" y="89839"/>
              </a:lnTo>
              <a:close/>
              <a:moveTo>
                <a:pt x="234034" y="19476"/>
              </a:moveTo>
              <a:cubicBezTo>
                <a:pt x="240222" y="19348"/>
                <a:pt x="246284" y="20823"/>
                <a:pt x="251735" y="23744"/>
              </a:cubicBezTo>
              <a:cubicBezTo>
                <a:pt x="254500" y="25275"/>
                <a:pt x="256927" y="27128"/>
                <a:pt x="259247" y="29269"/>
              </a:cubicBezTo>
              <a:lnTo>
                <a:pt x="259788" y="29767"/>
              </a:lnTo>
              <a:cubicBezTo>
                <a:pt x="264056" y="33879"/>
                <a:pt x="267014" y="39235"/>
                <a:pt x="268715" y="44874"/>
              </a:cubicBezTo>
              <a:cubicBezTo>
                <a:pt x="268975" y="45787"/>
                <a:pt x="269195" y="46706"/>
                <a:pt x="269396" y="47635"/>
              </a:cubicBezTo>
              <a:lnTo>
                <a:pt x="269493" y="48077"/>
              </a:lnTo>
              <a:cubicBezTo>
                <a:pt x="269962" y="50312"/>
                <a:pt x="270031" y="52538"/>
                <a:pt x="270029" y="54816"/>
              </a:cubicBezTo>
              <a:lnTo>
                <a:pt x="270029" y="55229"/>
              </a:lnTo>
              <a:cubicBezTo>
                <a:pt x="270025" y="56633"/>
                <a:pt x="269960" y="57959"/>
                <a:pt x="269786" y="59359"/>
              </a:cubicBezTo>
              <a:lnTo>
                <a:pt x="221773" y="59359"/>
              </a:lnTo>
              <a:lnTo>
                <a:pt x="221773" y="47830"/>
              </a:lnTo>
              <a:lnTo>
                <a:pt x="253002" y="47635"/>
              </a:lnTo>
              <a:cubicBezTo>
                <a:pt x="251343" y="44108"/>
                <a:pt x="249544" y="41196"/>
                <a:pt x="246401" y="38891"/>
              </a:cubicBezTo>
              <a:cubicBezTo>
                <a:pt x="243440" y="36953"/>
                <a:pt x="240218" y="35547"/>
                <a:pt x="236646" y="35287"/>
              </a:cubicBezTo>
              <a:cubicBezTo>
                <a:pt x="236098" y="35268"/>
                <a:pt x="235546" y="35262"/>
                <a:pt x="234996" y="35266"/>
              </a:cubicBezTo>
              <a:lnTo>
                <a:pt x="234403" y="35268"/>
              </a:lnTo>
              <a:cubicBezTo>
                <a:pt x="230820" y="35324"/>
                <a:pt x="227517" y="36436"/>
                <a:pt x="224441" y="38250"/>
              </a:cubicBezTo>
              <a:cubicBezTo>
                <a:pt x="221598" y="40013"/>
                <a:pt x="219441" y="42621"/>
                <a:pt x="217845" y="45523"/>
              </a:cubicBezTo>
              <a:cubicBezTo>
                <a:pt x="215972" y="49050"/>
                <a:pt x="215549" y="52641"/>
                <a:pt x="215686" y="56592"/>
              </a:cubicBezTo>
              <a:cubicBezTo>
                <a:pt x="215875" y="59720"/>
                <a:pt x="217065" y="62726"/>
                <a:pt x="218733" y="65359"/>
              </a:cubicBezTo>
              <a:cubicBezTo>
                <a:pt x="220841" y="68411"/>
                <a:pt x="223437" y="70718"/>
                <a:pt x="226775" y="72326"/>
              </a:cubicBezTo>
              <a:cubicBezTo>
                <a:pt x="229995" y="73722"/>
                <a:pt x="233306" y="74282"/>
                <a:pt x="236803" y="74012"/>
              </a:cubicBezTo>
              <a:cubicBezTo>
                <a:pt x="240237" y="73603"/>
                <a:pt x="243330" y="72481"/>
                <a:pt x="246170" y="70494"/>
              </a:cubicBezTo>
              <a:lnTo>
                <a:pt x="246672" y="69989"/>
              </a:lnTo>
              <a:cubicBezTo>
                <a:pt x="247040" y="69682"/>
                <a:pt x="247284" y="69531"/>
                <a:pt x="247757" y="69431"/>
              </a:cubicBezTo>
              <a:cubicBezTo>
                <a:pt x="248255" y="69398"/>
                <a:pt x="248747" y="69398"/>
                <a:pt x="249247" y="69407"/>
              </a:cubicBezTo>
              <a:lnTo>
                <a:pt x="249820" y="69407"/>
              </a:lnTo>
              <a:cubicBezTo>
                <a:pt x="250440" y="69407"/>
                <a:pt x="251062" y="69415"/>
                <a:pt x="251681" y="69423"/>
              </a:cubicBezTo>
              <a:cubicBezTo>
                <a:pt x="252114" y="69425"/>
                <a:pt x="252544" y="69427"/>
                <a:pt x="252977" y="69427"/>
              </a:cubicBezTo>
              <a:cubicBezTo>
                <a:pt x="254110" y="69431"/>
                <a:pt x="255245" y="69440"/>
                <a:pt x="256378" y="69452"/>
              </a:cubicBezTo>
              <a:cubicBezTo>
                <a:pt x="257537" y="69462"/>
                <a:pt x="258695" y="69465"/>
                <a:pt x="259851" y="69471"/>
              </a:cubicBezTo>
              <a:cubicBezTo>
                <a:pt x="262122" y="69481"/>
                <a:pt x="264392" y="69498"/>
                <a:pt x="266662" y="69518"/>
              </a:cubicBezTo>
              <a:cubicBezTo>
                <a:pt x="265525" y="73070"/>
                <a:pt x="262969" y="76242"/>
                <a:pt x="260417" y="78896"/>
              </a:cubicBezTo>
              <a:lnTo>
                <a:pt x="260127" y="79207"/>
              </a:lnTo>
              <a:cubicBezTo>
                <a:pt x="256112" y="83468"/>
                <a:pt x="250998" y="86659"/>
                <a:pt x="245395" y="88396"/>
              </a:cubicBezTo>
              <a:cubicBezTo>
                <a:pt x="239135" y="90200"/>
                <a:pt x="232662" y="90371"/>
                <a:pt x="226325" y="88871"/>
              </a:cubicBezTo>
              <a:cubicBezTo>
                <a:pt x="224057" y="88304"/>
                <a:pt x="221930" y="87524"/>
                <a:pt x="219821" y="86516"/>
              </a:cubicBezTo>
              <a:lnTo>
                <a:pt x="219393" y="86313"/>
              </a:lnTo>
              <a:cubicBezTo>
                <a:pt x="216489" y="84908"/>
                <a:pt x="213835" y="83118"/>
                <a:pt x="211495" y="80892"/>
              </a:cubicBezTo>
              <a:cubicBezTo>
                <a:pt x="211099" y="80516"/>
                <a:pt x="210692" y="80170"/>
                <a:pt x="210271" y="79825"/>
              </a:cubicBezTo>
              <a:cubicBezTo>
                <a:pt x="206228" y="76282"/>
                <a:pt x="203365" y="71128"/>
                <a:pt x="201641" y="66106"/>
              </a:cubicBezTo>
              <a:cubicBezTo>
                <a:pt x="199659" y="60162"/>
                <a:pt x="199192" y="53890"/>
                <a:pt x="200396" y="47727"/>
              </a:cubicBezTo>
              <a:cubicBezTo>
                <a:pt x="201719" y="41524"/>
                <a:pt x="204574" y="35876"/>
                <a:pt x="208792" y="31155"/>
              </a:cubicBezTo>
              <a:cubicBezTo>
                <a:pt x="213028" y="26497"/>
                <a:pt x="218289" y="23045"/>
                <a:pt x="224287" y="21088"/>
              </a:cubicBezTo>
              <a:cubicBezTo>
                <a:pt x="227439" y="20105"/>
                <a:pt x="230737" y="19582"/>
                <a:pt x="234034" y="19476"/>
              </a:cubicBezTo>
              <a:moveTo>
                <a:pt x="472571" y="23481"/>
              </a:moveTo>
              <a:cubicBezTo>
                <a:pt x="474222" y="24362"/>
                <a:pt x="475784" y="25379"/>
                <a:pt x="477257" y="26534"/>
              </a:cubicBezTo>
              <a:lnTo>
                <a:pt x="477824" y="26978"/>
              </a:lnTo>
              <a:cubicBezTo>
                <a:pt x="482570" y="30787"/>
                <a:pt x="486354" y="35515"/>
                <a:pt x="488649" y="41187"/>
              </a:cubicBezTo>
              <a:cubicBezTo>
                <a:pt x="489637" y="43741"/>
                <a:pt x="490417" y="46376"/>
                <a:pt x="490881" y="49077"/>
              </a:cubicBezTo>
              <a:lnTo>
                <a:pt x="490948" y="49463"/>
              </a:lnTo>
              <a:cubicBezTo>
                <a:pt x="491348" y="52069"/>
                <a:pt x="491336" y="54712"/>
                <a:pt x="491331" y="57343"/>
              </a:cubicBezTo>
              <a:lnTo>
                <a:pt x="491331" y="58413"/>
              </a:lnTo>
              <a:cubicBezTo>
                <a:pt x="491331" y="59371"/>
                <a:pt x="491331" y="60330"/>
                <a:pt x="491329" y="61288"/>
              </a:cubicBezTo>
              <a:cubicBezTo>
                <a:pt x="491327" y="62293"/>
                <a:pt x="491327" y="63299"/>
                <a:pt x="491327" y="64303"/>
              </a:cubicBezTo>
              <a:cubicBezTo>
                <a:pt x="491327" y="66203"/>
                <a:pt x="491325" y="68102"/>
                <a:pt x="491323" y="70002"/>
              </a:cubicBezTo>
              <a:cubicBezTo>
                <a:pt x="491321" y="72572"/>
                <a:pt x="491319" y="75141"/>
                <a:pt x="491317" y="77711"/>
              </a:cubicBezTo>
              <a:cubicBezTo>
                <a:pt x="491315" y="81753"/>
                <a:pt x="491311" y="85796"/>
                <a:pt x="491309" y="89839"/>
              </a:cubicBezTo>
              <a:lnTo>
                <a:pt x="475695" y="89839"/>
              </a:lnTo>
              <a:lnTo>
                <a:pt x="475689" y="86493"/>
              </a:lnTo>
              <a:cubicBezTo>
                <a:pt x="475683" y="82834"/>
                <a:pt x="475672" y="79178"/>
                <a:pt x="475658" y="75520"/>
              </a:cubicBezTo>
              <a:cubicBezTo>
                <a:pt x="475651" y="73303"/>
                <a:pt x="475645" y="71087"/>
                <a:pt x="475641" y="68871"/>
              </a:cubicBezTo>
              <a:cubicBezTo>
                <a:pt x="475639" y="66936"/>
                <a:pt x="475633" y="65004"/>
                <a:pt x="475625" y="63069"/>
              </a:cubicBezTo>
              <a:cubicBezTo>
                <a:pt x="475622" y="62048"/>
                <a:pt x="475618" y="61025"/>
                <a:pt x="475618" y="60004"/>
              </a:cubicBezTo>
              <a:cubicBezTo>
                <a:pt x="475618" y="59038"/>
                <a:pt x="475614" y="58073"/>
                <a:pt x="475608" y="57108"/>
              </a:cubicBezTo>
              <a:cubicBezTo>
                <a:pt x="475606" y="56757"/>
                <a:pt x="475606" y="56405"/>
                <a:pt x="475608" y="56054"/>
              </a:cubicBezTo>
              <a:cubicBezTo>
                <a:pt x="475618" y="52368"/>
                <a:pt x="475046" y="48976"/>
                <a:pt x="473353" y="45681"/>
              </a:cubicBezTo>
              <a:lnTo>
                <a:pt x="473037" y="45055"/>
              </a:lnTo>
              <a:cubicBezTo>
                <a:pt x="471510" y="42252"/>
                <a:pt x="469251" y="39887"/>
                <a:pt x="466569" y="38165"/>
              </a:cubicBezTo>
              <a:cubicBezTo>
                <a:pt x="463772" y="36457"/>
                <a:pt x="460610" y="35405"/>
                <a:pt x="457330" y="35285"/>
              </a:cubicBezTo>
              <a:cubicBezTo>
                <a:pt x="455177" y="35233"/>
                <a:pt x="453189" y="35341"/>
                <a:pt x="451104" y="35912"/>
              </a:cubicBezTo>
              <a:lnTo>
                <a:pt x="450499" y="36076"/>
              </a:lnTo>
              <a:cubicBezTo>
                <a:pt x="447105" y="37113"/>
                <a:pt x="444208" y="39053"/>
                <a:pt x="441735" y="41579"/>
              </a:cubicBezTo>
              <a:cubicBezTo>
                <a:pt x="439518" y="44108"/>
                <a:pt x="438065" y="47127"/>
                <a:pt x="437246" y="50370"/>
              </a:cubicBezTo>
              <a:lnTo>
                <a:pt x="437101" y="50944"/>
              </a:lnTo>
              <a:cubicBezTo>
                <a:pt x="436412" y="54272"/>
                <a:pt x="436800" y="57716"/>
                <a:pt x="437783" y="60934"/>
              </a:cubicBezTo>
              <a:cubicBezTo>
                <a:pt x="438609" y="63263"/>
                <a:pt x="439785" y="65263"/>
                <a:pt x="441345" y="67174"/>
              </a:cubicBezTo>
              <a:lnTo>
                <a:pt x="441713" y="67641"/>
              </a:lnTo>
              <a:cubicBezTo>
                <a:pt x="443661" y="69987"/>
                <a:pt x="446358" y="71686"/>
                <a:pt x="449173" y="72809"/>
              </a:cubicBezTo>
              <a:cubicBezTo>
                <a:pt x="452530" y="74041"/>
                <a:pt x="456092" y="74392"/>
                <a:pt x="459621" y="73801"/>
              </a:cubicBezTo>
              <a:cubicBezTo>
                <a:pt x="461600" y="73423"/>
                <a:pt x="463366" y="72780"/>
                <a:pt x="465156" y="71863"/>
              </a:cubicBezTo>
              <a:lnTo>
                <a:pt x="465780" y="71552"/>
              </a:lnTo>
              <a:cubicBezTo>
                <a:pt x="467233" y="70772"/>
                <a:pt x="468369" y="69757"/>
                <a:pt x="469542" y="68616"/>
              </a:cubicBezTo>
              <a:lnTo>
                <a:pt x="470035" y="68151"/>
              </a:lnTo>
              <a:lnTo>
                <a:pt x="470230" y="68151"/>
              </a:lnTo>
              <a:lnTo>
                <a:pt x="470230" y="86908"/>
              </a:lnTo>
              <a:cubicBezTo>
                <a:pt x="467036" y="88186"/>
                <a:pt x="464052" y="89167"/>
                <a:pt x="460666" y="89644"/>
              </a:cubicBezTo>
              <a:lnTo>
                <a:pt x="460268" y="89700"/>
              </a:lnTo>
              <a:cubicBezTo>
                <a:pt x="454550" y="90429"/>
                <a:pt x="448679" y="89584"/>
                <a:pt x="443320" y="87518"/>
              </a:cubicBezTo>
              <a:cubicBezTo>
                <a:pt x="439565" y="85925"/>
                <a:pt x="436190" y="83966"/>
                <a:pt x="433148" y="81242"/>
              </a:cubicBezTo>
              <a:lnTo>
                <a:pt x="432306" y="80522"/>
              </a:lnTo>
              <a:cubicBezTo>
                <a:pt x="427896" y="76603"/>
                <a:pt x="424634" y="71313"/>
                <a:pt x="422755" y="65741"/>
              </a:cubicBezTo>
              <a:cubicBezTo>
                <a:pt x="421724" y="62510"/>
                <a:pt x="421232" y="59222"/>
                <a:pt x="421047" y="55841"/>
              </a:cubicBezTo>
              <a:lnTo>
                <a:pt x="421010" y="55202"/>
              </a:lnTo>
              <a:cubicBezTo>
                <a:pt x="420997" y="54629"/>
                <a:pt x="421014" y="54069"/>
                <a:pt x="421047" y="53496"/>
              </a:cubicBezTo>
              <a:lnTo>
                <a:pt x="421070" y="53052"/>
              </a:lnTo>
              <a:cubicBezTo>
                <a:pt x="421390" y="47675"/>
                <a:pt x="422769" y="42602"/>
                <a:pt x="425340" y="37866"/>
              </a:cubicBezTo>
              <a:lnTo>
                <a:pt x="425530" y="37507"/>
              </a:lnTo>
              <a:cubicBezTo>
                <a:pt x="426802" y="35109"/>
                <a:pt x="428379" y="33061"/>
                <a:pt x="430215" y="31069"/>
              </a:cubicBezTo>
              <a:cubicBezTo>
                <a:pt x="430557" y="30692"/>
                <a:pt x="430887" y="30310"/>
                <a:pt x="431207" y="29916"/>
              </a:cubicBezTo>
              <a:cubicBezTo>
                <a:pt x="434431" y="26128"/>
                <a:pt x="439391" y="23335"/>
                <a:pt x="443989" y="21622"/>
              </a:cubicBezTo>
              <a:cubicBezTo>
                <a:pt x="453393" y="18296"/>
                <a:pt x="463689" y="18883"/>
                <a:pt x="472571" y="23481"/>
              </a:cubicBezTo>
              <a:moveTo>
                <a:pt x="599559" y="19476"/>
              </a:moveTo>
              <a:cubicBezTo>
                <a:pt x="605789" y="19371"/>
                <a:pt x="611969" y="20829"/>
                <a:pt x="617438" y="23844"/>
              </a:cubicBezTo>
              <a:cubicBezTo>
                <a:pt x="619971" y="25312"/>
                <a:pt x="622297" y="27055"/>
                <a:pt x="624417" y="29074"/>
              </a:cubicBezTo>
              <a:lnTo>
                <a:pt x="624749" y="29387"/>
              </a:lnTo>
              <a:cubicBezTo>
                <a:pt x="629151" y="33561"/>
                <a:pt x="632307" y="38673"/>
                <a:pt x="634083" y="44488"/>
              </a:cubicBezTo>
              <a:cubicBezTo>
                <a:pt x="634885" y="47229"/>
                <a:pt x="635427" y="50052"/>
                <a:pt x="635543" y="52911"/>
              </a:cubicBezTo>
              <a:lnTo>
                <a:pt x="635558" y="53295"/>
              </a:lnTo>
              <a:cubicBezTo>
                <a:pt x="635784" y="59538"/>
                <a:pt x="634354" y="65683"/>
                <a:pt x="631493" y="71228"/>
              </a:cubicBezTo>
              <a:cubicBezTo>
                <a:pt x="628614" y="76612"/>
                <a:pt x="624353" y="81178"/>
                <a:pt x="619226" y="84470"/>
              </a:cubicBezTo>
              <a:cubicBezTo>
                <a:pt x="615152" y="86972"/>
                <a:pt x="610946" y="88557"/>
                <a:pt x="606266" y="89447"/>
              </a:cubicBezTo>
              <a:lnTo>
                <a:pt x="605863" y="89526"/>
              </a:lnTo>
              <a:cubicBezTo>
                <a:pt x="600127" y="90595"/>
                <a:pt x="593916" y="89813"/>
                <a:pt x="588451" y="87887"/>
              </a:cubicBezTo>
              <a:cubicBezTo>
                <a:pt x="583565" y="86072"/>
                <a:pt x="579368" y="83288"/>
                <a:pt x="575624" y="79678"/>
              </a:cubicBezTo>
              <a:lnTo>
                <a:pt x="575178" y="79271"/>
              </a:lnTo>
              <a:cubicBezTo>
                <a:pt x="572893" y="77108"/>
                <a:pt x="571074" y="74421"/>
                <a:pt x="569574" y="71668"/>
              </a:cubicBezTo>
              <a:lnTo>
                <a:pt x="569369" y="71296"/>
              </a:lnTo>
              <a:cubicBezTo>
                <a:pt x="567528" y="67886"/>
                <a:pt x="566390" y="64334"/>
                <a:pt x="565670" y="60531"/>
              </a:cubicBezTo>
              <a:lnTo>
                <a:pt x="565591" y="60122"/>
              </a:lnTo>
              <a:cubicBezTo>
                <a:pt x="564558" y="54455"/>
                <a:pt x="565309" y="48237"/>
                <a:pt x="567213" y="42831"/>
              </a:cubicBezTo>
              <a:cubicBezTo>
                <a:pt x="567626" y="41739"/>
                <a:pt x="568095" y="40679"/>
                <a:pt x="568597" y="39625"/>
              </a:cubicBezTo>
              <a:lnTo>
                <a:pt x="568802" y="39196"/>
              </a:lnTo>
              <a:cubicBezTo>
                <a:pt x="571425" y="33762"/>
                <a:pt x="575526" y="29013"/>
                <a:pt x="580510" y="25617"/>
              </a:cubicBezTo>
              <a:cubicBezTo>
                <a:pt x="585686" y="22176"/>
                <a:pt x="591457" y="20109"/>
                <a:pt x="597654" y="19549"/>
              </a:cubicBezTo>
              <a:cubicBezTo>
                <a:pt x="598289" y="19514"/>
                <a:pt x="598924" y="19497"/>
                <a:pt x="599559" y="19476"/>
              </a:cubicBezTo>
              <a:moveTo>
                <a:pt x="589615" y="38225"/>
              </a:moveTo>
              <a:cubicBezTo>
                <a:pt x="586515" y="40360"/>
                <a:pt x="584231" y="43173"/>
                <a:pt x="582601" y="46561"/>
              </a:cubicBezTo>
              <a:cubicBezTo>
                <a:pt x="581144" y="49859"/>
                <a:pt x="580599" y="53274"/>
                <a:pt x="580933" y="56859"/>
              </a:cubicBezTo>
              <a:cubicBezTo>
                <a:pt x="581348" y="60324"/>
                <a:pt x="582678" y="63652"/>
                <a:pt x="584758" y="66456"/>
              </a:cubicBezTo>
              <a:cubicBezTo>
                <a:pt x="586520" y="68743"/>
                <a:pt x="588515" y="70458"/>
                <a:pt x="591042" y="71863"/>
              </a:cubicBezTo>
              <a:lnTo>
                <a:pt x="591526" y="72141"/>
              </a:lnTo>
              <a:cubicBezTo>
                <a:pt x="594505" y="73755"/>
                <a:pt x="597864" y="74328"/>
                <a:pt x="601216" y="74255"/>
              </a:cubicBezTo>
              <a:cubicBezTo>
                <a:pt x="604772" y="74114"/>
                <a:pt x="608131" y="72967"/>
                <a:pt x="611144" y="71081"/>
              </a:cubicBezTo>
              <a:cubicBezTo>
                <a:pt x="611824" y="70589"/>
                <a:pt x="612461" y="70064"/>
                <a:pt x="613096" y="69518"/>
              </a:cubicBezTo>
              <a:lnTo>
                <a:pt x="613446" y="69255"/>
              </a:lnTo>
              <a:cubicBezTo>
                <a:pt x="615679" y="67525"/>
                <a:pt x="617309" y="64768"/>
                <a:pt x="618463" y="62235"/>
              </a:cubicBezTo>
              <a:cubicBezTo>
                <a:pt x="619320" y="60133"/>
                <a:pt x="619807" y="57913"/>
                <a:pt x="619929" y="55646"/>
              </a:cubicBezTo>
              <a:lnTo>
                <a:pt x="619952" y="55202"/>
              </a:lnTo>
              <a:cubicBezTo>
                <a:pt x="620048" y="51585"/>
                <a:pt x="619100" y="48208"/>
                <a:pt x="617411" y="45034"/>
              </a:cubicBezTo>
              <a:cubicBezTo>
                <a:pt x="616842" y="44009"/>
                <a:pt x="616179" y="43075"/>
                <a:pt x="615440" y="42165"/>
              </a:cubicBezTo>
              <a:lnTo>
                <a:pt x="615040" y="41667"/>
              </a:lnTo>
              <a:cubicBezTo>
                <a:pt x="612884" y="39129"/>
                <a:pt x="610005" y="37244"/>
                <a:pt x="606890" y="36107"/>
              </a:cubicBezTo>
              <a:cubicBezTo>
                <a:pt x="601142" y="34134"/>
                <a:pt x="594714" y="34914"/>
                <a:pt x="589615" y="38225"/>
              </a:cubicBezTo>
              <a:moveTo>
                <a:pt x="350782" y="19501"/>
              </a:moveTo>
              <a:cubicBezTo>
                <a:pt x="352790" y="19495"/>
                <a:pt x="354798" y="19493"/>
                <a:pt x="356804" y="19489"/>
              </a:cubicBezTo>
              <a:cubicBezTo>
                <a:pt x="357736" y="19489"/>
                <a:pt x="358669" y="19487"/>
                <a:pt x="359599" y="19485"/>
              </a:cubicBezTo>
              <a:cubicBezTo>
                <a:pt x="360499" y="19483"/>
                <a:pt x="361397" y="19481"/>
                <a:pt x="362294" y="19481"/>
              </a:cubicBezTo>
              <a:cubicBezTo>
                <a:pt x="362638" y="19481"/>
                <a:pt x="362982" y="19479"/>
                <a:pt x="363325" y="19479"/>
              </a:cubicBezTo>
              <a:cubicBezTo>
                <a:pt x="363806" y="19478"/>
                <a:pt x="364285" y="19478"/>
                <a:pt x="364763" y="19478"/>
              </a:cubicBezTo>
              <a:lnTo>
                <a:pt x="365200" y="19476"/>
              </a:lnTo>
              <a:cubicBezTo>
                <a:pt x="365534" y="19476"/>
                <a:pt x="365868" y="19487"/>
                <a:pt x="366202" y="19501"/>
              </a:cubicBezTo>
              <a:lnTo>
                <a:pt x="366397" y="19696"/>
              </a:lnTo>
              <a:cubicBezTo>
                <a:pt x="366416" y="20221"/>
                <a:pt x="366424" y="20740"/>
                <a:pt x="366422" y="21263"/>
              </a:cubicBezTo>
              <a:lnTo>
                <a:pt x="366424" y="21769"/>
              </a:lnTo>
              <a:cubicBezTo>
                <a:pt x="366426" y="22331"/>
                <a:pt x="366426" y="22893"/>
                <a:pt x="366426" y="23456"/>
              </a:cubicBezTo>
              <a:lnTo>
                <a:pt x="366428" y="24659"/>
              </a:lnTo>
              <a:cubicBezTo>
                <a:pt x="366428" y="25526"/>
                <a:pt x="366430" y="26395"/>
                <a:pt x="366430" y="27262"/>
              </a:cubicBezTo>
              <a:cubicBezTo>
                <a:pt x="366431" y="28634"/>
                <a:pt x="366433" y="30007"/>
                <a:pt x="366437" y="31381"/>
              </a:cubicBezTo>
              <a:lnTo>
                <a:pt x="366441" y="32791"/>
              </a:lnTo>
              <a:lnTo>
                <a:pt x="366443" y="33505"/>
              </a:lnTo>
              <a:cubicBezTo>
                <a:pt x="366453" y="36702"/>
                <a:pt x="366458" y="39899"/>
                <a:pt x="366460" y="43098"/>
              </a:cubicBezTo>
              <a:cubicBezTo>
                <a:pt x="366462" y="45252"/>
                <a:pt x="366466" y="47407"/>
                <a:pt x="366474" y="49561"/>
              </a:cubicBezTo>
              <a:cubicBezTo>
                <a:pt x="366478" y="50702"/>
                <a:pt x="366480" y="51843"/>
                <a:pt x="366480" y="52982"/>
              </a:cubicBezTo>
              <a:cubicBezTo>
                <a:pt x="366480" y="54058"/>
                <a:pt x="366482" y="55133"/>
                <a:pt x="366487" y="56206"/>
              </a:cubicBezTo>
              <a:cubicBezTo>
                <a:pt x="366487" y="56600"/>
                <a:pt x="366487" y="56992"/>
                <a:pt x="366487" y="57384"/>
              </a:cubicBezTo>
              <a:cubicBezTo>
                <a:pt x="366478" y="60284"/>
                <a:pt x="366735" y="62896"/>
                <a:pt x="368128" y="65500"/>
              </a:cubicBezTo>
              <a:lnTo>
                <a:pt x="368335" y="65898"/>
              </a:lnTo>
              <a:cubicBezTo>
                <a:pt x="368841" y="66851"/>
                <a:pt x="369401" y="67720"/>
                <a:pt x="370105" y="68541"/>
              </a:cubicBezTo>
              <a:lnTo>
                <a:pt x="370406" y="68927"/>
              </a:lnTo>
              <a:cubicBezTo>
                <a:pt x="372032" y="70931"/>
                <a:pt x="374356" y="72301"/>
                <a:pt x="376741" y="73230"/>
              </a:cubicBezTo>
              <a:cubicBezTo>
                <a:pt x="379476" y="74147"/>
                <a:pt x="382270" y="74282"/>
                <a:pt x="385098" y="73780"/>
              </a:cubicBezTo>
              <a:cubicBezTo>
                <a:pt x="387801" y="73164"/>
                <a:pt x="390326" y="71931"/>
                <a:pt x="392392" y="70068"/>
              </a:cubicBezTo>
              <a:cubicBezTo>
                <a:pt x="394423" y="68160"/>
                <a:pt x="395803" y="65981"/>
                <a:pt x="396691" y="63342"/>
              </a:cubicBezTo>
              <a:cubicBezTo>
                <a:pt x="397249" y="61492"/>
                <a:pt x="397457" y="59745"/>
                <a:pt x="397461" y="57822"/>
              </a:cubicBezTo>
              <a:lnTo>
                <a:pt x="397463" y="57322"/>
              </a:lnTo>
              <a:cubicBezTo>
                <a:pt x="397467" y="56774"/>
                <a:pt x="397469" y="56226"/>
                <a:pt x="397469" y="55677"/>
              </a:cubicBezTo>
              <a:lnTo>
                <a:pt x="397475" y="54492"/>
              </a:lnTo>
              <a:cubicBezTo>
                <a:pt x="397481" y="53424"/>
                <a:pt x="397484" y="52355"/>
                <a:pt x="397488" y="51287"/>
              </a:cubicBezTo>
              <a:cubicBezTo>
                <a:pt x="397494" y="50169"/>
                <a:pt x="397498" y="49052"/>
                <a:pt x="397504" y="47934"/>
              </a:cubicBezTo>
              <a:cubicBezTo>
                <a:pt x="397513" y="45818"/>
                <a:pt x="397523" y="43702"/>
                <a:pt x="397531" y="41588"/>
              </a:cubicBezTo>
              <a:cubicBezTo>
                <a:pt x="397540" y="39179"/>
                <a:pt x="397552" y="36770"/>
                <a:pt x="397562" y="34362"/>
              </a:cubicBezTo>
              <a:cubicBezTo>
                <a:pt x="397585" y="29408"/>
                <a:pt x="397606" y="24454"/>
                <a:pt x="397625" y="19501"/>
              </a:cubicBezTo>
              <a:lnTo>
                <a:pt x="413240" y="19501"/>
              </a:lnTo>
              <a:cubicBezTo>
                <a:pt x="413247" y="24792"/>
                <a:pt x="413255" y="30084"/>
                <a:pt x="413259" y="35378"/>
              </a:cubicBezTo>
              <a:cubicBezTo>
                <a:pt x="413261" y="37835"/>
                <a:pt x="413265" y="40293"/>
                <a:pt x="413269" y="42750"/>
              </a:cubicBezTo>
              <a:cubicBezTo>
                <a:pt x="413272" y="44893"/>
                <a:pt x="413274" y="47036"/>
                <a:pt x="413276" y="49179"/>
              </a:cubicBezTo>
              <a:cubicBezTo>
                <a:pt x="413276" y="50312"/>
                <a:pt x="413278" y="51448"/>
                <a:pt x="413280" y="52581"/>
              </a:cubicBezTo>
              <a:cubicBezTo>
                <a:pt x="413282" y="53650"/>
                <a:pt x="413284" y="54720"/>
                <a:pt x="413282" y="55789"/>
              </a:cubicBezTo>
              <a:cubicBezTo>
                <a:pt x="413282" y="56179"/>
                <a:pt x="413284" y="56569"/>
                <a:pt x="413286" y="56959"/>
              </a:cubicBezTo>
              <a:cubicBezTo>
                <a:pt x="413298" y="59994"/>
                <a:pt x="413147" y="62959"/>
                <a:pt x="412410" y="65915"/>
              </a:cubicBezTo>
              <a:lnTo>
                <a:pt x="412280" y="66438"/>
              </a:lnTo>
              <a:cubicBezTo>
                <a:pt x="411216" y="70606"/>
                <a:pt x="409290" y="74556"/>
                <a:pt x="406602" y="77919"/>
              </a:cubicBezTo>
              <a:lnTo>
                <a:pt x="406328" y="78265"/>
              </a:lnTo>
              <a:cubicBezTo>
                <a:pt x="402815" y="82622"/>
                <a:pt x="398295" y="85875"/>
                <a:pt x="393094" y="87933"/>
              </a:cubicBezTo>
              <a:cubicBezTo>
                <a:pt x="391264" y="88620"/>
                <a:pt x="389392" y="89072"/>
                <a:pt x="387476" y="89447"/>
              </a:cubicBezTo>
              <a:lnTo>
                <a:pt x="386752" y="89593"/>
              </a:lnTo>
              <a:cubicBezTo>
                <a:pt x="381584" y="90451"/>
                <a:pt x="376196" y="89802"/>
                <a:pt x="371277" y="88080"/>
              </a:cubicBezTo>
              <a:cubicBezTo>
                <a:pt x="365922" y="86049"/>
                <a:pt x="361219" y="82667"/>
                <a:pt x="357584" y="78238"/>
              </a:cubicBezTo>
              <a:cubicBezTo>
                <a:pt x="356663" y="77081"/>
                <a:pt x="355846" y="75863"/>
                <a:pt x="355078" y="74599"/>
              </a:cubicBezTo>
              <a:lnTo>
                <a:pt x="354867" y="74253"/>
              </a:lnTo>
              <a:cubicBezTo>
                <a:pt x="352248" y="69863"/>
                <a:pt x="350821" y="64585"/>
                <a:pt x="350740" y="59481"/>
              </a:cubicBezTo>
              <a:cubicBezTo>
                <a:pt x="350734" y="58575"/>
                <a:pt x="350736" y="57670"/>
                <a:pt x="350738" y="56764"/>
              </a:cubicBezTo>
              <a:lnTo>
                <a:pt x="350738" y="55538"/>
              </a:lnTo>
              <a:cubicBezTo>
                <a:pt x="350738" y="54440"/>
                <a:pt x="350742" y="53339"/>
                <a:pt x="350744" y="52241"/>
              </a:cubicBezTo>
              <a:cubicBezTo>
                <a:pt x="350746" y="51087"/>
                <a:pt x="350746" y="49936"/>
                <a:pt x="350748" y="48783"/>
              </a:cubicBezTo>
              <a:cubicBezTo>
                <a:pt x="350748" y="46604"/>
                <a:pt x="350752" y="44426"/>
                <a:pt x="350755" y="42248"/>
              </a:cubicBezTo>
              <a:cubicBezTo>
                <a:pt x="350759" y="39766"/>
                <a:pt x="350761" y="37285"/>
                <a:pt x="350763" y="34802"/>
              </a:cubicBezTo>
              <a:cubicBezTo>
                <a:pt x="350767" y="29702"/>
                <a:pt x="350775" y="24601"/>
                <a:pt x="350782" y="19501"/>
              </a:cubicBezTo>
              <a:moveTo>
                <a:pt x="326033" y="23213"/>
              </a:moveTo>
              <a:cubicBezTo>
                <a:pt x="329371" y="24951"/>
                <a:pt x="332218" y="27095"/>
                <a:pt x="334975" y="29659"/>
              </a:cubicBezTo>
              <a:lnTo>
                <a:pt x="335367" y="30022"/>
              </a:lnTo>
              <a:cubicBezTo>
                <a:pt x="338209" y="32739"/>
                <a:pt x="340518" y="36279"/>
                <a:pt x="342195" y="39820"/>
              </a:cubicBezTo>
              <a:lnTo>
                <a:pt x="342195" y="40210"/>
              </a:lnTo>
              <a:cubicBezTo>
                <a:pt x="339771" y="40256"/>
                <a:pt x="337348" y="40291"/>
                <a:pt x="334921" y="40312"/>
              </a:cubicBezTo>
              <a:cubicBezTo>
                <a:pt x="333795" y="40322"/>
                <a:pt x="332670" y="40335"/>
                <a:pt x="331544" y="40358"/>
              </a:cubicBezTo>
              <a:cubicBezTo>
                <a:pt x="330456" y="40380"/>
                <a:pt x="329367" y="40391"/>
                <a:pt x="328278" y="40395"/>
              </a:cubicBezTo>
              <a:cubicBezTo>
                <a:pt x="327865" y="40399"/>
                <a:pt x="327452" y="40407"/>
                <a:pt x="327039" y="40416"/>
              </a:cubicBezTo>
              <a:cubicBezTo>
                <a:pt x="323884" y="40495"/>
                <a:pt x="323884" y="40495"/>
                <a:pt x="322843" y="40017"/>
              </a:cubicBezTo>
              <a:cubicBezTo>
                <a:pt x="322044" y="39526"/>
                <a:pt x="321397" y="38910"/>
                <a:pt x="320726" y="38256"/>
              </a:cubicBezTo>
              <a:cubicBezTo>
                <a:pt x="320231" y="37932"/>
                <a:pt x="319726" y="37665"/>
                <a:pt x="319189" y="37414"/>
              </a:cubicBezTo>
              <a:lnTo>
                <a:pt x="318797" y="37225"/>
              </a:lnTo>
              <a:cubicBezTo>
                <a:pt x="315339" y="35602"/>
                <a:pt x="311843" y="35051"/>
                <a:pt x="308040" y="35325"/>
              </a:cubicBezTo>
              <a:cubicBezTo>
                <a:pt x="304748" y="35741"/>
                <a:pt x="301549" y="36974"/>
                <a:pt x="298879" y="38947"/>
              </a:cubicBezTo>
              <a:cubicBezTo>
                <a:pt x="295823" y="41273"/>
                <a:pt x="293731" y="44117"/>
                <a:pt x="292231" y="47635"/>
              </a:cubicBezTo>
              <a:cubicBezTo>
                <a:pt x="291916" y="48473"/>
                <a:pt x="291663" y="49307"/>
                <a:pt x="291451" y="50175"/>
              </a:cubicBezTo>
              <a:lnTo>
                <a:pt x="291318" y="50697"/>
              </a:lnTo>
              <a:cubicBezTo>
                <a:pt x="290607" y="54077"/>
                <a:pt x="290922" y="57650"/>
                <a:pt x="291964" y="60917"/>
              </a:cubicBezTo>
              <a:cubicBezTo>
                <a:pt x="293107" y="64315"/>
                <a:pt x="295042" y="66985"/>
                <a:pt x="297627" y="69419"/>
              </a:cubicBezTo>
              <a:cubicBezTo>
                <a:pt x="300279" y="71722"/>
                <a:pt x="303399" y="73076"/>
                <a:pt x="306820" y="73780"/>
              </a:cubicBezTo>
              <a:cubicBezTo>
                <a:pt x="310189" y="74390"/>
                <a:pt x="313592" y="74052"/>
                <a:pt x="316836" y="72979"/>
              </a:cubicBezTo>
              <a:cubicBezTo>
                <a:pt x="319776" y="71879"/>
                <a:pt x="322448" y="70224"/>
                <a:pt x="324513" y="67832"/>
              </a:cubicBezTo>
              <a:lnTo>
                <a:pt x="324826" y="67564"/>
              </a:lnTo>
              <a:cubicBezTo>
                <a:pt x="325417" y="67510"/>
                <a:pt x="325967" y="67490"/>
                <a:pt x="326558" y="67498"/>
              </a:cubicBezTo>
              <a:lnTo>
                <a:pt x="327095" y="67498"/>
              </a:lnTo>
              <a:cubicBezTo>
                <a:pt x="327681" y="67498"/>
                <a:pt x="328266" y="67502"/>
                <a:pt x="328853" y="67508"/>
              </a:cubicBezTo>
              <a:cubicBezTo>
                <a:pt x="329259" y="67508"/>
                <a:pt x="329664" y="67510"/>
                <a:pt x="330071" y="67510"/>
              </a:cubicBezTo>
              <a:cubicBezTo>
                <a:pt x="331141" y="67512"/>
                <a:pt x="332210" y="67517"/>
                <a:pt x="333280" y="67523"/>
              </a:cubicBezTo>
              <a:cubicBezTo>
                <a:pt x="334371" y="67529"/>
                <a:pt x="335462" y="67533"/>
                <a:pt x="336552" y="67537"/>
              </a:cubicBezTo>
              <a:cubicBezTo>
                <a:pt x="338693" y="67543"/>
                <a:pt x="340834" y="67552"/>
                <a:pt x="342977" y="67564"/>
              </a:cubicBezTo>
              <a:cubicBezTo>
                <a:pt x="342823" y="67936"/>
                <a:pt x="342668" y="68311"/>
                <a:pt x="342514" y="68684"/>
              </a:cubicBezTo>
              <a:lnTo>
                <a:pt x="342253" y="69313"/>
              </a:lnTo>
              <a:cubicBezTo>
                <a:pt x="341230" y="71720"/>
                <a:pt x="339881" y="73894"/>
                <a:pt x="338292" y="75966"/>
              </a:cubicBezTo>
              <a:lnTo>
                <a:pt x="337902" y="76489"/>
              </a:lnTo>
              <a:cubicBezTo>
                <a:pt x="334066" y="81423"/>
                <a:pt x="329012" y="85107"/>
                <a:pt x="323264" y="87493"/>
              </a:cubicBezTo>
              <a:cubicBezTo>
                <a:pt x="317805" y="89694"/>
                <a:pt x="311611" y="90387"/>
                <a:pt x="305783" y="89678"/>
              </a:cubicBezTo>
              <a:cubicBezTo>
                <a:pt x="299632" y="88794"/>
                <a:pt x="293791" y="86468"/>
                <a:pt x="288889" y="82620"/>
              </a:cubicBezTo>
              <a:cubicBezTo>
                <a:pt x="287893" y="81802"/>
                <a:pt x="286926" y="80952"/>
                <a:pt x="285985" y="80068"/>
              </a:cubicBezTo>
              <a:lnTo>
                <a:pt x="285690" y="79794"/>
              </a:lnTo>
              <a:cubicBezTo>
                <a:pt x="281323" y="75688"/>
                <a:pt x="278298" y="70413"/>
                <a:pt x="276520" y="64707"/>
              </a:cubicBezTo>
              <a:cubicBezTo>
                <a:pt x="276028" y="63017"/>
                <a:pt x="275713" y="61289"/>
                <a:pt x="275446" y="59554"/>
              </a:cubicBezTo>
              <a:lnTo>
                <a:pt x="275333" y="58845"/>
              </a:lnTo>
              <a:cubicBezTo>
                <a:pt x="274587" y="52527"/>
                <a:pt x="275676" y="46204"/>
                <a:pt x="278140" y="40378"/>
              </a:cubicBezTo>
              <a:cubicBezTo>
                <a:pt x="280564" y="34883"/>
                <a:pt x="284526" y="29959"/>
                <a:pt x="289346" y="26395"/>
              </a:cubicBezTo>
              <a:cubicBezTo>
                <a:pt x="294350" y="22773"/>
                <a:pt x="300134" y="20402"/>
                <a:pt x="306283" y="19696"/>
              </a:cubicBezTo>
              <a:lnTo>
                <a:pt x="306841" y="19630"/>
              </a:lnTo>
              <a:cubicBezTo>
                <a:pt x="313417" y="18972"/>
                <a:pt x="320137" y="20232"/>
                <a:pt x="326033" y="23213"/>
              </a:cubicBezTo>
              <a:moveTo>
                <a:pt x="534052" y="19501"/>
              </a:moveTo>
              <a:lnTo>
                <a:pt x="534052" y="35130"/>
              </a:lnTo>
              <a:cubicBezTo>
                <a:pt x="533492" y="35318"/>
                <a:pt x="532988" y="35380"/>
                <a:pt x="532403" y="35432"/>
              </a:cubicBezTo>
              <a:cubicBezTo>
                <a:pt x="528889" y="35766"/>
                <a:pt x="525716" y="36893"/>
                <a:pt x="522779" y="38880"/>
              </a:cubicBezTo>
              <a:cubicBezTo>
                <a:pt x="522138" y="39347"/>
                <a:pt x="521551" y="39862"/>
                <a:pt x="520974" y="40407"/>
              </a:cubicBezTo>
              <a:cubicBezTo>
                <a:pt x="520820" y="40550"/>
                <a:pt x="520663" y="40690"/>
                <a:pt x="520503" y="40837"/>
              </a:cubicBezTo>
              <a:cubicBezTo>
                <a:pt x="518094" y="43138"/>
                <a:pt x="516536" y="46090"/>
                <a:pt x="515511" y="49231"/>
              </a:cubicBezTo>
              <a:cubicBezTo>
                <a:pt x="514928" y="51449"/>
                <a:pt x="514864" y="53556"/>
                <a:pt x="514862" y="55834"/>
              </a:cubicBezTo>
              <a:lnTo>
                <a:pt x="514856" y="56950"/>
              </a:lnTo>
              <a:cubicBezTo>
                <a:pt x="514850" y="57953"/>
                <a:pt x="514849" y="58957"/>
                <a:pt x="514845" y="59961"/>
              </a:cubicBezTo>
              <a:cubicBezTo>
                <a:pt x="514843" y="61013"/>
                <a:pt x="514837" y="62064"/>
                <a:pt x="514833" y="63116"/>
              </a:cubicBezTo>
              <a:cubicBezTo>
                <a:pt x="514823" y="65102"/>
                <a:pt x="514816" y="67091"/>
                <a:pt x="514810" y="69079"/>
              </a:cubicBezTo>
              <a:cubicBezTo>
                <a:pt x="514802" y="71344"/>
                <a:pt x="514793" y="73608"/>
                <a:pt x="514783" y="75871"/>
              </a:cubicBezTo>
              <a:cubicBezTo>
                <a:pt x="514762" y="80527"/>
                <a:pt x="514746" y="85182"/>
                <a:pt x="514729" y="89839"/>
              </a:cubicBezTo>
              <a:lnTo>
                <a:pt x="499116" y="89839"/>
              </a:lnTo>
              <a:cubicBezTo>
                <a:pt x="499103" y="84833"/>
                <a:pt x="499091" y="79827"/>
                <a:pt x="499086" y="74823"/>
              </a:cubicBezTo>
              <a:cubicBezTo>
                <a:pt x="499082" y="72498"/>
                <a:pt x="499078" y="70174"/>
                <a:pt x="499072" y="67850"/>
              </a:cubicBezTo>
              <a:cubicBezTo>
                <a:pt x="499066" y="65821"/>
                <a:pt x="499062" y="63793"/>
                <a:pt x="499060" y="61766"/>
              </a:cubicBezTo>
              <a:cubicBezTo>
                <a:pt x="499060" y="60695"/>
                <a:pt x="499059" y="59621"/>
                <a:pt x="499053" y="58550"/>
              </a:cubicBezTo>
              <a:cubicBezTo>
                <a:pt x="499049" y="57538"/>
                <a:pt x="499049" y="56525"/>
                <a:pt x="499049" y="55513"/>
              </a:cubicBezTo>
              <a:cubicBezTo>
                <a:pt x="499049" y="55145"/>
                <a:pt x="499049" y="54776"/>
                <a:pt x="499045" y="54407"/>
              </a:cubicBezTo>
              <a:cubicBezTo>
                <a:pt x="499028" y="51253"/>
                <a:pt x="499331" y="48177"/>
                <a:pt x="500250" y="45144"/>
              </a:cubicBezTo>
              <a:cubicBezTo>
                <a:pt x="500300" y="44972"/>
                <a:pt x="500350" y="44803"/>
                <a:pt x="500402" y="44627"/>
              </a:cubicBezTo>
              <a:cubicBezTo>
                <a:pt x="500860" y="43115"/>
                <a:pt x="501396" y="41654"/>
                <a:pt x="502043" y="40210"/>
              </a:cubicBezTo>
              <a:cubicBezTo>
                <a:pt x="502097" y="40088"/>
                <a:pt x="502153" y="39967"/>
                <a:pt x="502209" y="39839"/>
              </a:cubicBezTo>
              <a:cubicBezTo>
                <a:pt x="504590" y="34601"/>
                <a:pt x="508466" y="29808"/>
                <a:pt x="513103" y="26397"/>
              </a:cubicBezTo>
              <a:cubicBezTo>
                <a:pt x="518634" y="22534"/>
                <a:pt x="524708" y="20178"/>
                <a:pt x="531442" y="19561"/>
              </a:cubicBezTo>
              <a:cubicBezTo>
                <a:pt x="532318" y="19493"/>
                <a:pt x="533164" y="19501"/>
                <a:pt x="534052" y="19501"/>
              </a:cubicBezTo>
              <a:moveTo>
                <a:pt x="541859" y="19501"/>
              </a:moveTo>
              <a:lnTo>
                <a:pt x="557473" y="19501"/>
              </a:lnTo>
              <a:lnTo>
                <a:pt x="557473" y="89839"/>
              </a:lnTo>
              <a:lnTo>
                <a:pt x="541859" y="89839"/>
              </a:lnTo>
              <a:close/>
              <a:moveTo>
                <a:pt x="452858" y="157"/>
              </a:moveTo>
              <a:lnTo>
                <a:pt x="468863" y="157"/>
              </a:lnTo>
              <a:cubicBezTo>
                <a:pt x="468560" y="915"/>
                <a:pt x="468251" y="1558"/>
                <a:pt x="467847" y="2261"/>
              </a:cubicBezTo>
              <a:lnTo>
                <a:pt x="467467" y="2927"/>
              </a:lnTo>
              <a:lnTo>
                <a:pt x="467058" y="3637"/>
              </a:lnTo>
              <a:lnTo>
                <a:pt x="466635" y="4375"/>
              </a:lnTo>
              <a:cubicBezTo>
                <a:pt x="465307" y="6688"/>
                <a:pt x="463967" y="8995"/>
                <a:pt x="462617" y="11294"/>
              </a:cubicBezTo>
              <a:lnTo>
                <a:pt x="462256" y="11910"/>
              </a:lnTo>
              <a:cubicBezTo>
                <a:pt x="461901" y="12516"/>
                <a:pt x="461546" y="13120"/>
                <a:pt x="461191" y="13724"/>
              </a:cubicBezTo>
              <a:cubicBezTo>
                <a:pt x="461083" y="13910"/>
                <a:pt x="460973" y="14095"/>
                <a:pt x="460861" y="14286"/>
              </a:cubicBezTo>
              <a:lnTo>
                <a:pt x="460559" y="14798"/>
              </a:lnTo>
              <a:lnTo>
                <a:pt x="460293" y="15250"/>
              </a:lnTo>
              <a:cubicBezTo>
                <a:pt x="460081" y="15591"/>
                <a:pt x="460081" y="15591"/>
                <a:pt x="459886" y="15788"/>
              </a:cubicBezTo>
              <a:cubicBezTo>
                <a:pt x="459395" y="15806"/>
                <a:pt x="458903" y="15813"/>
                <a:pt x="458413" y="15809"/>
              </a:cubicBezTo>
              <a:lnTo>
                <a:pt x="457945" y="15809"/>
              </a:lnTo>
              <a:cubicBezTo>
                <a:pt x="457432" y="15809"/>
                <a:pt x="456920" y="15808"/>
                <a:pt x="456409" y="15808"/>
              </a:cubicBezTo>
              <a:lnTo>
                <a:pt x="455345" y="15806"/>
              </a:lnTo>
              <a:cubicBezTo>
                <a:pt x="454413" y="15806"/>
                <a:pt x="453478" y="15804"/>
                <a:pt x="452544" y="15802"/>
              </a:cubicBezTo>
              <a:cubicBezTo>
                <a:pt x="451592" y="15800"/>
                <a:pt x="450638" y="15798"/>
                <a:pt x="449687" y="15798"/>
              </a:cubicBezTo>
              <a:cubicBezTo>
                <a:pt x="447816" y="15796"/>
                <a:pt x="445947" y="15792"/>
                <a:pt x="444076" y="15788"/>
              </a:cubicBezTo>
              <a:cubicBezTo>
                <a:pt x="444347" y="15097"/>
                <a:pt x="444644" y="14458"/>
                <a:pt x="445007" y="13811"/>
              </a:cubicBezTo>
              <a:lnTo>
                <a:pt x="445333" y="13226"/>
              </a:lnTo>
              <a:lnTo>
                <a:pt x="445686" y="12601"/>
              </a:lnTo>
              <a:lnTo>
                <a:pt x="446055" y="11944"/>
              </a:lnTo>
              <a:cubicBezTo>
                <a:pt x="447324" y="9693"/>
                <a:pt x="448629" y="7466"/>
                <a:pt x="449932" y="5238"/>
              </a:cubicBezTo>
              <a:close/>
              <a:moveTo>
                <a:pt x="552099" y="317"/>
              </a:moveTo>
              <a:cubicBezTo>
                <a:pt x="553560" y="857"/>
                <a:pt x="554670" y="1751"/>
                <a:pt x="555716" y="2892"/>
              </a:cubicBezTo>
              <a:cubicBezTo>
                <a:pt x="556639" y="4008"/>
                <a:pt x="557224" y="5172"/>
                <a:pt x="557473" y="6605"/>
              </a:cubicBezTo>
              <a:cubicBezTo>
                <a:pt x="557628" y="8126"/>
                <a:pt x="557502" y="9485"/>
                <a:pt x="556962" y="10919"/>
              </a:cubicBezTo>
              <a:cubicBezTo>
                <a:pt x="556292" y="12334"/>
                <a:pt x="555427" y="13485"/>
                <a:pt x="554166" y="14419"/>
              </a:cubicBezTo>
              <a:cubicBezTo>
                <a:pt x="552747" y="15325"/>
                <a:pt x="551365" y="15696"/>
                <a:pt x="549689" y="15800"/>
              </a:cubicBezTo>
              <a:cubicBezTo>
                <a:pt x="548237" y="15769"/>
                <a:pt x="546797" y="15348"/>
                <a:pt x="545527" y="14643"/>
              </a:cubicBezTo>
              <a:cubicBezTo>
                <a:pt x="544102" y="13738"/>
                <a:pt x="543233" y="12589"/>
                <a:pt x="542444" y="11099"/>
              </a:cubicBezTo>
              <a:cubicBezTo>
                <a:pt x="541795" y="9645"/>
                <a:pt x="541720" y="8178"/>
                <a:pt x="541859" y="6605"/>
              </a:cubicBezTo>
              <a:cubicBezTo>
                <a:pt x="542104" y="5164"/>
                <a:pt x="542720" y="4035"/>
                <a:pt x="543616" y="2892"/>
              </a:cubicBezTo>
              <a:cubicBezTo>
                <a:pt x="544658" y="1745"/>
                <a:pt x="545759" y="923"/>
                <a:pt x="547197" y="352"/>
              </a:cubicBezTo>
              <a:cubicBezTo>
                <a:pt x="548799" y="-85"/>
                <a:pt x="550487" y="-64"/>
                <a:pt x="552099" y="317"/>
              </a:cubicBezTo>
            </a:path>
          </a:pathLst>
        </a:custGeom>
        <a:solidFill>
          <a:schemeClr val="bg1"/>
        </a:solidFill>
        <a:ln w="489" cap="flat">
          <a:noFill/>
          <a:prstDash val="solid"/>
          <a:miter/>
        </a:ln>
      </xdr:spPr>
      <xdr:txBody>
        <a:bodyPr rtlCol="0" anchor="ctr"/>
        <a:lstStyle/>
        <a:p>
          <a:endParaRPr lang="pt-B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24409</xdr:colOff>
      <xdr:row>2</xdr:row>
      <xdr:rowOff>6374</xdr:rowOff>
    </xdr:from>
    <xdr:to>
      <xdr:col>7</xdr:col>
      <xdr:colOff>322583</xdr:colOff>
      <xdr:row>2</xdr:row>
      <xdr:rowOff>316730</xdr:rowOff>
    </xdr:to>
    <xdr:sp macro="" textlink="">
      <xdr:nvSpPr>
        <xdr:cNvPr id="2" name="Retângulo: Canto Dobrado 1">
          <a:extLst>
            <a:ext uri="{FF2B5EF4-FFF2-40B4-BE49-F238E27FC236}">
              <a16:creationId xmlns:a16="http://schemas.microsoft.com/office/drawing/2014/main" id="{D74F2784-E9CA-4967-B21B-CD1B1E30B97D}"/>
            </a:ext>
          </a:extLst>
        </xdr:cNvPr>
        <xdr:cNvSpPr/>
      </xdr:nvSpPr>
      <xdr:spPr>
        <a:xfrm>
          <a:off x="3015259" y="568349"/>
          <a:ext cx="4593949" cy="310356"/>
        </a:xfrm>
        <a:prstGeom prst="foldedCorner">
          <a:avLst/>
        </a:prstGeom>
        <a:solidFill>
          <a:srgbClr val="FFF2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rgbClr val="FF0000"/>
              </a:solidFill>
            </a:rPr>
            <a:t>SUA</a:t>
          </a:r>
          <a:r>
            <a:rPr lang="pt-BR" sz="1100" b="1" baseline="0">
              <a:solidFill>
                <a:srgbClr val="FF0000"/>
              </a:solidFill>
            </a:rPr>
            <a:t> PLANILHA PODE ESTAR DESATIVADA E COM ISSO CALCULANDO ERRADO</a:t>
          </a:r>
          <a:endParaRPr lang="pt-BR" sz="1100" b="1">
            <a:solidFill>
              <a:srgbClr val="FF0000"/>
            </a:solidFill>
          </a:endParaRPr>
        </a:p>
      </xdr:txBody>
    </xdr:sp>
    <xdr:clientData/>
  </xdr:twoCellAnchor>
  <xdr:twoCellAnchor>
    <xdr:from>
      <xdr:col>2</xdr:col>
      <xdr:colOff>636688</xdr:colOff>
      <xdr:row>1</xdr:row>
      <xdr:rowOff>183964</xdr:rowOff>
    </xdr:from>
    <xdr:to>
      <xdr:col>2</xdr:col>
      <xdr:colOff>1098029</xdr:colOff>
      <xdr:row>2</xdr:row>
      <xdr:rowOff>329641</xdr:rowOff>
    </xdr:to>
    <xdr:sp macro="" textlink="">
      <xdr:nvSpPr>
        <xdr:cNvPr id="3" name="Seta: para Baixo 2">
          <a:extLst>
            <a:ext uri="{FF2B5EF4-FFF2-40B4-BE49-F238E27FC236}">
              <a16:creationId xmlns:a16="http://schemas.microsoft.com/office/drawing/2014/main" id="{A7E92AEF-615D-43E0-89B9-BA9D1D00ADA6}"/>
            </a:ext>
          </a:extLst>
        </xdr:cNvPr>
        <xdr:cNvSpPr/>
      </xdr:nvSpPr>
      <xdr:spPr>
        <a:xfrm rot="16200000">
          <a:off x="2442345" y="492857"/>
          <a:ext cx="336177" cy="461341"/>
        </a:xfrm>
        <a:prstGeom prst="downArrow">
          <a:avLst/>
        </a:prstGeom>
        <a:solidFill>
          <a:srgbClr val="FF5D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0000"/>
            </a:solidFill>
          </a:endParaRPr>
        </a:p>
      </xdr:txBody>
    </xdr:sp>
    <xdr:clientData/>
  </xdr:twoCellAnchor>
  <xdr:oneCellAnchor>
    <xdr:from>
      <xdr:col>1</xdr:col>
      <xdr:colOff>152798</xdr:colOff>
      <xdr:row>0</xdr:row>
      <xdr:rowOff>365536</xdr:rowOff>
    </xdr:from>
    <xdr:ext cx="1772858" cy="718466"/>
    <xdr:sp macro="" textlink="">
      <xdr:nvSpPr>
        <xdr:cNvPr id="4" name="Retângulo 3">
          <a:extLst>
            <a:ext uri="{FF2B5EF4-FFF2-40B4-BE49-F238E27FC236}">
              <a16:creationId xmlns:a16="http://schemas.microsoft.com/office/drawing/2014/main" id="{74F14E5A-ADDF-45CB-9AFB-40BE3FF4FAC4}"/>
            </a:ext>
          </a:extLst>
        </xdr:cNvPr>
        <xdr:cNvSpPr/>
      </xdr:nvSpPr>
      <xdr:spPr>
        <a:xfrm>
          <a:off x="429023" y="365536"/>
          <a:ext cx="1772858" cy="718466"/>
        </a:xfrm>
        <a:prstGeom prst="rect">
          <a:avLst/>
        </a:prstGeom>
        <a:noFill/>
      </xdr:spPr>
      <xdr:txBody>
        <a:bodyPr wrap="none" lIns="91440" tIns="45720" rIns="91440" bIns="45720">
          <a:spAutoFit/>
        </a:bodyPr>
        <a:lstStyle/>
        <a:p>
          <a:pPr algn="ctr"/>
          <a:r>
            <a:rPr lang="pt-BR" sz="4000" b="0" cap="none" spc="0">
              <a:ln w="0"/>
              <a:solidFill>
                <a:srgbClr val="FF0000"/>
              </a:solidFill>
              <a:effectLst>
                <a:outerShdw blurRad="38100" dist="19050" dir="2700000" algn="tl" rotWithShape="0">
                  <a:schemeClr val="dk1">
                    <a:alpha val="40000"/>
                  </a:schemeClr>
                </a:outerShdw>
              </a:effectLst>
            </a:rPr>
            <a:t>ALERTA</a:t>
          </a:r>
        </a:p>
      </xdr:txBody>
    </xdr:sp>
    <xdr:clientData/>
  </xdr:oneCellAnchor>
  <xdr:oneCellAnchor>
    <xdr:from>
      <xdr:col>0</xdr:col>
      <xdr:colOff>152992</xdr:colOff>
      <xdr:row>0</xdr:row>
      <xdr:rowOff>107613</xdr:rowOff>
    </xdr:from>
    <xdr:ext cx="1114425" cy="156389"/>
    <xdr:pic>
      <xdr:nvPicPr>
        <xdr:cNvPr id="5" name="Imagem 4">
          <a:extLst>
            <a:ext uri="{FF2B5EF4-FFF2-40B4-BE49-F238E27FC236}">
              <a16:creationId xmlns:a16="http://schemas.microsoft.com/office/drawing/2014/main" id="{8B3B2BC4-337D-43AC-BCC8-9B913110EE53}"/>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52992" y="107613"/>
          <a:ext cx="1114425" cy="156389"/>
        </a:xfrm>
        <a:prstGeom prst="rect">
          <a:avLst/>
        </a:prstGeom>
      </xdr:spPr>
    </xdr:pic>
    <xdr:clientData/>
  </xdr:oneCellAnchor>
  <xdr:twoCellAnchor>
    <xdr:from>
      <xdr:col>8</xdr:col>
      <xdr:colOff>86140</xdr:colOff>
      <xdr:row>2</xdr:row>
      <xdr:rowOff>6374</xdr:rowOff>
    </xdr:from>
    <xdr:to>
      <xdr:col>12</xdr:col>
      <xdr:colOff>500270</xdr:colOff>
      <xdr:row>2</xdr:row>
      <xdr:rowOff>316730</xdr:rowOff>
    </xdr:to>
    <xdr:sp macro="" textlink="">
      <xdr:nvSpPr>
        <xdr:cNvPr id="6" name="Retângulo: Canto Dobrado 5">
          <a:extLst>
            <a:ext uri="{FF2B5EF4-FFF2-40B4-BE49-F238E27FC236}">
              <a16:creationId xmlns:a16="http://schemas.microsoft.com/office/drawing/2014/main" id="{5A7C985F-B76C-42A0-B494-01605B482E4D}"/>
            </a:ext>
          </a:extLst>
        </xdr:cNvPr>
        <xdr:cNvSpPr/>
      </xdr:nvSpPr>
      <xdr:spPr>
        <a:xfrm>
          <a:off x="8420515" y="568349"/>
          <a:ext cx="4814680" cy="310356"/>
        </a:xfrm>
        <a:prstGeom prst="foldedCorner">
          <a:avLst/>
        </a:prstGeom>
        <a:solidFill>
          <a:srgbClr val="FFF2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rgbClr val="FF0000"/>
              </a:solidFill>
            </a:rPr>
            <a:t>LEMBRE</a:t>
          </a:r>
          <a:r>
            <a:rPr lang="pt-BR" sz="1100" b="1" baseline="0">
              <a:solidFill>
                <a:srgbClr val="FF0000"/>
              </a:solidFill>
            </a:rPr>
            <a:t> DE ATIVAR CONFORME A AULA DO "COMECE POR AQUI"</a:t>
          </a:r>
          <a:endParaRPr lang="pt-BR" sz="1100" b="1">
            <a:solidFill>
              <a:srgbClr val="FF0000"/>
            </a:solidFill>
          </a:endParaRPr>
        </a:p>
      </xdr:txBody>
    </xdr:sp>
    <xdr:clientData/>
  </xdr:twoCellAnchor>
  <xdr:twoCellAnchor>
    <xdr:from>
      <xdr:col>7</xdr:col>
      <xdr:colOff>499637</xdr:colOff>
      <xdr:row>1</xdr:row>
      <xdr:rowOff>183964</xdr:rowOff>
    </xdr:from>
    <xdr:to>
      <xdr:col>7</xdr:col>
      <xdr:colOff>960978</xdr:colOff>
      <xdr:row>2</xdr:row>
      <xdr:rowOff>329641</xdr:rowOff>
    </xdr:to>
    <xdr:sp macro="" textlink="">
      <xdr:nvSpPr>
        <xdr:cNvPr id="7" name="Seta: para Baixo 6">
          <a:extLst>
            <a:ext uri="{FF2B5EF4-FFF2-40B4-BE49-F238E27FC236}">
              <a16:creationId xmlns:a16="http://schemas.microsoft.com/office/drawing/2014/main" id="{F0499526-5C2A-43D1-A522-F97A959D3DCF}"/>
            </a:ext>
          </a:extLst>
        </xdr:cNvPr>
        <xdr:cNvSpPr/>
      </xdr:nvSpPr>
      <xdr:spPr>
        <a:xfrm rot="16200000">
          <a:off x="7848844" y="492857"/>
          <a:ext cx="336177" cy="461341"/>
        </a:xfrm>
        <a:prstGeom prst="downArrow">
          <a:avLst/>
        </a:prstGeom>
        <a:solidFill>
          <a:srgbClr val="FF5D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0000"/>
            </a:solidFill>
          </a:endParaRPr>
        </a:p>
      </xdr:txBody>
    </xdr:sp>
    <xdr:clientData/>
  </xdr:twoCellAnchor>
  <xdr:twoCellAnchor>
    <xdr:from>
      <xdr:col>8</xdr:col>
      <xdr:colOff>234768</xdr:colOff>
      <xdr:row>3</xdr:row>
      <xdr:rowOff>162486</xdr:rowOff>
    </xdr:from>
    <xdr:to>
      <xdr:col>8</xdr:col>
      <xdr:colOff>690283</xdr:colOff>
      <xdr:row>23</xdr:row>
      <xdr:rowOff>119343</xdr:rowOff>
    </xdr:to>
    <xdr:sp macro="" textlink="">
      <xdr:nvSpPr>
        <xdr:cNvPr id="8" name="Chave Direita 7">
          <a:extLst>
            <a:ext uri="{FF2B5EF4-FFF2-40B4-BE49-F238E27FC236}">
              <a16:creationId xmlns:a16="http://schemas.microsoft.com/office/drawing/2014/main" id="{21213EB6-5DED-4691-BF49-CBE28BF6CA00}"/>
            </a:ext>
          </a:extLst>
        </xdr:cNvPr>
        <xdr:cNvSpPr/>
      </xdr:nvSpPr>
      <xdr:spPr>
        <a:xfrm>
          <a:off x="8569143" y="1210236"/>
          <a:ext cx="455515" cy="3919257"/>
        </a:xfrm>
        <a:custGeom>
          <a:avLst/>
          <a:gdLst>
            <a:gd name="connsiteX0" fmla="*/ 0 w 455515"/>
            <a:gd name="connsiteY0" fmla="*/ 0 h 3919257"/>
            <a:gd name="connsiteX1" fmla="*/ 227758 w 455515"/>
            <a:gd name="connsiteY1" fmla="*/ 156888 h 3919257"/>
            <a:gd name="connsiteX2" fmla="*/ 227758 w 455515"/>
            <a:gd name="connsiteY2" fmla="*/ 1751868 h 3919257"/>
            <a:gd name="connsiteX3" fmla="*/ 455516 w 455515"/>
            <a:gd name="connsiteY3" fmla="*/ 1908756 h 3919257"/>
            <a:gd name="connsiteX4" fmla="*/ 227758 w 455515"/>
            <a:gd name="connsiteY4" fmla="*/ 2065644 h 3919257"/>
            <a:gd name="connsiteX5" fmla="*/ 227758 w 455515"/>
            <a:gd name="connsiteY5" fmla="*/ 3762369 h 3919257"/>
            <a:gd name="connsiteX6" fmla="*/ 0 w 455515"/>
            <a:gd name="connsiteY6" fmla="*/ 3919257 h 3919257"/>
            <a:gd name="connsiteX7" fmla="*/ 0 w 455515"/>
            <a:gd name="connsiteY7" fmla="*/ 0 h 3919257"/>
            <a:gd name="connsiteX0" fmla="*/ 0 w 455515"/>
            <a:gd name="connsiteY0" fmla="*/ 0 h 3919257"/>
            <a:gd name="connsiteX1" fmla="*/ 227758 w 455515"/>
            <a:gd name="connsiteY1" fmla="*/ 156888 h 3919257"/>
            <a:gd name="connsiteX2" fmla="*/ 227758 w 455515"/>
            <a:gd name="connsiteY2" fmla="*/ 1751868 h 3919257"/>
            <a:gd name="connsiteX3" fmla="*/ 455516 w 455515"/>
            <a:gd name="connsiteY3" fmla="*/ 1908756 h 3919257"/>
            <a:gd name="connsiteX4" fmla="*/ 227758 w 455515"/>
            <a:gd name="connsiteY4" fmla="*/ 2065644 h 3919257"/>
            <a:gd name="connsiteX5" fmla="*/ 227758 w 455515"/>
            <a:gd name="connsiteY5" fmla="*/ 3762369 h 3919257"/>
            <a:gd name="connsiteX6" fmla="*/ 0 w 455515"/>
            <a:gd name="connsiteY6" fmla="*/ 3919257 h 39192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55515" h="3919257" stroke="0" extrusionOk="0">
              <a:moveTo>
                <a:pt x="0" y="0"/>
              </a:moveTo>
              <a:cubicBezTo>
                <a:pt x="117642" y="-13267"/>
                <a:pt x="238897" y="69907"/>
                <a:pt x="227758" y="156888"/>
              </a:cubicBezTo>
              <a:cubicBezTo>
                <a:pt x="262022" y="747049"/>
                <a:pt x="309647" y="1212570"/>
                <a:pt x="227758" y="1751868"/>
              </a:cubicBezTo>
              <a:cubicBezTo>
                <a:pt x="244642" y="1825060"/>
                <a:pt x="340187" y="1913626"/>
                <a:pt x="455516" y="1908756"/>
              </a:cubicBezTo>
              <a:cubicBezTo>
                <a:pt x="325903" y="1908525"/>
                <a:pt x="231921" y="1969740"/>
                <a:pt x="227758" y="2065644"/>
              </a:cubicBezTo>
              <a:cubicBezTo>
                <a:pt x="150888" y="2665465"/>
                <a:pt x="293195" y="2982526"/>
                <a:pt x="227758" y="3762369"/>
              </a:cubicBezTo>
              <a:cubicBezTo>
                <a:pt x="212011" y="3843320"/>
                <a:pt x="118150" y="3925964"/>
                <a:pt x="0" y="3919257"/>
              </a:cubicBezTo>
              <a:cubicBezTo>
                <a:pt x="166111" y="3317736"/>
                <a:pt x="129472" y="1427399"/>
                <a:pt x="0" y="0"/>
              </a:cubicBezTo>
              <a:close/>
            </a:path>
            <a:path w="455515" h="3919257" fill="none" extrusionOk="0">
              <a:moveTo>
                <a:pt x="0" y="0"/>
              </a:moveTo>
              <a:cubicBezTo>
                <a:pt x="112563" y="1291"/>
                <a:pt x="226408" y="66049"/>
                <a:pt x="227758" y="156888"/>
              </a:cubicBezTo>
              <a:cubicBezTo>
                <a:pt x="271274" y="553512"/>
                <a:pt x="124823" y="1459727"/>
                <a:pt x="227758" y="1751868"/>
              </a:cubicBezTo>
              <a:cubicBezTo>
                <a:pt x="228541" y="1819922"/>
                <a:pt x="343282" y="1918565"/>
                <a:pt x="455516" y="1908756"/>
              </a:cubicBezTo>
              <a:cubicBezTo>
                <a:pt x="315624" y="1904996"/>
                <a:pt x="236453" y="1967146"/>
                <a:pt x="227758" y="2065644"/>
              </a:cubicBezTo>
              <a:cubicBezTo>
                <a:pt x="221258" y="2726287"/>
                <a:pt x="163339" y="2945381"/>
                <a:pt x="227758" y="3762369"/>
              </a:cubicBezTo>
              <a:cubicBezTo>
                <a:pt x="241471" y="3858906"/>
                <a:pt x="122166" y="3921050"/>
                <a:pt x="0" y="3919257"/>
              </a:cubicBezTo>
            </a:path>
            <a:path w="455515" h="3919257" fill="none" stroke="0" extrusionOk="0">
              <a:moveTo>
                <a:pt x="0" y="0"/>
              </a:moveTo>
              <a:cubicBezTo>
                <a:pt x="116954" y="-10402"/>
                <a:pt x="236407" y="73002"/>
                <a:pt x="227758" y="156888"/>
              </a:cubicBezTo>
              <a:cubicBezTo>
                <a:pt x="217893" y="887393"/>
                <a:pt x="307458" y="1354209"/>
                <a:pt x="227758" y="1751868"/>
              </a:cubicBezTo>
              <a:cubicBezTo>
                <a:pt x="227721" y="1833226"/>
                <a:pt x="342811" y="1912611"/>
                <a:pt x="455516" y="1908756"/>
              </a:cubicBezTo>
              <a:cubicBezTo>
                <a:pt x="319430" y="1914550"/>
                <a:pt x="224131" y="1983004"/>
                <a:pt x="227758" y="2065644"/>
              </a:cubicBezTo>
              <a:cubicBezTo>
                <a:pt x="354085" y="2823078"/>
                <a:pt x="217951" y="3347399"/>
                <a:pt x="227758" y="3762369"/>
              </a:cubicBezTo>
              <a:cubicBezTo>
                <a:pt x="235515" y="3853293"/>
                <a:pt x="104608" y="3923424"/>
                <a:pt x="0" y="3919257"/>
              </a:cubicBezTo>
            </a:path>
          </a:pathLst>
        </a:custGeom>
        <a:ln w="12700">
          <a:solidFill>
            <a:srgbClr val="1F4B31"/>
          </a:solidFill>
          <a:extLst>
            <a:ext uri="{C807C97D-BFC1-408E-A445-0C87EB9F89A2}">
              <ask:lineSketchStyleProps xmlns:ask="http://schemas.microsoft.com/office/drawing/2018/sketchyshapes" sd="2717515596">
                <a:prstGeom prst="rightBrace">
                  <a:avLst>
                    <a:gd name="adj1" fmla="val 34442"/>
                    <a:gd name="adj2" fmla="val 48702"/>
                  </a:avLst>
                </a:prstGeom>
                <ask:type>
                  <ask:lineSketchCurved/>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16</xdr:col>
      <xdr:colOff>275109</xdr:colOff>
      <xdr:row>3</xdr:row>
      <xdr:rowOff>162486</xdr:rowOff>
    </xdr:from>
    <xdr:to>
      <xdr:col>16</xdr:col>
      <xdr:colOff>730624</xdr:colOff>
      <xdr:row>23</xdr:row>
      <xdr:rowOff>119343</xdr:rowOff>
    </xdr:to>
    <xdr:sp macro="" textlink="">
      <xdr:nvSpPr>
        <xdr:cNvPr id="9" name="Chave Direita 8">
          <a:extLst>
            <a:ext uri="{FF2B5EF4-FFF2-40B4-BE49-F238E27FC236}">
              <a16:creationId xmlns:a16="http://schemas.microsoft.com/office/drawing/2014/main" id="{638CAC76-CD8A-4188-BCEF-F6CA927DDDE1}"/>
            </a:ext>
          </a:extLst>
        </xdr:cNvPr>
        <xdr:cNvSpPr/>
      </xdr:nvSpPr>
      <xdr:spPr>
        <a:xfrm>
          <a:off x="16934334" y="1210236"/>
          <a:ext cx="455515" cy="3919257"/>
        </a:xfrm>
        <a:custGeom>
          <a:avLst/>
          <a:gdLst>
            <a:gd name="connsiteX0" fmla="*/ 0 w 455515"/>
            <a:gd name="connsiteY0" fmla="*/ 0 h 3919257"/>
            <a:gd name="connsiteX1" fmla="*/ 227758 w 455515"/>
            <a:gd name="connsiteY1" fmla="*/ 156888 h 3919257"/>
            <a:gd name="connsiteX2" fmla="*/ 227758 w 455515"/>
            <a:gd name="connsiteY2" fmla="*/ 1751868 h 3919257"/>
            <a:gd name="connsiteX3" fmla="*/ 455516 w 455515"/>
            <a:gd name="connsiteY3" fmla="*/ 1908756 h 3919257"/>
            <a:gd name="connsiteX4" fmla="*/ 227758 w 455515"/>
            <a:gd name="connsiteY4" fmla="*/ 2065644 h 3919257"/>
            <a:gd name="connsiteX5" fmla="*/ 227758 w 455515"/>
            <a:gd name="connsiteY5" fmla="*/ 3762369 h 3919257"/>
            <a:gd name="connsiteX6" fmla="*/ 0 w 455515"/>
            <a:gd name="connsiteY6" fmla="*/ 3919257 h 3919257"/>
            <a:gd name="connsiteX7" fmla="*/ 0 w 455515"/>
            <a:gd name="connsiteY7" fmla="*/ 0 h 3919257"/>
            <a:gd name="connsiteX0" fmla="*/ 0 w 455515"/>
            <a:gd name="connsiteY0" fmla="*/ 0 h 3919257"/>
            <a:gd name="connsiteX1" fmla="*/ 227758 w 455515"/>
            <a:gd name="connsiteY1" fmla="*/ 156888 h 3919257"/>
            <a:gd name="connsiteX2" fmla="*/ 227758 w 455515"/>
            <a:gd name="connsiteY2" fmla="*/ 1751868 h 3919257"/>
            <a:gd name="connsiteX3" fmla="*/ 455516 w 455515"/>
            <a:gd name="connsiteY3" fmla="*/ 1908756 h 3919257"/>
            <a:gd name="connsiteX4" fmla="*/ 227758 w 455515"/>
            <a:gd name="connsiteY4" fmla="*/ 2065644 h 3919257"/>
            <a:gd name="connsiteX5" fmla="*/ 227758 w 455515"/>
            <a:gd name="connsiteY5" fmla="*/ 3762369 h 3919257"/>
            <a:gd name="connsiteX6" fmla="*/ 0 w 455515"/>
            <a:gd name="connsiteY6" fmla="*/ 3919257 h 39192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55515" h="3919257" stroke="0" extrusionOk="0">
              <a:moveTo>
                <a:pt x="0" y="0"/>
              </a:moveTo>
              <a:cubicBezTo>
                <a:pt x="117642" y="-13267"/>
                <a:pt x="238897" y="69907"/>
                <a:pt x="227758" y="156888"/>
              </a:cubicBezTo>
              <a:cubicBezTo>
                <a:pt x="262022" y="747049"/>
                <a:pt x="309647" y="1212570"/>
                <a:pt x="227758" y="1751868"/>
              </a:cubicBezTo>
              <a:cubicBezTo>
                <a:pt x="244642" y="1825060"/>
                <a:pt x="340187" y="1913626"/>
                <a:pt x="455516" y="1908756"/>
              </a:cubicBezTo>
              <a:cubicBezTo>
                <a:pt x="325903" y="1908525"/>
                <a:pt x="231921" y="1969740"/>
                <a:pt x="227758" y="2065644"/>
              </a:cubicBezTo>
              <a:cubicBezTo>
                <a:pt x="150888" y="2665465"/>
                <a:pt x="293195" y="2982526"/>
                <a:pt x="227758" y="3762369"/>
              </a:cubicBezTo>
              <a:cubicBezTo>
                <a:pt x="212011" y="3843320"/>
                <a:pt x="118150" y="3925964"/>
                <a:pt x="0" y="3919257"/>
              </a:cubicBezTo>
              <a:cubicBezTo>
                <a:pt x="166111" y="3317736"/>
                <a:pt x="129472" y="1427399"/>
                <a:pt x="0" y="0"/>
              </a:cubicBezTo>
              <a:close/>
            </a:path>
            <a:path w="455515" h="3919257" fill="none" extrusionOk="0">
              <a:moveTo>
                <a:pt x="0" y="0"/>
              </a:moveTo>
              <a:cubicBezTo>
                <a:pt x="112563" y="1291"/>
                <a:pt x="226408" y="66049"/>
                <a:pt x="227758" y="156888"/>
              </a:cubicBezTo>
              <a:cubicBezTo>
                <a:pt x="271274" y="553512"/>
                <a:pt x="124823" y="1459727"/>
                <a:pt x="227758" y="1751868"/>
              </a:cubicBezTo>
              <a:cubicBezTo>
                <a:pt x="228541" y="1819922"/>
                <a:pt x="343282" y="1918565"/>
                <a:pt x="455516" y="1908756"/>
              </a:cubicBezTo>
              <a:cubicBezTo>
                <a:pt x="315624" y="1904996"/>
                <a:pt x="236453" y="1967146"/>
                <a:pt x="227758" y="2065644"/>
              </a:cubicBezTo>
              <a:cubicBezTo>
                <a:pt x="221258" y="2726287"/>
                <a:pt x="163339" y="2945381"/>
                <a:pt x="227758" y="3762369"/>
              </a:cubicBezTo>
              <a:cubicBezTo>
                <a:pt x="241471" y="3858906"/>
                <a:pt x="122166" y="3921050"/>
                <a:pt x="0" y="3919257"/>
              </a:cubicBezTo>
            </a:path>
            <a:path w="455515" h="3919257" fill="none" stroke="0" extrusionOk="0">
              <a:moveTo>
                <a:pt x="0" y="0"/>
              </a:moveTo>
              <a:cubicBezTo>
                <a:pt x="116954" y="-10402"/>
                <a:pt x="236407" y="73002"/>
                <a:pt x="227758" y="156888"/>
              </a:cubicBezTo>
              <a:cubicBezTo>
                <a:pt x="217893" y="887393"/>
                <a:pt x="307458" y="1354209"/>
                <a:pt x="227758" y="1751868"/>
              </a:cubicBezTo>
              <a:cubicBezTo>
                <a:pt x="227721" y="1833226"/>
                <a:pt x="342811" y="1912611"/>
                <a:pt x="455516" y="1908756"/>
              </a:cubicBezTo>
              <a:cubicBezTo>
                <a:pt x="319430" y="1914550"/>
                <a:pt x="224131" y="1983004"/>
                <a:pt x="227758" y="2065644"/>
              </a:cubicBezTo>
              <a:cubicBezTo>
                <a:pt x="354085" y="2823078"/>
                <a:pt x="217951" y="3347399"/>
                <a:pt x="227758" y="3762369"/>
              </a:cubicBezTo>
              <a:cubicBezTo>
                <a:pt x="235515" y="3853293"/>
                <a:pt x="104608" y="3923424"/>
                <a:pt x="0" y="3919257"/>
              </a:cubicBezTo>
            </a:path>
          </a:pathLst>
        </a:custGeom>
        <a:ln w="12700">
          <a:solidFill>
            <a:srgbClr val="1F4B31"/>
          </a:solidFill>
          <a:extLst>
            <a:ext uri="{C807C97D-BFC1-408E-A445-0C87EB9F89A2}">
              <ask:lineSketchStyleProps xmlns:ask="http://schemas.microsoft.com/office/drawing/2018/sketchyshapes" sd="2717515596">
                <a:prstGeom prst="rightBrace">
                  <a:avLst>
                    <a:gd name="adj1" fmla="val 34442"/>
                    <a:gd name="adj2" fmla="val 48702"/>
                  </a:avLst>
                </a:prstGeom>
                <ask:type>
                  <ask:lineSketchCurved/>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24</xdr:row>
      <xdr:rowOff>74543</xdr:rowOff>
    </xdr:from>
    <xdr:to>
      <xdr:col>7</xdr:col>
      <xdr:colOff>612913</xdr:colOff>
      <xdr:row>37</xdr:row>
      <xdr:rowOff>95177</xdr:rowOff>
    </xdr:to>
    <xdr:graphicFrame macro="">
      <xdr:nvGraphicFramePr>
        <xdr:cNvPr id="2" name="Gráfico 1">
          <a:extLst>
            <a:ext uri="{FF2B5EF4-FFF2-40B4-BE49-F238E27FC236}">
              <a16:creationId xmlns:a16="http://schemas.microsoft.com/office/drawing/2014/main" id="{79A0880E-931A-42E0-98AC-2F630A5FA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78828</xdr:colOff>
      <xdr:row>0</xdr:row>
      <xdr:rowOff>98534</xdr:rowOff>
    </xdr:from>
    <xdr:to>
      <xdr:col>1</xdr:col>
      <xdr:colOff>164224</xdr:colOff>
      <xdr:row>0</xdr:row>
      <xdr:rowOff>211662</xdr:rowOff>
    </xdr:to>
    <xdr:pic>
      <xdr:nvPicPr>
        <xdr:cNvPr id="3" name="Imagem 2">
          <a:extLst>
            <a:ext uri="{FF2B5EF4-FFF2-40B4-BE49-F238E27FC236}">
              <a16:creationId xmlns:a16="http://schemas.microsoft.com/office/drawing/2014/main" id="{B76E1BC8-E828-4625-9736-D658D753216C}"/>
            </a:ext>
          </a:extLst>
        </xdr:cNvPr>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BEBA8EAE-BF5A-486C-A8C5-ECC9F3942E4B}">
              <a14:imgProps xmlns:a14="http://schemas.microsoft.com/office/drawing/2010/main">
                <a14:imgLayer r:embed="rId3">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78828" y="98534"/>
          <a:ext cx="799771" cy="113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390525</xdr:colOff>
      <xdr:row>0</xdr:row>
      <xdr:rowOff>209550</xdr:rowOff>
    </xdr:from>
    <xdr:to>
      <xdr:col>0</xdr:col>
      <xdr:colOff>1193959</xdr:colOff>
      <xdr:row>0</xdr:row>
      <xdr:rowOff>322678</xdr:rowOff>
    </xdr:to>
    <xdr:pic>
      <xdr:nvPicPr>
        <xdr:cNvPr id="3" name="Imagem 2">
          <a:extLst>
            <a:ext uri="{FF2B5EF4-FFF2-40B4-BE49-F238E27FC236}">
              <a16:creationId xmlns:a16="http://schemas.microsoft.com/office/drawing/2014/main" id="{8A89D06F-0DB2-48FC-B4AF-A21F18241EFC}"/>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390525" y="209550"/>
          <a:ext cx="803434" cy="1131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85724</xdr:colOff>
      <xdr:row>0</xdr:row>
      <xdr:rowOff>66675</xdr:rowOff>
    </xdr:from>
    <xdr:to>
      <xdr:col>14</xdr:col>
      <xdr:colOff>9525</xdr:colOff>
      <xdr:row>9</xdr:row>
      <xdr:rowOff>28575</xdr:rowOff>
    </xdr:to>
    <xdr:graphicFrame macro="">
      <xdr:nvGraphicFramePr>
        <xdr:cNvPr id="2" name="Gráfico 1">
          <a:extLst>
            <a:ext uri="{FF2B5EF4-FFF2-40B4-BE49-F238E27FC236}">
              <a16:creationId xmlns:a16="http://schemas.microsoft.com/office/drawing/2014/main" id="{9574BBD5-BA07-452F-AE8C-06BB68042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109537</xdr:rowOff>
    </xdr:from>
    <xdr:to>
      <xdr:col>14</xdr:col>
      <xdr:colOff>9524</xdr:colOff>
      <xdr:row>39</xdr:row>
      <xdr:rowOff>185737</xdr:rowOff>
    </xdr:to>
    <xdr:graphicFrame macro="">
      <xdr:nvGraphicFramePr>
        <xdr:cNvPr id="3" name="Gráfico 2">
          <a:extLst>
            <a:ext uri="{FF2B5EF4-FFF2-40B4-BE49-F238E27FC236}">
              <a16:creationId xmlns:a16="http://schemas.microsoft.com/office/drawing/2014/main" id="{63AB8452-0DF1-49FE-B9D6-C21045E32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2</xdr:col>
      <xdr:colOff>471870</xdr:colOff>
      <xdr:row>16</xdr:row>
      <xdr:rowOff>39944</xdr:rowOff>
    </xdr:from>
    <xdr:ext cx="835564" cy="519610"/>
    <xdr:pic>
      <xdr:nvPicPr>
        <xdr:cNvPr id="2" name="Imagem 1" descr="Lascas Estacas Mourões Madeiras Para Cercas E Currais - Goiânia, Go - Zip  Anúncios">
          <a:extLst>
            <a:ext uri="{FF2B5EF4-FFF2-40B4-BE49-F238E27FC236}">
              <a16:creationId xmlns:a16="http://schemas.microsoft.com/office/drawing/2014/main" id="{4E38A14F-C7E2-49B6-B0AC-D601562894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14845" y="3716594"/>
          <a:ext cx="835564" cy="519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619631</xdr:colOff>
      <xdr:row>17</xdr:row>
      <xdr:rowOff>37087</xdr:rowOff>
    </xdr:from>
    <xdr:ext cx="525404" cy="523462"/>
    <xdr:pic>
      <xdr:nvPicPr>
        <xdr:cNvPr id="3" name="Imagem 2" descr="Arame Liso Galvanizado para Cerca Elétrica Rural">
          <a:extLst>
            <a:ext uri="{FF2B5EF4-FFF2-40B4-BE49-F238E27FC236}">
              <a16:creationId xmlns:a16="http://schemas.microsoft.com/office/drawing/2014/main" id="{8477EA0D-BD87-4DC8-A2D6-48E33D928F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62606" y="4285237"/>
          <a:ext cx="525404" cy="52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453979</xdr:colOff>
      <xdr:row>18</xdr:row>
      <xdr:rowOff>40122</xdr:rowOff>
    </xdr:from>
    <xdr:ext cx="901147" cy="505517"/>
    <xdr:pic>
      <xdr:nvPicPr>
        <xdr:cNvPr id="4" name="Imagem 3" descr="Porteiras">
          <a:extLst>
            <a:ext uri="{FF2B5EF4-FFF2-40B4-BE49-F238E27FC236}">
              <a16:creationId xmlns:a16="http://schemas.microsoft.com/office/drawing/2014/main" id="{0E771B65-B156-4129-B876-8AABC6345AB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96954" y="4859772"/>
          <a:ext cx="901147" cy="5055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506988</xdr:colOff>
      <xdr:row>19</xdr:row>
      <xdr:rowOff>83471</xdr:rowOff>
    </xdr:from>
    <xdr:ext cx="755374" cy="451708"/>
    <xdr:pic>
      <xdr:nvPicPr>
        <xdr:cNvPr id="5" name="Imagem 4" descr="Madetron - Troncos, Balanças, Madeiras, Banheiras, Carretas Agrícolas,  Saleiros, Palanques, Carrocerias, Ferraria, Madeiras Itaúba, Pinho, Pinus,  Eucalipto - Guaraniaçu, Paraná">
          <a:extLst>
            <a:ext uri="{FF2B5EF4-FFF2-40B4-BE49-F238E27FC236}">
              <a16:creationId xmlns:a16="http://schemas.microsoft.com/office/drawing/2014/main" id="{F79380EA-D73D-4DFF-8950-0A89E231251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49963" y="5474621"/>
          <a:ext cx="755374" cy="4517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677885</xdr:colOff>
      <xdr:row>26</xdr:row>
      <xdr:rowOff>17300</xdr:rowOff>
    </xdr:from>
    <xdr:ext cx="466725" cy="472440"/>
    <xdr:pic>
      <xdr:nvPicPr>
        <xdr:cNvPr id="6" name="Imagem 5" descr="Mão-de-obra png | PNGWing">
          <a:extLst>
            <a:ext uri="{FF2B5EF4-FFF2-40B4-BE49-F238E27FC236}">
              <a16:creationId xmlns:a16="http://schemas.microsoft.com/office/drawing/2014/main" id="{9C305294-8DB2-4489-80EE-8914AF32DC1A}"/>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389" b="97500" l="8056" r="91667">
                      <a14:foregroundMark x1="43889" y1="8333" x2="43889" y2="8333"/>
                      <a14:foregroundMark x1="17500" y1="45000" x2="17500" y2="45000"/>
                      <a14:foregroundMark x1="21111" y1="2500" x2="21111" y2="2500"/>
                      <a14:foregroundMark x1="44167" y1="82778" x2="44167" y2="82778"/>
                      <a14:foregroundMark x1="91944" y1="89444" x2="91944" y2="89444"/>
                      <a14:foregroundMark x1="73333" y1="91667" x2="73333" y2="91667"/>
                      <a14:foregroundMark x1="35000" y1="97500" x2="35000" y2="97500"/>
                      <a14:foregroundMark x1="8056" y1="49722" x2="8056" y2="83056"/>
                      <a14:foregroundMark x1="8056" y1="83056" x2="8889" y2="84167"/>
                      <a14:foregroundMark x1="41944" y1="2778" x2="40833" y2="13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620860" y="9408950"/>
          <a:ext cx="466725" cy="472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586500</xdr:colOff>
      <xdr:row>20</xdr:row>
      <xdr:rowOff>96723</xdr:rowOff>
    </xdr:from>
    <xdr:ext cx="477078" cy="416175"/>
    <xdr:pic>
      <xdr:nvPicPr>
        <xdr:cNvPr id="7" name="Imagem 6">
          <a:extLst>
            <a:ext uri="{FF2B5EF4-FFF2-40B4-BE49-F238E27FC236}">
              <a16:creationId xmlns:a16="http://schemas.microsoft.com/office/drawing/2014/main" id="{2345F8E1-DB9B-4065-8F8B-718FE6CD24CC}"/>
            </a:ext>
          </a:extLst>
        </xdr:cNvPr>
        <xdr:cNvPicPr>
          <a:picLocks noChangeAspect="1"/>
        </xdr:cNvPicPr>
      </xdr:nvPicPr>
      <xdr:blipFill>
        <a:blip xmlns:r="http://schemas.openxmlformats.org/officeDocument/2006/relationships" r:embed="rId7"/>
        <a:stretch>
          <a:fillRect/>
        </a:stretch>
      </xdr:blipFill>
      <xdr:spPr>
        <a:xfrm>
          <a:off x="1529475" y="6059373"/>
          <a:ext cx="477078" cy="416175"/>
        </a:xfrm>
        <a:prstGeom prst="rect">
          <a:avLst/>
        </a:prstGeom>
      </xdr:spPr>
    </xdr:pic>
    <xdr:clientData/>
  </xdr:oneCellAnchor>
  <xdr:oneCellAnchor>
    <xdr:from>
      <xdr:col>2</xdr:col>
      <xdr:colOff>733410</xdr:colOff>
      <xdr:row>24</xdr:row>
      <xdr:rowOff>82087</xdr:rowOff>
    </xdr:from>
    <xdr:ext cx="442466" cy="492642"/>
    <xdr:pic>
      <xdr:nvPicPr>
        <xdr:cNvPr id="8" name="Imagem 7">
          <a:extLst>
            <a:ext uri="{FF2B5EF4-FFF2-40B4-BE49-F238E27FC236}">
              <a16:creationId xmlns:a16="http://schemas.microsoft.com/office/drawing/2014/main" id="{AD755D05-F561-4EEC-ACE5-A5652151D5E1}"/>
            </a:ext>
          </a:extLst>
        </xdr:cNvPr>
        <xdr:cNvPicPr>
          <a:picLocks noChangeAspect="1"/>
        </xdr:cNvPicPr>
      </xdr:nvPicPr>
      <xdr:blipFill>
        <a:blip xmlns:r="http://schemas.openxmlformats.org/officeDocument/2006/relationships" r:embed="rId8"/>
        <a:stretch>
          <a:fillRect/>
        </a:stretch>
      </xdr:blipFill>
      <xdr:spPr>
        <a:xfrm rot="16200000">
          <a:off x="1651297" y="8355825"/>
          <a:ext cx="492642" cy="442466"/>
        </a:xfrm>
        <a:prstGeom prst="rect">
          <a:avLst/>
        </a:prstGeom>
      </xdr:spPr>
    </xdr:pic>
    <xdr:clientData/>
  </xdr:oneCellAnchor>
  <xdr:oneCellAnchor>
    <xdr:from>
      <xdr:col>2</xdr:col>
      <xdr:colOff>573247</xdr:colOff>
      <xdr:row>21</xdr:row>
      <xdr:rowOff>91014</xdr:rowOff>
    </xdr:from>
    <xdr:ext cx="682488" cy="365540"/>
    <xdr:pic>
      <xdr:nvPicPr>
        <xdr:cNvPr id="9" name="Imagem 8">
          <a:extLst>
            <a:ext uri="{FF2B5EF4-FFF2-40B4-BE49-F238E27FC236}">
              <a16:creationId xmlns:a16="http://schemas.microsoft.com/office/drawing/2014/main" id="{B3B37CDD-9D1C-4C02-B9EE-0402ED58727B}"/>
            </a:ext>
          </a:extLst>
        </xdr:cNvPr>
        <xdr:cNvPicPr>
          <a:picLocks noChangeAspect="1"/>
        </xdr:cNvPicPr>
      </xdr:nvPicPr>
      <xdr:blipFill rotWithShape="1">
        <a:blip xmlns:r="http://schemas.openxmlformats.org/officeDocument/2006/relationships" r:embed="rId9"/>
        <a:srcRect t="14883"/>
        <a:stretch/>
      </xdr:blipFill>
      <xdr:spPr>
        <a:xfrm>
          <a:off x="1516222" y="6625164"/>
          <a:ext cx="682488" cy="365540"/>
        </a:xfrm>
        <a:prstGeom prst="rect">
          <a:avLst/>
        </a:prstGeom>
      </xdr:spPr>
    </xdr:pic>
    <xdr:clientData/>
  </xdr:oneCellAnchor>
  <xdr:oneCellAnchor>
    <xdr:from>
      <xdr:col>2</xdr:col>
      <xdr:colOff>752155</xdr:colOff>
      <xdr:row>22</xdr:row>
      <xdr:rowOff>50931</xdr:rowOff>
    </xdr:from>
    <xdr:ext cx="397564" cy="457974"/>
    <xdr:pic>
      <xdr:nvPicPr>
        <xdr:cNvPr id="10" name="Imagem 9">
          <a:extLst>
            <a:ext uri="{FF2B5EF4-FFF2-40B4-BE49-F238E27FC236}">
              <a16:creationId xmlns:a16="http://schemas.microsoft.com/office/drawing/2014/main" id="{4F15615A-8EA6-43B0-BA40-4E71161B95E6}"/>
            </a:ext>
          </a:extLst>
        </xdr:cNvPr>
        <xdr:cNvPicPr>
          <a:picLocks noChangeAspect="1"/>
        </xdr:cNvPicPr>
      </xdr:nvPicPr>
      <xdr:blipFill>
        <a:blip xmlns:r="http://schemas.openxmlformats.org/officeDocument/2006/relationships" r:embed="rId10"/>
        <a:stretch>
          <a:fillRect/>
        </a:stretch>
      </xdr:blipFill>
      <xdr:spPr>
        <a:xfrm>
          <a:off x="1695130" y="7156581"/>
          <a:ext cx="397564" cy="457974"/>
        </a:xfrm>
        <a:prstGeom prst="rect">
          <a:avLst/>
        </a:prstGeom>
      </xdr:spPr>
    </xdr:pic>
    <xdr:clientData/>
  </xdr:oneCellAnchor>
  <xdr:oneCellAnchor>
    <xdr:from>
      <xdr:col>2</xdr:col>
      <xdr:colOff>685891</xdr:colOff>
      <xdr:row>23</xdr:row>
      <xdr:rowOff>38814</xdr:rowOff>
    </xdr:from>
    <xdr:ext cx="503583" cy="446102"/>
    <xdr:pic>
      <xdr:nvPicPr>
        <xdr:cNvPr id="11" name="Imagem 10">
          <a:extLst>
            <a:ext uri="{FF2B5EF4-FFF2-40B4-BE49-F238E27FC236}">
              <a16:creationId xmlns:a16="http://schemas.microsoft.com/office/drawing/2014/main" id="{B6F958C7-8F5E-4B11-AB3D-C9A60B9CAB22}"/>
            </a:ext>
          </a:extLst>
        </xdr:cNvPr>
        <xdr:cNvPicPr>
          <a:picLocks noChangeAspect="1"/>
        </xdr:cNvPicPr>
      </xdr:nvPicPr>
      <xdr:blipFill>
        <a:blip xmlns:r="http://schemas.openxmlformats.org/officeDocument/2006/relationships" r:embed="rId11"/>
        <a:stretch>
          <a:fillRect/>
        </a:stretch>
      </xdr:blipFill>
      <xdr:spPr>
        <a:xfrm>
          <a:off x="1628866" y="7715964"/>
          <a:ext cx="503583" cy="446102"/>
        </a:xfrm>
        <a:prstGeom prst="rect">
          <a:avLst/>
        </a:prstGeom>
      </xdr:spPr>
    </xdr:pic>
    <xdr:clientData/>
  </xdr:oneCellAnchor>
  <xdr:oneCellAnchor>
    <xdr:from>
      <xdr:col>2</xdr:col>
      <xdr:colOff>630214</xdr:colOff>
      <xdr:row>25</xdr:row>
      <xdr:rowOff>114634</xdr:rowOff>
    </xdr:from>
    <xdr:ext cx="563217" cy="375699"/>
    <xdr:pic>
      <xdr:nvPicPr>
        <xdr:cNvPr id="12" name="Imagem 11">
          <a:extLst>
            <a:ext uri="{FF2B5EF4-FFF2-40B4-BE49-F238E27FC236}">
              <a16:creationId xmlns:a16="http://schemas.microsoft.com/office/drawing/2014/main" id="{4B6B1AD0-5F41-4991-8114-4914DADE063B}"/>
            </a:ext>
          </a:extLst>
        </xdr:cNvPr>
        <xdr:cNvPicPr>
          <a:picLocks noChangeAspect="1"/>
        </xdr:cNvPicPr>
      </xdr:nvPicPr>
      <xdr:blipFill>
        <a:blip xmlns:r="http://schemas.openxmlformats.org/officeDocument/2006/relationships" r:embed="rId12"/>
        <a:stretch>
          <a:fillRect/>
        </a:stretch>
      </xdr:blipFill>
      <xdr:spPr>
        <a:xfrm>
          <a:off x="1573189" y="8934784"/>
          <a:ext cx="563217" cy="375699"/>
        </a:xfrm>
        <a:prstGeom prst="rect">
          <a:avLst/>
        </a:prstGeom>
      </xdr:spPr>
    </xdr:pic>
    <xdr:clientData/>
  </xdr:oneCellAnchor>
  <xdr:oneCellAnchor>
    <xdr:from>
      <xdr:col>10</xdr:col>
      <xdr:colOff>567120</xdr:colOff>
      <xdr:row>16</xdr:row>
      <xdr:rowOff>50527</xdr:rowOff>
    </xdr:from>
    <xdr:ext cx="839374" cy="527230"/>
    <xdr:pic>
      <xdr:nvPicPr>
        <xdr:cNvPr id="13" name="Imagem 12" descr="Lascas Estacas Mourões Madeiras Para Cercas E Currais - Goiânia, Go - Zip  Anúncios">
          <a:extLst>
            <a:ext uri="{FF2B5EF4-FFF2-40B4-BE49-F238E27FC236}">
              <a16:creationId xmlns:a16="http://schemas.microsoft.com/office/drawing/2014/main" id="{4A2E0DF1-4429-4C4C-9376-6C5EF5594AC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711245" y="3727177"/>
          <a:ext cx="839374" cy="527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714881</xdr:colOff>
      <xdr:row>17</xdr:row>
      <xdr:rowOff>47670</xdr:rowOff>
    </xdr:from>
    <xdr:ext cx="525404" cy="523462"/>
    <xdr:pic>
      <xdr:nvPicPr>
        <xdr:cNvPr id="14" name="Imagem 13" descr="Arame Liso Galvanizado para Cerca Elétrica Rural">
          <a:extLst>
            <a:ext uri="{FF2B5EF4-FFF2-40B4-BE49-F238E27FC236}">
              <a16:creationId xmlns:a16="http://schemas.microsoft.com/office/drawing/2014/main" id="{CEBF1EB8-1636-450A-B030-F6F3EB5C9F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59006" y="4295820"/>
          <a:ext cx="525404" cy="52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549229</xdr:colOff>
      <xdr:row>18</xdr:row>
      <xdr:rowOff>50705</xdr:rowOff>
    </xdr:from>
    <xdr:ext cx="901147" cy="505517"/>
    <xdr:pic>
      <xdr:nvPicPr>
        <xdr:cNvPr id="15" name="Imagem 14" descr="Porteiras">
          <a:extLst>
            <a:ext uri="{FF2B5EF4-FFF2-40B4-BE49-F238E27FC236}">
              <a16:creationId xmlns:a16="http://schemas.microsoft.com/office/drawing/2014/main" id="{79CFA0E3-85CC-45F6-BFB4-912C0FEBD2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93354" y="4870355"/>
          <a:ext cx="901147" cy="5055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602238</xdr:colOff>
      <xdr:row>19</xdr:row>
      <xdr:rowOff>94054</xdr:rowOff>
    </xdr:from>
    <xdr:ext cx="755374" cy="455518"/>
    <xdr:pic>
      <xdr:nvPicPr>
        <xdr:cNvPr id="16" name="Imagem 15" descr="Madetron - Troncos, Balanças, Madeiras, Banheiras, Carretas Agrícolas,  Saleiros, Palanques, Carrocerias, Ferraria, Madeiras Itaúba, Pinho, Pinus,  Eucalipto - Guaraniaçu, Paraná">
          <a:extLst>
            <a:ext uri="{FF2B5EF4-FFF2-40B4-BE49-F238E27FC236}">
              <a16:creationId xmlns:a16="http://schemas.microsoft.com/office/drawing/2014/main" id="{20F54159-64F6-4FD5-940B-3C7E5C5C07B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746363" y="5485204"/>
          <a:ext cx="755374" cy="4555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741385</xdr:colOff>
      <xdr:row>20</xdr:row>
      <xdr:rowOff>38467</xdr:rowOff>
    </xdr:from>
    <xdr:ext cx="472440" cy="472440"/>
    <xdr:pic>
      <xdr:nvPicPr>
        <xdr:cNvPr id="17" name="Imagem 16" descr="Mão-de-obra png | PNGWing">
          <a:extLst>
            <a:ext uri="{FF2B5EF4-FFF2-40B4-BE49-F238E27FC236}">
              <a16:creationId xmlns:a16="http://schemas.microsoft.com/office/drawing/2014/main" id="{DD113234-D657-4988-9BA7-86B04271A39B}"/>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389" b="97500" l="8056" r="91667">
                      <a14:foregroundMark x1="43889" y1="8333" x2="43889" y2="8333"/>
                      <a14:foregroundMark x1="17500" y1="45000" x2="17500" y2="45000"/>
                      <a14:foregroundMark x1="21111" y1="2500" x2="21111" y2="2500"/>
                      <a14:foregroundMark x1="44167" y1="82778" x2="44167" y2="82778"/>
                      <a14:foregroundMark x1="91944" y1="89444" x2="91944" y2="89444"/>
                      <a14:foregroundMark x1="73333" y1="91667" x2="73333" y2="91667"/>
                      <a14:foregroundMark x1="35000" y1="97500" x2="35000" y2="97500"/>
                      <a14:foregroundMark x1="8056" y1="49722" x2="8056" y2="83056"/>
                      <a14:foregroundMark x1="8056" y1="83056" x2="8889" y2="84167"/>
                      <a14:foregroundMark x1="41944" y1="2778" x2="40833" y2="13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0885510" y="6001117"/>
          <a:ext cx="472440" cy="472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289561</xdr:colOff>
      <xdr:row>16</xdr:row>
      <xdr:rowOff>32766</xdr:rowOff>
    </xdr:from>
    <xdr:ext cx="594359" cy="477773"/>
    <xdr:pic>
      <xdr:nvPicPr>
        <xdr:cNvPr id="18" name="Imagem 17">
          <a:extLst>
            <a:ext uri="{FF2B5EF4-FFF2-40B4-BE49-F238E27FC236}">
              <a16:creationId xmlns:a16="http://schemas.microsoft.com/office/drawing/2014/main" id="{15E1299C-AE81-4724-9B39-733C25E71D2F}"/>
            </a:ext>
          </a:extLst>
        </xdr:cNvPr>
        <xdr:cNvPicPr>
          <a:picLocks noChangeAspect="1"/>
        </xdr:cNvPicPr>
      </xdr:nvPicPr>
      <xdr:blipFill>
        <a:blip xmlns:r="http://schemas.openxmlformats.org/officeDocument/2006/relationships" r:embed="rId14"/>
        <a:stretch>
          <a:fillRect/>
        </a:stretch>
      </xdr:blipFill>
      <xdr:spPr>
        <a:xfrm>
          <a:off x="19272886" y="3709416"/>
          <a:ext cx="594359" cy="477773"/>
        </a:xfrm>
        <a:prstGeom prst="rect">
          <a:avLst/>
        </a:prstGeom>
      </xdr:spPr>
    </xdr:pic>
    <xdr:clientData/>
  </xdr:oneCellAnchor>
  <xdr:oneCellAnchor>
    <xdr:from>
      <xdr:col>18</xdr:col>
      <xdr:colOff>198120</xdr:colOff>
      <xdr:row>17</xdr:row>
      <xdr:rowOff>22860</xdr:rowOff>
    </xdr:from>
    <xdr:ext cx="739140" cy="494639"/>
    <xdr:pic>
      <xdr:nvPicPr>
        <xdr:cNvPr id="19" name="Imagem 18" descr="BEBEDOURO - Brolio Artefatos de Cimento - Grupo Brolio">
          <a:extLst>
            <a:ext uri="{FF2B5EF4-FFF2-40B4-BE49-F238E27FC236}">
              <a16:creationId xmlns:a16="http://schemas.microsoft.com/office/drawing/2014/main" id="{C3361DDD-33E4-4555-B6B5-90BDF1FAE264}"/>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9628" b="97689" l="8670" r="89785">
                      <a14:foregroundMark x1="8755" y1="43646" x2="8755" y2="43646"/>
                      <a14:foregroundMark x1="23004" y1="73171" x2="23004" y2="73171"/>
                      <a14:foregroundMark x1="37425" y1="70860" x2="37425" y2="70860"/>
                      <a14:foregroundMark x1="60429" y1="91014" x2="60429" y2="91014"/>
                      <a14:foregroundMark x1="49442" y1="86906" x2="49442" y2="86906"/>
                      <a14:foregroundMark x1="43176" y1="76123" x2="43176" y2="76123"/>
                      <a14:foregroundMark x1="44635" y1="73813" x2="44635" y2="73813"/>
                      <a14:foregroundMark x1="24721" y1="70090" x2="24721" y2="70090"/>
                      <a14:foregroundMark x1="19227" y1="60847" x2="37425" y2="81900"/>
                      <a14:foregroundMark x1="37425" y1="81900" x2="17082" y2="78434"/>
                      <a14:foregroundMark x1="17082" y1="78434" x2="11760" y2="59307"/>
                      <a14:foregroundMark x1="7983" y1="50321" x2="39399" y2="74198"/>
                      <a14:foregroundMark x1="39399" y1="74198" x2="32704" y2="95250"/>
                      <a14:foregroundMark x1="32704" y1="95250" x2="22747" y2="976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9181445" y="4271010"/>
          <a:ext cx="739140" cy="494639"/>
        </a:xfrm>
        <a:prstGeom prst="rect">
          <a:avLst/>
        </a:prstGeom>
        <a:noFill/>
        <a:ln>
          <a:noFill/>
        </a:ln>
      </xdr:spPr>
    </xdr:pic>
    <xdr:clientData/>
  </xdr:oneCellAnchor>
  <xdr:oneCellAnchor>
    <xdr:from>
      <xdr:col>18</xdr:col>
      <xdr:colOff>220980</xdr:colOff>
      <xdr:row>18</xdr:row>
      <xdr:rowOff>76201</xdr:rowOff>
    </xdr:from>
    <xdr:ext cx="662940" cy="440512"/>
    <xdr:pic>
      <xdr:nvPicPr>
        <xdr:cNvPr id="20" name="Imagem 19">
          <a:extLst>
            <a:ext uri="{FF2B5EF4-FFF2-40B4-BE49-F238E27FC236}">
              <a16:creationId xmlns:a16="http://schemas.microsoft.com/office/drawing/2014/main" id="{18E31257-55E6-4A95-BE53-4BA7D0E8F602}"/>
            </a:ext>
          </a:extLst>
        </xdr:cNvPr>
        <xdr:cNvPicPr>
          <a:picLocks noChangeAspect="1"/>
        </xdr:cNvPicPr>
      </xdr:nvPicPr>
      <xdr:blipFill>
        <a:blip xmlns:r="http://schemas.openxmlformats.org/officeDocument/2006/relationships" r:embed="rId17"/>
        <a:stretch>
          <a:fillRect/>
        </a:stretch>
      </xdr:blipFill>
      <xdr:spPr>
        <a:xfrm>
          <a:off x="19204305" y="4895851"/>
          <a:ext cx="662940" cy="440512"/>
        </a:xfrm>
        <a:prstGeom prst="rect">
          <a:avLst/>
        </a:prstGeom>
      </xdr:spPr>
    </xdr:pic>
    <xdr:clientData/>
  </xdr:oneCellAnchor>
  <xdr:oneCellAnchor>
    <xdr:from>
      <xdr:col>18</xdr:col>
      <xdr:colOff>304800</xdr:colOff>
      <xdr:row>19</xdr:row>
      <xdr:rowOff>7621</xdr:rowOff>
    </xdr:from>
    <xdr:ext cx="529240" cy="510539"/>
    <xdr:pic>
      <xdr:nvPicPr>
        <xdr:cNvPr id="21" name="Imagem 20">
          <a:extLst>
            <a:ext uri="{FF2B5EF4-FFF2-40B4-BE49-F238E27FC236}">
              <a16:creationId xmlns:a16="http://schemas.microsoft.com/office/drawing/2014/main" id="{A48630FB-24DD-4C0A-BB14-6D0CF5EF9851}"/>
            </a:ext>
          </a:extLst>
        </xdr:cNvPr>
        <xdr:cNvPicPr>
          <a:picLocks noChangeAspect="1"/>
        </xdr:cNvPicPr>
      </xdr:nvPicPr>
      <xdr:blipFill>
        <a:blip xmlns:r="http://schemas.openxmlformats.org/officeDocument/2006/relationships" r:embed="rId18"/>
        <a:stretch>
          <a:fillRect/>
        </a:stretch>
      </xdr:blipFill>
      <xdr:spPr>
        <a:xfrm>
          <a:off x="19288125" y="5398771"/>
          <a:ext cx="529240" cy="510539"/>
        </a:xfrm>
        <a:prstGeom prst="rect">
          <a:avLst/>
        </a:prstGeom>
      </xdr:spPr>
    </xdr:pic>
    <xdr:clientData/>
  </xdr:oneCellAnchor>
  <xdr:oneCellAnchor>
    <xdr:from>
      <xdr:col>18</xdr:col>
      <xdr:colOff>297180</xdr:colOff>
      <xdr:row>20</xdr:row>
      <xdr:rowOff>35329</xdr:rowOff>
    </xdr:from>
    <xdr:ext cx="548640" cy="498764"/>
    <xdr:pic>
      <xdr:nvPicPr>
        <xdr:cNvPr id="22" name="Imagem 21">
          <a:extLst>
            <a:ext uri="{FF2B5EF4-FFF2-40B4-BE49-F238E27FC236}">
              <a16:creationId xmlns:a16="http://schemas.microsoft.com/office/drawing/2014/main" id="{3B9F44C1-4759-4DEC-B6B2-C0D0785913A8}"/>
            </a:ext>
          </a:extLst>
        </xdr:cNvPr>
        <xdr:cNvPicPr>
          <a:picLocks noChangeAspect="1"/>
        </xdr:cNvPicPr>
      </xdr:nvPicPr>
      <xdr:blipFill>
        <a:blip xmlns:r="http://schemas.openxmlformats.org/officeDocument/2006/relationships" r:embed="rId19"/>
        <a:stretch>
          <a:fillRect/>
        </a:stretch>
      </xdr:blipFill>
      <xdr:spPr>
        <a:xfrm>
          <a:off x="19280505" y="5997979"/>
          <a:ext cx="548640" cy="498764"/>
        </a:xfrm>
        <a:prstGeom prst="rect">
          <a:avLst/>
        </a:prstGeom>
      </xdr:spPr>
    </xdr:pic>
    <xdr:clientData/>
  </xdr:oneCellAnchor>
  <xdr:oneCellAnchor>
    <xdr:from>
      <xdr:col>18</xdr:col>
      <xdr:colOff>243840</xdr:colOff>
      <xdr:row>23</xdr:row>
      <xdr:rowOff>30481</xdr:rowOff>
    </xdr:from>
    <xdr:ext cx="553915" cy="495300"/>
    <xdr:pic>
      <xdr:nvPicPr>
        <xdr:cNvPr id="23" name="Imagem 22">
          <a:extLst>
            <a:ext uri="{FF2B5EF4-FFF2-40B4-BE49-F238E27FC236}">
              <a16:creationId xmlns:a16="http://schemas.microsoft.com/office/drawing/2014/main" id="{54689F1D-6ECA-4FE4-A2FB-87557EFA0061}"/>
            </a:ext>
          </a:extLst>
        </xdr:cNvPr>
        <xdr:cNvPicPr>
          <a:picLocks noChangeAspect="1"/>
        </xdr:cNvPicPr>
      </xdr:nvPicPr>
      <xdr:blipFill>
        <a:blip xmlns:r="http://schemas.openxmlformats.org/officeDocument/2006/relationships" r:embed="rId20"/>
        <a:stretch>
          <a:fillRect/>
        </a:stretch>
      </xdr:blipFill>
      <xdr:spPr>
        <a:xfrm>
          <a:off x="19227165" y="7707631"/>
          <a:ext cx="553915" cy="495300"/>
        </a:xfrm>
        <a:prstGeom prst="rect">
          <a:avLst/>
        </a:prstGeom>
      </xdr:spPr>
    </xdr:pic>
    <xdr:clientData/>
  </xdr:oneCellAnchor>
  <xdr:oneCellAnchor>
    <xdr:from>
      <xdr:col>18</xdr:col>
      <xdr:colOff>350097</xdr:colOff>
      <xdr:row>24</xdr:row>
      <xdr:rowOff>39794</xdr:rowOff>
    </xdr:from>
    <xdr:ext cx="472440" cy="472440"/>
    <xdr:pic>
      <xdr:nvPicPr>
        <xdr:cNvPr id="24" name="Imagem 23" descr="Mão-de-obra png | PNGWing">
          <a:extLst>
            <a:ext uri="{FF2B5EF4-FFF2-40B4-BE49-F238E27FC236}">
              <a16:creationId xmlns:a16="http://schemas.microsoft.com/office/drawing/2014/main" id="{DF060B95-1B0A-4A9B-AF2A-AB22AB0E972C}"/>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389" b="97500" l="8056" r="91667">
                      <a14:foregroundMark x1="43889" y1="8333" x2="43889" y2="8333"/>
                      <a14:foregroundMark x1="17500" y1="45000" x2="17500" y2="45000"/>
                      <a14:foregroundMark x1="21111" y1="2500" x2="21111" y2="2500"/>
                      <a14:foregroundMark x1="44167" y1="82778" x2="44167" y2="82778"/>
                      <a14:foregroundMark x1="91944" y1="89444" x2="91944" y2="89444"/>
                      <a14:foregroundMark x1="73333" y1="91667" x2="73333" y2="91667"/>
                      <a14:foregroundMark x1="35000" y1="97500" x2="35000" y2="97500"/>
                      <a14:foregroundMark x1="8056" y1="49722" x2="8056" y2="83056"/>
                      <a14:foregroundMark x1="8056" y1="83056" x2="8889" y2="84167"/>
                      <a14:foregroundMark x1="41944" y1="2778" x2="40833" y2="13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9333422" y="8288444"/>
          <a:ext cx="472440" cy="472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266700</xdr:colOff>
      <xdr:row>21</xdr:row>
      <xdr:rowOff>37519</xdr:rowOff>
    </xdr:from>
    <xdr:ext cx="548640" cy="503918"/>
    <xdr:pic>
      <xdr:nvPicPr>
        <xdr:cNvPr id="25" name="Imagem 24">
          <a:extLst>
            <a:ext uri="{FF2B5EF4-FFF2-40B4-BE49-F238E27FC236}">
              <a16:creationId xmlns:a16="http://schemas.microsoft.com/office/drawing/2014/main" id="{D64F3444-5993-41D5-939D-CA98CBDB69BE}"/>
            </a:ext>
          </a:extLst>
        </xdr:cNvPr>
        <xdr:cNvPicPr>
          <a:picLocks noChangeAspect="1"/>
        </xdr:cNvPicPr>
      </xdr:nvPicPr>
      <xdr:blipFill>
        <a:blip xmlns:r="http://schemas.openxmlformats.org/officeDocument/2006/relationships" r:embed="rId21"/>
        <a:stretch>
          <a:fillRect/>
        </a:stretch>
      </xdr:blipFill>
      <xdr:spPr>
        <a:xfrm>
          <a:off x="19250025" y="6571669"/>
          <a:ext cx="548640" cy="503918"/>
        </a:xfrm>
        <a:prstGeom prst="rect">
          <a:avLst/>
        </a:prstGeom>
      </xdr:spPr>
    </xdr:pic>
    <xdr:clientData/>
  </xdr:oneCellAnchor>
  <xdr:oneCellAnchor>
    <xdr:from>
      <xdr:col>18</xdr:col>
      <xdr:colOff>335281</xdr:colOff>
      <xdr:row>22</xdr:row>
      <xdr:rowOff>91441</xdr:rowOff>
    </xdr:from>
    <xdr:ext cx="365759" cy="392926"/>
    <xdr:pic>
      <xdr:nvPicPr>
        <xdr:cNvPr id="26" name="Imagem 25">
          <a:extLst>
            <a:ext uri="{FF2B5EF4-FFF2-40B4-BE49-F238E27FC236}">
              <a16:creationId xmlns:a16="http://schemas.microsoft.com/office/drawing/2014/main" id="{3454A02C-AE21-4DFA-96CF-2C7424893BE5}"/>
            </a:ext>
          </a:extLst>
        </xdr:cNvPr>
        <xdr:cNvPicPr>
          <a:picLocks noChangeAspect="1"/>
        </xdr:cNvPicPr>
      </xdr:nvPicPr>
      <xdr:blipFill>
        <a:blip xmlns:r="http://schemas.openxmlformats.org/officeDocument/2006/relationships" r:embed="rId22"/>
        <a:stretch>
          <a:fillRect/>
        </a:stretch>
      </xdr:blipFill>
      <xdr:spPr>
        <a:xfrm>
          <a:off x="19318606" y="7197091"/>
          <a:ext cx="365759" cy="392926"/>
        </a:xfrm>
        <a:prstGeom prst="rect">
          <a:avLst/>
        </a:prstGeom>
      </xdr:spPr>
    </xdr:pic>
    <xdr:clientData/>
  </xdr:oneCellAnchor>
  <xdr:twoCellAnchor editAs="oneCell">
    <xdr:from>
      <xdr:col>0</xdr:col>
      <xdr:colOff>88447</xdr:colOff>
      <xdr:row>0</xdr:row>
      <xdr:rowOff>129267</xdr:rowOff>
    </xdr:from>
    <xdr:to>
      <xdr:col>2</xdr:col>
      <xdr:colOff>232553</xdr:colOff>
      <xdr:row>0</xdr:row>
      <xdr:rowOff>282753</xdr:rowOff>
    </xdr:to>
    <xdr:pic>
      <xdr:nvPicPr>
        <xdr:cNvPr id="27" name="Imagem 26">
          <a:extLst>
            <a:ext uri="{FF2B5EF4-FFF2-40B4-BE49-F238E27FC236}">
              <a16:creationId xmlns:a16="http://schemas.microsoft.com/office/drawing/2014/main" id="{689ED69A-E2F3-4562-9E42-35403BBF1D2D}"/>
            </a:ext>
          </a:extLst>
        </xdr:cNvPr>
        <xdr:cNvPicPr>
          <a:picLocks noChangeAspect="1"/>
        </xdr:cNvPicPr>
      </xdr:nvPicPr>
      <xdr:blipFill>
        <a:blip xmlns:r="http://schemas.openxmlformats.org/officeDocument/2006/relationships" r:embed="rId23" cstate="print">
          <a:duotone>
            <a:schemeClr val="bg2">
              <a:shade val="45000"/>
              <a:satMod val="135000"/>
            </a:schemeClr>
            <a:prstClr val="white"/>
          </a:duotone>
          <a:extLst>
            <a:ext uri="{BEBA8EAE-BF5A-486C-A8C5-ECC9F3942E4B}">
              <a14:imgProps xmlns:a14="http://schemas.microsoft.com/office/drawing/2010/main">
                <a14:imgLayer r:embed="rId24">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88447" y="129267"/>
          <a:ext cx="1087081" cy="153486"/>
        </a:xfrm>
        <a:prstGeom prst="rect">
          <a:avLst/>
        </a:prstGeom>
      </xdr:spPr>
    </xdr:pic>
    <xdr:clientData/>
  </xdr:twoCellAnchor>
  <xdr:oneCellAnchor>
    <xdr:from>
      <xdr:col>18</xdr:col>
      <xdr:colOff>115956</xdr:colOff>
      <xdr:row>25</xdr:row>
      <xdr:rowOff>41413</xdr:rowOff>
    </xdr:from>
    <xdr:ext cx="902617" cy="505239"/>
    <xdr:pic>
      <xdr:nvPicPr>
        <xdr:cNvPr id="28" name="Imagem 27">
          <a:extLst>
            <a:ext uri="{FF2B5EF4-FFF2-40B4-BE49-F238E27FC236}">
              <a16:creationId xmlns:a16="http://schemas.microsoft.com/office/drawing/2014/main" id="{323CA60F-5808-4014-BF55-B525A1F53665}"/>
            </a:ext>
          </a:extLst>
        </xdr:cNvPr>
        <xdr:cNvPicPr>
          <a:picLocks noChangeAspect="1"/>
        </xdr:cNvPicPr>
      </xdr:nvPicPr>
      <xdr:blipFill rotWithShape="1">
        <a:blip xmlns:r="http://schemas.openxmlformats.org/officeDocument/2006/relationships" r:embed="rId25"/>
        <a:srcRect l="5460" t="15782" r="59818" b="53873"/>
        <a:stretch/>
      </xdr:blipFill>
      <xdr:spPr>
        <a:xfrm>
          <a:off x="19099281" y="8861563"/>
          <a:ext cx="902617" cy="505239"/>
        </a:xfrm>
        <a:prstGeom prst="rect">
          <a:avLst/>
        </a:prstGeom>
        <a:ln>
          <a:solidFill>
            <a:sysClr val="windowText" lastClr="000000"/>
          </a:solid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5</xdr:col>
      <xdr:colOff>370671</xdr:colOff>
      <xdr:row>18</xdr:row>
      <xdr:rowOff>563082</xdr:rowOff>
    </xdr:from>
    <xdr:ext cx="5131418" cy="3286527"/>
    <xdr:pic>
      <xdr:nvPicPr>
        <xdr:cNvPr id="2" name="Imagem 1">
          <a:extLst>
            <a:ext uri="{FF2B5EF4-FFF2-40B4-BE49-F238E27FC236}">
              <a16:creationId xmlns:a16="http://schemas.microsoft.com/office/drawing/2014/main" id="{A7F0F966-5C9D-4746-B1A9-8ACD8479E0F9}"/>
            </a:ext>
          </a:extLst>
        </xdr:cNvPr>
        <xdr:cNvPicPr>
          <a:picLocks noChangeAspect="1"/>
        </xdr:cNvPicPr>
      </xdr:nvPicPr>
      <xdr:blipFill>
        <a:blip xmlns:r="http://schemas.openxmlformats.org/officeDocument/2006/relationships" r:embed="rId1"/>
        <a:stretch>
          <a:fillRect/>
        </a:stretch>
      </xdr:blipFill>
      <xdr:spPr>
        <a:xfrm>
          <a:off x="5571321" y="10535757"/>
          <a:ext cx="5131418" cy="3286527"/>
        </a:xfrm>
        <a:prstGeom prst="rect">
          <a:avLst/>
        </a:prstGeom>
        <a:ln>
          <a:solidFill>
            <a:sysClr val="windowText" lastClr="000000"/>
          </a:solidFill>
        </a:ln>
      </xdr:spPr>
    </xdr:pic>
    <xdr:clientData/>
  </xdr:oneCellAnchor>
  <xdr:oneCellAnchor>
    <xdr:from>
      <xdr:col>5</xdr:col>
      <xdr:colOff>346337</xdr:colOff>
      <xdr:row>9</xdr:row>
      <xdr:rowOff>22412</xdr:rowOff>
    </xdr:from>
    <xdr:ext cx="8156949" cy="3284808"/>
    <xdr:pic>
      <xdr:nvPicPr>
        <xdr:cNvPr id="3" name="Imagem 2">
          <a:extLst>
            <a:ext uri="{FF2B5EF4-FFF2-40B4-BE49-F238E27FC236}">
              <a16:creationId xmlns:a16="http://schemas.microsoft.com/office/drawing/2014/main" id="{908F7C46-71F2-4EEC-9FA6-81552898B12E}"/>
            </a:ext>
          </a:extLst>
        </xdr:cNvPr>
        <xdr:cNvPicPr>
          <a:picLocks noChangeAspect="1"/>
        </xdr:cNvPicPr>
      </xdr:nvPicPr>
      <xdr:blipFill>
        <a:blip xmlns:r="http://schemas.openxmlformats.org/officeDocument/2006/relationships" r:embed="rId2"/>
        <a:stretch>
          <a:fillRect/>
        </a:stretch>
      </xdr:blipFill>
      <xdr:spPr>
        <a:xfrm>
          <a:off x="5546987" y="6699437"/>
          <a:ext cx="8156949" cy="3284808"/>
        </a:xfrm>
        <a:prstGeom prst="rect">
          <a:avLst/>
        </a:prstGeom>
        <a:ln>
          <a:solidFill>
            <a:sysClr val="windowText" lastClr="000000"/>
          </a:solidFill>
        </a:ln>
      </xdr:spPr>
    </xdr:pic>
    <xdr:clientData/>
  </xdr:oneCellAnchor>
  <xdr:oneCellAnchor>
    <xdr:from>
      <xdr:col>1</xdr:col>
      <xdr:colOff>1592341</xdr:colOff>
      <xdr:row>1</xdr:row>
      <xdr:rowOff>165286</xdr:rowOff>
    </xdr:from>
    <xdr:ext cx="9972131" cy="3330949"/>
    <xdr:pic>
      <xdr:nvPicPr>
        <xdr:cNvPr id="4" name="Imagem 3">
          <a:extLst>
            <a:ext uri="{FF2B5EF4-FFF2-40B4-BE49-F238E27FC236}">
              <a16:creationId xmlns:a16="http://schemas.microsoft.com/office/drawing/2014/main" id="{B2E5E5C0-D8C1-4156-8DB7-0F3179BF2046}"/>
            </a:ext>
          </a:extLst>
        </xdr:cNvPr>
        <xdr:cNvPicPr>
          <a:picLocks noChangeAspect="1"/>
        </xdr:cNvPicPr>
      </xdr:nvPicPr>
      <xdr:blipFill>
        <a:blip xmlns:r="http://schemas.openxmlformats.org/officeDocument/2006/relationships" r:embed="rId3"/>
        <a:stretch>
          <a:fillRect/>
        </a:stretch>
      </xdr:blipFill>
      <xdr:spPr>
        <a:xfrm>
          <a:off x="2154316" y="517711"/>
          <a:ext cx="9972131" cy="3330949"/>
        </a:xfrm>
        <a:prstGeom prst="rect">
          <a:avLst/>
        </a:prstGeom>
        <a:ln>
          <a:noFill/>
        </a:ln>
      </xdr:spPr>
    </xdr:pic>
    <xdr:clientData/>
  </xdr:oneCellAnchor>
  <xdr:twoCellAnchor editAs="oneCell">
    <xdr:from>
      <xdr:col>1</xdr:col>
      <xdr:colOff>100853</xdr:colOff>
      <xdr:row>0</xdr:row>
      <xdr:rowOff>89646</xdr:rowOff>
    </xdr:from>
    <xdr:to>
      <xdr:col>1</xdr:col>
      <xdr:colOff>1187513</xdr:colOff>
      <xdr:row>0</xdr:row>
      <xdr:rowOff>243132</xdr:rowOff>
    </xdr:to>
    <xdr:pic>
      <xdr:nvPicPr>
        <xdr:cNvPr id="5" name="Imagem 4">
          <a:extLst>
            <a:ext uri="{FF2B5EF4-FFF2-40B4-BE49-F238E27FC236}">
              <a16:creationId xmlns:a16="http://schemas.microsoft.com/office/drawing/2014/main" id="{1848D52E-48FD-4F24-9BF8-67152B59811A}"/>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BEBA8EAE-BF5A-486C-A8C5-ECC9F3942E4B}">
              <a14:imgProps xmlns:a14="http://schemas.microsoft.com/office/drawing/2010/main">
                <a14:imgLayer r:embed="rId5">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662828" y="89646"/>
          <a:ext cx="1086660" cy="153486"/>
        </a:xfrm>
        <a:prstGeom prst="rect">
          <a:avLst/>
        </a:prstGeom>
      </xdr:spPr>
    </xdr:pic>
    <xdr:clientData/>
  </xdr:twoCellAnchor>
  <xdr:twoCellAnchor>
    <xdr:from>
      <xdr:col>4</xdr:col>
      <xdr:colOff>414618</xdr:colOff>
      <xdr:row>18</xdr:row>
      <xdr:rowOff>526677</xdr:rowOff>
    </xdr:from>
    <xdr:to>
      <xdr:col>5</xdr:col>
      <xdr:colOff>156883</xdr:colOff>
      <xdr:row>28</xdr:row>
      <xdr:rowOff>67235</xdr:rowOff>
    </xdr:to>
    <xdr:sp macro="" textlink="">
      <xdr:nvSpPr>
        <xdr:cNvPr id="6" name="Chave Direita 5">
          <a:extLst>
            <a:ext uri="{FF2B5EF4-FFF2-40B4-BE49-F238E27FC236}">
              <a16:creationId xmlns:a16="http://schemas.microsoft.com/office/drawing/2014/main" id="{5868016C-8A65-48FD-99D3-B3DF2C94E95C}"/>
            </a:ext>
          </a:extLst>
        </xdr:cNvPr>
        <xdr:cNvSpPr/>
      </xdr:nvSpPr>
      <xdr:spPr>
        <a:xfrm>
          <a:off x="5005668" y="10499352"/>
          <a:ext cx="351865" cy="3407708"/>
        </a:xfrm>
        <a:prstGeom prst="rightBrace">
          <a:avLst/>
        </a:prstGeom>
        <a:ln w="19050">
          <a:solidFill>
            <a:srgbClr val="1F4B3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4</xdr:col>
      <xdr:colOff>466165</xdr:colOff>
      <xdr:row>8</xdr:row>
      <xdr:rowOff>163607</xdr:rowOff>
    </xdr:from>
    <xdr:to>
      <xdr:col>5</xdr:col>
      <xdr:colOff>208430</xdr:colOff>
      <xdr:row>18</xdr:row>
      <xdr:rowOff>85166</xdr:rowOff>
    </xdr:to>
    <xdr:sp macro="" textlink="">
      <xdr:nvSpPr>
        <xdr:cNvPr id="7" name="Chave Direita 6">
          <a:extLst>
            <a:ext uri="{FF2B5EF4-FFF2-40B4-BE49-F238E27FC236}">
              <a16:creationId xmlns:a16="http://schemas.microsoft.com/office/drawing/2014/main" id="{03B4486F-7FB7-40E3-B28B-CCBBE7691F37}"/>
            </a:ext>
          </a:extLst>
        </xdr:cNvPr>
        <xdr:cNvSpPr/>
      </xdr:nvSpPr>
      <xdr:spPr>
        <a:xfrm>
          <a:off x="5057215" y="6650132"/>
          <a:ext cx="351865" cy="3407709"/>
        </a:xfrm>
        <a:prstGeom prst="rightBrace">
          <a:avLst/>
        </a:prstGeom>
        <a:ln w="19050">
          <a:solidFill>
            <a:srgbClr val="1F4B3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123825</xdr:colOff>
      <xdr:row>0</xdr:row>
      <xdr:rowOff>133350</xdr:rowOff>
    </xdr:from>
    <xdr:to>
      <xdr:col>1</xdr:col>
      <xdr:colOff>315638</xdr:colOff>
      <xdr:row>0</xdr:row>
      <xdr:rowOff>246478</xdr:rowOff>
    </xdr:to>
    <xdr:pic>
      <xdr:nvPicPr>
        <xdr:cNvPr id="2" name="Imagem 1">
          <a:extLst>
            <a:ext uri="{FF2B5EF4-FFF2-40B4-BE49-F238E27FC236}">
              <a16:creationId xmlns:a16="http://schemas.microsoft.com/office/drawing/2014/main" id="{4374B334-8A8E-4198-86E4-8418910D18FF}"/>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23825" y="133350"/>
          <a:ext cx="801413" cy="11312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533400</xdr:colOff>
      <xdr:row>0</xdr:row>
      <xdr:rowOff>180975</xdr:rowOff>
    </xdr:from>
    <xdr:to>
      <xdr:col>2</xdr:col>
      <xdr:colOff>314325</xdr:colOff>
      <xdr:row>2</xdr:row>
      <xdr:rowOff>103316</xdr:rowOff>
    </xdr:to>
    <xdr:pic>
      <xdr:nvPicPr>
        <xdr:cNvPr id="2" name="Imagem 1">
          <a:extLst>
            <a:ext uri="{FF2B5EF4-FFF2-40B4-BE49-F238E27FC236}">
              <a16:creationId xmlns:a16="http://schemas.microsoft.com/office/drawing/2014/main" id="{087B3E49-76E8-43CA-ACAE-DCC25949F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180975"/>
          <a:ext cx="2143125" cy="30334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37475C-7F92-4C9E-AB1D-F247114AAC3D}" name="Tabela2" displayName="Tabela2" ref="A8:P31" totalsRowShown="0" headerRowDxfId="68" dataDxfId="67" tableBorderDxfId="66">
  <autoFilter ref="A8:P31" xr:uid="{AF37475C-7F92-4C9E-AB1D-F247114AAC3D}"/>
  <tableColumns count="16">
    <tableColumn id="1" xr3:uid="{9337D7B8-360D-4D9E-998F-107D37DC4B59}" name="Coluna1" dataDxfId="65"/>
    <tableColumn id="2" xr3:uid="{EDF993C8-AC0D-4CEA-B3DD-618D9047A738}" name="Coluna2" dataDxfId="64"/>
    <tableColumn id="3" xr3:uid="{F1FD5AC6-B3ED-49AA-A28A-7E50389F0ACA}" name="Coluna3" dataDxfId="63"/>
    <tableColumn id="4" xr3:uid="{1445DD2D-100D-483E-95B0-E471A7F30CE5}" name="Coluna4" dataDxfId="62"/>
    <tableColumn id="5" xr3:uid="{CDD745D0-443A-4762-A413-1CA41D365CBE}" name="Coluna5" dataDxfId="61"/>
    <tableColumn id="6" xr3:uid="{8DF282CC-3574-4B34-9A6D-CD0E6353B58F}" name="Coluna6" dataDxfId="60"/>
    <tableColumn id="7" xr3:uid="{B4FEFC5C-8C7C-4BB2-B14B-6A3FA538DE21}" name="Coluna7" dataDxfId="59"/>
    <tableColumn id="8" xr3:uid="{82B2B3F7-8766-4ADF-8079-24046F44F636}" name="Coluna8" dataDxfId="58"/>
    <tableColumn id="9" xr3:uid="{125F718E-8BE5-44F4-8F8D-419FF5810F11}" name="Coluna9" dataDxfId="57"/>
    <tableColumn id="10" xr3:uid="{220394A5-E131-406C-BA86-B2E522147403}" name="Coluna10" dataDxfId="56"/>
    <tableColumn id="11" xr3:uid="{4618ECEF-8A09-4B5C-90C1-7AA95457A9DD}" name="Coluna11" dataDxfId="55"/>
    <tableColumn id="12" xr3:uid="{B402C2B3-E372-4D75-AA40-8D3FB6DC6D82}" name="Coluna12" dataDxfId="54"/>
    <tableColumn id="13" xr3:uid="{56A6B753-4D6C-467B-9E01-5076745CFE92}" name="Coluna13" dataDxfId="53"/>
    <tableColumn id="14" xr3:uid="{CE93A3BC-FF9B-4238-BDD2-D0C7CCB0C87C}" name="Coluna14" dataDxfId="52"/>
    <tableColumn id="15" xr3:uid="{15CAAC9E-31BA-455E-BF45-A445A8B1EECA}" name="Coluna15" dataDxfId="51"/>
    <tableColumn id="16" xr3:uid="{96D21046-F5AC-41AB-B9CE-5110F41EB157}" name="Coluna 16" dataDxfId="50">
      <calculatedColumnFormula>IF(Tabela2[[#This Row],[Coluna11]]="Vazia","Vazia",IF(Tabela2[[#This Row],[Coluna1]]="","",IF(Tabela2[[#This Row],[Coluna5]]="Cheia",Tabela2[[#This Row],[Coluna3]]+280,IF(Tabela2[[#This Row],[Coluna8]]="Cheia",Tabela2[[#This Row],[Coluna7]]+280,IF(Tabela2[[#This Row],[Coluna11]]="Cheia",Tabela2[[#This Row],[Coluna9]]+280,"Vazia")))))</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2864E-7797-4A9B-9D10-3CBA8878AC95}">
  <sheetPr codeName="Planilha1"/>
  <dimension ref="A1:XFC587"/>
  <sheetViews>
    <sheetView showGridLines="0" tabSelected="1" zoomScale="115" zoomScaleNormal="115" workbookViewId="0">
      <selection activeCell="C4" sqref="C4"/>
    </sheetView>
  </sheetViews>
  <sheetFormatPr defaultColWidth="0" defaultRowHeight="15" zeroHeight="1" x14ac:dyDescent="0.25"/>
  <cols>
    <col min="1" max="1" width="12" customWidth="1"/>
    <col min="2" max="2" width="30" customWidth="1"/>
    <col min="3" max="3" width="13.5703125" style="5" customWidth="1"/>
    <col min="4" max="4" width="7.140625" style="1" customWidth="1"/>
    <col min="5" max="5" width="11.7109375" style="1" bestFit="1" customWidth="1"/>
    <col min="6" max="17" width="3.7109375" customWidth="1"/>
    <col min="18" max="18" width="4.5703125" customWidth="1"/>
    <col min="19" max="31" width="10.7109375" style="1" hidden="1"/>
    <col min="32" max="33" width="3" hidden="1"/>
    <col min="34" max="34" width="5.7109375" hidden="1"/>
    <col min="35" max="35" width="11.28515625" hidden="1"/>
    <col min="36" max="38" width="5.7109375" hidden="1"/>
    <col min="39" max="39" width="14" hidden="1"/>
    <col min="40" max="44" width="5.7109375" hidden="1"/>
    <col min="45" max="45" width="10.42578125" hidden="1"/>
    <col min="46" max="48" width="5.7109375" hidden="1"/>
    <col min="49" max="49" width="10.42578125" hidden="1"/>
    <col min="50" max="50" width="5.7109375" hidden="1"/>
    <col min="51" max="16366" width="9.140625" hidden="1"/>
    <col min="16368" max="16383" width="9.140625" hidden="1"/>
    <col min="16384" max="16384" width="4.42578125" hidden="1"/>
  </cols>
  <sheetData>
    <row r="1" spans="1:50" ht="23.25" customHeight="1" x14ac:dyDescent="0.25">
      <c r="A1" s="14"/>
      <c r="B1" s="623" t="s">
        <v>133</v>
      </c>
      <c r="C1" s="623"/>
      <c r="D1" s="623"/>
      <c r="E1" s="623"/>
      <c r="F1" s="623"/>
      <c r="G1" s="623"/>
      <c r="H1" s="623"/>
      <c r="I1" s="623"/>
      <c r="J1" s="623"/>
      <c r="K1" s="623"/>
      <c r="L1" s="623"/>
      <c r="M1" s="623"/>
      <c r="N1" s="623"/>
      <c r="O1" s="623"/>
      <c r="P1" s="623"/>
      <c r="Q1" s="623"/>
      <c r="R1" s="623"/>
    </row>
    <row r="2" spans="1:50" ht="15.75" thickBot="1" x14ac:dyDescent="0.3">
      <c r="AI2" s="1" t="s">
        <v>8</v>
      </c>
      <c r="AJ2" s="1"/>
      <c r="AK2" s="1"/>
      <c r="AM2" t="s">
        <v>132</v>
      </c>
      <c r="AS2" t="s">
        <v>10</v>
      </c>
      <c r="AW2" t="s">
        <v>24</v>
      </c>
    </row>
    <row r="3" spans="1:50" ht="15.75" thickBot="1" x14ac:dyDescent="0.3">
      <c r="B3" s="621" t="s">
        <v>27</v>
      </c>
      <c r="C3" s="622"/>
      <c r="E3" s="620" t="s">
        <v>26</v>
      </c>
      <c r="F3" s="620"/>
      <c r="G3" s="620"/>
      <c r="H3" s="620"/>
      <c r="I3" s="620"/>
      <c r="J3" s="620"/>
      <c r="K3" s="620"/>
      <c r="L3" s="620"/>
      <c r="M3" s="620"/>
      <c r="N3" s="620"/>
      <c r="O3" s="620"/>
      <c r="P3" s="620"/>
      <c r="Q3" s="620"/>
      <c r="AH3" s="1">
        <f t="shared" ref="AH3:AH66" si="0">MONTH(AI3)</f>
        <v>11</v>
      </c>
      <c r="AI3" s="5">
        <f>C6</f>
        <v>45597</v>
      </c>
      <c r="AJ3" s="1" t="str">
        <f t="shared" ref="AJ3:AJ66" si="1">IF(AND(AI3&gt;=$C$6,AI3&lt;=$C$8),"Ok","Não")</f>
        <v>Ok</v>
      </c>
      <c r="AK3" s="1"/>
      <c r="AL3" s="1">
        <f t="shared" ref="AL3:AL66" si="2">MONTH(AM3)</f>
        <v>8</v>
      </c>
      <c r="AM3" s="4">
        <f>C9</f>
        <v>45877</v>
      </c>
      <c r="AN3" s="1" t="str">
        <f t="shared" ref="AN3:AN66" si="3">IF(AND(AM3&gt;=$C$9,AM3&lt;=$C$10),"Ok","Não")</f>
        <v>Ok</v>
      </c>
      <c r="AR3" s="1">
        <f t="shared" ref="AR3:AR66" si="4">MONTH(AS3)</f>
        <v>3</v>
      </c>
      <c r="AS3" s="4">
        <f>C11</f>
        <v>46087</v>
      </c>
      <c r="AT3" s="1" t="str">
        <f t="shared" ref="AT3:AT66" si="5">IF(AND(AS3&gt;=$C$11,AS3&lt;=$C$12),"Ok","Não")</f>
        <v>Ok</v>
      </c>
      <c r="AV3" s="1">
        <f t="shared" ref="AV3:AV66" si="6">MONTH(AW3)</f>
        <v>4</v>
      </c>
      <c r="AW3" s="4">
        <f>C4</f>
        <v>45383</v>
      </c>
      <c r="AX3" s="1" t="str">
        <f t="shared" ref="AX3:AX66" si="7">IF(AND(AW3&gt;=$C$4,AW3&lt;=$C$5),"Ok","Não")</f>
        <v>Ok</v>
      </c>
    </row>
    <row r="4" spans="1:50" x14ac:dyDescent="0.25">
      <c r="B4" s="8" t="s">
        <v>22</v>
      </c>
      <c r="C4" s="526">
        <v>45383</v>
      </c>
      <c r="E4" s="3" t="s">
        <v>12</v>
      </c>
      <c r="F4" s="3" t="s">
        <v>0</v>
      </c>
      <c r="G4" s="3" t="s">
        <v>1</v>
      </c>
      <c r="H4" s="3" t="s">
        <v>2</v>
      </c>
      <c r="I4" s="3" t="s">
        <v>3</v>
      </c>
      <c r="J4" s="3" t="s">
        <v>4</v>
      </c>
      <c r="K4" s="3" t="s">
        <v>5</v>
      </c>
      <c r="L4" s="3" t="s">
        <v>0</v>
      </c>
      <c r="M4" s="3" t="s">
        <v>6</v>
      </c>
      <c r="N4" s="3" t="s">
        <v>7</v>
      </c>
      <c r="O4" s="3" t="s">
        <v>1</v>
      </c>
      <c r="P4" s="3" t="s">
        <v>7</v>
      </c>
      <c r="Q4" s="3" t="s">
        <v>0</v>
      </c>
      <c r="AH4" s="1">
        <f t="shared" si="0"/>
        <v>11</v>
      </c>
      <c r="AI4" s="5">
        <f>AI3+1</f>
        <v>45598</v>
      </c>
      <c r="AJ4" s="1" t="str">
        <f t="shared" si="1"/>
        <v>Ok</v>
      </c>
      <c r="AK4" s="1"/>
      <c r="AL4" s="1">
        <f t="shared" si="2"/>
        <v>8</v>
      </c>
      <c r="AM4" s="4">
        <f>AM3+1</f>
        <v>45878</v>
      </c>
      <c r="AN4" s="1" t="str">
        <f t="shared" si="3"/>
        <v>Ok</v>
      </c>
      <c r="AR4" s="1">
        <f t="shared" si="4"/>
        <v>3</v>
      </c>
      <c r="AS4" s="4">
        <f>AS3+1</f>
        <v>46088</v>
      </c>
      <c r="AT4" s="1" t="str">
        <f t="shared" si="5"/>
        <v>Ok</v>
      </c>
      <c r="AV4" s="1">
        <f t="shared" si="6"/>
        <v>4</v>
      </c>
      <c r="AW4" s="4">
        <f>AW3+1</f>
        <v>45384</v>
      </c>
      <c r="AX4" s="1" t="str">
        <f t="shared" si="7"/>
        <v>Ok</v>
      </c>
    </row>
    <row r="5" spans="1:50" ht="15.75" thickBot="1" x14ac:dyDescent="0.3">
      <c r="B5" s="10" t="s">
        <v>23</v>
      </c>
      <c r="C5" s="527">
        <v>45580</v>
      </c>
      <c r="E5" s="3" t="s">
        <v>25</v>
      </c>
      <c r="F5" s="6" t="str">
        <f t="shared" ref="F5:Q5" si="8">VLOOKUP(S6,$S$8:$W$19,5,0)</f>
        <v>Ok</v>
      </c>
      <c r="G5" s="6" t="str">
        <f t="shared" si="8"/>
        <v>Ok</v>
      </c>
      <c r="H5" s="6" t="str">
        <f t="shared" si="8"/>
        <v>Ok</v>
      </c>
      <c r="I5" s="6" t="str">
        <f t="shared" si="8"/>
        <v>Ok</v>
      </c>
      <c r="J5" s="6" t="str">
        <f t="shared" si="8"/>
        <v>Não</v>
      </c>
      <c r="K5" s="6" t="str">
        <f t="shared" si="8"/>
        <v>Não</v>
      </c>
      <c r="L5" s="6" t="str">
        <f t="shared" si="8"/>
        <v>Não</v>
      </c>
      <c r="M5" s="6" t="str">
        <f t="shared" si="8"/>
        <v>Não</v>
      </c>
      <c r="N5" s="6" t="str">
        <f t="shared" si="8"/>
        <v>Não</v>
      </c>
      <c r="O5" s="6" t="str">
        <f t="shared" si="8"/>
        <v>Ok</v>
      </c>
      <c r="P5" s="6" t="str">
        <f t="shared" si="8"/>
        <v>Ok</v>
      </c>
      <c r="Q5" s="6" t="str">
        <f t="shared" si="8"/>
        <v>Ok</v>
      </c>
      <c r="AH5" s="1">
        <f t="shared" si="0"/>
        <v>11</v>
      </c>
      <c r="AI5" s="5">
        <f t="shared" ref="AI5:AI68" si="9">AI4+1</f>
        <v>45599</v>
      </c>
      <c r="AJ5" s="1" t="str">
        <f t="shared" si="1"/>
        <v>Ok</v>
      </c>
      <c r="AK5" s="1"/>
      <c r="AL5" s="1">
        <f t="shared" si="2"/>
        <v>8</v>
      </c>
      <c r="AM5" s="4">
        <f t="shared" ref="AM5:AM68" si="10">AM4+1</f>
        <v>45879</v>
      </c>
      <c r="AN5" s="1" t="str">
        <f t="shared" si="3"/>
        <v>Ok</v>
      </c>
      <c r="AR5" s="1">
        <f t="shared" si="4"/>
        <v>3</v>
      </c>
      <c r="AS5" s="4">
        <f t="shared" ref="AS5:AS68" si="11">AS4+1</f>
        <v>46089</v>
      </c>
      <c r="AT5" s="1" t="str">
        <f t="shared" si="5"/>
        <v>Ok</v>
      </c>
      <c r="AV5" s="1">
        <f t="shared" si="6"/>
        <v>4</v>
      </c>
      <c r="AW5" s="4">
        <f t="shared" ref="AW5:AW68" si="12">AW4+1</f>
        <v>45385</v>
      </c>
      <c r="AX5" s="1" t="str">
        <f t="shared" si="7"/>
        <v>Ok</v>
      </c>
    </row>
    <row r="6" spans="1:50" x14ac:dyDescent="0.25">
      <c r="B6" s="8" t="s">
        <v>13</v>
      </c>
      <c r="C6" s="526">
        <v>45597</v>
      </c>
      <c r="E6" s="3" t="s">
        <v>11</v>
      </c>
      <c r="F6" s="6" t="str">
        <f t="shared" ref="F6:Q6" si="13">VLOOKUP(S6,$S$8:$T$19,2,0)</f>
        <v>Não</v>
      </c>
      <c r="G6" s="6" t="str">
        <f t="shared" si="13"/>
        <v>Não</v>
      </c>
      <c r="H6" s="6" t="str">
        <f t="shared" si="13"/>
        <v>Não</v>
      </c>
      <c r="I6" s="6" t="str">
        <f t="shared" si="13"/>
        <v>Não</v>
      </c>
      <c r="J6" s="6" t="str">
        <f t="shared" si="13"/>
        <v>Ok</v>
      </c>
      <c r="K6" s="6" t="str">
        <f t="shared" si="13"/>
        <v>Ok</v>
      </c>
      <c r="L6" s="6" t="str">
        <f t="shared" si="13"/>
        <v>Ok</v>
      </c>
      <c r="M6" s="6" t="str">
        <f t="shared" si="13"/>
        <v>Não</v>
      </c>
      <c r="N6" s="6" t="str">
        <f t="shared" si="13"/>
        <v>Não</v>
      </c>
      <c r="O6" s="6" t="str">
        <f t="shared" si="13"/>
        <v>Não</v>
      </c>
      <c r="P6" s="6" t="str">
        <f t="shared" si="13"/>
        <v>Não</v>
      </c>
      <c r="Q6" s="6" t="str">
        <f t="shared" si="13"/>
        <v>Não</v>
      </c>
      <c r="S6" s="1">
        <v>7</v>
      </c>
      <c r="T6" s="1">
        <v>8</v>
      </c>
      <c r="U6" s="1">
        <v>9</v>
      </c>
      <c r="V6" s="1">
        <v>10</v>
      </c>
      <c r="W6" s="1">
        <v>11</v>
      </c>
      <c r="X6" s="1">
        <v>12</v>
      </c>
      <c r="Y6" s="1">
        <v>1</v>
      </c>
      <c r="Z6" s="1">
        <v>2</v>
      </c>
      <c r="AA6" s="1">
        <v>3</v>
      </c>
      <c r="AB6" s="1">
        <v>4</v>
      </c>
      <c r="AC6" s="1">
        <v>5</v>
      </c>
      <c r="AD6" s="1">
        <v>6</v>
      </c>
      <c r="AH6" s="1">
        <f t="shared" si="0"/>
        <v>11</v>
      </c>
      <c r="AI6" s="5">
        <f t="shared" si="9"/>
        <v>45600</v>
      </c>
      <c r="AJ6" s="1" t="str">
        <f t="shared" si="1"/>
        <v>Ok</v>
      </c>
      <c r="AK6" s="1"/>
      <c r="AL6" s="1">
        <f t="shared" si="2"/>
        <v>8</v>
      </c>
      <c r="AM6" s="4">
        <f t="shared" si="10"/>
        <v>45880</v>
      </c>
      <c r="AN6" s="1" t="str">
        <f t="shared" si="3"/>
        <v>Ok</v>
      </c>
      <c r="AR6" s="1">
        <f t="shared" si="4"/>
        <v>3</v>
      </c>
      <c r="AS6" s="4">
        <f t="shared" si="11"/>
        <v>46090</v>
      </c>
      <c r="AT6" s="1" t="str">
        <f t="shared" si="5"/>
        <v>Ok</v>
      </c>
      <c r="AV6" s="1">
        <f t="shared" si="6"/>
        <v>4</v>
      </c>
      <c r="AW6" s="4">
        <f t="shared" si="12"/>
        <v>45386</v>
      </c>
      <c r="AX6" s="1" t="str">
        <f t="shared" si="7"/>
        <v>Ok</v>
      </c>
    </row>
    <row r="7" spans="1:50" x14ac:dyDescent="0.25">
      <c r="B7" s="12" t="s">
        <v>14</v>
      </c>
      <c r="C7" s="528">
        <v>90</v>
      </c>
      <c r="E7" s="3" t="s">
        <v>9</v>
      </c>
      <c r="F7" s="6" t="str">
        <f t="shared" ref="F7:Q7" si="14">VLOOKUP(S6,$S$8:$V$19,3,0)</f>
        <v>Não</v>
      </c>
      <c r="G7" s="6" t="str">
        <f t="shared" si="14"/>
        <v>Ok</v>
      </c>
      <c r="H7" s="6" t="str">
        <f t="shared" si="14"/>
        <v>Ok</v>
      </c>
      <c r="I7" s="6" t="str">
        <f t="shared" si="14"/>
        <v>Ok</v>
      </c>
      <c r="J7" s="6" t="str">
        <f t="shared" si="14"/>
        <v>Ok</v>
      </c>
      <c r="K7" s="6" t="str">
        <f t="shared" si="14"/>
        <v>Não</v>
      </c>
      <c r="L7" s="6" t="str">
        <f t="shared" si="14"/>
        <v>Não</v>
      </c>
      <c r="M7" s="6" t="str">
        <f t="shared" si="14"/>
        <v>Não</v>
      </c>
      <c r="N7" s="6" t="str">
        <f t="shared" si="14"/>
        <v>Não</v>
      </c>
      <c r="O7" s="6" t="str">
        <f t="shared" si="14"/>
        <v>Não</v>
      </c>
      <c r="P7" s="6" t="str">
        <f t="shared" si="14"/>
        <v>Não</v>
      </c>
      <c r="Q7" s="6" t="str">
        <f t="shared" si="14"/>
        <v>Não</v>
      </c>
      <c r="R7" s="7"/>
      <c r="T7" s="1" t="s">
        <v>8</v>
      </c>
      <c r="U7" s="1" t="s">
        <v>9</v>
      </c>
      <c r="V7" s="1" t="s">
        <v>10</v>
      </c>
      <c r="W7" s="1" t="s">
        <v>24</v>
      </c>
      <c r="AH7" s="1">
        <f t="shared" si="0"/>
        <v>11</v>
      </c>
      <c r="AI7" s="5">
        <f t="shared" si="9"/>
        <v>45601</v>
      </c>
      <c r="AJ7" s="1" t="str">
        <f t="shared" si="1"/>
        <v>Ok</v>
      </c>
      <c r="AK7" s="1"/>
      <c r="AL7" s="1">
        <f t="shared" si="2"/>
        <v>8</v>
      </c>
      <c r="AM7" s="4">
        <f t="shared" si="10"/>
        <v>45881</v>
      </c>
      <c r="AN7" s="1" t="str">
        <f t="shared" si="3"/>
        <v>Ok</v>
      </c>
      <c r="AR7" s="1">
        <f t="shared" si="4"/>
        <v>3</v>
      </c>
      <c r="AS7" s="4">
        <f t="shared" si="11"/>
        <v>46091</v>
      </c>
      <c r="AT7" s="1" t="str">
        <f t="shared" si="5"/>
        <v>Ok</v>
      </c>
      <c r="AV7" s="1">
        <f t="shared" si="6"/>
        <v>4</v>
      </c>
      <c r="AW7" s="4">
        <f t="shared" si="12"/>
        <v>45387</v>
      </c>
      <c r="AX7" s="1" t="str">
        <f t="shared" si="7"/>
        <v>Ok</v>
      </c>
    </row>
    <row r="8" spans="1:50" ht="15.75" thickBot="1" x14ac:dyDescent="0.3">
      <c r="B8" s="10" t="s">
        <v>15</v>
      </c>
      <c r="C8" s="11">
        <f>C7+C6</f>
        <v>45687</v>
      </c>
      <c r="E8" s="3" t="s">
        <v>10</v>
      </c>
      <c r="F8" s="6" t="str">
        <f t="shared" ref="F8:Q8" si="15">VLOOKUP(S6,$S$8:$V$19,4,0)</f>
        <v>Não</v>
      </c>
      <c r="G8" s="6" t="str">
        <f t="shared" si="15"/>
        <v>Não</v>
      </c>
      <c r="H8" s="6" t="str">
        <f t="shared" si="15"/>
        <v>Não</v>
      </c>
      <c r="I8" s="6" t="str">
        <f t="shared" si="15"/>
        <v>Não</v>
      </c>
      <c r="J8" s="6" t="str">
        <f t="shared" si="15"/>
        <v>Não</v>
      </c>
      <c r="K8" s="6" t="str">
        <f t="shared" si="15"/>
        <v>Não</v>
      </c>
      <c r="L8" s="6" t="str">
        <f t="shared" si="15"/>
        <v>Não</v>
      </c>
      <c r="M8" s="6" t="str">
        <f t="shared" si="15"/>
        <v>Não</v>
      </c>
      <c r="N8" s="6" t="str">
        <f t="shared" si="15"/>
        <v>Ok</v>
      </c>
      <c r="O8" s="6" t="str">
        <f t="shared" si="15"/>
        <v>Ok</v>
      </c>
      <c r="P8" s="6" t="str">
        <f t="shared" si="15"/>
        <v>Ok</v>
      </c>
      <c r="Q8" s="6" t="str">
        <f t="shared" si="15"/>
        <v>Ok</v>
      </c>
      <c r="R8" s="7"/>
      <c r="S8" s="1">
        <v>1</v>
      </c>
      <c r="T8" s="1" t="str">
        <f>VLOOKUP(S8,$AH$3:$AJ$584,3,0)</f>
        <v>Ok</v>
      </c>
      <c r="U8" s="1" t="str">
        <f t="shared" ref="U8:U19" si="16">VLOOKUP(S8,$AL$3:$AN$584,3,0)</f>
        <v>Não</v>
      </c>
      <c r="V8" s="1" t="str">
        <f t="shared" ref="V8:V19" si="17">VLOOKUP(S8,$AR$3:$AT$584,3,0)</f>
        <v>Não</v>
      </c>
      <c r="W8" s="1" t="str">
        <f t="shared" ref="W8:W19" si="18">VLOOKUP(S8,$AV$3:$AX$584,3,0)</f>
        <v>Não</v>
      </c>
      <c r="AH8" s="1">
        <f t="shared" si="0"/>
        <v>11</v>
      </c>
      <c r="AI8" s="5">
        <f t="shared" si="9"/>
        <v>45602</v>
      </c>
      <c r="AJ8" s="1" t="str">
        <f t="shared" si="1"/>
        <v>Ok</v>
      </c>
      <c r="AK8" s="1"/>
      <c r="AL8" s="1">
        <f t="shared" si="2"/>
        <v>8</v>
      </c>
      <c r="AM8" s="4">
        <f t="shared" si="10"/>
        <v>45882</v>
      </c>
      <c r="AN8" s="1" t="str">
        <f t="shared" si="3"/>
        <v>Ok</v>
      </c>
      <c r="AR8" s="1">
        <f t="shared" si="4"/>
        <v>3</v>
      </c>
      <c r="AS8" s="4">
        <f t="shared" si="11"/>
        <v>46092</v>
      </c>
      <c r="AT8" s="1" t="str">
        <f t="shared" si="5"/>
        <v>Ok</v>
      </c>
      <c r="AV8" s="1">
        <f t="shared" si="6"/>
        <v>4</v>
      </c>
      <c r="AW8" s="4">
        <f t="shared" si="12"/>
        <v>45388</v>
      </c>
      <c r="AX8" s="1" t="str">
        <f t="shared" si="7"/>
        <v>Ok</v>
      </c>
    </row>
    <row r="9" spans="1:50" x14ac:dyDescent="0.25">
      <c r="B9" s="8" t="s">
        <v>16</v>
      </c>
      <c r="C9" s="9">
        <f>C6+280</f>
        <v>45877</v>
      </c>
      <c r="S9" s="1">
        <v>2</v>
      </c>
      <c r="T9" s="1" t="str">
        <f t="shared" ref="T9:T19" si="19">VLOOKUP(S9,$AH$3:$AJ$584,3,0)</f>
        <v>Não</v>
      </c>
      <c r="U9" s="1" t="str">
        <f t="shared" si="16"/>
        <v>Não</v>
      </c>
      <c r="V9" s="1" t="str">
        <f t="shared" si="17"/>
        <v>Não</v>
      </c>
      <c r="W9" s="1" t="str">
        <f t="shared" si="18"/>
        <v>Não</v>
      </c>
      <c r="AH9" s="1">
        <f t="shared" si="0"/>
        <v>11</v>
      </c>
      <c r="AI9" s="5">
        <f t="shared" si="9"/>
        <v>45603</v>
      </c>
      <c r="AJ9" s="1" t="str">
        <f t="shared" si="1"/>
        <v>Ok</v>
      </c>
      <c r="AK9" s="1"/>
      <c r="AL9" s="1">
        <f t="shared" si="2"/>
        <v>8</v>
      </c>
      <c r="AM9" s="4">
        <f t="shared" si="10"/>
        <v>45883</v>
      </c>
      <c r="AN9" s="1" t="str">
        <f t="shared" si="3"/>
        <v>Ok</v>
      </c>
      <c r="AR9" s="1">
        <f t="shared" si="4"/>
        <v>3</v>
      </c>
      <c r="AS9" s="4">
        <f t="shared" si="11"/>
        <v>46093</v>
      </c>
      <c r="AT9" s="1" t="str">
        <f t="shared" si="5"/>
        <v>Ok</v>
      </c>
      <c r="AV9" s="1">
        <f t="shared" si="6"/>
        <v>4</v>
      </c>
      <c r="AW9" s="4">
        <f t="shared" si="12"/>
        <v>45389</v>
      </c>
      <c r="AX9" s="1" t="str">
        <f t="shared" si="7"/>
        <v>Ok</v>
      </c>
    </row>
    <row r="10" spans="1:50" ht="15.75" thickBot="1" x14ac:dyDescent="0.3">
      <c r="B10" s="10" t="s">
        <v>17</v>
      </c>
      <c r="C10" s="11">
        <f>C9+C7</f>
        <v>45967</v>
      </c>
      <c r="S10" s="1">
        <v>3</v>
      </c>
      <c r="T10" s="1" t="str">
        <f t="shared" si="19"/>
        <v>Não</v>
      </c>
      <c r="U10" s="1" t="str">
        <f t="shared" si="16"/>
        <v>Não</v>
      </c>
      <c r="V10" s="1" t="str">
        <f t="shared" si="17"/>
        <v>Ok</v>
      </c>
      <c r="W10" s="1" t="str">
        <f t="shared" si="18"/>
        <v>Não</v>
      </c>
      <c r="AH10" s="1">
        <f t="shared" si="0"/>
        <v>11</v>
      </c>
      <c r="AI10" s="5">
        <f t="shared" si="9"/>
        <v>45604</v>
      </c>
      <c r="AJ10" s="1" t="str">
        <f t="shared" si="1"/>
        <v>Ok</v>
      </c>
      <c r="AK10" s="1"/>
      <c r="AL10" s="1">
        <f t="shared" si="2"/>
        <v>8</v>
      </c>
      <c r="AM10" s="4">
        <f t="shared" si="10"/>
        <v>45884</v>
      </c>
      <c r="AN10" s="1" t="str">
        <f t="shared" si="3"/>
        <v>Ok</v>
      </c>
      <c r="AR10" s="1">
        <f t="shared" si="4"/>
        <v>3</v>
      </c>
      <c r="AS10" s="4">
        <f t="shared" si="11"/>
        <v>46094</v>
      </c>
      <c r="AT10" s="1" t="str">
        <f t="shared" si="5"/>
        <v>Ok</v>
      </c>
      <c r="AV10" s="1">
        <f t="shared" si="6"/>
        <v>4</v>
      </c>
      <c r="AW10" s="4">
        <f t="shared" si="12"/>
        <v>45390</v>
      </c>
      <c r="AX10" s="1" t="str">
        <f t="shared" si="7"/>
        <v>Ok</v>
      </c>
    </row>
    <row r="11" spans="1:50" x14ac:dyDescent="0.25">
      <c r="B11" s="8" t="s">
        <v>18</v>
      </c>
      <c r="C11" s="9">
        <f>C9+210</f>
        <v>46087</v>
      </c>
      <c r="S11" s="1">
        <v>4</v>
      </c>
      <c r="T11" s="1" t="str">
        <f t="shared" si="19"/>
        <v>Não</v>
      </c>
      <c r="U11" s="1" t="str">
        <f t="shared" si="16"/>
        <v>Não</v>
      </c>
      <c r="V11" s="1" t="str">
        <f t="shared" si="17"/>
        <v>Ok</v>
      </c>
      <c r="W11" s="1" t="str">
        <f t="shared" si="18"/>
        <v>Ok</v>
      </c>
      <c r="AH11" s="1">
        <f t="shared" si="0"/>
        <v>11</v>
      </c>
      <c r="AI11" s="5">
        <f t="shared" si="9"/>
        <v>45605</v>
      </c>
      <c r="AJ11" s="1" t="str">
        <f t="shared" si="1"/>
        <v>Ok</v>
      </c>
      <c r="AK11" s="1"/>
      <c r="AL11" s="1">
        <f t="shared" si="2"/>
        <v>8</v>
      </c>
      <c r="AM11" s="4">
        <f t="shared" si="10"/>
        <v>45885</v>
      </c>
      <c r="AN11" s="1" t="str">
        <f t="shared" si="3"/>
        <v>Ok</v>
      </c>
      <c r="AR11" s="1">
        <f t="shared" si="4"/>
        <v>3</v>
      </c>
      <c r="AS11" s="4">
        <f t="shared" si="11"/>
        <v>46095</v>
      </c>
      <c r="AT11" s="1" t="str">
        <f t="shared" si="5"/>
        <v>Ok</v>
      </c>
      <c r="AV11" s="1">
        <f t="shared" si="6"/>
        <v>4</v>
      </c>
      <c r="AW11" s="4">
        <f t="shared" si="12"/>
        <v>45391</v>
      </c>
      <c r="AX11" s="1" t="str">
        <f t="shared" si="7"/>
        <v>Ok</v>
      </c>
    </row>
    <row r="12" spans="1:50" ht="15.75" thickBot="1" x14ac:dyDescent="0.3">
      <c r="B12" s="10" t="s">
        <v>19</v>
      </c>
      <c r="C12" s="11">
        <f>C10+210</f>
        <v>46177</v>
      </c>
      <c r="S12" s="1">
        <v>5</v>
      </c>
      <c r="T12" s="1" t="str">
        <f t="shared" si="19"/>
        <v>Não</v>
      </c>
      <c r="U12" s="1" t="str">
        <f t="shared" si="16"/>
        <v>Não</v>
      </c>
      <c r="V12" s="1" t="str">
        <f t="shared" si="17"/>
        <v>Ok</v>
      </c>
      <c r="W12" s="1" t="str">
        <f t="shared" si="18"/>
        <v>Ok</v>
      </c>
      <c r="AH12" s="1">
        <f t="shared" si="0"/>
        <v>11</v>
      </c>
      <c r="AI12" s="5">
        <f t="shared" si="9"/>
        <v>45606</v>
      </c>
      <c r="AJ12" s="1" t="str">
        <f t="shared" si="1"/>
        <v>Ok</v>
      </c>
      <c r="AK12" s="1"/>
      <c r="AL12" s="1">
        <f t="shared" si="2"/>
        <v>8</v>
      </c>
      <c r="AM12" s="4">
        <f t="shared" si="10"/>
        <v>45886</v>
      </c>
      <c r="AN12" s="1" t="str">
        <f t="shared" si="3"/>
        <v>Ok</v>
      </c>
      <c r="AR12" s="1">
        <f t="shared" si="4"/>
        <v>3</v>
      </c>
      <c r="AS12" s="4">
        <f t="shared" si="11"/>
        <v>46096</v>
      </c>
      <c r="AT12" s="1" t="str">
        <f t="shared" si="5"/>
        <v>Ok</v>
      </c>
      <c r="AV12" s="1">
        <f t="shared" si="6"/>
        <v>4</v>
      </c>
      <c r="AW12" s="4">
        <f t="shared" si="12"/>
        <v>45392</v>
      </c>
      <c r="AX12" s="1" t="str">
        <f t="shared" si="7"/>
        <v>Ok</v>
      </c>
    </row>
    <row r="13" spans="1:50" x14ac:dyDescent="0.25">
      <c r="B13" s="8" t="s">
        <v>20</v>
      </c>
      <c r="C13" s="13">
        <f>C6+365-C9</f>
        <v>85</v>
      </c>
      <c r="S13" s="1">
        <v>6</v>
      </c>
      <c r="T13" s="1" t="str">
        <f t="shared" si="19"/>
        <v>Não</v>
      </c>
      <c r="U13" s="1" t="str">
        <f t="shared" si="16"/>
        <v>Não</v>
      </c>
      <c r="V13" s="1" t="str">
        <f t="shared" si="17"/>
        <v>Ok</v>
      </c>
      <c r="W13" s="1" t="str">
        <f t="shared" si="18"/>
        <v>Ok</v>
      </c>
      <c r="AH13" s="1">
        <f t="shared" si="0"/>
        <v>11</v>
      </c>
      <c r="AI13" s="5">
        <f t="shared" si="9"/>
        <v>45607</v>
      </c>
      <c r="AJ13" s="1" t="str">
        <f t="shared" si="1"/>
        <v>Ok</v>
      </c>
      <c r="AK13" s="1"/>
      <c r="AL13" s="1">
        <f t="shared" si="2"/>
        <v>8</v>
      </c>
      <c r="AM13" s="4">
        <f t="shared" si="10"/>
        <v>45887</v>
      </c>
      <c r="AN13" s="1" t="str">
        <f t="shared" si="3"/>
        <v>Ok</v>
      </c>
      <c r="AR13" s="1">
        <f t="shared" si="4"/>
        <v>3</v>
      </c>
      <c r="AS13" s="4">
        <f t="shared" si="11"/>
        <v>46097</v>
      </c>
      <c r="AT13" s="1" t="str">
        <f t="shared" si="5"/>
        <v>Ok</v>
      </c>
      <c r="AV13" s="1">
        <f t="shared" si="6"/>
        <v>4</v>
      </c>
      <c r="AW13" s="4">
        <f t="shared" si="12"/>
        <v>45393</v>
      </c>
      <c r="AX13" s="1" t="str">
        <f t="shared" si="7"/>
        <v>Ok</v>
      </c>
    </row>
    <row r="14" spans="1:50" ht="15.75" thickBot="1" x14ac:dyDescent="0.3">
      <c r="B14" s="10" t="s">
        <v>21</v>
      </c>
      <c r="C14" s="11">
        <f>C13+C9</f>
        <v>45962</v>
      </c>
      <c r="S14" s="1">
        <v>7</v>
      </c>
      <c r="T14" s="1" t="str">
        <f t="shared" si="19"/>
        <v>Não</v>
      </c>
      <c r="U14" s="1" t="str">
        <f t="shared" si="16"/>
        <v>Não</v>
      </c>
      <c r="V14" s="1" t="str">
        <f t="shared" si="17"/>
        <v>Não</v>
      </c>
      <c r="W14" s="1" t="str">
        <f t="shared" si="18"/>
        <v>Ok</v>
      </c>
      <c r="AH14" s="1">
        <f t="shared" si="0"/>
        <v>11</v>
      </c>
      <c r="AI14" s="5">
        <f t="shared" si="9"/>
        <v>45608</v>
      </c>
      <c r="AJ14" s="1" t="str">
        <f t="shared" si="1"/>
        <v>Ok</v>
      </c>
      <c r="AK14" s="1"/>
      <c r="AL14" s="1">
        <f t="shared" si="2"/>
        <v>8</v>
      </c>
      <c r="AM14" s="4">
        <f t="shared" si="10"/>
        <v>45888</v>
      </c>
      <c r="AN14" s="1" t="str">
        <f t="shared" si="3"/>
        <v>Ok</v>
      </c>
      <c r="AR14" s="1">
        <f t="shared" si="4"/>
        <v>3</v>
      </c>
      <c r="AS14" s="4">
        <f t="shared" si="11"/>
        <v>46098</v>
      </c>
      <c r="AT14" s="1" t="str">
        <f t="shared" si="5"/>
        <v>Ok</v>
      </c>
      <c r="AV14" s="1">
        <f t="shared" si="6"/>
        <v>4</v>
      </c>
      <c r="AW14" s="4">
        <f t="shared" si="12"/>
        <v>45394</v>
      </c>
      <c r="AX14" s="1" t="str">
        <f t="shared" si="7"/>
        <v>Ok</v>
      </c>
    </row>
    <row r="15" spans="1:50" x14ac:dyDescent="0.25">
      <c r="C15" s="1"/>
      <c r="S15" s="1">
        <v>8</v>
      </c>
      <c r="T15" s="1" t="str">
        <f t="shared" si="19"/>
        <v>Não</v>
      </c>
      <c r="U15" s="1" t="str">
        <f t="shared" si="16"/>
        <v>Ok</v>
      </c>
      <c r="V15" s="1" t="str">
        <f t="shared" si="17"/>
        <v>Não</v>
      </c>
      <c r="W15" s="1" t="str">
        <f t="shared" si="18"/>
        <v>Ok</v>
      </c>
      <c r="AH15" s="1">
        <f t="shared" si="0"/>
        <v>11</v>
      </c>
      <c r="AI15" s="5">
        <f t="shared" si="9"/>
        <v>45609</v>
      </c>
      <c r="AJ15" s="1" t="str">
        <f t="shared" si="1"/>
        <v>Ok</v>
      </c>
      <c r="AK15" s="1"/>
      <c r="AL15" s="1">
        <f t="shared" si="2"/>
        <v>8</v>
      </c>
      <c r="AM15" s="4">
        <f t="shared" si="10"/>
        <v>45889</v>
      </c>
      <c r="AN15" s="1" t="str">
        <f t="shared" si="3"/>
        <v>Ok</v>
      </c>
      <c r="AR15" s="1">
        <f t="shared" si="4"/>
        <v>3</v>
      </c>
      <c r="AS15" s="4">
        <f t="shared" si="11"/>
        <v>46099</v>
      </c>
      <c r="AT15" s="1" t="str">
        <f t="shared" si="5"/>
        <v>Ok</v>
      </c>
      <c r="AV15" s="1">
        <f t="shared" si="6"/>
        <v>4</v>
      </c>
      <c r="AW15" s="4">
        <f t="shared" si="12"/>
        <v>45395</v>
      </c>
      <c r="AX15" s="1" t="str">
        <f t="shared" si="7"/>
        <v>Ok</v>
      </c>
    </row>
    <row r="16" spans="1:50" hidden="1" x14ac:dyDescent="0.25">
      <c r="C16" s="1"/>
      <c r="S16" s="1">
        <v>9</v>
      </c>
      <c r="T16" s="1" t="str">
        <f t="shared" si="19"/>
        <v>Não</v>
      </c>
      <c r="U16" s="1" t="str">
        <f t="shared" si="16"/>
        <v>Ok</v>
      </c>
      <c r="V16" s="1" t="str">
        <f t="shared" si="17"/>
        <v>Não</v>
      </c>
      <c r="W16" s="1" t="str">
        <f t="shared" si="18"/>
        <v>Ok</v>
      </c>
      <c r="AH16" s="1">
        <f t="shared" si="0"/>
        <v>11</v>
      </c>
      <c r="AI16" s="5">
        <f t="shared" si="9"/>
        <v>45610</v>
      </c>
      <c r="AJ16" s="1" t="str">
        <f t="shared" si="1"/>
        <v>Ok</v>
      </c>
      <c r="AK16" s="1"/>
      <c r="AL16" s="1">
        <f t="shared" si="2"/>
        <v>8</v>
      </c>
      <c r="AM16" s="4">
        <f t="shared" si="10"/>
        <v>45890</v>
      </c>
      <c r="AN16" s="1" t="str">
        <f t="shared" si="3"/>
        <v>Ok</v>
      </c>
      <c r="AR16" s="1">
        <f t="shared" si="4"/>
        <v>3</v>
      </c>
      <c r="AS16" s="4">
        <f t="shared" si="11"/>
        <v>46100</v>
      </c>
      <c r="AT16" s="1" t="str">
        <f t="shared" si="5"/>
        <v>Ok</v>
      </c>
      <c r="AV16" s="1">
        <f t="shared" si="6"/>
        <v>4</v>
      </c>
      <c r="AW16" s="4">
        <f t="shared" si="12"/>
        <v>45396</v>
      </c>
      <c r="AX16" s="1" t="str">
        <f t="shared" si="7"/>
        <v>Ok</v>
      </c>
    </row>
    <row r="17" spans="19:50" hidden="1" x14ac:dyDescent="0.25">
      <c r="S17" s="1">
        <v>10</v>
      </c>
      <c r="T17" s="1" t="str">
        <f t="shared" si="19"/>
        <v>Não</v>
      </c>
      <c r="U17" s="1" t="str">
        <f t="shared" si="16"/>
        <v>Ok</v>
      </c>
      <c r="V17" s="1" t="str">
        <f t="shared" si="17"/>
        <v>Não</v>
      </c>
      <c r="W17" s="1" t="str">
        <f t="shared" si="18"/>
        <v>Ok</v>
      </c>
      <c r="AH17" s="1">
        <f t="shared" si="0"/>
        <v>11</v>
      </c>
      <c r="AI17" s="5">
        <f t="shared" si="9"/>
        <v>45611</v>
      </c>
      <c r="AJ17" s="1" t="str">
        <f t="shared" si="1"/>
        <v>Ok</v>
      </c>
      <c r="AK17" s="1"/>
      <c r="AL17" s="1">
        <f t="shared" si="2"/>
        <v>8</v>
      </c>
      <c r="AM17" s="4">
        <f t="shared" si="10"/>
        <v>45891</v>
      </c>
      <c r="AN17" s="1" t="str">
        <f t="shared" si="3"/>
        <v>Ok</v>
      </c>
      <c r="AR17" s="1">
        <f t="shared" si="4"/>
        <v>3</v>
      </c>
      <c r="AS17" s="4">
        <f t="shared" si="11"/>
        <v>46101</v>
      </c>
      <c r="AT17" s="1" t="str">
        <f t="shared" si="5"/>
        <v>Ok</v>
      </c>
      <c r="AV17" s="1">
        <f t="shared" si="6"/>
        <v>4</v>
      </c>
      <c r="AW17" s="4">
        <f t="shared" si="12"/>
        <v>45397</v>
      </c>
      <c r="AX17" s="1" t="str">
        <f t="shared" si="7"/>
        <v>Ok</v>
      </c>
    </row>
    <row r="18" spans="19:50" hidden="1" x14ac:dyDescent="0.25">
      <c r="S18" s="1">
        <v>11</v>
      </c>
      <c r="T18" s="1" t="str">
        <f t="shared" si="19"/>
        <v>Ok</v>
      </c>
      <c r="U18" s="1" t="str">
        <f t="shared" si="16"/>
        <v>Ok</v>
      </c>
      <c r="V18" s="1" t="str">
        <f t="shared" si="17"/>
        <v>Não</v>
      </c>
      <c r="W18" s="1" t="str">
        <f t="shared" si="18"/>
        <v>Não</v>
      </c>
      <c r="AH18" s="1">
        <f t="shared" si="0"/>
        <v>11</v>
      </c>
      <c r="AI18" s="5">
        <f t="shared" si="9"/>
        <v>45612</v>
      </c>
      <c r="AJ18" s="1" t="str">
        <f t="shared" si="1"/>
        <v>Ok</v>
      </c>
      <c r="AK18" s="1"/>
      <c r="AL18" s="1">
        <f t="shared" si="2"/>
        <v>8</v>
      </c>
      <c r="AM18" s="4">
        <f t="shared" si="10"/>
        <v>45892</v>
      </c>
      <c r="AN18" s="1" t="str">
        <f t="shared" si="3"/>
        <v>Ok</v>
      </c>
      <c r="AR18" s="1">
        <f t="shared" si="4"/>
        <v>3</v>
      </c>
      <c r="AS18" s="4">
        <f t="shared" si="11"/>
        <v>46102</v>
      </c>
      <c r="AT18" s="1" t="str">
        <f t="shared" si="5"/>
        <v>Ok</v>
      </c>
      <c r="AV18" s="1">
        <f t="shared" si="6"/>
        <v>4</v>
      </c>
      <c r="AW18" s="4">
        <f t="shared" si="12"/>
        <v>45398</v>
      </c>
      <c r="AX18" s="1" t="str">
        <f t="shared" si="7"/>
        <v>Ok</v>
      </c>
    </row>
    <row r="19" spans="19:50" hidden="1" x14ac:dyDescent="0.25">
      <c r="S19" s="1">
        <v>12</v>
      </c>
      <c r="T19" s="1" t="str">
        <f t="shared" si="19"/>
        <v>Ok</v>
      </c>
      <c r="U19" s="1" t="str">
        <f t="shared" si="16"/>
        <v>Não</v>
      </c>
      <c r="V19" s="1" t="str">
        <f t="shared" si="17"/>
        <v>Não</v>
      </c>
      <c r="W19" s="1" t="str">
        <f t="shared" si="18"/>
        <v>Não</v>
      </c>
      <c r="AH19" s="1">
        <f t="shared" si="0"/>
        <v>11</v>
      </c>
      <c r="AI19" s="5">
        <f t="shared" si="9"/>
        <v>45613</v>
      </c>
      <c r="AJ19" s="1" t="str">
        <f t="shared" si="1"/>
        <v>Ok</v>
      </c>
      <c r="AK19" s="1"/>
      <c r="AL19" s="1">
        <f t="shared" si="2"/>
        <v>8</v>
      </c>
      <c r="AM19" s="4">
        <f t="shared" si="10"/>
        <v>45893</v>
      </c>
      <c r="AN19" s="1" t="str">
        <f t="shared" si="3"/>
        <v>Ok</v>
      </c>
      <c r="AR19" s="1">
        <f t="shared" si="4"/>
        <v>3</v>
      </c>
      <c r="AS19" s="4">
        <f t="shared" si="11"/>
        <v>46103</v>
      </c>
      <c r="AT19" s="1" t="str">
        <f t="shared" si="5"/>
        <v>Ok</v>
      </c>
      <c r="AV19" s="1">
        <f t="shared" si="6"/>
        <v>4</v>
      </c>
      <c r="AW19" s="4">
        <f t="shared" si="12"/>
        <v>45399</v>
      </c>
      <c r="AX19" s="1" t="str">
        <f t="shared" si="7"/>
        <v>Ok</v>
      </c>
    </row>
    <row r="20" spans="19:50" hidden="1" x14ac:dyDescent="0.25">
      <c r="AH20" s="1">
        <f t="shared" si="0"/>
        <v>11</v>
      </c>
      <c r="AI20" s="5">
        <f t="shared" si="9"/>
        <v>45614</v>
      </c>
      <c r="AJ20" s="1" t="str">
        <f t="shared" si="1"/>
        <v>Ok</v>
      </c>
      <c r="AK20" s="1"/>
      <c r="AL20" s="1">
        <f t="shared" si="2"/>
        <v>8</v>
      </c>
      <c r="AM20" s="4">
        <f t="shared" si="10"/>
        <v>45894</v>
      </c>
      <c r="AN20" s="1" t="str">
        <f t="shared" si="3"/>
        <v>Ok</v>
      </c>
      <c r="AR20" s="1">
        <f t="shared" si="4"/>
        <v>3</v>
      </c>
      <c r="AS20" s="4">
        <f t="shared" si="11"/>
        <v>46104</v>
      </c>
      <c r="AT20" s="1" t="str">
        <f t="shared" si="5"/>
        <v>Ok</v>
      </c>
      <c r="AV20" s="1">
        <f t="shared" si="6"/>
        <v>4</v>
      </c>
      <c r="AW20" s="4">
        <f t="shared" si="12"/>
        <v>45400</v>
      </c>
      <c r="AX20" s="1" t="str">
        <f t="shared" si="7"/>
        <v>Ok</v>
      </c>
    </row>
    <row r="21" spans="19:50" hidden="1" x14ac:dyDescent="0.25">
      <c r="AH21" s="1">
        <f t="shared" si="0"/>
        <v>11</v>
      </c>
      <c r="AI21" s="5">
        <f t="shared" si="9"/>
        <v>45615</v>
      </c>
      <c r="AJ21" s="1" t="str">
        <f t="shared" si="1"/>
        <v>Ok</v>
      </c>
      <c r="AK21" s="1"/>
      <c r="AL21" s="1">
        <f t="shared" si="2"/>
        <v>8</v>
      </c>
      <c r="AM21" s="4">
        <f t="shared" si="10"/>
        <v>45895</v>
      </c>
      <c r="AN21" s="1" t="str">
        <f t="shared" si="3"/>
        <v>Ok</v>
      </c>
      <c r="AR21" s="1">
        <f t="shared" si="4"/>
        <v>3</v>
      </c>
      <c r="AS21" s="4">
        <f t="shared" si="11"/>
        <v>46105</v>
      </c>
      <c r="AT21" s="1" t="str">
        <f t="shared" si="5"/>
        <v>Ok</v>
      </c>
      <c r="AV21" s="1">
        <f t="shared" si="6"/>
        <v>4</v>
      </c>
      <c r="AW21" s="4">
        <f t="shared" si="12"/>
        <v>45401</v>
      </c>
      <c r="AX21" s="1" t="str">
        <f t="shared" si="7"/>
        <v>Ok</v>
      </c>
    </row>
    <row r="22" spans="19:50" hidden="1" x14ac:dyDescent="0.25">
      <c r="AH22" s="1">
        <f t="shared" si="0"/>
        <v>11</v>
      </c>
      <c r="AI22" s="5">
        <f t="shared" si="9"/>
        <v>45616</v>
      </c>
      <c r="AJ22" s="1" t="str">
        <f t="shared" si="1"/>
        <v>Ok</v>
      </c>
      <c r="AK22" s="1"/>
      <c r="AL22" s="1">
        <f t="shared" si="2"/>
        <v>8</v>
      </c>
      <c r="AM22" s="4">
        <f t="shared" si="10"/>
        <v>45896</v>
      </c>
      <c r="AN22" s="1" t="str">
        <f t="shared" si="3"/>
        <v>Ok</v>
      </c>
      <c r="AR22" s="1">
        <f t="shared" si="4"/>
        <v>3</v>
      </c>
      <c r="AS22" s="4">
        <f t="shared" si="11"/>
        <v>46106</v>
      </c>
      <c r="AT22" s="1" t="str">
        <f t="shared" si="5"/>
        <v>Ok</v>
      </c>
      <c r="AV22" s="1">
        <f t="shared" si="6"/>
        <v>4</v>
      </c>
      <c r="AW22" s="4">
        <f t="shared" si="12"/>
        <v>45402</v>
      </c>
      <c r="AX22" s="1" t="str">
        <f t="shared" si="7"/>
        <v>Ok</v>
      </c>
    </row>
    <row r="23" spans="19:50" hidden="1" x14ac:dyDescent="0.25">
      <c r="AH23" s="1">
        <f t="shared" si="0"/>
        <v>11</v>
      </c>
      <c r="AI23" s="5">
        <f t="shared" si="9"/>
        <v>45617</v>
      </c>
      <c r="AJ23" s="1" t="str">
        <f t="shared" si="1"/>
        <v>Ok</v>
      </c>
      <c r="AK23" s="1"/>
      <c r="AL23" s="1">
        <f t="shared" si="2"/>
        <v>8</v>
      </c>
      <c r="AM23" s="4">
        <f t="shared" si="10"/>
        <v>45897</v>
      </c>
      <c r="AN23" s="1" t="str">
        <f t="shared" si="3"/>
        <v>Ok</v>
      </c>
      <c r="AR23" s="1">
        <f t="shared" si="4"/>
        <v>3</v>
      </c>
      <c r="AS23" s="4">
        <f t="shared" si="11"/>
        <v>46107</v>
      </c>
      <c r="AT23" s="1" t="str">
        <f t="shared" si="5"/>
        <v>Ok</v>
      </c>
      <c r="AV23" s="1">
        <f t="shared" si="6"/>
        <v>4</v>
      </c>
      <c r="AW23" s="4">
        <f t="shared" si="12"/>
        <v>45403</v>
      </c>
      <c r="AX23" s="1" t="str">
        <f t="shared" si="7"/>
        <v>Ok</v>
      </c>
    </row>
    <row r="24" spans="19:50" hidden="1" x14ac:dyDescent="0.25">
      <c r="AH24" s="1">
        <f t="shared" si="0"/>
        <v>11</v>
      </c>
      <c r="AI24" s="5">
        <f t="shared" si="9"/>
        <v>45618</v>
      </c>
      <c r="AJ24" s="1" t="str">
        <f t="shared" si="1"/>
        <v>Ok</v>
      </c>
      <c r="AK24" s="1"/>
      <c r="AL24" s="1">
        <f t="shared" si="2"/>
        <v>8</v>
      </c>
      <c r="AM24" s="4">
        <f t="shared" si="10"/>
        <v>45898</v>
      </c>
      <c r="AN24" s="1" t="str">
        <f t="shared" si="3"/>
        <v>Ok</v>
      </c>
      <c r="AR24" s="1">
        <f t="shared" si="4"/>
        <v>3</v>
      </c>
      <c r="AS24" s="4">
        <f t="shared" si="11"/>
        <v>46108</v>
      </c>
      <c r="AT24" s="1" t="str">
        <f t="shared" si="5"/>
        <v>Ok</v>
      </c>
      <c r="AV24" s="1">
        <f t="shared" si="6"/>
        <v>4</v>
      </c>
      <c r="AW24" s="4">
        <f t="shared" si="12"/>
        <v>45404</v>
      </c>
      <c r="AX24" s="1" t="str">
        <f t="shared" si="7"/>
        <v>Ok</v>
      </c>
    </row>
    <row r="25" spans="19:50" hidden="1" x14ac:dyDescent="0.25">
      <c r="AH25" s="1">
        <f t="shared" si="0"/>
        <v>11</v>
      </c>
      <c r="AI25" s="5">
        <f t="shared" si="9"/>
        <v>45619</v>
      </c>
      <c r="AJ25" s="1" t="str">
        <f t="shared" si="1"/>
        <v>Ok</v>
      </c>
      <c r="AK25" s="1"/>
      <c r="AL25" s="1">
        <f t="shared" si="2"/>
        <v>8</v>
      </c>
      <c r="AM25" s="4">
        <f t="shared" si="10"/>
        <v>45899</v>
      </c>
      <c r="AN25" s="1" t="str">
        <f t="shared" si="3"/>
        <v>Ok</v>
      </c>
      <c r="AR25" s="1">
        <f t="shared" si="4"/>
        <v>3</v>
      </c>
      <c r="AS25" s="4">
        <f t="shared" si="11"/>
        <v>46109</v>
      </c>
      <c r="AT25" s="1" t="str">
        <f t="shared" si="5"/>
        <v>Ok</v>
      </c>
      <c r="AV25" s="1">
        <f t="shared" si="6"/>
        <v>4</v>
      </c>
      <c r="AW25" s="4">
        <f t="shared" si="12"/>
        <v>45405</v>
      </c>
      <c r="AX25" s="1" t="str">
        <f t="shared" si="7"/>
        <v>Ok</v>
      </c>
    </row>
    <row r="26" spans="19:50" hidden="1" x14ac:dyDescent="0.25">
      <c r="AH26" s="1">
        <f t="shared" si="0"/>
        <v>11</v>
      </c>
      <c r="AI26" s="5">
        <f t="shared" si="9"/>
        <v>45620</v>
      </c>
      <c r="AJ26" s="1" t="str">
        <f t="shared" si="1"/>
        <v>Ok</v>
      </c>
      <c r="AK26" s="1"/>
      <c r="AL26" s="1">
        <f t="shared" si="2"/>
        <v>8</v>
      </c>
      <c r="AM26" s="4">
        <f t="shared" si="10"/>
        <v>45900</v>
      </c>
      <c r="AN26" s="1" t="str">
        <f t="shared" si="3"/>
        <v>Ok</v>
      </c>
      <c r="AR26" s="1">
        <f t="shared" si="4"/>
        <v>3</v>
      </c>
      <c r="AS26" s="4">
        <f t="shared" si="11"/>
        <v>46110</v>
      </c>
      <c r="AT26" s="1" t="str">
        <f t="shared" si="5"/>
        <v>Ok</v>
      </c>
      <c r="AV26" s="1">
        <f t="shared" si="6"/>
        <v>4</v>
      </c>
      <c r="AW26" s="4">
        <f t="shared" si="12"/>
        <v>45406</v>
      </c>
      <c r="AX26" s="1" t="str">
        <f t="shared" si="7"/>
        <v>Ok</v>
      </c>
    </row>
    <row r="27" spans="19:50" hidden="1" x14ac:dyDescent="0.25">
      <c r="AH27" s="1">
        <f t="shared" si="0"/>
        <v>11</v>
      </c>
      <c r="AI27" s="5">
        <f t="shared" si="9"/>
        <v>45621</v>
      </c>
      <c r="AJ27" s="1" t="str">
        <f t="shared" si="1"/>
        <v>Ok</v>
      </c>
      <c r="AK27" s="1"/>
      <c r="AL27" s="1">
        <f t="shared" si="2"/>
        <v>9</v>
      </c>
      <c r="AM27" s="4">
        <f t="shared" si="10"/>
        <v>45901</v>
      </c>
      <c r="AN27" s="1" t="str">
        <f t="shared" si="3"/>
        <v>Ok</v>
      </c>
      <c r="AR27" s="1">
        <f t="shared" si="4"/>
        <v>3</v>
      </c>
      <c r="AS27" s="4">
        <f t="shared" si="11"/>
        <v>46111</v>
      </c>
      <c r="AT27" s="1" t="str">
        <f t="shared" si="5"/>
        <v>Ok</v>
      </c>
      <c r="AV27" s="1">
        <f t="shared" si="6"/>
        <v>4</v>
      </c>
      <c r="AW27" s="4">
        <f t="shared" si="12"/>
        <v>45407</v>
      </c>
      <c r="AX27" s="1" t="str">
        <f t="shared" si="7"/>
        <v>Ok</v>
      </c>
    </row>
    <row r="28" spans="19:50" hidden="1" x14ac:dyDescent="0.25">
      <c r="AH28" s="1">
        <f t="shared" si="0"/>
        <v>11</v>
      </c>
      <c r="AI28" s="5">
        <f t="shared" si="9"/>
        <v>45622</v>
      </c>
      <c r="AJ28" s="1" t="str">
        <f t="shared" si="1"/>
        <v>Ok</v>
      </c>
      <c r="AK28" s="1"/>
      <c r="AL28" s="1">
        <f t="shared" si="2"/>
        <v>9</v>
      </c>
      <c r="AM28" s="4">
        <f t="shared" si="10"/>
        <v>45902</v>
      </c>
      <c r="AN28" s="1" t="str">
        <f t="shared" si="3"/>
        <v>Ok</v>
      </c>
      <c r="AR28" s="1">
        <f t="shared" si="4"/>
        <v>3</v>
      </c>
      <c r="AS28" s="4">
        <f t="shared" si="11"/>
        <v>46112</v>
      </c>
      <c r="AT28" s="1" t="str">
        <f t="shared" si="5"/>
        <v>Ok</v>
      </c>
      <c r="AV28" s="1">
        <f t="shared" si="6"/>
        <v>4</v>
      </c>
      <c r="AW28" s="4">
        <f t="shared" si="12"/>
        <v>45408</v>
      </c>
      <c r="AX28" s="1" t="str">
        <f t="shared" si="7"/>
        <v>Ok</v>
      </c>
    </row>
    <row r="29" spans="19:50" hidden="1" x14ac:dyDescent="0.25">
      <c r="AH29" s="1">
        <f t="shared" si="0"/>
        <v>11</v>
      </c>
      <c r="AI29" s="5">
        <f t="shared" si="9"/>
        <v>45623</v>
      </c>
      <c r="AJ29" s="1" t="str">
        <f t="shared" si="1"/>
        <v>Ok</v>
      </c>
      <c r="AK29" s="1"/>
      <c r="AL29" s="1">
        <f t="shared" si="2"/>
        <v>9</v>
      </c>
      <c r="AM29" s="4">
        <f t="shared" si="10"/>
        <v>45903</v>
      </c>
      <c r="AN29" s="1" t="str">
        <f t="shared" si="3"/>
        <v>Ok</v>
      </c>
      <c r="AR29" s="1">
        <f t="shared" si="4"/>
        <v>4</v>
      </c>
      <c r="AS29" s="4">
        <f t="shared" si="11"/>
        <v>46113</v>
      </c>
      <c r="AT29" s="1" t="str">
        <f t="shared" si="5"/>
        <v>Ok</v>
      </c>
      <c r="AV29" s="1">
        <f t="shared" si="6"/>
        <v>4</v>
      </c>
      <c r="AW29" s="4">
        <f t="shared" si="12"/>
        <v>45409</v>
      </c>
      <c r="AX29" s="1" t="str">
        <f t="shared" si="7"/>
        <v>Ok</v>
      </c>
    </row>
    <row r="30" spans="19:50" hidden="1" x14ac:dyDescent="0.25">
      <c r="AH30" s="1">
        <f t="shared" si="0"/>
        <v>11</v>
      </c>
      <c r="AI30" s="5">
        <f t="shared" si="9"/>
        <v>45624</v>
      </c>
      <c r="AJ30" s="1" t="str">
        <f t="shared" si="1"/>
        <v>Ok</v>
      </c>
      <c r="AK30" s="1"/>
      <c r="AL30" s="1">
        <f t="shared" si="2"/>
        <v>9</v>
      </c>
      <c r="AM30" s="4">
        <f t="shared" si="10"/>
        <v>45904</v>
      </c>
      <c r="AN30" s="1" t="str">
        <f t="shared" si="3"/>
        <v>Ok</v>
      </c>
      <c r="AR30" s="1">
        <f t="shared" si="4"/>
        <v>4</v>
      </c>
      <c r="AS30" s="4">
        <f t="shared" si="11"/>
        <v>46114</v>
      </c>
      <c r="AT30" s="1" t="str">
        <f t="shared" si="5"/>
        <v>Ok</v>
      </c>
      <c r="AV30" s="1">
        <f t="shared" si="6"/>
        <v>4</v>
      </c>
      <c r="AW30" s="4">
        <f t="shared" si="12"/>
        <v>45410</v>
      </c>
      <c r="AX30" s="1" t="str">
        <f t="shared" si="7"/>
        <v>Ok</v>
      </c>
    </row>
    <row r="31" spans="19:50" hidden="1" x14ac:dyDescent="0.25">
      <c r="AH31" s="1">
        <f t="shared" si="0"/>
        <v>11</v>
      </c>
      <c r="AI31" s="5">
        <f t="shared" si="9"/>
        <v>45625</v>
      </c>
      <c r="AJ31" s="1" t="str">
        <f t="shared" si="1"/>
        <v>Ok</v>
      </c>
      <c r="AK31" s="1"/>
      <c r="AL31" s="1">
        <f t="shared" si="2"/>
        <v>9</v>
      </c>
      <c r="AM31" s="4">
        <f t="shared" si="10"/>
        <v>45905</v>
      </c>
      <c r="AN31" s="1" t="str">
        <f t="shared" si="3"/>
        <v>Ok</v>
      </c>
      <c r="AR31" s="1">
        <f t="shared" si="4"/>
        <v>4</v>
      </c>
      <c r="AS31" s="4">
        <f t="shared" si="11"/>
        <v>46115</v>
      </c>
      <c r="AT31" s="1" t="str">
        <f t="shared" si="5"/>
        <v>Ok</v>
      </c>
      <c r="AV31" s="1">
        <f t="shared" si="6"/>
        <v>4</v>
      </c>
      <c r="AW31" s="4">
        <f t="shared" si="12"/>
        <v>45411</v>
      </c>
      <c r="AX31" s="1" t="str">
        <f t="shared" si="7"/>
        <v>Ok</v>
      </c>
    </row>
    <row r="32" spans="19:50" hidden="1" x14ac:dyDescent="0.25">
      <c r="AH32" s="1">
        <f t="shared" si="0"/>
        <v>11</v>
      </c>
      <c r="AI32" s="5">
        <f t="shared" si="9"/>
        <v>45626</v>
      </c>
      <c r="AJ32" s="1" t="str">
        <f t="shared" si="1"/>
        <v>Ok</v>
      </c>
      <c r="AK32" s="1"/>
      <c r="AL32" s="1">
        <f t="shared" si="2"/>
        <v>9</v>
      </c>
      <c r="AM32" s="4">
        <f t="shared" si="10"/>
        <v>45906</v>
      </c>
      <c r="AN32" s="1" t="str">
        <f t="shared" si="3"/>
        <v>Ok</v>
      </c>
      <c r="AR32" s="1">
        <f t="shared" si="4"/>
        <v>4</v>
      </c>
      <c r="AS32" s="4">
        <f t="shared" si="11"/>
        <v>46116</v>
      </c>
      <c r="AT32" s="1" t="str">
        <f t="shared" si="5"/>
        <v>Ok</v>
      </c>
      <c r="AV32" s="1">
        <f t="shared" si="6"/>
        <v>4</v>
      </c>
      <c r="AW32" s="4">
        <f t="shared" si="12"/>
        <v>45412</v>
      </c>
      <c r="AX32" s="1" t="str">
        <f t="shared" si="7"/>
        <v>Ok</v>
      </c>
    </row>
    <row r="33" spans="34:50" hidden="1" x14ac:dyDescent="0.25">
      <c r="AH33" s="1">
        <f t="shared" si="0"/>
        <v>12</v>
      </c>
      <c r="AI33" s="5">
        <f t="shared" si="9"/>
        <v>45627</v>
      </c>
      <c r="AJ33" s="1" t="str">
        <f t="shared" si="1"/>
        <v>Ok</v>
      </c>
      <c r="AK33" s="1"/>
      <c r="AL33" s="1">
        <f t="shared" si="2"/>
        <v>9</v>
      </c>
      <c r="AM33" s="4">
        <f t="shared" si="10"/>
        <v>45907</v>
      </c>
      <c r="AN33" s="1" t="str">
        <f t="shared" si="3"/>
        <v>Ok</v>
      </c>
      <c r="AR33" s="1">
        <f t="shared" si="4"/>
        <v>4</v>
      </c>
      <c r="AS33" s="4">
        <f t="shared" si="11"/>
        <v>46117</v>
      </c>
      <c r="AT33" s="1" t="str">
        <f t="shared" si="5"/>
        <v>Ok</v>
      </c>
      <c r="AV33" s="1">
        <f t="shared" si="6"/>
        <v>5</v>
      </c>
      <c r="AW33" s="4">
        <f t="shared" si="12"/>
        <v>45413</v>
      </c>
      <c r="AX33" s="1" t="str">
        <f t="shared" si="7"/>
        <v>Ok</v>
      </c>
    </row>
    <row r="34" spans="34:50" hidden="1" x14ac:dyDescent="0.25">
      <c r="AH34" s="1">
        <f t="shared" si="0"/>
        <v>12</v>
      </c>
      <c r="AI34" s="5">
        <f t="shared" si="9"/>
        <v>45628</v>
      </c>
      <c r="AJ34" s="1" t="str">
        <f t="shared" si="1"/>
        <v>Ok</v>
      </c>
      <c r="AK34" s="1"/>
      <c r="AL34" s="1">
        <f t="shared" si="2"/>
        <v>9</v>
      </c>
      <c r="AM34" s="4">
        <f t="shared" si="10"/>
        <v>45908</v>
      </c>
      <c r="AN34" s="1" t="str">
        <f t="shared" si="3"/>
        <v>Ok</v>
      </c>
      <c r="AR34" s="1">
        <f t="shared" si="4"/>
        <v>4</v>
      </c>
      <c r="AS34" s="4">
        <f t="shared" si="11"/>
        <v>46118</v>
      </c>
      <c r="AT34" s="1" t="str">
        <f t="shared" si="5"/>
        <v>Ok</v>
      </c>
      <c r="AV34" s="1">
        <f t="shared" si="6"/>
        <v>5</v>
      </c>
      <c r="AW34" s="4">
        <f t="shared" si="12"/>
        <v>45414</v>
      </c>
      <c r="AX34" s="1" t="str">
        <f t="shared" si="7"/>
        <v>Ok</v>
      </c>
    </row>
    <row r="35" spans="34:50" hidden="1" x14ac:dyDescent="0.25">
      <c r="AH35" s="1">
        <f t="shared" si="0"/>
        <v>12</v>
      </c>
      <c r="AI35" s="5">
        <f t="shared" si="9"/>
        <v>45629</v>
      </c>
      <c r="AJ35" s="1" t="str">
        <f t="shared" si="1"/>
        <v>Ok</v>
      </c>
      <c r="AK35" s="1"/>
      <c r="AL35" s="1">
        <f t="shared" si="2"/>
        <v>9</v>
      </c>
      <c r="AM35" s="4">
        <f t="shared" si="10"/>
        <v>45909</v>
      </c>
      <c r="AN35" s="1" t="str">
        <f t="shared" si="3"/>
        <v>Ok</v>
      </c>
      <c r="AR35" s="1">
        <f t="shared" si="4"/>
        <v>4</v>
      </c>
      <c r="AS35" s="4">
        <f t="shared" si="11"/>
        <v>46119</v>
      </c>
      <c r="AT35" s="1" t="str">
        <f t="shared" si="5"/>
        <v>Ok</v>
      </c>
      <c r="AV35" s="1">
        <f t="shared" si="6"/>
        <v>5</v>
      </c>
      <c r="AW35" s="4">
        <f t="shared" si="12"/>
        <v>45415</v>
      </c>
      <c r="AX35" s="1" t="str">
        <f t="shared" si="7"/>
        <v>Ok</v>
      </c>
    </row>
    <row r="36" spans="34:50" hidden="1" x14ac:dyDescent="0.25">
      <c r="AH36" s="1">
        <f t="shared" si="0"/>
        <v>12</v>
      </c>
      <c r="AI36" s="5">
        <f t="shared" si="9"/>
        <v>45630</v>
      </c>
      <c r="AJ36" s="1" t="str">
        <f t="shared" si="1"/>
        <v>Ok</v>
      </c>
      <c r="AK36" s="1"/>
      <c r="AL36" s="1">
        <f t="shared" si="2"/>
        <v>9</v>
      </c>
      <c r="AM36" s="4">
        <f t="shared" si="10"/>
        <v>45910</v>
      </c>
      <c r="AN36" s="1" t="str">
        <f t="shared" si="3"/>
        <v>Ok</v>
      </c>
      <c r="AR36" s="1">
        <f t="shared" si="4"/>
        <v>4</v>
      </c>
      <c r="AS36" s="4">
        <f t="shared" si="11"/>
        <v>46120</v>
      </c>
      <c r="AT36" s="1" t="str">
        <f t="shared" si="5"/>
        <v>Ok</v>
      </c>
      <c r="AV36" s="1">
        <f t="shared" si="6"/>
        <v>5</v>
      </c>
      <c r="AW36" s="4">
        <f t="shared" si="12"/>
        <v>45416</v>
      </c>
      <c r="AX36" s="1" t="str">
        <f t="shared" si="7"/>
        <v>Ok</v>
      </c>
    </row>
    <row r="37" spans="34:50" hidden="1" x14ac:dyDescent="0.25">
      <c r="AH37" s="1">
        <f t="shared" si="0"/>
        <v>12</v>
      </c>
      <c r="AI37" s="5">
        <f t="shared" si="9"/>
        <v>45631</v>
      </c>
      <c r="AJ37" s="1" t="str">
        <f t="shared" si="1"/>
        <v>Ok</v>
      </c>
      <c r="AK37" s="1"/>
      <c r="AL37" s="1">
        <f t="shared" si="2"/>
        <v>9</v>
      </c>
      <c r="AM37" s="4">
        <f t="shared" si="10"/>
        <v>45911</v>
      </c>
      <c r="AN37" s="1" t="str">
        <f t="shared" si="3"/>
        <v>Ok</v>
      </c>
      <c r="AR37" s="1">
        <f t="shared" si="4"/>
        <v>4</v>
      </c>
      <c r="AS37" s="4">
        <f t="shared" si="11"/>
        <v>46121</v>
      </c>
      <c r="AT37" s="1" t="str">
        <f t="shared" si="5"/>
        <v>Ok</v>
      </c>
      <c r="AV37" s="1">
        <f t="shared" si="6"/>
        <v>5</v>
      </c>
      <c r="AW37" s="4">
        <f t="shared" si="12"/>
        <v>45417</v>
      </c>
      <c r="AX37" s="1" t="str">
        <f t="shared" si="7"/>
        <v>Ok</v>
      </c>
    </row>
    <row r="38" spans="34:50" hidden="1" x14ac:dyDescent="0.25">
      <c r="AH38" s="1">
        <f t="shared" si="0"/>
        <v>12</v>
      </c>
      <c r="AI38" s="5">
        <f t="shared" si="9"/>
        <v>45632</v>
      </c>
      <c r="AJ38" s="1" t="str">
        <f t="shared" si="1"/>
        <v>Ok</v>
      </c>
      <c r="AK38" s="1"/>
      <c r="AL38" s="1">
        <f t="shared" si="2"/>
        <v>9</v>
      </c>
      <c r="AM38" s="4">
        <f t="shared" si="10"/>
        <v>45912</v>
      </c>
      <c r="AN38" s="1" t="str">
        <f t="shared" si="3"/>
        <v>Ok</v>
      </c>
      <c r="AR38" s="1">
        <f t="shared" si="4"/>
        <v>4</v>
      </c>
      <c r="AS38" s="4">
        <f t="shared" si="11"/>
        <v>46122</v>
      </c>
      <c r="AT38" s="1" t="str">
        <f t="shared" si="5"/>
        <v>Ok</v>
      </c>
      <c r="AV38" s="1">
        <f t="shared" si="6"/>
        <v>5</v>
      </c>
      <c r="AW38" s="4">
        <f t="shared" si="12"/>
        <v>45418</v>
      </c>
      <c r="AX38" s="1" t="str">
        <f t="shared" si="7"/>
        <v>Ok</v>
      </c>
    </row>
    <row r="39" spans="34:50" hidden="1" x14ac:dyDescent="0.25">
      <c r="AH39" s="1">
        <f t="shared" si="0"/>
        <v>12</v>
      </c>
      <c r="AI39" s="5">
        <f t="shared" si="9"/>
        <v>45633</v>
      </c>
      <c r="AJ39" s="1" t="str">
        <f t="shared" si="1"/>
        <v>Ok</v>
      </c>
      <c r="AK39" s="1"/>
      <c r="AL39" s="1">
        <f t="shared" si="2"/>
        <v>9</v>
      </c>
      <c r="AM39" s="4">
        <f t="shared" si="10"/>
        <v>45913</v>
      </c>
      <c r="AN39" s="1" t="str">
        <f t="shared" si="3"/>
        <v>Ok</v>
      </c>
      <c r="AR39" s="1">
        <f t="shared" si="4"/>
        <v>4</v>
      </c>
      <c r="AS39" s="4">
        <f t="shared" si="11"/>
        <v>46123</v>
      </c>
      <c r="AT39" s="1" t="str">
        <f t="shared" si="5"/>
        <v>Ok</v>
      </c>
      <c r="AV39" s="1">
        <f t="shared" si="6"/>
        <v>5</v>
      </c>
      <c r="AW39" s="4">
        <f t="shared" si="12"/>
        <v>45419</v>
      </c>
      <c r="AX39" s="1" t="str">
        <f t="shared" si="7"/>
        <v>Ok</v>
      </c>
    </row>
    <row r="40" spans="34:50" hidden="1" x14ac:dyDescent="0.25">
      <c r="AH40" s="1">
        <f t="shared" si="0"/>
        <v>12</v>
      </c>
      <c r="AI40" s="5">
        <f t="shared" si="9"/>
        <v>45634</v>
      </c>
      <c r="AJ40" s="1" t="str">
        <f t="shared" si="1"/>
        <v>Ok</v>
      </c>
      <c r="AK40" s="1"/>
      <c r="AL40" s="1">
        <f t="shared" si="2"/>
        <v>9</v>
      </c>
      <c r="AM40" s="4">
        <f t="shared" si="10"/>
        <v>45914</v>
      </c>
      <c r="AN40" s="1" t="str">
        <f t="shared" si="3"/>
        <v>Ok</v>
      </c>
      <c r="AR40" s="1">
        <f t="shared" si="4"/>
        <v>4</v>
      </c>
      <c r="AS40" s="4">
        <f t="shared" si="11"/>
        <v>46124</v>
      </c>
      <c r="AT40" s="1" t="str">
        <f t="shared" si="5"/>
        <v>Ok</v>
      </c>
      <c r="AV40" s="1">
        <f t="shared" si="6"/>
        <v>5</v>
      </c>
      <c r="AW40" s="4">
        <f t="shared" si="12"/>
        <v>45420</v>
      </c>
      <c r="AX40" s="1" t="str">
        <f t="shared" si="7"/>
        <v>Ok</v>
      </c>
    </row>
    <row r="41" spans="34:50" hidden="1" x14ac:dyDescent="0.25">
      <c r="AH41" s="1">
        <f t="shared" si="0"/>
        <v>12</v>
      </c>
      <c r="AI41" s="5">
        <f t="shared" si="9"/>
        <v>45635</v>
      </c>
      <c r="AJ41" s="1" t="str">
        <f t="shared" si="1"/>
        <v>Ok</v>
      </c>
      <c r="AK41" s="1"/>
      <c r="AL41" s="1">
        <f t="shared" si="2"/>
        <v>9</v>
      </c>
      <c r="AM41" s="4">
        <f t="shared" si="10"/>
        <v>45915</v>
      </c>
      <c r="AN41" s="1" t="str">
        <f t="shared" si="3"/>
        <v>Ok</v>
      </c>
      <c r="AR41" s="1">
        <f t="shared" si="4"/>
        <v>4</v>
      </c>
      <c r="AS41" s="4">
        <f t="shared" si="11"/>
        <v>46125</v>
      </c>
      <c r="AT41" s="1" t="str">
        <f t="shared" si="5"/>
        <v>Ok</v>
      </c>
      <c r="AV41" s="1">
        <f t="shared" si="6"/>
        <v>5</v>
      </c>
      <c r="AW41" s="4">
        <f t="shared" si="12"/>
        <v>45421</v>
      </c>
      <c r="AX41" s="1" t="str">
        <f t="shared" si="7"/>
        <v>Ok</v>
      </c>
    </row>
    <row r="42" spans="34:50" hidden="1" x14ac:dyDescent="0.25">
      <c r="AH42" s="1">
        <f t="shared" si="0"/>
        <v>12</v>
      </c>
      <c r="AI42" s="5">
        <f t="shared" si="9"/>
        <v>45636</v>
      </c>
      <c r="AJ42" s="1" t="str">
        <f t="shared" si="1"/>
        <v>Ok</v>
      </c>
      <c r="AK42" s="1"/>
      <c r="AL42" s="1">
        <f t="shared" si="2"/>
        <v>9</v>
      </c>
      <c r="AM42" s="4">
        <f t="shared" si="10"/>
        <v>45916</v>
      </c>
      <c r="AN42" s="1" t="str">
        <f t="shared" si="3"/>
        <v>Ok</v>
      </c>
      <c r="AR42" s="1">
        <f t="shared" si="4"/>
        <v>4</v>
      </c>
      <c r="AS42" s="4">
        <f t="shared" si="11"/>
        <v>46126</v>
      </c>
      <c r="AT42" s="1" t="str">
        <f t="shared" si="5"/>
        <v>Ok</v>
      </c>
      <c r="AV42" s="1">
        <f t="shared" si="6"/>
        <v>5</v>
      </c>
      <c r="AW42" s="4">
        <f t="shared" si="12"/>
        <v>45422</v>
      </c>
      <c r="AX42" s="1" t="str">
        <f t="shared" si="7"/>
        <v>Ok</v>
      </c>
    </row>
    <row r="43" spans="34:50" hidden="1" x14ac:dyDescent="0.25">
      <c r="AH43" s="1">
        <f t="shared" si="0"/>
        <v>12</v>
      </c>
      <c r="AI43" s="5">
        <f t="shared" si="9"/>
        <v>45637</v>
      </c>
      <c r="AJ43" s="1" t="str">
        <f t="shared" si="1"/>
        <v>Ok</v>
      </c>
      <c r="AK43" s="1"/>
      <c r="AL43" s="1">
        <f t="shared" si="2"/>
        <v>9</v>
      </c>
      <c r="AM43" s="4">
        <f t="shared" si="10"/>
        <v>45917</v>
      </c>
      <c r="AN43" s="1" t="str">
        <f t="shared" si="3"/>
        <v>Ok</v>
      </c>
      <c r="AR43" s="1">
        <f t="shared" si="4"/>
        <v>4</v>
      </c>
      <c r="AS43" s="4">
        <f t="shared" si="11"/>
        <v>46127</v>
      </c>
      <c r="AT43" s="1" t="str">
        <f t="shared" si="5"/>
        <v>Ok</v>
      </c>
      <c r="AV43" s="1">
        <f t="shared" si="6"/>
        <v>5</v>
      </c>
      <c r="AW43" s="4">
        <f t="shared" si="12"/>
        <v>45423</v>
      </c>
      <c r="AX43" s="1" t="str">
        <f t="shared" si="7"/>
        <v>Ok</v>
      </c>
    </row>
    <row r="44" spans="34:50" hidden="1" x14ac:dyDescent="0.25">
      <c r="AH44" s="1">
        <f t="shared" si="0"/>
        <v>12</v>
      </c>
      <c r="AI44" s="5">
        <f t="shared" si="9"/>
        <v>45638</v>
      </c>
      <c r="AJ44" s="1" t="str">
        <f t="shared" si="1"/>
        <v>Ok</v>
      </c>
      <c r="AK44" s="1"/>
      <c r="AL44" s="1">
        <f t="shared" si="2"/>
        <v>9</v>
      </c>
      <c r="AM44" s="4">
        <f t="shared" si="10"/>
        <v>45918</v>
      </c>
      <c r="AN44" s="1" t="str">
        <f t="shared" si="3"/>
        <v>Ok</v>
      </c>
      <c r="AR44" s="1">
        <f t="shared" si="4"/>
        <v>4</v>
      </c>
      <c r="AS44" s="4">
        <f t="shared" si="11"/>
        <v>46128</v>
      </c>
      <c r="AT44" s="1" t="str">
        <f t="shared" si="5"/>
        <v>Ok</v>
      </c>
      <c r="AV44" s="1">
        <f t="shared" si="6"/>
        <v>5</v>
      </c>
      <c r="AW44" s="4">
        <f t="shared" si="12"/>
        <v>45424</v>
      </c>
      <c r="AX44" s="1" t="str">
        <f t="shared" si="7"/>
        <v>Ok</v>
      </c>
    </row>
    <row r="45" spans="34:50" hidden="1" x14ac:dyDescent="0.25">
      <c r="AH45" s="1">
        <f t="shared" si="0"/>
        <v>12</v>
      </c>
      <c r="AI45" s="5">
        <f t="shared" si="9"/>
        <v>45639</v>
      </c>
      <c r="AJ45" s="1" t="str">
        <f t="shared" si="1"/>
        <v>Ok</v>
      </c>
      <c r="AK45" s="1"/>
      <c r="AL45" s="1">
        <f t="shared" si="2"/>
        <v>9</v>
      </c>
      <c r="AM45" s="4">
        <f t="shared" si="10"/>
        <v>45919</v>
      </c>
      <c r="AN45" s="1" t="str">
        <f t="shared" si="3"/>
        <v>Ok</v>
      </c>
      <c r="AR45" s="1">
        <f t="shared" si="4"/>
        <v>4</v>
      </c>
      <c r="AS45" s="4">
        <f t="shared" si="11"/>
        <v>46129</v>
      </c>
      <c r="AT45" s="1" t="str">
        <f t="shared" si="5"/>
        <v>Ok</v>
      </c>
      <c r="AV45" s="1">
        <f t="shared" si="6"/>
        <v>5</v>
      </c>
      <c r="AW45" s="4">
        <f t="shared" si="12"/>
        <v>45425</v>
      </c>
      <c r="AX45" s="1" t="str">
        <f t="shared" si="7"/>
        <v>Ok</v>
      </c>
    </row>
    <row r="46" spans="34:50" hidden="1" x14ac:dyDescent="0.25">
      <c r="AH46" s="1">
        <f t="shared" si="0"/>
        <v>12</v>
      </c>
      <c r="AI46" s="5">
        <f t="shared" si="9"/>
        <v>45640</v>
      </c>
      <c r="AJ46" s="1" t="str">
        <f t="shared" si="1"/>
        <v>Ok</v>
      </c>
      <c r="AK46" s="1"/>
      <c r="AL46" s="1">
        <f t="shared" si="2"/>
        <v>9</v>
      </c>
      <c r="AM46" s="4">
        <f t="shared" si="10"/>
        <v>45920</v>
      </c>
      <c r="AN46" s="1" t="str">
        <f t="shared" si="3"/>
        <v>Ok</v>
      </c>
      <c r="AR46" s="1">
        <f t="shared" si="4"/>
        <v>4</v>
      </c>
      <c r="AS46" s="4">
        <f t="shared" si="11"/>
        <v>46130</v>
      </c>
      <c r="AT46" s="1" t="str">
        <f t="shared" si="5"/>
        <v>Ok</v>
      </c>
      <c r="AV46" s="1">
        <f t="shared" si="6"/>
        <v>5</v>
      </c>
      <c r="AW46" s="4">
        <f t="shared" si="12"/>
        <v>45426</v>
      </c>
      <c r="AX46" s="1" t="str">
        <f t="shared" si="7"/>
        <v>Ok</v>
      </c>
    </row>
    <row r="47" spans="34:50" hidden="1" x14ac:dyDescent="0.25">
      <c r="AH47" s="1">
        <f t="shared" si="0"/>
        <v>12</v>
      </c>
      <c r="AI47" s="5">
        <f t="shared" si="9"/>
        <v>45641</v>
      </c>
      <c r="AJ47" s="1" t="str">
        <f t="shared" si="1"/>
        <v>Ok</v>
      </c>
      <c r="AK47" s="1"/>
      <c r="AL47" s="1">
        <f t="shared" si="2"/>
        <v>9</v>
      </c>
      <c r="AM47" s="4">
        <f t="shared" si="10"/>
        <v>45921</v>
      </c>
      <c r="AN47" s="1" t="str">
        <f t="shared" si="3"/>
        <v>Ok</v>
      </c>
      <c r="AR47" s="1">
        <f t="shared" si="4"/>
        <v>4</v>
      </c>
      <c r="AS47" s="4">
        <f t="shared" si="11"/>
        <v>46131</v>
      </c>
      <c r="AT47" s="1" t="str">
        <f t="shared" si="5"/>
        <v>Ok</v>
      </c>
      <c r="AV47" s="1">
        <f t="shared" si="6"/>
        <v>5</v>
      </c>
      <c r="AW47" s="4">
        <f t="shared" si="12"/>
        <v>45427</v>
      </c>
      <c r="AX47" s="1" t="str">
        <f t="shared" si="7"/>
        <v>Ok</v>
      </c>
    </row>
    <row r="48" spans="34:50" hidden="1" x14ac:dyDescent="0.25">
      <c r="AH48" s="1">
        <f t="shared" si="0"/>
        <v>12</v>
      </c>
      <c r="AI48" s="5">
        <f t="shared" si="9"/>
        <v>45642</v>
      </c>
      <c r="AJ48" s="1" t="str">
        <f t="shared" si="1"/>
        <v>Ok</v>
      </c>
      <c r="AK48" s="1"/>
      <c r="AL48" s="1">
        <f t="shared" si="2"/>
        <v>9</v>
      </c>
      <c r="AM48" s="4">
        <f t="shared" si="10"/>
        <v>45922</v>
      </c>
      <c r="AN48" s="1" t="str">
        <f t="shared" si="3"/>
        <v>Ok</v>
      </c>
      <c r="AR48" s="1">
        <f t="shared" si="4"/>
        <v>4</v>
      </c>
      <c r="AS48" s="4">
        <f t="shared" si="11"/>
        <v>46132</v>
      </c>
      <c r="AT48" s="1" t="str">
        <f t="shared" si="5"/>
        <v>Ok</v>
      </c>
      <c r="AV48" s="1">
        <f t="shared" si="6"/>
        <v>5</v>
      </c>
      <c r="AW48" s="4">
        <f t="shared" si="12"/>
        <v>45428</v>
      </c>
      <c r="AX48" s="1" t="str">
        <f t="shared" si="7"/>
        <v>Ok</v>
      </c>
    </row>
    <row r="49" spans="34:50" hidden="1" x14ac:dyDescent="0.25">
      <c r="AH49" s="1">
        <f t="shared" si="0"/>
        <v>12</v>
      </c>
      <c r="AI49" s="5">
        <f t="shared" si="9"/>
        <v>45643</v>
      </c>
      <c r="AJ49" s="1" t="str">
        <f t="shared" si="1"/>
        <v>Ok</v>
      </c>
      <c r="AK49" s="1"/>
      <c r="AL49" s="1">
        <f t="shared" si="2"/>
        <v>9</v>
      </c>
      <c r="AM49" s="4">
        <f t="shared" si="10"/>
        <v>45923</v>
      </c>
      <c r="AN49" s="1" t="str">
        <f t="shared" si="3"/>
        <v>Ok</v>
      </c>
      <c r="AR49" s="1">
        <f t="shared" si="4"/>
        <v>4</v>
      </c>
      <c r="AS49" s="4">
        <f t="shared" si="11"/>
        <v>46133</v>
      </c>
      <c r="AT49" s="1" t="str">
        <f t="shared" si="5"/>
        <v>Ok</v>
      </c>
      <c r="AV49" s="1">
        <f t="shared" si="6"/>
        <v>5</v>
      </c>
      <c r="AW49" s="4">
        <f t="shared" si="12"/>
        <v>45429</v>
      </c>
      <c r="AX49" s="1" t="str">
        <f t="shared" si="7"/>
        <v>Ok</v>
      </c>
    </row>
    <row r="50" spans="34:50" hidden="1" x14ac:dyDescent="0.25">
      <c r="AH50" s="1">
        <f t="shared" si="0"/>
        <v>12</v>
      </c>
      <c r="AI50" s="5">
        <f t="shared" si="9"/>
        <v>45644</v>
      </c>
      <c r="AJ50" s="1" t="str">
        <f t="shared" si="1"/>
        <v>Ok</v>
      </c>
      <c r="AK50" s="1"/>
      <c r="AL50" s="1">
        <f t="shared" si="2"/>
        <v>9</v>
      </c>
      <c r="AM50" s="4">
        <f t="shared" si="10"/>
        <v>45924</v>
      </c>
      <c r="AN50" s="1" t="str">
        <f t="shared" si="3"/>
        <v>Ok</v>
      </c>
      <c r="AR50" s="1">
        <f t="shared" si="4"/>
        <v>4</v>
      </c>
      <c r="AS50" s="4">
        <f t="shared" si="11"/>
        <v>46134</v>
      </c>
      <c r="AT50" s="1" t="str">
        <f t="shared" si="5"/>
        <v>Ok</v>
      </c>
      <c r="AV50" s="1">
        <f t="shared" si="6"/>
        <v>5</v>
      </c>
      <c r="AW50" s="4">
        <f t="shared" si="12"/>
        <v>45430</v>
      </c>
      <c r="AX50" s="1" t="str">
        <f t="shared" si="7"/>
        <v>Ok</v>
      </c>
    </row>
    <row r="51" spans="34:50" hidden="1" x14ac:dyDescent="0.25">
      <c r="AH51" s="1">
        <f t="shared" si="0"/>
        <v>12</v>
      </c>
      <c r="AI51" s="5">
        <f t="shared" si="9"/>
        <v>45645</v>
      </c>
      <c r="AJ51" s="1" t="str">
        <f t="shared" si="1"/>
        <v>Ok</v>
      </c>
      <c r="AK51" s="1"/>
      <c r="AL51" s="1">
        <f t="shared" si="2"/>
        <v>9</v>
      </c>
      <c r="AM51" s="4">
        <f t="shared" si="10"/>
        <v>45925</v>
      </c>
      <c r="AN51" s="1" t="str">
        <f t="shared" si="3"/>
        <v>Ok</v>
      </c>
      <c r="AR51" s="1">
        <f t="shared" si="4"/>
        <v>4</v>
      </c>
      <c r="AS51" s="4">
        <f t="shared" si="11"/>
        <v>46135</v>
      </c>
      <c r="AT51" s="1" t="str">
        <f t="shared" si="5"/>
        <v>Ok</v>
      </c>
      <c r="AV51" s="1">
        <f t="shared" si="6"/>
        <v>5</v>
      </c>
      <c r="AW51" s="4">
        <f t="shared" si="12"/>
        <v>45431</v>
      </c>
      <c r="AX51" s="1" t="str">
        <f t="shared" si="7"/>
        <v>Ok</v>
      </c>
    </row>
    <row r="52" spans="34:50" hidden="1" x14ac:dyDescent="0.25">
      <c r="AH52" s="1">
        <f t="shared" si="0"/>
        <v>12</v>
      </c>
      <c r="AI52" s="5">
        <f t="shared" si="9"/>
        <v>45646</v>
      </c>
      <c r="AJ52" s="1" t="str">
        <f t="shared" si="1"/>
        <v>Ok</v>
      </c>
      <c r="AK52" s="1"/>
      <c r="AL52" s="1">
        <f t="shared" si="2"/>
        <v>9</v>
      </c>
      <c r="AM52" s="4">
        <f t="shared" si="10"/>
        <v>45926</v>
      </c>
      <c r="AN52" s="1" t="str">
        <f t="shared" si="3"/>
        <v>Ok</v>
      </c>
      <c r="AR52" s="1">
        <f t="shared" si="4"/>
        <v>4</v>
      </c>
      <c r="AS52" s="4">
        <f t="shared" si="11"/>
        <v>46136</v>
      </c>
      <c r="AT52" s="1" t="str">
        <f t="shared" si="5"/>
        <v>Ok</v>
      </c>
      <c r="AV52" s="1">
        <f t="shared" si="6"/>
        <v>5</v>
      </c>
      <c r="AW52" s="4">
        <f t="shared" si="12"/>
        <v>45432</v>
      </c>
      <c r="AX52" s="1" t="str">
        <f t="shared" si="7"/>
        <v>Ok</v>
      </c>
    </row>
    <row r="53" spans="34:50" hidden="1" x14ac:dyDescent="0.25">
      <c r="AH53" s="1">
        <f t="shared" si="0"/>
        <v>12</v>
      </c>
      <c r="AI53" s="5">
        <f t="shared" si="9"/>
        <v>45647</v>
      </c>
      <c r="AJ53" s="1" t="str">
        <f t="shared" si="1"/>
        <v>Ok</v>
      </c>
      <c r="AK53" s="1"/>
      <c r="AL53" s="1">
        <f t="shared" si="2"/>
        <v>9</v>
      </c>
      <c r="AM53" s="4">
        <f t="shared" si="10"/>
        <v>45927</v>
      </c>
      <c r="AN53" s="1" t="str">
        <f t="shared" si="3"/>
        <v>Ok</v>
      </c>
      <c r="AR53" s="1">
        <f t="shared" si="4"/>
        <v>4</v>
      </c>
      <c r="AS53" s="4">
        <f t="shared" si="11"/>
        <v>46137</v>
      </c>
      <c r="AT53" s="1" t="str">
        <f t="shared" si="5"/>
        <v>Ok</v>
      </c>
      <c r="AV53" s="1">
        <f t="shared" si="6"/>
        <v>5</v>
      </c>
      <c r="AW53" s="4">
        <f t="shared" si="12"/>
        <v>45433</v>
      </c>
      <c r="AX53" s="1" t="str">
        <f t="shared" si="7"/>
        <v>Ok</v>
      </c>
    </row>
    <row r="54" spans="34:50" hidden="1" x14ac:dyDescent="0.25">
      <c r="AH54" s="1">
        <f t="shared" si="0"/>
        <v>12</v>
      </c>
      <c r="AI54" s="5">
        <f t="shared" si="9"/>
        <v>45648</v>
      </c>
      <c r="AJ54" s="1" t="str">
        <f t="shared" si="1"/>
        <v>Ok</v>
      </c>
      <c r="AK54" s="1"/>
      <c r="AL54" s="1">
        <f t="shared" si="2"/>
        <v>9</v>
      </c>
      <c r="AM54" s="4">
        <f t="shared" si="10"/>
        <v>45928</v>
      </c>
      <c r="AN54" s="1" t="str">
        <f t="shared" si="3"/>
        <v>Ok</v>
      </c>
      <c r="AR54" s="1">
        <f t="shared" si="4"/>
        <v>4</v>
      </c>
      <c r="AS54" s="4">
        <f t="shared" si="11"/>
        <v>46138</v>
      </c>
      <c r="AT54" s="1" t="str">
        <f t="shared" si="5"/>
        <v>Ok</v>
      </c>
      <c r="AV54" s="1">
        <f t="shared" si="6"/>
        <v>5</v>
      </c>
      <c r="AW54" s="4">
        <f t="shared" si="12"/>
        <v>45434</v>
      </c>
      <c r="AX54" s="1" t="str">
        <f t="shared" si="7"/>
        <v>Ok</v>
      </c>
    </row>
    <row r="55" spans="34:50" hidden="1" x14ac:dyDescent="0.25">
      <c r="AH55" s="1">
        <f t="shared" si="0"/>
        <v>12</v>
      </c>
      <c r="AI55" s="5">
        <f t="shared" si="9"/>
        <v>45649</v>
      </c>
      <c r="AJ55" s="1" t="str">
        <f t="shared" si="1"/>
        <v>Ok</v>
      </c>
      <c r="AK55" s="1"/>
      <c r="AL55" s="1">
        <f t="shared" si="2"/>
        <v>9</v>
      </c>
      <c r="AM55" s="4">
        <f t="shared" si="10"/>
        <v>45929</v>
      </c>
      <c r="AN55" s="1" t="str">
        <f t="shared" si="3"/>
        <v>Ok</v>
      </c>
      <c r="AR55" s="1">
        <f t="shared" si="4"/>
        <v>4</v>
      </c>
      <c r="AS55" s="4">
        <f t="shared" si="11"/>
        <v>46139</v>
      </c>
      <c r="AT55" s="1" t="str">
        <f t="shared" si="5"/>
        <v>Ok</v>
      </c>
      <c r="AV55" s="1">
        <f t="shared" si="6"/>
        <v>5</v>
      </c>
      <c r="AW55" s="4">
        <f t="shared" si="12"/>
        <v>45435</v>
      </c>
      <c r="AX55" s="1" t="str">
        <f t="shared" si="7"/>
        <v>Ok</v>
      </c>
    </row>
    <row r="56" spans="34:50" hidden="1" x14ac:dyDescent="0.25">
      <c r="AH56" s="1">
        <f t="shared" si="0"/>
        <v>12</v>
      </c>
      <c r="AI56" s="5">
        <f t="shared" si="9"/>
        <v>45650</v>
      </c>
      <c r="AJ56" s="1" t="str">
        <f t="shared" si="1"/>
        <v>Ok</v>
      </c>
      <c r="AK56" s="1"/>
      <c r="AL56" s="1">
        <f t="shared" si="2"/>
        <v>9</v>
      </c>
      <c r="AM56" s="4">
        <f t="shared" si="10"/>
        <v>45930</v>
      </c>
      <c r="AN56" s="1" t="str">
        <f t="shared" si="3"/>
        <v>Ok</v>
      </c>
      <c r="AR56" s="1">
        <f t="shared" si="4"/>
        <v>4</v>
      </c>
      <c r="AS56" s="4">
        <f t="shared" si="11"/>
        <v>46140</v>
      </c>
      <c r="AT56" s="1" t="str">
        <f t="shared" si="5"/>
        <v>Ok</v>
      </c>
      <c r="AV56" s="1">
        <f t="shared" si="6"/>
        <v>5</v>
      </c>
      <c r="AW56" s="4">
        <f t="shared" si="12"/>
        <v>45436</v>
      </c>
      <c r="AX56" s="1" t="str">
        <f t="shared" si="7"/>
        <v>Ok</v>
      </c>
    </row>
    <row r="57" spans="34:50" hidden="1" x14ac:dyDescent="0.25">
      <c r="AH57" s="1">
        <f t="shared" si="0"/>
        <v>12</v>
      </c>
      <c r="AI57" s="5">
        <f t="shared" si="9"/>
        <v>45651</v>
      </c>
      <c r="AJ57" s="1" t="str">
        <f t="shared" si="1"/>
        <v>Ok</v>
      </c>
      <c r="AK57" s="1"/>
      <c r="AL57" s="1">
        <f t="shared" si="2"/>
        <v>10</v>
      </c>
      <c r="AM57" s="4">
        <f t="shared" si="10"/>
        <v>45931</v>
      </c>
      <c r="AN57" s="1" t="str">
        <f t="shared" si="3"/>
        <v>Ok</v>
      </c>
      <c r="AR57" s="1">
        <f t="shared" si="4"/>
        <v>4</v>
      </c>
      <c r="AS57" s="4">
        <f t="shared" si="11"/>
        <v>46141</v>
      </c>
      <c r="AT57" s="1" t="str">
        <f t="shared" si="5"/>
        <v>Ok</v>
      </c>
      <c r="AV57" s="1">
        <f t="shared" si="6"/>
        <v>5</v>
      </c>
      <c r="AW57" s="4">
        <f t="shared" si="12"/>
        <v>45437</v>
      </c>
      <c r="AX57" s="1" t="str">
        <f t="shared" si="7"/>
        <v>Ok</v>
      </c>
    </row>
    <row r="58" spans="34:50" hidden="1" x14ac:dyDescent="0.25">
      <c r="AH58" s="1">
        <f t="shared" si="0"/>
        <v>12</v>
      </c>
      <c r="AI58" s="5">
        <f t="shared" si="9"/>
        <v>45652</v>
      </c>
      <c r="AJ58" s="1" t="str">
        <f t="shared" si="1"/>
        <v>Ok</v>
      </c>
      <c r="AK58" s="1"/>
      <c r="AL58" s="1">
        <f t="shared" si="2"/>
        <v>10</v>
      </c>
      <c r="AM58" s="4">
        <f t="shared" si="10"/>
        <v>45932</v>
      </c>
      <c r="AN58" s="1" t="str">
        <f t="shared" si="3"/>
        <v>Ok</v>
      </c>
      <c r="AR58" s="1">
        <f t="shared" si="4"/>
        <v>4</v>
      </c>
      <c r="AS58" s="4">
        <f t="shared" si="11"/>
        <v>46142</v>
      </c>
      <c r="AT58" s="1" t="str">
        <f t="shared" si="5"/>
        <v>Ok</v>
      </c>
      <c r="AV58" s="1">
        <f t="shared" si="6"/>
        <v>5</v>
      </c>
      <c r="AW58" s="4">
        <f t="shared" si="12"/>
        <v>45438</v>
      </c>
      <c r="AX58" s="1" t="str">
        <f t="shared" si="7"/>
        <v>Ok</v>
      </c>
    </row>
    <row r="59" spans="34:50" hidden="1" x14ac:dyDescent="0.25">
      <c r="AH59" s="1">
        <f t="shared" si="0"/>
        <v>12</v>
      </c>
      <c r="AI59" s="5">
        <f t="shared" si="9"/>
        <v>45653</v>
      </c>
      <c r="AJ59" s="1" t="str">
        <f t="shared" si="1"/>
        <v>Ok</v>
      </c>
      <c r="AK59" s="1"/>
      <c r="AL59" s="1">
        <f t="shared" si="2"/>
        <v>10</v>
      </c>
      <c r="AM59" s="4">
        <f t="shared" si="10"/>
        <v>45933</v>
      </c>
      <c r="AN59" s="1" t="str">
        <f t="shared" si="3"/>
        <v>Ok</v>
      </c>
      <c r="AR59" s="1">
        <f t="shared" si="4"/>
        <v>5</v>
      </c>
      <c r="AS59" s="4">
        <f t="shared" si="11"/>
        <v>46143</v>
      </c>
      <c r="AT59" s="1" t="str">
        <f t="shared" si="5"/>
        <v>Ok</v>
      </c>
      <c r="AV59" s="1">
        <f t="shared" si="6"/>
        <v>5</v>
      </c>
      <c r="AW59" s="4">
        <f t="shared" si="12"/>
        <v>45439</v>
      </c>
      <c r="AX59" s="1" t="str">
        <f t="shared" si="7"/>
        <v>Ok</v>
      </c>
    </row>
    <row r="60" spans="34:50" hidden="1" x14ac:dyDescent="0.25">
      <c r="AH60" s="1">
        <f t="shared" si="0"/>
        <v>12</v>
      </c>
      <c r="AI60" s="5">
        <f t="shared" si="9"/>
        <v>45654</v>
      </c>
      <c r="AJ60" s="1" t="str">
        <f t="shared" si="1"/>
        <v>Ok</v>
      </c>
      <c r="AK60" s="1"/>
      <c r="AL60" s="1">
        <f t="shared" si="2"/>
        <v>10</v>
      </c>
      <c r="AM60" s="4">
        <f t="shared" si="10"/>
        <v>45934</v>
      </c>
      <c r="AN60" s="1" t="str">
        <f t="shared" si="3"/>
        <v>Ok</v>
      </c>
      <c r="AR60" s="1">
        <f t="shared" si="4"/>
        <v>5</v>
      </c>
      <c r="AS60" s="4">
        <f t="shared" si="11"/>
        <v>46144</v>
      </c>
      <c r="AT60" s="1" t="str">
        <f t="shared" si="5"/>
        <v>Ok</v>
      </c>
      <c r="AV60" s="1">
        <f t="shared" si="6"/>
        <v>5</v>
      </c>
      <c r="AW60" s="4">
        <f t="shared" si="12"/>
        <v>45440</v>
      </c>
      <c r="AX60" s="1" t="str">
        <f t="shared" si="7"/>
        <v>Ok</v>
      </c>
    </row>
    <row r="61" spans="34:50" hidden="1" x14ac:dyDescent="0.25">
      <c r="AH61" s="1">
        <f t="shared" si="0"/>
        <v>12</v>
      </c>
      <c r="AI61" s="5">
        <f t="shared" si="9"/>
        <v>45655</v>
      </c>
      <c r="AJ61" s="1" t="str">
        <f t="shared" si="1"/>
        <v>Ok</v>
      </c>
      <c r="AK61" s="1"/>
      <c r="AL61" s="1">
        <f t="shared" si="2"/>
        <v>10</v>
      </c>
      <c r="AM61" s="4">
        <f t="shared" si="10"/>
        <v>45935</v>
      </c>
      <c r="AN61" s="1" t="str">
        <f t="shared" si="3"/>
        <v>Ok</v>
      </c>
      <c r="AR61" s="1">
        <f t="shared" si="4"/>
        <v>5</v>
      </c>
      <c r="AS61" s="4">
        <f t="shared" si="11"/>
        <v>46145</v>
      </c>
      <c r="AT61" s="1" t="str">
        <f t="shared" si="5"/>
        <v>Ok</v>
      </c>
      <c r="AV61" s="1">
        <f t="shared" si="6"/>
        <v>5</v>
      </c>
      <c r="AW61" s="4">
        <f t="shared" si="12"/>
        <v>45441</v>
      </c>
      <c r="AX61" s="1" t="str">
        <f t="shared" si="7"/>
        <v>Ok</v>
      </c>
    </row>
    <row r="62" spans="34:50" hidden="1" x14ac:dyDescent="0.25">
      <c r="AH62" s="1">
        <f t="shared" si="0"/>
        <v>12</v>
      </c>
      <c r="AI62" s="5">
        <f t="shared" si="9"/>
        <v>45656</v>
      </c>
      <c r="AJ62" s="1" t="str">
        <f t="shared" si="1"/>
        <v>Ok</v>
      </c>
      <c r="AK62" s="1"/>
      <c r="AL62" s="1">
        <f t="shared" si="2"/>
        <v>10</v>
      </c>
      <c r="AM62" s="4">
        <f t="shared" si="10"/>
        <v>45936</v>
      </c>
      <c r="AN62" s="1" t="str">
        <f t="shared" si="3"/>
        <v>Ok</v>
      </c>
      <c r="AR62" s="1">
        <f t="shared" si="4"/>
        <v>5</v>
      </c>
      <c r="AS62" s="4">
        <f t="shared" si="11"/>
        <v>46146</v>
      </c>
      <c r="AT62" s="1" t="str">
        <f t="shared" si="5"/>
        <v>Ok</v>
      </c>
      <c r="AV62" s="1">
        <f t="shared" si="6"/>
        <v>5</v>
      </c>
      <c r="AW62" s="4">
        <f t="shared" si="12"/>
        <v>45442</v>
      </c>
      <c r="AX62" s="1" t="str">
        <f t="shared" si="7"/>
        <v>Ok</v>
      </c>
    </row>
    <row r="63" spans="34:50" hidden="1" x14ac:dyDescent="0.25">
      <c r="AH63" s="1">
        <f t="shared" si="0"/>
        <v>12</v>
      </c>
      <c r="AI63" s="5">
        <f t="shared" si="9"/>
        <v>45657</v>
      </c>
      <c r="AJ63" s="1" t="str">
        <f t="shared" si="1"/>
        <v>Ok</v>
      </c>
      <c r="AK63" s="1"/>
      <c r="AL63" s="1">
        <f t="shared" si="2"/>
        <v>10</v>
      </c>
      <c r="AM63" s="4">
        <f t="shared" si="10"/>
        <v>45937</v>
      </c>
      <c r="AN63" s="1" t="str">
        <f t="shared" si="3"/>
        <v>Ok</v>
      </c>
      <c r="AR63" s="1">
        <f t="shared" si="4"/>
        <v>5</v>
      </c>
      <c r="AS63" s="4">
        <f t="shared" si="11"/>
        <v>46147</v>
      </c>
      <c r="AT63" s="1" t="str">
        <f t="shared" si="5"/>
        <v>Ok</v>
      </c>
      <c r="AV63" s="1">
        <f t="shared" si="6"/>
        <v>5</v>
      </c>
      <c r="AW63" s="4">
        <f t="shared" si="12"/>
        <v>45443</v>
      </c>
      <c r="AX63" s="1" t="str">
        <f t="shared" si="7"/>
        <v>Ok</v>
      </c>
    </row>
    <row r="64" spans="34:50" hidden="1" x14ac:dyDescent="0.25">
      <c r="AH64" s="1">
        <f t="shared" si="0"/>
        <v>1</v>
      </c>
      <c r="AI64" s="5">
        <f t="shared" si="9"/>
        <v>45658</v>
      </c>
      <c r="AJ64" s="1" t="str">
        <f t="shared" si="1"/>
        <v>Ok</v>
      </c>
      <c r="AK64" s="1"/>
      <c r="AL64" s="1">
        <f t="shared" si="2"/>
        <v>10</v>
      </c>
      <c r="AM64" s="4">
        <f t="shared" si="10"/>
        <v>45938</v>
      </c>
      <c r="AN64" s="1" t="str">
        <f t="shared" si="3"/>
        <v>Ok</v>
      </c>
      <c r="AR64" s="1">
        <f t="shared" si="4"/>
        <v>5</v>
      </c>
      <c r="AS64" s="4">
        <f t="shared" si="11"/>
        <v>46148</v>
      </c>
      <c r="AT64" s="1" t="str">
        <f t="shared" si="5"/>
        <v>Ok</v>
      </c>
      <c r="AV64" s="1">
        <f t="shared" si="6"/>
        <v>6</v>
      </c>
      <c r="AW64" s="4">
        <f t="shared" si="12"/>
        <v>45444</v>
      </c>
      <c r="AX64" s="1" t="str">
        <f t="shared" si="7"/>
        <v>Ok</v>
      </c>
    </row>
    <row r="65" spans="34:50" hidden="1" x14ac:dyDescent="0.25">
      <c r="AH65" s="1">
        <f t="shared" si="0"/>
        <v>1</v>
      </c>
      <c r="AI65" s="5">
        <f t="shared" si="9"/>
        <v>45659</v>
      </c>
      <c r="AJ65" s="1" t="str">
        <f t="shared" si="1"/>
        <v>Ok</v>
      </c>
      <c r="AK65" s="1"/>
      <c r="AL65" s="1">
        <f t="shared" si="2"/>
        <v>10</v>
      </c>
      <c r="AM65" s="4">
        <f t="shared" si="10"/>
        <v>45939</v>
      </c>
      <c r="AN65" s="1" t="str">
        <f t="shared" si="3"/>
        <v>Ok</v>
      </c>
      <c r="AR65" s="1">
        <f t="shared" si="4"/>
        <v>5</v>
      </c>
      <c r="AS65" s="4">
        <f t="shared" si="11"/>
        <v>46149</v>
      </c>
      <c r="AT65" s="1" t="str">
        <f t="shared" si="5"/>
        <v>Ok</v>
      </c>
      <c r="AV65" s="1">
        <f t="shared" si="6"/>
        <v>6</v>
      </c>
      <c r="AW65" s="4">
        <f t="shared" si="12"/>
        <v>45445</v>
      </c>
      <c r="AX65" s="1" t="str">
        <f t="shared" si="7"/>
        <v>Ok</v>
      </c>
    </row>
    <row r="66" spans="34:50" hidden="1" x14ac:dyDescent="0.25">
      <c r="AH66" s="1">
        <f t="shared" si="0"/>
        <v>1</v>
      </c>
      <c r="AI66" s="5">
        <f t="shared" si="9"/>
        <v>45660</v>
      </c>
      <c r="AJ66" s="1" t="str">
        <f t="shared" si="1"/>
        <v>Ok</v>
      </c>
      <c r="AK66" s="1"/>
      <c r="AL66" s="1">
        <f t="shared" si="2"/>
        <v>10</v>
      </c>
      <c r="AM66" s="4">
        <f t="shared" si="10"/>
        <v>45940</v>
      </c>
      <c r="AN66" s="1" t="str">
        <f t="shared" si="3"/>
        <v>Ok</v>
      </c>
      <c r="AR66" s="1">
        <f t="shared" si="4"/>
        <v>5</v>
      </c>
      <c r="AS66" s="4">
        <f t="shared" si="11"/>
        <v>46150</v>
      </c>
      <c r="AT66" s="1" t="str">
        <f t="shared" si="5"/>
        <v>Ok</v>
      </c>
      <c r="AV66" s="1">
        <f t="shared" si="6"/>
        <v>6</v>
      </c>
      <c r="AW66" s="4">
        <f t="shared" si="12"/>
        <v>45446</v>
      </c>
      <c r="AX66" s="1" t="str">
        <f t="shared" si="7"/>
        <v>Ok</v>
      </c>
    </row>
    <row r="67" spans="34:50" hidden="1" x14ac:dyDescent="0.25">
      <c r="AH67" s="1">
        <f t="shared" ref="AH67:AH130" si="20">MONTH(AI67)</f>
        <v>1</v>
      </c>
      <c r="AI67" s="5">
        <f t="shared" si="9"/>
        <v>45661</v>
      </c>
      <c r="AJ67" s="1" t="str">
        <f t="shared" ref="AJ67:AJ130" si="21">IF(AND(AI67&gt;=$C$6,AI67&lt;=$C$8),"Ok","Não")</f>
        <v>Ok</v>
      </c>
      <c r="AK67" s="1"/>
      <c r="AL67" s="1">
        <f t="shared" ref="AL67:AL130" si="22">MONTH(AM67)</f>
        <v>10</v>
      </c>
      <c r="AM67" s="4">
        <f t="shared" si="10"/>
        <v>45941</v>
      </c>
      <c r="AN67" s="1" t="str">
        <f t="shared" ref="AN67:AN130" si="23">IF(AND(AM67&gt;=$C$9,AM67&lt;=$C$10),"Ok","Não")</f>
        <v>Ok</v>
      </c>
      <c r="AR67" s="1">
        <f t="shared" ref="AR67:AR130" si="24">MONTH(AS67)</f>
        <v>5</v>
      </c>
      <c r="AS67" s="4">
        <f t="shared" si="11"/>
        <v>46151</v>
      </c>
      <c r="AT67" s="1" t="str">
        <f t="shared" ref="AT67:AT130" si="25">IF(AND(AS67&gt;=$C$11,AS67&lt;=$C$12),"Ok","Não")</f>
        <v>Ok</v>
      </c>
      <c r="AV67" s="1">
        <f t="shared" ref="AV67:AV130" si="26">MONTH(AW67)</f>
        <v>6</v>
      </c>
      <c r="AW67" s="4">
        <f t="shared" si="12"/>
        <v>45447</v>
      </c>
      <c r="AX67" s="1" t="str">
        <f t="shared" ref="AX67:AX130" si="27">IF(AND(AW67&gt;=$C$4,AW67&lt;=$C$5),"Ok","Não")</f>
        <v>Ok</v>
      </c>
    </row>
    <row r="68" spans="34:50" hidden="1" x14ac:dyDescent="0.25">
      <c r="AH68" s="1">
        <f t="shared" si="20"/>
        <v>1</v>
      </c>
      <c r="AI68" s="5">
        <f t="shared" si="9"/>
        <v>45662</v>
      </c>
      <c r="AJ68" s="1" t="str">
        <f t="shared" si="21"/>
        <v>Ok</v>
      </c>
      <c r="AK68" s="1"/>
      <c r="AL68" s="1">
        <f t="shared" si="22"/>
        <v>10</v>
      </c>
      <c r="AM68" s="4">
        <f t="shared" si="10"/>
        <v>45942</v>
      </c>
      <c r="AN68" s="1" t="str">
        <f t="shared" si="23"/>
        <v>Ok</v>
      </c>
      <c r="AR68" s="1">
        <f t="shared" si="24"/>
        <v>5</v>
      </c>
      <c r="AS68" s="4">
        <f t="shared" si="11"/>
        <v>46152</v>
      </c>
      <c r="AT68" s="1" t="str">
        <f t="shared" si="25"/>
        <v>Ok</v>
      </c>
      <c r="AV68" s="1">
        <f t="shared" si="26"/>
        <v>6</v>
      </c>
      <c r="AW68" s="4">
        <f t="shared" si="12"/>
        <v>45448</v>
      </c>
      <c r="AX68" s="1" t="str">
        <f t="shared" si="27"/>
        <v>Ok</v>
      </c>
    </row>
    <row r="69" spans="34:50" hidden="1" x14ac:dyDescent="0.25">
      <c r="AH69" s="1">
        <f t="shared" si="20"/>
        <v>1</v>
      </c>
      <c r="AI69" s="5">
        <f t="shared" ref="AI69:AI132" si="28">AI68+1</f>
        <v>45663</v>
      </c>
      <c r="AJ69" s="1" t="str">
        <f t="shared" si="21"/>
        <v>Ok</v>
      </c>
      <c r="AK69" s="1"/>
      <c r="AL69" s="1">
        <f t="shared" si="22"/>
        <v>10</v>
      </c>
      <c r="AM69" s="4">
        <f t="shared" ref="AM69:AM132" si="29">AM68+1</f>
        <v>45943</v>
      </c>
      <c r="AN69" s="1" t="str">
        <f t="shared" si="23"/>
        <v>Ok</v>
      </c>
      <c r="AR69" s="1">
        <f t="shared" si="24"/>
        <v>5</v>
      </c>
      <c r="AS69" s="4">
        <f t="shared" ref="AS69:AS132" si="30">AS68+1</f>
        <v>46153</v>
      </c>
      <c r="AT69" s="1" t="str">
        <f t="shared" si="25"/>
        <v>Ok</v>
      </c>
      <c r="AV69" s="1">
        <f t="shared" si="26"/>
        <v>6</v>
      </c>
      <c r="AW69" s="4">
        <f t="shared" ref="AW69:AW132" si="31">AW68+1</f>
        <v>45449</v>
      </c>
      <c r="AX69" s="1" t="str">
        <f t="shared" si="27"/>
        <v>Ok</v>
      </c>
    </row>
    <row r="70" spans="34:50" hidden="1" x14ac:dyDescent="0.25">
      <c r="AH70" s="1">
        <f t="shared" si="20"/>
        <v>1</v>
      </c>
      <c r="AI70" s="5">
        <f t="shared" si="28"/>
        <v>45664</v>
      </c>
      <c r="AJ70" s="1" t="str">
        <f t="shared" si="21"/>
        <v>Ok</v>
      </c>
      <c r="AK70" s="1"/>
      <c r="AL70" s="1">
        <f t="shared" si="22"/>
        <v>10</v>
      </c>
      <c r="AM70" s="4">
        <f t="shared" si="29"/>
        <v>45944</v>
      </c>
      <c r="AN70" s="1" t="str">
        <f t="shared" si="23"/>
        <v>Ok</v>
      </c>
      <c r="AR70" s="1">
        <f t="shared" si="24"/>
        <v>5</v>
      </c>
      <c r="AS70" s="4">
        <f t="shared" si="30"/>
        <v>46154</v>
      </c>
      <c r="AT70" s="1" t="str">
        <f t="shared" si="25"/>
        <v>Ok</v>
      </c>
      <c r="AV70" s="1">
        <f t="shared" si="26"/>
        <v>6</v>
      </c>
      <c r="AW70" s="4">
        <f t="shared" si="31"/>
        <v>45450</v>
      </c>
      <c r="AX70" s="1" t="str">
        <f t="shared" si="27"/>
        <v>Ok</v>
      </c>
    </row>
    <row r="71" spans="34:50" hidden="1" x14ac:dyDescent="0.25">
      <c r="AH71" s="1">
        <f t="shared" si="20"/>
        <v>1</v>
      </c>
      <c r="AI71" s="5">
        <f t="shared" si="28"/>
        <v>45665</v>
      </c>
      <c r="AJ71" s="1" t="str">
        <f t="shared" si="21"/>
        <v>Ok</v>
      </c>
      <c r="AK71" s="1"/>
      <c r="AL71" s="1">
        <f t="shared" si="22"/>
        <v>10</v>
      </c>
      <c r="AM71" s="4">
        <f t="shared" si="29"/>
        <v>45945</v>
      </c>
      <c r="AN71" s="1" t="str">
        <f t="shared" si="23"/>
        <v>Ok</v>
      </c>
      <c r="AR71" s="1">
        <f t="shared" si="24"/>
        <v>5</v>
      </c>
      <c r="AS71" s="4">
        <f t="shared" si="30"/>
        <v>46155</v>
      </c>
      <c r="AT71" s="1" t="str">
        <f t="shared" si="25"/>
        <v>Ok</v>
      </c>
      <c r="AV71" s="1">
        <f t="shared" si="26"/>
        <v>6</v>
      </c>
      <c r="AW71" s="4">
        <f t="shared" si="31"/>
        <v>45451</v>
      </c>
      <c r="AX71" s="1" t="str">
        <f t="shared" si="27"/>
        <v>Ok</v>
      </c>
    </row>
    <row r="72" spans="34:50" hidden="1" x14ac:dyDescent="0.25">
      <c r="AH72" s="1">
        <f t="shared" si="20"/>
        <v>1</v>
      </c>
      <c r="AI72" s="5">
        <f t="shared" si="28"/>
        <v>45666</v>
      </c>
      <c r="AJ72" s="1" t="str">
        <f t="shared" si="21"/>
        <v>Ok</v>
      </c>
      <c r="AK72" s="1"/>
      <c r="AL72" s="1">
        <f t="shared" si="22"/>
        <v>10</v>
      </c>
      <c r="AM72" s="4">
        <f t="shared" si="29"/>
        <v>45946</v>
      </c>
      <c r="AN72" s="1" t="str">
        <f t="shared" si="23"/>
        <v>Ok</v>
      </c>
      <c r="AR72" s="1">
        <f t="shared" si="24"/>
        <v>5</v>
      </c>
      <c r="AS72" s="4">
        <f t="shared" si="30"/>
        <v>46156</v>
      </c>
      <c r="AT72" s="1" t="str">
        <f t="shared" si="25"/>
        <v>Ok</v>
      </c>
      <c r="AV72" s="1">
        <f t="shared" si="26"/>
        <v>6</v>
      </c>
      <c r="AW72" s="4">
        <f t="shared" si="31"/>
        <v>45452</v>
      </c>
      <c r="AX72" s="1" t="str">
        <f t="shared" si="27"/>
        <v>Ok</v>
      </c>
    </row>
    <row r="73" spans="34:50" hidden="1" x14ac:dyDescent="0.25">
      <c r="AH73" s="1">
        <f t="shared" si="20"/>
        <v>1</v>
      </c>
      <c r="AI73" s="5">
        <f t="shared" si="28"/>
        <v>45667</v>
      </c>
      <c r="AJ73" s="1" t="str">
        <f t="shared" si="21"/>
        <v>Ok</v>
      </c>
      <c r="AK73" s="1"/>
      <c r="AL73" s="1">
        <f t="shared" si="22"/>
        <v>10</v>
      </c>
      <c r="AM73" s="4">
        <f t="shared" si="29"/>
        <v>45947</v>
      </c>
      <c r="AN73" s="1" t="str">
        <f t="shared" si="23"/>
        <v>Ok</v>
      </c>
      <c r="AR73" s="1">
        <f t="shared" si="24"/>
        <v>5</v>
      </c>
      <c r="AS73" s="4">
        <f t="shared" si="30"/>
        <v>46157</v>
      </c>
      <c r="AT73" s="1" t="str">
        <f t="shared" si="25"/>
        <v>Ok</v>
      </c>
      <c r="AV73" s="1">
        <f t="shared" si="26"/>
        <v>6</v>
      </c>
      <c r="AW73" s="4">
        <f t="shared" si="31"/>
        <v>45453</v>
      </c>
      <c r="AX73" s="1" t="str">
        <f t="shared" si="27"/>
        <v>Ok</v>
      </c>
    </row>
    <row r="74" spans="34:50" hidden="1" x14ac:dyDescent="0.25">
      <c r="AH74" s="1">
        <f t="shared" si="20"/>
        <v>1</v>
      </c>
      <c r="AI74" s="5">
        <f t="shared" si="28"/>
        <v>45668</v>
      </c>
      <c r="AJ74" s="1" t="str">
        <f t="shared" si="21"/>
        <v>Ok</v>
      </c>
      <c r="AK74" s="1"/>
      <c r="AL74" s="1">
        <f t="shared" si="22"/>
        <v>10</v>
      </c>
      <c r="AM74" s="4">
        <f t="shared" si="29"/>
        <v>45948</v>
      </c>
      <c r="AN74" s="1" t="str">
        <f t="shared" si="23"/>
        <v>Ok</v>
      </c>
      <c r="AR74" s="1">
        <f t="shared" si="24"/>
        <v>5</v>
      </c>
      <c r="AS74" s="4">
        <f t="shared" si="30"/>
        <v>46158</v>
      </c>
      <c r="AT74" s="1" t="str">
        <f t="shared" si="25"/>
        <v>Ok</v>
      </c>
      <c r="AV74" s="1">
        <f t="shared" si="26"/>
        <v>6</v>
      </c>
      <c r="AW74" s="4">
        <f t="shared" si="31"/>
        <v>45454</v>
      </c>
      <c r="AX74" s="1" t="str">
        <f t="shared" si="27"/>
        <v>Ok</v>
      </c>
    </row>
    <row r="75" spans="34:50" hidden="1" x14ac:dyDescent="0.25">
      <c r="AH75" s="1">
        <f t="shared" si="20"/>
        <v>1</v>
      </c>
      <c r="AI75" s="5">
        <f t="shared" si="28"/>
        <v>45669</v>
      </c>
      <c r="AJ75" s="1" t="str">
        <f t="shared" si="21"/>
        <v>Ok</v>
      </c>
      <c r="AK75" s="1"/>
      <c r="AL75" s="1">
        <f t="shared" si="22"/>
        <v>10</v>
      </c>
      <c r="AM75" s="4">
        <f t="shared" si="29"/>
        <v>45949</v>
      </c>
      <c r="AN75" s="1" t="str">
        <f t="shared" si="23"/>
        <v>Ok</v>
      </c>
      <c r="AR75" s="1">
        <f t="shared" si="24"/>
        <v>5</v>
      </c>
      <c r="AS75" s="4">
        <f t="shared" si="30"/>
        <v>46159</v>
      </c>
      <c r="AT75" s="1" t="str">
        <f t="shared" si="25"/>
        <v>Ok</v>
      </c>
      <c r="AV75" s="1">
        <f t="shared" si="26"/>
        <v>6</v>
      </c>
      <c r="AW75" s="4">
        <f t="shared" si="31"/>
        <v>45455</v>
      </c>
      <c r="AX75" s="1" t="str">
        <f t="shared" si="27"/>
        <v>Ok</v>
      </c>
    </row>
    <row r="76" spans="34:50" hidden="1" x14ac:dyDescent="0.25">
      <c r="AH76" s="1">
        <f t="shared" si="20"/>
        <v>1</v>
      </c>
      <c r="AI76" s="5">
        <f t="shared" si="28"/>
        <v>45670</v>
      </c>
      <c r="AJ76" s="1" t="str">
        <f t="shared" si="21"/>
        <v>Ok</v>
      </c>
      <c r="AK76" s="1"/>
      <c r="AL76" s="1">
        <f t="shared" si="22"/>
        <v>10</v>
      </c>
      <c r="AM76" s="4">
        <f t="shared" si="29"/>
        <v>45950</v>
      </c>
      <c r="AN76" s="1" t="str">
        <f t="shared" si="23"/>
        <v>Ok</v>
      </c>
      <c r="AR76" s="1">
        <f t="shared" si="24"/>
        <v>5</v>
      </c>
      <c r="AS76" s="4">
        <f t="shared" si="30"/>
        <v>46160</v>
      </c>
      <c r="AT76" s="1" t="str">
        <f t="shared" si="25"/>
        <v>Ok</v>
      </c>
      <c r="AV76" s="1">
        <f t="shared" si="26"/>
        <v>6</v>
      </c>
      <c r="AW76" s="4">
        <f t="shared" si="31"/>
        <v>45456</v>
      </c>
      <c r="AX76" s="1" t="str">
        <f t="shared" si="27"/>
        <v>Ok</v>
      </c>
    </row>
    <row r="77" spans="34:50" hidden="1" x14ac:dyDescent="0.25">
      <c r="AH77" s="1">
        <f t="shared" si="20"/>
        <v>1</v>
      </c>
      <c r="AI77" s="5">
        <f t="shared" si="28"/>
        <v>45671</v>
      </c>
      <c r="AJ77" s="1" t="str">
        <f t="shared" si="21"/>
        <v>Ok</v>
      </c>
      <c r="AK77" s="1"/>
      <c r="AL77" s="1">
        <f t="shared" si="22"/>
        <v>10</v>
      </c>
      <c r="AM77" s="4">
        <f t="shared" si="29"/>
        <v>45951</v>
      </c>
      <c r="AN77" s="1" t="str">
        <f t="shared" si="23"/>
        <v>Ok</v>
      </c>
      <c r="AR77" s="1">
        <f t="shared" si="24"/>
        <v>5</v>
      </c>
      <c r="AS77" s="4">
        <f t="shared" si="30"/>
        <v>46161</v>
      </c>
      <c r="AT77" s="1" t="str">
        <f t="shared" si="25"/>
        <v>Ok</v>
      </c>
      <c r="AV77" s="1">
        <f t="shared" si="26"/>
        <v>6</v>
      </c>
      <c r="AW77" s="4">
        <f t="shared" si="31"/>
        <v>45457</v>
      </c>
      <c r="AX77" s="1" t="str">
        <f t="shared" si="27"/>
        <v>Ok</v>
      </c>
    </row>
    <row r="78" spans="34:50" hidden="1" x14ac:dyDescent="0.25">
      <c r="AH78" s="1">
        <f t="shared" si="20"/>
        <v>1</v>
      </c>
      <c r="AI78" s="5">
        <f t="shared" si="28"/>
        <v>45672</v>
      </c>
      <c r="AJ78" s="1" t="str">
        <f t="shared" si="21"/>
        <v>Ok</v>
      </c>
      <c r="AK78" s="1"/>
      <c r="AL78" s="1">
        <f t="shared" si="22"/>
        <v>10</v>
      </c>
      <c r="AM78" s="4">
        <f t="shared" si="29"/>
        <v>45952</v>
      </c>
      <c r="AN78" s="1" t="str">
        <f t="shared" si="23"/>
        <v>Ok</v>
      </c>
      <c r="AR78" s="1">
        <f t="shared" si="24"/>
        <v>5</v>
      </c>
      <c r="AS78" s="4">
        <f t="shared" si="30"/>
        <v>46162</v>
      </c>
      <c r="AT78" s="1" t="str">
        <f t="shared" si="25"/>
        <v>Ok</v>
      </c>
      <c r="AV78" s="1">
        <f t="shared" si="26"/>
        <v>6</v>
      </c>
      <c r="AW78" s="4">
        <f t="shared" si="31"/>
        <v>45458</v>
      </c>
      <c r="AX78" s="1" t="str">
        <f t="shared" si="27"/>
        <v>Ok</v>
      </c>
    </row>
    <row r="79" spans="34:50" hidden="1" x14ac:dyDescent="0.25">
      <c r="AH79" s="1">
        <f t="shared" si="20"/>
        <v>1</v>
      </c>
      <c r="AI79" s="5">
        <f t="shared" si="28"/>
        <v>45673</v>
      </c>
      <c r="AJ79" s="1" t="str">
        <f t="shared" si="21"/>
        <v>Ok</v>
      </c>
      <c r="AK79" s="1"/>
      <c r="AL79" s="1">
        <f t="shared" si="22"/>
        <v>10</v>
      </c>
      <c r="AM79" s="4">
        <f t="shared" si="29"/>
        <v>45953</v>
      </c>
      <c r="AN79" s="1" t="str">
        <f t="shared" si="23"/>
        <v>Ok</v>
      </c>
      <c r="AR79" s="1">
        <f t="shared" si="24"/>
        <v>5</v>
      </c>
      <c r="AS79" s="4">
        <f t="shared" si="30"/>
        <v>46163</v>
      </c>
      <c r="AT79" s="1" t="str">
        <f t="shared" si="25"/>
        <v>Ok</v>
      </c>
      <c r="AV79" s="1">
        <f t="shared" si="26"/>
        <v>6</v>
      </c>
      <c r="AW79" s="4">
        <f t="shared" si="31"/>
        <v>45459</v>
      </c>
      <c r="AX79" s="1" t="str">
        <f t="shared" si="27"/>
        <v>Ok</v>
      </c>
    </row>
    <row r="80" spans="34:50" hidden="1" x14ac:dyDescent="0.25">
      <c r="AH80" s="1">
        <f t="shared" si="20"/>
        <v>1</v>
      </c>
      <c r="AI80" s="5">
        <f t="shared" si="28"/>
        <v>45674</v>
      </c>
      <c r="AJ80" s="1" t="str">
        <f t="shared" si="21"/>
        <v>Ok</v>
      </c>
      <c r="AK80" s="1"/>
      <c r="AL80" s="1">
        <f t="shared" si="22"/>
        <v>10</v>
      </c>
      <c r="AM80" s="4">
        <f t="shared" si="29"/>
        <v>45954</v>
      </c>
      <c r="AN80" s="1" t="str">
        <f t="shared" si="23"/>
        <v>Ok</v>
      </c>
      <c r="AR80" s="1">
        <f t="shared" si="24"/>
        <v>5</v>
      </c>
      <c r="AS80" s="4">
        <f t="shared" si="30"/>
        <v>46164</v>
      </c>
      <c r="AT80" s="1" t="str">
        <f t="shared" si="25"/>
        <v>Ok</v>
      </c>
      <c r="AV80" s="1">
        <f t="shared" si="26"/>
        <v>6</v>
      </c>
      <c r="AW80" s="4">
        <f t="shared" si="31"/>
        <v>45460</v>
      </c>
      <c r="AX80" s="1" t="str">
        <f t="shared" si="27"/>
        <v>Ok</v>
      </c>
    </row>
    <row r="81" spans="34:50" hidden="1" x14ac:dyDescent="0.25">
      <c r="AH81" s="1">
        <f t="shared" si="20"/>
        <v>1</v>
      </c>
      <c r="AI81" s="5">
        <f t="shared" si="28"/>
        <v>45675</v>
      </c>
      <c r="AJ81" s="1" t="str">
        <f t="shared" si="21"/>
        <v>Ok</v>
      </c>
      <c r="AK81" s="1"/>
      <c r="AL81" s="1">
        <f t="shared" si="22"/>
        <v>10</v>
      </c>
      <c r="AM81" s="4">
        <f t="shared" si="29"/>
        <v>45955</v>
      </c>
      <c r="AN81" s="1" t="str">
        <f t="shared" si="23"/>
        <v>Ok</v>
      </c>
      <c r="AR81" s="1">
        <f t="shared" si="24"/>
        <v>5</v>
      </c>
      <c r="AS81" s="4">
        <f t="shared" si="30"/>
        <v>46165</v>
      </c>
      <c r="AT81" s="1" t="str">
        <f t="shared" si="25"/>
        <v>Ok</v>
      </c>
      <c r="AV81" s="1">
        <f t="shared" si="26"/>
        <v>6</v>
      </c>
      <c r="AW81" s="4">
        <f t="shared" si="31"/>
        <v>45461</v>
      </c>
      <c r="AX81" s="1" t="str">
        <f t="shared" si="27"/>
        <v>Ok</v>
      </c>
    </row>
    <row r="82" spans="34:50" hidden="1" x14ac:dyDescent="0.25">
      <c r="AH82" s="1">
        <f t="shared" si="20"/>
        <v>1</v>
      </c>
      <c r="AI82" s="5">
        <f t="shared" si="28"/>
        <v>45676</v>
      </c>
      <c r="AJ82" s="1" t="str">
        <f t="shared" si="21"/>
        <v>Ok</v>
      </c>
      <c r="AK82" s="1"/>
      <c r="AL82" s="1">
        <f t="shared" si="22"/>
        <v>10</v>
      </c>
      <c r="AM82" s="4">
        <f t="shared" si="29"/>
        <v>45956</v>
      </c>
      <c r="AN82" s="1" t="str">
        <f t="shared" si="23"/>
        <v>Ok</v>
      </c>
      <c r="AR82" s="1">
        <f t="shared" si="24"/>
        <v>5</v>
      </c>
      <c r="AS82" s="4">
        <f t="shared" si="30"/>
        <v>46166</v>
      </c>
      <c r="AT82" s="1" t="str">
        <f t="shared" si="25"/>
        <v>Ok</v>
      </c>
      <c r="AV82" s="1">
        <f t="shared" si="26"/>
        <v>6</v>
      </c>
      <c r="AW82" s="4">
        <f t="shared" si="31"/>
        <v>45462</v>
      </c>
      <c r="AX82" s="1" t="str">
        <f t="shared" si="27"/>
        <v>Ok</v>
      </c>
    </row>
    <row r="83" spans="34:50" hidden="1" x14ac:dyDescent="0.25">
      <c r="AH83" s="1">
        <f t="shared" si="20"/>
        <v>1</v>
      </c>
      <c r="AI83" s="5">
        <f t="shared" si="28"/>
        <v>45677</v>
      </c>
      <c r="AJ83" s="1" t="str">
        <f t="shared" si="21"/>
        <v>Ok</v>
      </c>
      <c r="AK83" s="1"/>
      <c r="AL83" s="1">
        <f t="shared" si="22"/>
        <v>10</v>
      </c>
      <c r="AM83" s="4">
        <f t="shared" si="29"/>
        <v>45957</v>
      </c>
      <c r="AN83" s="1" t="str">
        <f t="shared" si="23"/>
        <v>Ok</v>
      </c>
      <c r="AR83" s="1">
        <f t="shared" si="24"/>
        <v>5</v>
      </c>
      <c r="AS83" s="4">
        <f t="shared" si="30"/>
        <v>46167</v>
      </c>
      <c r="AT83" s="1" t="str">
        <f t="shared" si="25"/>
        <v>Ok</v>
      </c>
      <c r="AV83" s="1">
        <f t="shared" si="26"/>
        <v>6</v>
      </c>
      <c r="AW83" s="4">
        <f t="shared" si="31"/>
        <v>45463</v>
      </c>
      <c r="AX83" s="1" t="str">
        <f t="shared" si="27"/>
        <v>Ok</v>
      </c>
    </row>
    <row r="84" spans="34:50" hidden="1" x14ac:dyDescent="0.25">
      <c r="AH84" s="1">
        <f t="shared" si="20"/>
        <v>1</v>
      </c>
      <c r="AI84" s="5">
        <f t="shared" si="28"/>
        <v>45678</v>
      </c>
      <c r="AJ84" s="1" t="str">
        <f t="shared" si="21"/>
        <v>Ok</v>
      </c>
      <c r="AK84" s="1"/>
      <c r="AL84" s="1">
        <f t="shared" si="22"/>
        <v>10</v>
      </c>
      <c r="AM84" s="4">
        <f t="shared" si="29"/>
        <v>45958</v>
      </c>
      <c r="AN84" s="1" t="str">
        <f t="shared" si="23"/>
        <v>Ok</v>
      </c>
      <c r="AR84" s="1">
        <f t="shared" si="24"/>
        <v>5</v>
      </c>
      <c r="AS84" s="4">
        <f t="shared" si="30"/>
        <v>46168</v>
      </c>
      <c r="AT84" s="1" t="str">
        <f t="shared" si="25"/>
        <v>Ok</v>
      </c>
      <c r="AV84" s="1">
        <f t="shared" si="26"/>
        <v>6</v>
      </c>
      <c r="AW84" s="4">
        <f t="shared" si="31"/>
        <v>45464</v>
      </c>
      <c r="AX84" s="1" t="str">
        <f t="shared" si="27"/>
        <v>Ok</v>
      </c>
    </row>
    <row r="85" spans="34:50" hidden="1" x14ac:dyDescent="0.25">
      <c r="AH85" s="1">
        <f t="shared" si="20"/>
        <v>1</v>
      </c>
      <c r="AI85" s="5">
        <f t="shared" si="28"/>
        <v>45679</v>
      </c>
      <c r="AJ85" s="1" t="str">
        <f t="shared" si="21"/>
        <v>Ok</v>
      </c>
      <c r="AK85" s="1"/>
      <c r="AL85" s="1">
        <f t="shared" si="22"/>
        <v>10</v>
      </c>
      <c r="AM85" s="4">
        <f t="shared" si="29"/>
        <v>45959</v>
      </c>
      <c r="AN85" s="1" t="str">
        <f t="shared" si="23"/>
        <v>Ok</v>
      </c>
      <c r="AR85" s="1">
        <f t="shared" si="24"/>
        <v>5</v>
      </c>
      <c r="AS85" s="4">
        <f t="shared" si="30"/>
        <v>46169</v>
      </c>
      <c r="AT85" s="1" t="str">
        <f t="shared" si="25"/>
        <v>Ok</v>
      </c>
      <c r="AV85" s="1">
        <f t="shared" si="26"/>
        <v>6</v>
      </c>
      <c r="AW85" s="4">
        <f t="shared" si="31"/>
        <v>45465</v>
      </c>
      <c r="AX85" s="1" t="str">
        <f t="shared" si="27"/>
        <v>Ok</v>
      </c>
    </row>
    <row r="86" spans="34:50" hidden="1" x14ac:dyDescent="0.25">
      <c r="AH86" s="1">
        <f t="shared" si="20"/>
        <v>1</v>
      </c>
      <c r="AI86" s="5">
        <f t="shared" si="28"/>
        <v>45680</v>
      </c>
      <c r="AJ86" s="1" t="str">
        <f t="shared" si="21"/>
        <v>Ok</v>
      </c>
      <c r="AK86" s="1"/>
      <c r="AL86" s="1">
        <f t="shared" si="22"/>
        <v>10</v>
      </c>
      <c r="AM86" s="4">
        <f t="shared" si="29"/>
        <v>45960</v>
      </c>
      <c r="AN86" s="1" t="str">
        <f t="shared" si="23"/>
        <v>Ok</v>
      </c>
      <c r="AR86" s="1">
        <f t="shared" si="24"/>
        <v>5</v>
      </c>
      <c r="AS86" s="4">
        <f t="shared" si="30"/>
        <v>46170</v>
      </c>
      <c r="AT86" s="1" t="str">
        <f t="shared" si="25"/>
        <v>Ok</v>
      </c>
      <c r="AV86" s="1">
        <f t="shared" si="26"/>
        <v>6</v>
      </c>
      <c r="AW86" s="4">
        <f t="shared" si="31"/>
        <v>45466</v>
      </c>
      <c r="AX86" s="1" t="str">
        <f t="shared" si="27"/>
        <v>Ok</v>
      </c>
    </row>
    <row r="87" spans="34:50" hidden="1" x14ac:dyDescent="0.25">
      <c r="AH87" s="1">
        <f t="shared" si="20"/>
        <v>1</v>
      </c>
      <c r="AI87" s="5">
        <f t="shared" si="28"/>
        <v>45681</v>
      </c>
      <c r="AJ87" s="1" t="str">
        <f t="shared" si="21"/>
        <v>Ok</v>
      </c>
      <c r="AK87" s="1"/>
      <c r="AL87" s="1">
        <f t="shared" si="22"/>
        <v>10</v>
      </c>
      <c r="AM87" s="4">
        <f t="shared" si="29"/>
        <v>45961</v>
      </c>
      <c r="AN87" s="1" t="str">
        <f t="shared" si="23"/>
        <v>Ok</v>
      </c>
      <c r="AR87" s="1">
        <f t="shared" si="24"/>
        <v>5</v>
      </c>
      <c r="AS87" s="4">
        <f t="shared" si="30"/>
        <v>46171</v>
      </c>
      <c r="AT87" s="1" t="str">
        <f t="shared" si="25"/>
        <v>Ok</v>
      </c>
      <c r="AV87" s="1">
        <f t="shared" si="26"/>
        <v>6</v>
      </c>
      <c r="AW87" s="4">
        <f t="shared" si="31"/>
        <v>45467</v>
      </c>
      <c r="AX87" s="1" t="str">
        <f t="shared" si="27"/>
        <v>Ok</v>
      </c>
    </row>
    <row r="88" spans="34:50" hidden="1" x14ac:dyDescent="0.25">
      <c r="AH88" s="1">
        <f t="shared" si="20"/>
        <v>1</v>
      </c>
      <c r="AI88" s="5">
        <f t="shared" si="28"/>
        <v>45682</v>
      </c>
      <c r="AJ88" s="1" t="str">
        <f t="shared" si="21"/>
        <v>Ok</v>
      </c>
      <c r="AK88" s="1"/>
      <c r="AL88" s="1">
        <f t="shared" si="22"/>
        <v>11</v>
      </c>
      <c r="AM88" s="4">
        <f t="shared" si="29"/>
        <v>45962</v>
      </c>
      <c r="AN88" s="1" t="str">
        <f t="shared" si="23"/>
        <v>Ok</v>
      </c>
      <c r="AR88" s="1">
        <f t="shared" si="24"/>
        <v>5</v>
      </c>
      <c r="AS88" s="4">
        <f t="shared" si="30"/>
        <v>46172</v>
      </c>
      <c r="AT88" s="1" t="str">
        <f t="shared" si="25"/>
        <v>Ok</v>
      </c>
      <c r="AV88" s="1">
        <f t="shared" si="26"/>
        <v>6</v>
      </c>
      <c r="AW88" s="4">
        <f t="shared" si="31"/>
        <v>45468</v>
      </c>
      <c r="AX88" s="1" t="str">
        <f t="shared" si="27"/>
        <v>Ok</v>
      </c>
    </row>
    <row r="89" spans="34:50" hidden="1" x14ac:dyDescent="0.25">
      <c r="AH89" s="1">
        <f t="shared" si="20"/>
        <v>1</v>
      </c>
      <c r="AI89" s="5">
        <f t="shared" si="28"/>
        <v>45683</v>
      </c>
      <c r="AJ89" s="1" t="str">
        <f t="shared" si="21"/>
        <v>Ok</v>
      </c>
      <c r="AK89" s="1"/>
      <c r="AL89" s="1">
        <f t="shared" si="22"/>
        <v>11</v>
      </c>
      <c r="AM89" s="4">
        <f t="shared" si="29"/>
        <v>45963</v>
      </c>
      <c r="AN89" s="1" t="str">
        <f t="shared" si="23"/>
        <v>Ok</v>
      </c>
      <c r="AR89" s="1">
        <f t="shared" si="24"/>
        <v>5</v>
      </c>
      <c r="AS89" s="4">
        <f t="shared" si="30"/>
        <v>46173</v>
      </c>
      <c r="AT89" s="1" t="str">
        <f t="shared" si="25"/>
        <v>Ok</v>
      </c>
      <c r="AV89" s="1">
        <f t="shared" si="26"/>
        <v>6</v>
      </c>
      <c r="AW89" s="4">
        <f t="shared" si="31"/>
        <v>45469</v>
      </c>
      <c r="AX89" s="1" t="str">
        <f t="shared" si="27"/>
        <v>Ok</v>
      </c>
    </row>
    <row r="90" spans="34:50" hidden="1" x14ac:dyDescent="0.25">
      <c r="AH90" s="1">
        <f t="shared" si="20"/>
        <v>1</v>
      </c>
      <c r="AI90" s="5">
        <f t="shared" si="28"/>
        <v>45684</v>
      </c>
      <c r="AJ90" s="1" t="str">
        <f t="shared" si="21"/>
        <v>Ok</v>
      </c>
      <c r="AK90" s="1"/>
      <c r="AL90" s="1">
        <f t="shared" si="22"/>
        <v>11</v>
      </c>
      <c r="AM90" s="4">
        <f t="shared" si="29"/>
        <v>45964</v>
      </c>
      <c r="AN90" s="1" t="str">
        <f t="shared" si="23"/>
        <v>Ok</v>
      </c>
      <c r="AR90" s="1">
        <f t="shared" si="24"/>
        <v>6</v>
      </c>
      <c r="AS90" s="4">
        <f t="shared" si="30"/>
        <v>46174</v>
      </c>
      <c r="AT90" s="1" t="str">
        <f t="shared" si="25"/>
        <v>Ok</v>
      </c>
      <c r="AV90" s="1">
        <f t="shared" si="26"/>
        <v>6</v>
      </c>
      <c r="AW90" s="4">
        <f t="shared" si="31"/>
        <v>45470</v>
      </c>
      <c r="AX90" s="1" t="str">
        <f t="shared" si="27"/>
        <v>Ok</v>
      </c>
    </row>
    <row r="91" spans="34:50" hidden="1" x14ac:dyDescent="0.25">
      <c r="AH91" s="1">
        <f t="shared" si="20"/>
        <v>1</v>
      </c>
      <c r="AI91" s="5">
        <f t="shared" si="28"/>
        <v>45685</v>
      </c>
      <c r="AJ91" s="1" t="str">
        <f t="shared" si="21"/>
        <v>Ok</v>
      </c>
      <c r="AK91" s="1"/>
      <c r="AL91" s="1">
        <f t="shared" si="22"/>
        <v>11</v>
      </c>
      <c r="AM91" s="4">
        <f t="shared" si="29"/>
        <v>45965</v>
      </c>
      <c r="AN91" s="1" t="str">
        <f t="shared" si="23"/>
        <v>Ok</v>
      </c>
      <c r="AR91" s="1">
        <f t="shared" si="24"/>
        <v>6</v>
      </c>
      <c r="AS91" s="4">
        <f t="shared" si="30"/>
        <v>46175</v>
      </c>
      <c r="AT91" s="1" t="str">
        <f t="shared" si="25"/>
        <v>Ok</v>
      </c>
      <c r="AV91" s="1">
        <f t="shared" si="26"/>
        <v>6</v>
      </c>
      <c r="AW91" s="4">
        <f t="shared" si="31"/>
        <v>45471</v>
      </c>
      <c r="AX91" s="1" t="str">
        <f t="shared" si="27"/>
        <v>Ok</v>
      </c>
    </row>
    <row r="92" spans="34:50" hidden="1" x14ac:dyDescent="0.25">
      <c r="AH92" s="1">
        <f t="shared" si="20"/>
        <v>1</v>
      </c>
      <c r="AI92" s="5">
        <f t="shared" si="28"/>
        <v>45686</v>
      </c>
      <c r="AJ92" s="1" t="str">
        <f t="shared" si="21"/>
        <v>Ok</v>
      </c>
      <c r="AK92" s="1"/>
      <c r="AL92" s="1">
        <f t="shared" si="22"/>
        <v>11</v>
      </c>
      <c r="AM92" s="4">
        <f t="shared" si="29"/>
        <v>45966</v>
      </c>
      <c r="AN92" s="1" t="str">
        <f t="shared" si="23"/>
        <v>Ok</v>
      </c>
      <c r="AR92" s="1">
        <f t="shared" si="24"/>
        <v>6</v>
      </c>
      <c r="AS92" s="4">
        <f t="shared" si="30"/>
        <v>46176</v>
      </c>
      <c r="AT92" s="1" t="str">
        <f t="shared" si="25"/>
        <v>Ok</v>
      </c>
      <c r="AV92" s="1">
        <f t="shared" si="26"/>
        <v>6</v>
      </c>
      <c r="AW92" s="4">
        <f t="shared" si="31"/>
        <v>45472</v>
      </c>
      <c r="AX92" s="1" t="str">
        <f t="shared" si="27"/>
        <v>Ok</v>
      </c>
    </row>
    <row r="93" spans="34:50" hidden="1" x14ac:dyDescent="0.25">
      <c r="AH93" s="1">
        <f t="shared" si="20"/>
        <v>1</v>
      </c>
      <c r="AI93" s="5">
        <f t="shared" si="28"/>
        <v>45687</v>
      </c>
      <c r="AJ93" s="1" t="str">
        <f t="shared" si="21"/>
        <v>Ok</v>
      </c>
      <c r="AK93" s="1"/>
      <c r="AL93" s="1">
        <f t="shared" si="22"/>
        <v>11</v>
      </c>
      <c r="AM93" s="4">
        <f t="shared" si="29"/>
        <v>45967</v>
      </c>
      <c r="AN93" s="1" t="str">
        <f t="shared" si="23"/>
        <v>Ok</v>
      </c>
      <c r="AR93" s="1">
        <f t="shared" si="24"/>
        <v>6</v>
      </c>
      <c r="AS93" s="4">
        <f t="shared" si="30"/>
        <v>46177</v>
      </c>
      <c r="AT93" s="1" t="str">
        <f t="shared" si="25"/>
        <v>Ok</v>
      </c>
      <c r="AV93" s="1">
        <f t="shared" si="26"/>
        <v>6</v>
      </c>
      <c r="AW93" s="4">
        <f t="shared" si="31"/>
        <v>45473</v>
      </c>
      <c r="AX93" s="1" t="str">
        <f t="shared" si="27"/>
        <v>Ok</v>
      </c>
    </row>
    <row r="94" spans="34:50" hidden="1" x14ac:dyDescent="0.25">
      <c r="AH94" s="1">
        <f t="shared" si="20"/>
        <v>1</v>
      </c>
      <c r="AI94" s="5">
        <f t="shared" si="28"/>
        <v>45688</v>
      </c>
      <c r="AJ94" s="1" t="str">
        <f t="shared" si="21"/>
        <v>Não</v>
      </c>
      <c r="AK94" s="1"/>
      <c r="AL94" s="1">
        <f t="shared" si="22"/>
        <v>11</v>
      </c>
      <c r="AM94" s="4">
        <f t="shared" si="29"/>
        <v>45968</v>
      </c>
      <c r="AN94" s="1" t="str">
        <f t="shared" si="23"/>
        <v>Não</v>
      </c>
      <c r="AR94" s="1">
        <f t="shared" si="24"/>
        <v>6</v>
      </c>
      <c r="AS94" s="4">
        <f t="shared" si="30"/>
        <v>46178</v>
      </c>
      <c r="AT94" s="1" t="str">
        <f t="shared" si="25"/>
        <v>Não</v>
      </c>
      <c r="AV94" s="1">
        <f t="shared" si="26"/>
        <v>7</v>
      </c>
      <c r="AW94" s="4">
        <f t="shared" si="31"/>
        <v>45474</v>
      </c>
      <c r="AX94" s="1" t="str">
        <f t="shared" si="27"/>
        <v>Ok</v>
      </c>
    </row>
    <row r="95" spans="34:50" hidden="1" x14ac:dyDescent="0.25">
      <c r="AH95" s="1">
        <f t="shared" si="20"/>
        <v>2</v>
      </c>
      <c r="AI95" s="5">
        <f t="shared" si="28"/>
        <v>45689</v>
      </c>
      <c r="AJ95" s="1" t="str">
        <f t="shared" si="21"/>
        <v>Não</v>
      </c>
      <c r="AK95" s="1"/>
      <c r="AL95" s="1">
        <f t="shared" si="22"/>
        <v>11</v>
      </c>
      <c r="AM95" s="4">
        <f t="shared" si="29"/>
        <v>45969</v>
      </c>
      <c r="AN95" s="1" t="str">
        <f t="shared" si="23"/>
        <v>Não</v>
      </c>
      <c r="AR95" s="1">
        <f t="shared" si="24"/>
        <v>6</v>
      </c>
      <c r="AS95" s="4">
        <f t="shared" si="30"/>
        <v>46179</v>
      </c>
      <c r="AT95" s="1" t="str">
        <f t="shared" si="25"/>
        <v>Não</v>
      </c>
      <c r="AV95" s="1">
        <f t="shared" si="26"/>
        <v>7</v>
      </c>
      <c r="AW95" s="4">
        <f t="shared" si="31"/>
        <v>45475</v>
      </c>
      <c r="AX95" s="1" t="str">
        <f t="shared" si="27"/>
        <v>Ok</v>
      </c>
    </row>
    <row r="96" spans="34:50" hidden="1" x14ac:dyDescent="0.25">
      <c r="AH96" s="1">
        <f t="shared" si="20"/>
        <v>2</v>
      </c>
      <c r="AI96" s="5">
        <f t="shared" si="28"/>
        <v>45690</v>
      </c>
      <c r="AJ96" s="1" t="str">
        <f t="shared" si="21"/>
        <v>Não</v>
      </c>
      <c r="AK96" s="1"/>
      <c r="AL96" s="1">
        <f t="shared" si="22"/>
        <v>11</v>
      </c>
      <c r="AM96" s="4">
        <f t="shared" si="29"/>
        <v>45970</v>
      </c>
      <c r="AN96" s="1" t="str">
        <f t="shared" si="23"/>
        <v>Não</v>
      </c>
      <c r="AR96" s="1">
        <f t="shared" si="24"/>
        <v>6</v>
      </c>
      <c r="AS96" s="4">
        <f t="shared" si="30"/>
        <v>46180</v>
      </c>
      <c r="AT96" s="1" t="str">
        <f t="shared" si="25"/>
        <v>Não</v>
      </c>
      <c r="AV96" s="1">
        <f t="shared" si="26"/>
        <v>7</v>
      </c>
      <c r="AW96" s="4">
        <f t="shared" si="31"/>
        <v>45476</v>
      </c>
      <c r="AX96" s="1" t="str">
        <f t="shared" si="27"/>
        <v>Ok</v>
      </c>
    </row>
    <row r="97" spans="34:50" hidden="1" x14ac:dyDescent="0.25">
      <c r="AH97" s="1">
        <f t="shared" si="20"/>
        <v>2</v>
      </c>
      <c r="AI97" s="5">
        <f t="shared" si="28"/>
        <v>45691</v>
      </c>
      <c r="AJ97" s="1" t="str">
        <f t="shared" si="21"/>
        <v>Não</v>
      </c>
      <c r="AK97" s="1"/>
      <c r="AL97" s="1">
        <f t="shared" si="22"/>
        <v>11</v>
      </c>
      <c r="AM97" s="4">
        <f t="shared" si="29"/>
        <v>45971</v>
      </c>
      <c r="AN97" s="1" t="str">
        <f t="shared" si="23"/>
        <v>Não</v>
      </c>
      <c r="AR97" s="1">
        <f t="shared" si="24"/>
        <v>6</v>
      </c>
      <c r="AS97" s="4">
        <f t="shared" si="30"/>
        <v>46181</v>
      </c>
      <c r="AT97" s="1" t="str">
        <f t="shared" si="25"/>
        <v>Não</v>
      </c>
      <c r="AV97" s="1">
        <f t="shared" si="26"/>
        <v>7</v>
      </c>
      <c r="AW97" s="4">
        <f t="shared" si="31"/>
        <v>45477</v>
      </c>
      <c r="AX97" s="1" t="str">
        <f t="shared" si="27"/>
        <v>Ok</v>
      </c>
    </row>
    <row r="98" spans="34:50" hidden="1" x14ac:dyDescent="0.25">
      <c r="AH98" s="1">
        <f t="shared" si="20"/>
        <v>2</v>
      </c>
      <c r="AI98" s="5">
        <f t="shared" si="28"/>
        <v>45692</v>
      </c>
      <c r="AJ98" s="1" t="str">
        <f t="shared" si="21"/>
        <v>Não</v>
      </c>
      <c r="AK98" s="1"/>
      <c r="AL98" s="1">
        <f t="shared" si="22"/>
        <v>11</v>
      </c>
      <c r="AM98" s="4">
        <f t="shared" si="29"/>
        <v>45972</v>
      </c>
      <c r="AN98" s="1" t="str">
        <f t="shared" si="23"/>
        <v>Não</v>
      </c>
      <c r="AR98" s="1">
        <f t="shared" si="24"/>
        <v>6</v>
      </c>
      <c r="AS98" s="4">
        <f t="shared" si="30"/>
        <v>46182</v>
      </c>
      <c r="AT98" s="1" t="str">
        <f t="shared" si="25"/>
        <v>Não</v>
      </c>
      <c r="AV98" s="1">
        <f t="shared" si="26"/>
        <v>7</v>
      </c>
      <c r="AW98" s="4">
        <f t="shared" si="31"/>
        <v>45478</v>
      </c>
      <c r="AX98" s="1" t="str">
        <f t="shared" si="27"/>
        <v>Ok</v>
      </c>
    </row>
    <row r="99" spans="34:50" hidden="1" x14ac:dyDescent="0.25">
      <c r="AH99" s="1">
        <f t="shared" si="20"/>
        <v>2</v>
      </c>
      <c r="AI99" s="5">
        <f t="shared" si="28"/>
        <v>45693</v>
      </c>
      <c r="AJ99" s="1" t="str">
        <f t="shared" si="21"/>
        <v>Não</v>
      </c>
      <c r="AK99" s="1"/>
      <c r="AL99" s="1">
        <f t="shared" si="22"/>
        <v>11</v>
      </c>
      <c r="AM99" s="4">
        <f t="shared" si="29"/>
        <v>45973</v>
      </c>
      <c r="AN99" s="1" t="str">
        <f t="shared" si="23"/>
        <v>Não</v>
      </c>
      <c r="AR99" s="1">
        <f t="shared" si="24"/>
        <v>6</v>
      </c>
      <c r="AS99" s="4">
        <f t="shared" si="30"/>
        <v>46183</v>
      </c>
      <c r="AT99" s="1" t="str">
        <f t="shared" si="25"/>
        <v>Não</v>
      </c>
      <c r="AV99" s="1">
        <f t="shared" si="26"/>
        <v>7</v>
      </c>
      <c r="AW99" s="4">
        <f t="shared" si="31"/>
        <v>45479</v>
      </c>
      <c r="AX99" s="1" t="str">
        <f t="shared" si="27"/>
        <v>Ok</v>
      </c>
    </row>
    <row r="100" spans="34:50" hidden="1" x14ac:dyDescent="0.25">
      <c r="AH100" s="1">
        <f t="shared" si="20"/>
        <v>2</v>
      </c>
      <c r="AI100" s="5">
        <f t="shared" si="28"/>
        <v>45694</v>
      </c>
      <c r="AJ100" s="1" t="str">
        <f t="shared" si="21"/>
        <v>Não</v>
      </c>
      <c r="AK100" s="1"/>
      <c r="AL100" s="1">
        <f t="shared" si="22"/>
        <v>11</v>
      </c>
      <c r="AM100" s="4">
        <f t="shared" si="29"/>
        <v>45974</v>
      </c>
      <c r="AN100" s="1" t="str">
        <f t="shared" si="23"/>
        <v>Não</v>
      </c>
      <c r="AR100" s="1">
        <f t="shared" si="24"/>
        <v>6</v>
      </c>
      <c r="AS100" s="4">
        <f t="shared" si="30"/>
        <v>46184</v>
      </c>
      <c r="AT100" s="1" t="str">
        <f t="shared" si="25"/>
        <v>Não</v>
      </c>
      <c r="AV100" s="1">
        <f t="shared" si="26"/>
        <v>7</v>
      </c>
      <c r="AW100" s="4">
        <f t="shared" si="31"/>
        <v>45480</v>
      </c>
      <c r="AX100" s="1" t="str">
        <f t="shared" si="27"/>
        <v>Ok</v>
      </c>
    </row>
    <row r="101" spans="34:50" hidden="1" x14ac:dyDescent="0.25">
      <c r="AH101" s="1">
        <f t="shared" si="20"/>
        <v>2</v>
      </c>
      <c r="AI101" s="5">
        <f t="shared" si="28"/>
        <v>45695</v>
      </c>
      <c r="AJ101" s="1" t="str">
        <f t="shared" si="21"/>
        <v>Não</v>
      </c>
      <c r="AK101" s="1"/>
      <c r="AL101" s="1">
        <f t="shared" si="22"/>
        <v>11</v>
      </c>
      <c r="AM101" s="4">
        <f t="shared" si="29"/>
        <v>45975</v>
      </c>
      <c r="AN101" s="1" t="str">
        <f t="shared" si="23"/>
        <v>Não</v>
      </c>
      <c r="AR101" s="1">
        <f t="shared" si="24"/>
        <v>6</v>
      </c>
      <c r="AS101" s="4">
        <f t="shared" si="30"/>
        <v>46185</v>
      </c>
      <c r="AT101" s="1" t="str">
        <f t="shared" si="25"/>
        <v>Não</v>
      </c>
      <c r="AV101" s="1">
        <f t="shared" si="26"/>
        <v>7</v>
      </c>
      <c r="AW101" s="4">
        <f t="shared" si="31"/>
        <v>45481</v>
      </c>
      <c r="AX101" s="1" t="str">
        <f t="shared" si="27"/>
        <v>Ok</v>
      </c>
    </row>
    <row r="102" spans="34:50" hidden="1" x14ac:dyDescent="0.25">
      <c r="AH102" s="1">
        <f t="shared" si="20"/>
        <v>2</v>
      </c>
      <c r="AI102" s="5">
        <f t="shared" si="28"/>
        <v>45696</v>
      </c>
      <c r="AJ102" s="1" t="str">
        <f t="shared" si="21"/>
        <v>Não</v>
      </c>
      <c r="AK102" s="1"/>
      <c r="AL102" s="1">
        <f t="shared" si="22"/>
        <v>11</v>
      </c>
      <c r="AM102" s="4">
        <f t="shared" si="29"/>
        <v>45976</v>
      </c>
      <c r="AN102" s="1" t="str">
        <f t="shared" si="23"/>
        <v>Não</v>
      </c>
      <c r="AR102" s="1">
        <f t="shared" si="24"/>
        <v>6</v>
      </c>
      <c r="AS102" s="4">
        <f t="shared" si="30"/>
        <v>46186</v>
      </c>
      <c r="AT102" s="1" t="str">
        <f t="shared" si="25"/>
        <v>Não</v>
      </c>
      <c r="AV102" s="1">
        <f t="shared" si="26"/>
        <v>7</v>
      </c>
      <c r="AW102" s="4">
        <f t="shared" si="31"/>
        <v>45482</v>
      </c>
      <c r="AX102" s="1" t="str">
        <f t="shared" si="27"/>
        <v>Ok</v>
      </c>
    </row>
    <row r="103" spans="34:50" hidden="1" x14ac:dyDescent="0.25">
      <c r="AH103" s="1">
        <f t="shared" si="20"/>
        <v>2</v>
      </c>
      <c r="AI103" s="5">
        <f t="shared" si="28"/>
        <v>45697</v>
      </c>
      <c r="AJ103" s="1" t="str">
        <f t="shared" si="21"/>
        <v>Não</v>
      </c>
      <c r="AK103" s="1"/>
      <c r="AL103" s="1">
        <f t="shared" si="22"/>
        <v>11</v>
      </c>
      <c r="AM103" s="4">
        <f t="shared" si="29"/>
        <v>45977</v>
      </c>
      <c r="AN103" s="1" t="str">
        <f t="shared" si="23"/>
        <v>Não</v>
      </c>
      <c r="AR103" s="1">
        <f t="shared" si="24"/>
        <v>6</v>
      </c>
      <c r="AS103" s="4">
        <f t="shared" si="30"/>
        <v>46187</v>
      </c>
      <c r="AT103" s="1" t="str">
        <f t="shared" si="25"/>
        <v>Não</v>
      </c>
      <c r="AV103" s="1">
        <f t="shared" si="26"/>
        <v>7</v>
      </c>
      <c r="AW103" s="4">
        <f t="shared" si="31"/>
        <v>45483</v>
      </c>
      <c r="AX103" s="1" t="str">
        <f t="shared" si="27"/>
        <v>Ok</v>
      </c>
    </row>
    <row r="104" spans="34:50" hidden="1" x14ac:dyDescent="0.25">
      <c r="AH104" s="1">
        <f t="shared" si="20"/>
        <v>2</v>
      </c>
      <c r="AI104" s="5">
        <f t="shared" si="28"/>
        <v>45698</v>
      </c>
      <c r="AJ104" s="1" t="str">
        <f t="shared" si="21"/>
        <v>Não</v>
      </c>
      <c r="AK104" s="1"/>
      <c r="AL104" s="1">
        <f t="shared" si="22"/>
        <v>11</v>
      </c>
      <c r="AM104" s="4">
        <f t="shared" si="29"/>
        <v>45978</v>
      </c>
      <c r="AN104" s="1" t="str">
        <f t="shared" si="23"/>
        <v>Não</v>
      </c>
      <c r="AR104" s="1">
        <f t="shared" si="24"/>
        <v>6</v>
      </c>
      <c r="AS104" s="4">
        <f t="shared" si="30"/>
        <v>46188</v>
      </c>
      <c r="AT104" s="1" t="str">
        <f t="shared" si="25"/>
        <v>Não</v>
      </c>
      <c r="AV104" s="1">
        <f t="shared" si="26"/>
        <v>7</v>
      </c>
      <c r="AW104" s="4">
        <f t="shared" si="31"/>
        <v>45484</v>
      </c>
      <c r="AX104" s="1" t="str">
        <f t="shared" si="27"/>
        <v>Ok</v>
      </c>
    </row>
    <row r="105" spans="34:50" hidden="1" x14ac:dyDescent="0.25">
      <c r="AH105" s="1">
        <f t="shared" si="20"/>
        <v>2</v>
      </c>
      <c r="AI105" s="5">
        <f t="shared" si="28"/>
        <v>45699</v>
      </c>
      <c r="AJ105" s="1" t="str">
        <f t="shared" si="21"/>
        <v>Não</v>
      </c>
      <c r="AK105" s="1"/>
      <c r="AL105" s="1">
        <f t="shared" si="22"/>
        <v>11</v>
      </c>
      <c r="AM105" s="4">
        <f t="shared" si="29"/>
        <v>45979</v>
      </c>
      <c r="AN105" s="1" t="str">
        <f t="shared" si="23"/>
        <v>Não</v>
      </c>
      <c r="AR105" s="1">
        <f t="shared" si="24"/>
        <v>6</v>
      </c>
      <c r="AS105" s="4">
        <f t="shared" si="30"/>
        <v>46189</v>
      </c>
      <c r="AT105" s="1" t="str">
        <f t="shared" si="25"/>
        <v>Não</v>
      </c>
      <c r="AV105" s="1">
        <f t="shared" si="26"/>
        <v>7</v>
      </c>
      <c r="AW105" s="4">
        <f t="shared" si="31"/>
        <v>45485</v>
      </c>
      <c r="AX105" s="1" t="str">
        <f t="shared" si="27"/>
        <v>Ok</v>
      </c>
    </row>
    <row r="106" spans="34:50" hidden="1" x14ac:dyDescent="0.25">
      <c r="AH106" s="1">
        <f t="shared" si="20"/>
        <v>2</v>
      </c>
      <c r="AI106" s="5">
        <f t="shared" si="28"/>
        <v>45700</v>
      </c>
      <c r="AJ106" s="1" t="str">
        <f t="shared" si="21"/>
        <v>Não</v>
      </c>
      <c r="AK106" s="1"/>
      <c r="AL106" s="1">
        <f t="shared" si="22"/>
        <v>11</v>
      </c>
      <c r="AM106" s="4">
        <f t="shared" si="29"/>
        <v>45980</v>
      </c>
      <c r="AN106" s="1" t="str">
        <f t="shared" si="23"/>
        <v>Não</v>
      </c>
      <c r="AR106" s="1">
        <f t="shared" si="24"/>
        <v>6</v>
      </c>
      <c r="AS106" s="4">
        <f t="shared" si="30"/>
        <v>46190</v>
      </c>
      <c r="AT106" s="1" t="str">
        <f t="shared" si="25"/>
        <v>Não</v>
      </c>
      <c r="AV106" s="1">
        <f t="shared" si="26"/>
        <v>7</v>
      </c>
      <c r="AW106" s="4">
        <f t="shared" si="31"/>
        <v>45486</v>
      </c>
      <c r="AX106" s="1" t="str">
        <f t="shared" si="27"/>
        <v>Ok</v>
      </c>
    </row>
    <row r="107" spans="34:50" hidden="1" x14ac:dyDescent="0.25">
      <c r="AH107" s="1">
        <f t="shared" si="20"/>
        <v>2</v>
      </c>
      <c r="AI107" s="5">
        <f t="shared" si="28"/>
        <v>45701</v>
      </c>
      <c r="AJ107" s="1" t="str">
        <f t="shared" si="21"/>
        <v>Não</v>
      </c>
      <c r="AK107" s="1"/>
      <c r="AL107" s="1">
        <f t="shared" si="22"/>
        <v>11</v>
      </c>
      <c r="AM107" s="4">
        <f t="shared" si="29"/>
        <v>45981</v>
      </c>
      <c r="AN107" s="1" t="str">
        <f t="shared" si="23"/>
        <v>Não</v>
      </c>
      <c r="AR107" s="1">
        <f t="shared" si="24"/>
        <v>6</v>
      </c>
      <c r="AS107" s="4">
        <f t="shared" si="30"/>
        <v>46191</v>
      </c>
      <c r="AT107" s="1" t="str">
        <f t="shared" si="25"/>
        <v>Não</v>
      </c>
      <c r="AV107" s="1">
        <f t="shared" si="26"/>
        <v>7</v>
      </c>
      <c r="AW107" s="4">
        <f t="shared" si="31"/>
        <v>45487</v>
      </c>
      <c r="AX107" s="1" t="str">
        <f t="shared" si="27"/>
        <v>Ok</v>
      </c>
    </row>
    <row r="108" spans="34:50" hidden="1" x14ac:dyDescent="0.25">
      <c r="AH108" s="1">
        <f t="shared" si="20"/>
        <v>2</v>
      </c>
      <c r="AI108" s="5">
        <f t="shared" si="28"/>
        <v>45702</v>
      </c>
      <c r="AJ108" s="1" t="str">
        <f t="shared" si="21"/>
        <v>Não</v>
      </c>
      <c r="AK108" s="1"/>
      <c r="AL108" s="1">
        <f t="shared" si="22"/>
        <v>11</v>
      </c>
      <c r="AM108" s="4">
        <f t="shared" si="29"/>
        <v>45982</v>
      </c>
      <c r="AN108" s="1" t="str">
        <f t="shared" si="23"/>
        <v>Não</v>
      </c>
      <c r="AR108" s="1">
        <f t="shared" si="24"/>
        <v>6</v>
      </c>
      <c r="AS108" s="4">
        <f t="shared" si="30"/>
        <v>46192</v>
      </c>
      <c r="AT108" s="1" t="str">
        <f t="shared" si="25"/>
        <v>Não</v>
      </c>
      <c r="AV108" s="1">
        <f t="shared" si="26"/>
        <v>7</v>
      </c>
      <c r="AW108" s="4">
        <f t="shared" si="31"/>
        <v>45488</v>
      </c>
      <c r="AX108" s="1" t="str">
        <f t="shared" si="27"/>
        <v>Ok</v>
      </c>
    </row>
    <row r="109" spans="34:50" hidden="1" x14ac:dyDescent="0.25">
      <c r="AH109" s="1">
        <f t="shared" si="20"/>
        <v>2</v>
      </c>
      <c r="AI109" s="5">
        <f t="shared" si="28"/>
        <v>45703</v>
      </c>
      <c r="AJ109" s="1" t="str">
        <f t="shared" si="21"/>
        <v>Não</v>
      </c>
      <c r="AK109" s="1"/>
      <c r="AL109" s="1">
        <f t="shared" si="22"/>
        <v>11</v>
      </c>
      <c r="AM109" s="4">
        <f t="shared" si="29"/>
        <v>45983</v>
      </c>
      <c r="AN109" s="1" t="str">
        <f t="shared" si="23"/>
        <v>Não</v>
      </c>
      <c r="AR109" s="1">
        <f t="shared" si="24"/>
        <v>6</v>
      </c>
      <c r="AS109" s="4">
        <f t="shared" si="30"/>
        <v>46193</v>
      </c>
      <c r="AT109" s="1" t="str">
        <f t="shared" si="25"/>
        <v>Não</v>
      </c>
      <c r="AV109" s="1">
        <f t="shared" si="26"/>
        <v>7</v>
      </c>
      <c r="AW109" s="4">
        <f t="shared" si="31"/>
        <v>45489</v>
      </c>
      <c r="AX109" s="1" t="str">
        <f t="shared" si="27"/>
        <v>Ok</v>
      </c>
    </row>
    <row r="110" spans="34:50" hidden="1" x14ac:dyDescent="0.25">
      <c r="AH110" s="1">
        <f t="shared" si="20"/>
        <v>2</v>
      </c>
      <c r="AI110" s="5">
        <f t="shared" si="28"/>
        <v>45704</v>
      </c>
      <c r="AJ110" s="1" t="str">
        <f t="shared" si="21"/>
        <v>Não</v>
      </c>
      <c r="AK110" s="1"/>
      <c r="AL110" s="1">
        <f t="shared" si="22"/>
        <v>11</v>
      </c>
      <c r="AM110" s="4">
        <f t="shared" si="29"/>
        <v>45984</v>
      </c>
      <c r="AN110" s="1" t="str">
        <f t="shared" si="23"/>
        <v>Não</v>
      </c>
      <c r="AR110" s="1">
        <f t="shared" si="24"/>
        <v>6</v>
      </c>
      <c r="AS110" s="4">
        <f t="shared" si="30"/>
        <v>46194</v>
      </c>
      <c r="AT110" s="1" t="str">
        <f t="shared" si="25"/>
        <v>Não</v>
      </c>
      <c r="AV110" s="1">
        <f t="shared" si="26"/>
        <v>7</v>
      </c>
      <c r="AW110" s="4">
        <f t="shared" si="31"/>
        <v>45490</v>
      </c>
      <c r="AX110" s="1" t="str">
        <f t="shared" si="27"/>
        <v>Ok</v>
      </c>
    </row>
    <row r="111" spans="34:50" hidden="1" x14ac:dyDescent="0.25">
      <c r="AH111" s="1">
        <f t="shared" si="20"/>
        <v>2</v>
      </c>
      <c r="AI111" s="5">
        <f t="shared" si="28"/>
        <v>45705</v>
      </c>
      <c r="AJ111" s="1" t="str">
        <f t="shared" si="21"/>
        <v>Não</v>
      </c>
      <c r="AK111" s="1"/>
      <c r="AL111" s="1">
        <f t="shared" si="22"/>
        <v>11</v>
      </c>
      <c r="AM111" s="4">
        <f t="shared" si="29"/>
        <v>45985</v>
      </c>
      <c r="AN111" s="1" t="str">
        <f t="shared" si="23"/>
        <v>Não</v>
      </c>
      <c r="AR111" s="1">
        <f t="shared" si="24"/>
        <v>6</v>
      </c>
      <c r="AS111" s="4">
        <f t="shared" si="30"/>
        <v>46195</v>
      </c>
      <c r="AT111" s="1" t="str">
        <f t="shared" si="25"/>
        <v>Não</v>
      </c>
      <c r="AV111" s="1">
        <f t="shared" si="26"/>
        <v>7</v>
      </c>
      <c r="AW111" s="4">
        <f t="shared" si="31"/>
        <v>45491</v>
      </c>
      <c r="AX111" s="1" t="str">
        <f t="shared" si="27"/>
        <v>Ok</v>
      </c>
    </row>
    <row r="112" spans="34:50" hidden="1" x14ac:dyDescent="0.25">
      <c r="AH112" s="1">
        <f t="shared" si="20"/>
        <v>2</v>
      </c>
      <c r="AI112" s="5">
        <f t="shared" si="28"/>
        <v>45706</v>
      </c>
      <c r="AJ112" s="1" t="str">
        <f t="shared" si="21"/>
        <v>Não</v>
      </c>
      <c r="AK112" s="1"/>
      <c r="AL112" s="1">
        <f t="shared" si="22"/>
        <v>11</v>
      </c>
      <c r="AM112" s="4">
        <f t="shared" si="29"/>
        <v>45986</v>
      </c>
      <c r="AN112" s="1" t="str">
        <f t="shared" si="23"/>
        <v>Não</v>
      </c>
      <c r="AR112" s="1">
        <f t="shared" si="24"/>
        <v>6</v>
      </c>
      <c r="AS112" s="4">
        <f t="shared" si="30"/>
        <v>46196</v>
      </c>
      <c r="AT112" s="1" t="str">
        <f t="shared" si="25"/>
        <v>Não</v>
      </c>
      <c r="AV112" s="1">
        <f t="shared" si="26"/>
        <v>7</v>
      </c>
      <c r="AW112" s="4">
        <f t="shared" si="31"/>
        <v>45492</v>
      </c>
      <c r="AX112" s="1" t="str">
        <f t="shared" si="27"/>
        <v>Ok</v>
      </c>
    </row>
    <row r="113" spans="34:50" hidden="1" x14ac:dyDescent="0.25">
      <c r="AH113" s="1">
        <f t="shared" si="20"/>
        <v>2</v>
      </c>
      <c r="AI113" s="5">
        <f t="shared" si="28"/>
        <v>45707</v>
      </c>
      <c r="AJ113" s="1" t="str">
        <f t="shared" si="21"/>
        <v>Não</v>
      </c>
      <c r="AK113" s="1"/>
      <c r="AL113" s="1">
        <f t="shared" si="22"/>
        <v>11</v>
      </c>
      <c r="AM113" s="4">
        <f t="shared" si="29"/>
        <v>45987</v>
      </c>
      <c r="AN113" s="1" t="str">
        <f t="shared" si="23"/>
        <v>Não</v>
      </c>
      <c r="AR113" s="1">
        <f t="shared" si="24"/>
        <v>6</v>
      </c>
      <c r="AS113" s="4">
        <f t="shared" si="30"/>
        <v>46197</v>
      </c>
      <c r="AT113" s="1" t="str">
        <f t="shared" si="25"/>
        <v>Não</v>
      </c>
      <c r="AV113" s="1">
        <f t="shared" si="26"/>
        <v>7</v>
      </c>
      <c r="AW113" s="4">
        <f t="shared" si="31"/>
        <v>45493</v>
      </c>
      <c r="AX113" s="1" t="str">
        <f t="shared" si="27"/>
        <v>Ok</v>
      </c>
    </row>
    <row r="114" spans="34:50" hidden="1" x14ac:dyDescent="0.25">
      <c r="AH114" s="1">
        <f t="shared" si="20"/>
        <v>2</v>
      </c>
      <c r="AI114" s="5">
        <f t="shared" si="28"/>
        <v>45708</v>
      </c>
      <c r="AJ114" s="1" t="str">
        <f t="shared" si="21"/>
        <v>Não</v>
      </c>
      <c r="AK114" s="1"/>
      <c r="AL114" s="1">
        <f t="shared" si="22"/>
        <v>11</v>
      </c>
      <c r="AM114" s="4">
        <f t="shared" si="29"/>
        <v>45988</v>
      </c>
      <c r="AN114" s="1" t="str">
        <f t="shared" si="23"/>
        <v>Não</v>
      </c>
      <c r="AR114" s="1">
        <f t="shared" si="24"/>
        <v>6</v>
      </c>
      <c r="AS114" s="4">
        <f t="shared" si="30"/>
        <v>46198</v>
      </c>
      <c r="AT114" s="1" t="str">
        <f t="shared" si="25"/>
        <v>Não</v>
      </c>
      <c r="AV114" s="1">
        <f t="shared" si="26"/>
        <v>7</v>
      </c>
      <c r="AW114" s="4">
        <f t="shared" si="31"/>
        <v>45494</v>
      </c>
      <c r="AX114" s="1" t="str">
        <f t="shared" si="27"/>
        <v>Ok</v>
      </c>
    </row>
    <row r="115" spans="34:50" hidden="1" x14ac:dyDescent="0.25">
      <c r="AH115" s="1">
        <f t="shared" si="20"/>
        <v>2</v>
      </c>
      <c r="AI115" s="5">
        <f t="shared" si="28"/>
        <v>45709</v>
      </c>
      <c r="AJ115" s="1" t="str">
        <f t="shared" si="21"/>
        <v>Não</v>
      </c>
      <c r="AK115" s="1"/>
      <c r="AL115" s="1">
        <f t="shared" si="22"/>
        <v>11</v>
      </c>
      <c r="AM115" s="4">
        <f t="shared" si="29"/>
        <v>45989</v>
      </c>
      <c r="AN115" s="1" t="str">
        <f t="shared" si="23"/>
        <v>Não</v>
      </c>
      <c r="AR115" s="1">
        <f t="shared" si="24"/>
        <v>6</v>
      </c>
      <c r="AS115" s="4">
        <f t="shared" si="30"/>
        <v>46199</v>
      </c>
      <c r="AT115" s="1" t="str">
        <f t="shared" si="25"/>
        <v>Não</v>
      </c>
      <c r="AV115" s="1">
        <f t="shared" si="26"/>
        <v>7</v>
      </c>
      <c r="AW115" s="4">
        <f t="shared" si="31"/>
        <v>45495</v>
      </c>
      <c r="AX115" s="1" t="str">
        <f t="shared" si="27"/>
        <v>Ok</v>
      </c>
    </row>
    <row r="116" spans="34:50" hidden="1" x14ac:dyDescent="0.25">
      <c r="AH116" s="1">
        <f t="shared" si="20"/>
        <v>2</v>
      </c>
      <c r="AI116" s="5">
        <f t="shared" si="28"/>
        <v>45710</v>
      </c>
      <c r="AJ116" s="1" t="str">
        <f t="shared" si="21"/>
        <v>Não</v>
      </c>
      <c r="AK116" s="1"/>
      <c r="AL116" s="1">
        <f t="shared" si="22"/>
        <v>11</v>
      </c>
      <c r="AM116" s="4">
        <f t="shared" si="29"/>
        <v>45990</v>
      </c>
      <c r="AN116" s="1" t="str">
        <f t="shared" si="23"/>
        <v>Não</v>
      </c>
      <c r="AR116" s="1">
        <f t="shared" si="24"/>
        <v>6</v>
      </c>
      <c r="AS116" s="4">
        <f t="shared" si="30"/>
        <v>46200</v>
      </c>
      <c r="AT116" s="1" t="str">
        <f t="shared" si="25"/>
        <v>Não</v>
      </c>
      <c r="AV116" s="1">
        <f t="shared" si="26"/>
        <v>7</v>
      </c>
      <c r="AW116" s="4">
        <f t="shared" si="31"/>
        <v>45496</v>
      </c>
      <c r="AX116" s="1" t="str">
        <f t="shared" si="27"/>
        <v>Ok</v>
      </c>
    </row>
    <row r="117" spans="34:50" hidden="1" x14ac:dyDescent="0.25">
      <c r="AH117" s="1">
        <f t="shared" si="20"/>
        <v>2</v>
      </c>
      <c r="AI117" s="5">
        <f t="shared" si="28"/>
        <v>45711</v>
      </c>
      <c r="AJ117" s="1" t="str">
        <f t="shared" si="21"/>
        <v>Não</v>
      </c>
      <c r="AK117" s="1"/>
      <c r="AL117" s="1">
        <f t="shared" si="22"/>
        <v>11</v>
      </c>
      <c r="AM117" s="4">
        <f t="shared" si="29"/>
        <v>45991</v>
      </c>
      <c r="AN117" s="1" t="str">
        <f t="shared" si="23"/>
        <v>Não</v>
      </c>
      <c r="AR117" s="1">
        <f t="shared" si="24"/>
        <v>6</v>
      </c>
      <c r="AS117" s="4">
        <f t="shared" si="30"/>
        <v>46201</v>
      </c>
      <c r="AT117" s="1" t="str">
        <f t="shared" si="25"/>
        <v>Não</v>
      </c>
      <c r="AV117" s="1">
        <f t="shared" si="26"/>
        <v>7</v>
      </c>
      <c r="AW117" s="4">
        <f t="shared" si="31"/>
        <v>45497</v>
      </c>
      <c r="AX117" s="1" t="str">
        <f t="shared" si="27"/>
        <v>Ok</v>
      </c>
    </row>
    <row r="118" spans="34:50" hidden="1" x14ac:dyDescent="0.25">
      <c r="AH118" s="1">
        <f t="shared" si="20"/>
        <v>2</v>
      </c>
      <c r="AI118" s="5">
        <f t="shared" si="28"/>
        <v>45712</v>
      </c>
      <c r="AJ118" s="1" t="str">
        <f t="shared" si="21"/>
        <v>Não</v>
      </c>
      <c r="AK118" s="1"/>
      <c r="AL118" s="1">
        <f t="shared" si="22"/>
        <v>12</v>
      </c>
      <c r="AM118" s="4">
        <f t="shared" si="29"/>
        <v>45992</v>
      </c>
      <c r="AN118" s="1" t="str">
        <f t="shared" si="23"/>
        <v>Não</v>
      </c>
      <c r="AR118" s="1">
        <f t="shared" si="24"/>
        <v>6</v>
      </c>
      <c r="AS118" s="4">
        <f t="shared" si="30"/>
        <v>46202</v>
      </c>
      <c r="AT118" s="1" t="str">
        <f t="shared" si="25"/>
        <v>Não</v>
      </c>
      <c r="AV118" s="1">
        <f t="shared" si="26"/>
        <v>7</v>
      </c>
      <c r="AW118" s="4">
        <f t="shared" si="31"/>
        <v>45498</v>
      </c>
      <c r="AX118" s="1" t="str">
        <f t="shared" si="27"/>
        <v>Ok</v>
      </c>
    </row>
    <row r="119" spans="34:50" hidden="1" x14ac:dyDescent="0.25">
      <c r="AH119" s="1">
        <f t="shared" si="20"/>
        <v>2</v>
      </c>
      <c r="AI119" s="5">
        <f t="shared" si="28"/>
        <v>45713</v>
      </c>
      <c r="AJ119" s="1" t="str">
        <f t="shared" si="21"/>
        <v>Não</v>
      </c>
      <c r="AK119" s="1"/>
      <c r="AL119" s="1">
        <f t="shared" si="22"/>
        <v>12</v>
      </c>
      <c r="AM119" s="4">
        <f t="shared" si="29"/>
        <v>45993</v>
      </c>
      <c r="AN119" s="1" t="str">
        <f t="shared" si="23"/>
        <v>Não</v>
      </c>
      <c r="AR119" s="1">
        <f t="shared" si="24"/>
        <v>6</v>
      </c>
      <c r="AS119" s="4">
        <f t="shared" si="30"/>
        <v>46203</v>
      </c>
      <c r="AT119" s="1" t="str">
        <f t="shared" si="25"/>
        <v>Não</v>
      </c>
      <c r="AV119" s="1">
        <f t="shared" si="26"/>
        <v>7</v>
      </c>
      <c r="AW119" s="4">
        <f t="shared" si="31"/>
        <v>45499</v>
      </c>
      <c r="AX119" s="1" t="str">
        <f t="shared" si="27"/>
        <v>Ok</v>
      </c>
    </row>
    <row r="120" spans="34:50" hidden="1" x14ac:dyDescent="0.25">
      <c r="AH120" s="1">
        <f t="shared" si="20"/>
        <v>2</v>
      </c>
      <c r="AI120" s="5">
        <f t="shared" si="28"/>
        <v>45714</v>
      </c>
      <c r="AJ120" s="1" t="str">
        <f t="shared" si="21"/>
        <v>Não</v>
      </c>
      <c r="AK120" s="1"/>
      <c r="AL120" s="1">
        <f t="shared" si="22"/>
        <v>12</v>
      </c>
      <c r="AM120" s="4">
        <f t="shared" si="29"/>
        <v>45994</v>
      </c>
      <c r="AN120" s="1" t="str">
        <f t="shared" si="23"/>
        <v>Não</v>
      </c>
      <c r="AR120" s="1">
        <f t="shared" si="24"/>
        <v>7</v>
      </c>
      <c r="AS120" s="4">
        <f t="shared" si="30"/>
        <v>46204</v>
      </c>
      <c r="AT120" s="1" t="str">
        <f t="shared" si="25"/>
        <v>Não</v>
      </c>
      <c r="AV120" s="1">
        <f t="shared" si="26"/>
        <v>7</v>
      </c>
      <c r="AW120" s="4">
        <f t="shared" si="31"/>
        <v>45500</v>
      </c>
      <c r="AX120" s="1" t="str">
        <f t="shared" si="27"/>
        <v>Ok</v>
      </c>
    </row>
    <row r="121" spans="34:50" hidden="1" x14ac:dyDescent="0.25">
      <c r="AH121" s="1">
        <f t="shared" si="20"/>
        <v>2</v>
      </c>
      <c r="AI121" s="5">
        <f t="shared" si="28"/>
        <v>45715</v>
      </c>
      <c r="AJ121" s="1" t="str">
        <f t="shared" si="21"/>
        <v>Não</v>
      </c>
      <c r="AK121" s="1"/>
      <c r="AL121" s="1">
        <f t="shared" si="22"/>
        <v>12</v>
      </c>
      <c r="AM121" s="4">
        <f t="shared" si="29"/>
        <v>45995</v>
      </c>
      <c r="AN121" s="1" t="str">
        <f t="shared" si="23"/>
        <v>Não</v>
      </c>
      <c r="AR121" s="1">
        <f t="shared" si="24"/>
        <v>7</v>
      </c>
      <c r="AS121" s="4">
        <f t="shared" si="30"/>
        <v>46205</v>
      </c>
      <c r="AT121" s="1" t="str">
        <f t="shared" si="25"/>
        <v>Não</v>
      </c>
      <c r="AV121" s="1">
        <f t="shared" si="26"/>
        <v>7</v>
      </c>
      <c r="AW121" s="4">
        <f t="shared" si="31"/>
        <v>45501</v>
      </c>
      <c r="AX121" s="1" t="str">
        <f t="shared" si="27"/>
        <v>Ok</v>
      </c>
    </row>
    <row r="122" spans="34:50" hidden="1" x14ac:dyDescent="0.25">
      <c r="AH122" s="1">
        <f t="shared" si="20"/>
        <v>2</v>
      </c>
      <c r="AI122" s="5">
        <f t="shared" si="28"/>
        <v>45716</v>
      </c>
      <c r="AJ122" s="1" t="str">
        <f t="shared" si="21"/>
        <v>Não</v>
      </c>
      <c r="AK122" s="1"/>
      <c r="AL122" s="1">
        <f t="shared" si="22"/>
        <v>12</v>
      </c>
      <c r="AM122" s="4">
        <f t="shared" si="29"/>
        <v>45996</v>
      </c>
      <c r="AN122" s="1" t="str">
        <f t="shared" si="23"/>
        <v>Não</v>
      </c>
      <c r="AR122" s="1">
        <f t="shared" si="24"/>
        <v>7</v>
      </c>
      <c r="AS122" s="4">
        <f t="shared" si="30"/>
        <v>46206</v>
      </c>
      <c r="AT122" s="1" t="str">
        <f t="shared" si="25"/>
        <v>Não</v>
      </c>
      <c r="AV122" s="1">
        <f t="shared" si="26"/>
        <v>7</v>
      </c>
      <c r="AW122" s="4">
        <f t="shared" si="31"/>
        <v>45502</v>
      </c>
      <c r="AX122" s="1" t="str">
        <f t="shared" si="27"/>
        <v>Ok</v>
      </c>
    </row>
    <row r="123" spans="34:50" hidden="1" x14ac:dyDescent="0.25">
      <c r="AH123" s="1">
        <f t="shared" si="20"/>
        <v>3</v>
      </c>
      <c r="AI123" s="5">
        <f t="shared" si="28"/>
        <v>45717</v>
      </c>
      <c r="AJ123" s="1" t="str">
        <f t="shared" si="21"/>
        <v>Não</v>
      </c>
      <c r="AK123" s="1"/>
      <c r="AL123" s="1">
        <f t="shared" si="22"/>
        <v>12</v>
      </c>
      <c r="AM123" s="4">
        <f t="shared" si="29"/>
        <v>45997</v>
      </c>
      <c r="AN123" s="1" t="str">
        <f t="shared" si="23"/>
        <v>Não</v>
      </c>
      <c r="AR123" s="1">
        <f t="shared" si="24"/>
        <v>7</v>
      </c>
      <c r="AS123" s="4">
        <f t="shared" si="30"/>
        <v>46207</v>
      </c>
      <c r="AT123" s="1" t="str">
        <f t="shared" si="25"/>
        <v>Não</v>
      </c>
      <c r="AV123" s="1">
        <f t="shared" si="26"/>
        <v>7</v>
      </c>
      <c r="AW123" s="4">
        <f t="shared" si="31"/>
        <v>45503</v>
      </c>
      <c r="AX123" s="1" t="str">
        <f t="shared" si="27"/>
        <v>Ok</v>
      </c>
    </row>
    <row r="124" spans="34:50" hidden="1" x14ac:dyDescent="0.25">
      <c r="AH124" s="1">
        <f t="shared" si="20"/>
        <v>3</v>
      </c>
      <c r="AI124" s="5">
        <f t="shared" si="28"/>
        <v>45718</v>
      </c>
      <c r="AJ124" s="1" t="str">
        <f t="shared" si="21"/>
        <v>Não</v>
      </c>
      <c r="AK124" s="1"/>
      <c r="AL124" s="1">
        <f t="shared" si="22"/>
        <v>12</v>
      </c>
      <c r="AM124" s="4">
        <f t="shared" si="29"/>
        <v>45998</v>
      </c>
      <c r="AN124" s="1" t="str">
        <f t="shared" si="23"/>
        <v>Não</v>
      </c>
      <c r="AR124" s="1">
        <f t="shared" si="24"/>
        <v>7</v>
      </c>
      <c r="AS124" s="4">
        <f t="shared" si="30"/>
        <v>46208</v>
      </c>
      <c r="AT124" s="1" t="str">
        <f t="shared" si="25"/>
        <v>Não</v>
      </c>
      <c r="AV124" s="1">
        <f t="shared" si="26"/>
        <v>7</v>
      </c>
      <c r="AW124" s="4">
        <f t="shared" si="31"/>
        <v>45504</v>
      </c>
      <c r="AX124" s="1" t="str">
        <f t="shared" si="27"/>
        <v>Ok</v>
      </c>
    </row>
    <row r="125" spans="34:50" hidden="1" x14ac:dyDescent="0.25">
      <c r="AH125" s="1">
        <f t="shared" si="20"/>
        <v>3</v>
      </c>
      <c r="AI125" s="5">
        <f t="shared" si="28"/>
        <v>45719</v>
      </c>
      <c r="AJ125" s="1" t="str">
        <f t="shared" si="21"/>
        <v>Não</v>
      </c>
      <c r="AK125" s="1"/>
      <c r="AL125" s="1">
        <f t="shared" si="22"/>
        <v>12</v>
      </c>
      <c r="AM125" s="4">
        <f t="shared" si="29"/>
        <v>45999</v>
      </c>
      <c r="AN125" s="1" t="str">
        <f t="shared" si="23"/>
        <v>Não</v>
      </c>
      <c r="AR125" s="1">
        <f t="shared" si="24"/>
        <v>7</v>
      </c>
      <c r="AS125" s="4">
        <f t="shared" si="30"/>
        <v>46209</v>
      </c>
      <c r="AT125" s="1" t="str">
        <f t="shared" si="25"/>
        <v>Não</v>
      </c>
      <c r="AV125" s="1">
        <f t="shared" si="26"/>
        <v>8</v>
      </c>
      <c r="AW125" s="4">
        <f t="shared" si="31"/>
        <v>45505</v>
      </c>
      <c r="AX125" s="1" t="str">
        <f t="shared" si="27"/>
        <v>Ok</v>
      </c>
    </row>
    <row r="126" spans="34:50" hidden="1" x14ac:dyDescent="0.25">
      <c r="AH126" s="1">
        <f t="shared" si="20"/>
        <v>3</v>
      </c>
      <c r="AI126" s="5">
        <f t="shared" si="28"/>
        <v>45720</v>
      </c>
      <c r="AJ126" s="1" t="str">
        <f t="shared" si="21"/>
        <v>Não</v>
      </c>
      <c r="AK126" s="1"/>
      <c r="AL126" s="1">
        <f t="shared" si="22"/>
        <v>12</v>
      </c>
      <c r="AM126" s="4">
        <f t="shared" si="29"/>
        <v>46000</v>
      </c>
      <c r="AN126" s="1" t="str">
        <f t="shared" si="23"/>
        <v>Não</v>
      </c>
      <c r="AR126" s="1">
        <f t="shared" si="24"/>
        <v>7</v>
      </c>
      <c r="AS126" s="4">
        <f t="shared" si="30"/>
        <v>46210</v>
      </c>
      <c r="AT126" s="1" t="str">
        <f t="shared" si="25"/>
        <v>Não</v>
      </c>
      <c r="AV126" s="1">
        <f t="shared" si="26"/>
        <v>8</v>
      </c>
      <c r="AW126" s="4">
        <f t="shared" si="31"/>
        <v>45506</v>
      </c>
      <c r="AX126" s="1" t="str">
        <f t="shared" si="27"/>
        <v>Ok</v>
      </c>
    </row>
    <row r="127" spans="34:50" hidden="1" x14ac:dyDescent="0.25">
      <c r="AH127" s="1">
        <f t="shared" si="20"/>
        <v>3</v>
      </c>
      <c r="AI127" s="5">
        <f t="shared" si="28"/>
        <v>45721</v>
      </c>
      <c r="AJ127" s="1" t="str">
        <f t="shared" si="21"/>
        <v>Não</v>
      </c>
      <c r="AK127" s="1"/>
      <c r="AL127" s="1">
        <f t="shared" si="22"/>
        <v>12</v>
      </c>
      <c r="AM127" s="4">
        <f t="shared" si="29"/>
        <v>46001</v>
      </c>
      <c r="AN127" s="1" t="str">
        <f t="shared" si="23"/>
        <v>Não</v>
      </c>
      <c r="AR127" s="1">
        <f t="shared" si="24"/>
        <v>7</v>
      </c>
      <c r="AS127" s="4">
        <f t="shared" si="30"/>
        <v>46211</v>
      </c>
      <c r="AT127" s="1" t="str">
        <f t="shared" si="25"/>
        <v>Não</v>
      </c>
      <c r="AV127" s="1">
        <f t="shared" si="26"/>
        <v>8</v>
      </c>
      <c r="AW127" s="4">
        <f t="shared" si="31"/>
        <v>45507</v>
      </c>
      <c r="AX127" s="1" t="str">
        <f t="shared" si="27"/>
        <v>Ok</v>
      </c>
    </row>
    <row r="128" spans="34:50" hidden="1" x14ac:dyDescent="0.25">
      <c r="AH128" s="1">
        <f t="shared" si="20"/>
        <v>3</v>
      </c>
      <c r="AI128" s="5">
        <f t="shared" si="28"/>
        <v>45722</v>
      </c>
      <c r="AJ128" s="1" t="str">
        <f t="shared" si="21"/>
        <v>Não</v>
      </c>
      <c r="AK128" s="1"/>
      <c r="AL128" s="1">
        <f t="shared" si="22"/>
        <v>12</v>
      </c>
      <c r="AM128" s="4">
        <f t="shared" si="29"/>
        <v>46002</v>
      </c>
      <c r="AN128" s="1" t="str">
        <f t="shared" si="23"/>
        <v>Não</v>
      </c>
      <c r="AR128" s="1">
        <f t="shared" si="24"/>
        <v>7</v>
      </c>
      <c r="AS128" s="4">
        <f t="shared" si="30"/>
        <v>46212</v>
      </c>
      <c r="AT128" s="1" t="str">
        <f t="shared" si="25"/>
        <v>Não</v>
      </c>
      <c r="AV128" s="1">
        <f t="shared" si="26"/>
        <v>8</v>
      </c>
      <c r="AW128" s="4">
        <f t="shared" si="31"/>
        <v>45508</v>
      </c>
      <c r="AX128" s="1" t="str">
        <f t="shared" si="27"/>
        <v>Ok</v>
      </c>
    </row>
    <row r="129" spans="34:50" hidden="1" x14ac:dyDescent="0.25">
      <c r="AH129" s="1">
        <f t="shared" si="20"/>
        <v>3</v>
      </c>
      <c r="AI129" s="5">
        <f t="shared" si="28"/>
        <v>45723</v>
      </c>
      <c r="AJ129" s="1" t="str">
        <f t="shared" si="21"/>
        <v>Não</v>
      </c>
      <c r="AK129" s="1"/>
      <c r="AL129" s="1">
        <f t="shared" si="22"/>
        <v>12</v>
      </c>
      <c r="AM129" s="4">
        <f t="shared" si="29"/>
        <v>46003</v>
      </c>
      <c r="AN129" s="1" t="str">
        <f t="shared" si="23"/>
        <v>Não</v>
      </c>
      <c r="AR129" s="1">
        <f t="shared" si="24"/>
        <v>7</v>
      </c>
      <c r="AS129" s="4">
        <f t="shared" si="30"/>
        <v>46213</v>
      </c>
      <c r="AT129" s="1" t="str">
        <f t="shared" si="25"/>
        <v>Não</v>
      </c>
      <c r="AV129" s="1">
        <f t="shared" si="26"/>
        <v>8</v>
      </c>
      <c r="AW129" s="4">
        <f t="shared" si="31"/>
        <v>45509</v>
      </c>
      <c r="AX129" s="1" t="str">
        <f t="shared" si="27"/>
        <v>Ok</v>
      </c>
    </row>
    <row r="130" spans="34:50" hidden="1" x14ac:dyDescent="0.25">
      <c r="AH130" s="1">
        <f t="shared" si="20"/>
        <v>3</v>
      </c>
      <c r="AI130" s="5">
        <f t="shared" si="28"/>
        <v>45724</v>
      </c>
      <c r="AJ130" s="1" t="str">
        <f t="shared" si="21"/>
        <v>Não</v>
      </c>
      <c r="AK130" s="1"/>
      <c r="AL130" s="1">
        <f t="shared" si="22"/>
        <v>12</v>
      </c>
      <c r="AM130" s="4">
        <f t="shared" si="29"/>
        <v>46004</v>
      </c>
      <c r="AN130" s="1" t="str">
        <f t="shared" si="23"/>
        <v>Não</v>
      </c>
      <c r="AR130" s="1">
        <f t="shared" si="24"/>
        <v>7</v>
      </c>
      <c r="AS130" s="4">
        <f t="shared" si="30"/>
        <v>46214</v>
      </c>
      <c r="AT130" s="1" t="str">
        <f t="shared" si="25"/>
        <v>Não</v>
      </c>
      <c r="AV130" s="1">
        <f t="shared" si="26"/>
        <v>8</v>
      </c>
      <c r="AW130" s="4">
        <f t="shared" si="31"/>
        <v>45510</v>
      </c>
      <c r="AX130" s="1" t="str">
        <f t="shared" si="27"/>
        <v>Ok</v>
      </c>
    </row>
    <row r="131" spans="34:50" hidden="1" x14ac:dyDescent="0.25">
      <c r="AH131" s="1">
        <f t="shared" ref="AH131:AH194" si="32">MONTH(AI131)</f>
        <v>3</v>
      </c>
      <c r="AI131" s="5">
        <f t="shared" si="28"/>
        <v>45725</v>
      </c>
      <c r="AJ131" s="1" t="str">
        <f t="shared" ref="AJ131:AJ194" si="33">IF(AND(AI131&gt;=$C$6,AI131&lt;=$C$8),"Ok","Não")</f>
        <v>Não</v>
      </c>
      <c r="AK131" s="1"/>
      <c r="AL131" s="1">
        <f t="shared" ref="AL131:AL194" si="34">MONTH(AM131)</f>
        <v>12</v>
      </c>
      <c r="AM131" s="4">
        <f t="shared" si="29"/>
        <v>46005</v>
      </c>
      <c r="AN131" s="1" t="str">
        <f t="shared" ref="AN131:AN194" si="35">IF(AND(AM131&gt;=$C$9,AM131&lt;=$C$10),"Ok","Não")</f>
        <v>Não</v>
      </c>
      <c r="AR131" s="1">
        <f t="shared" ref="AR131:AR194" si="36">MONTH(AS131)</f>
        <v>7</v>
      </c>
      <c r="AS131" s="4">
        <f t="shared" si="30"/>
        <v>46215</v>
      </c>
      <c r="AT131" s="1" t="str">
        <f t="shared" ref="AT131:AT194" si="37">IF(AND(AS131&gt;=$C$11,AS131&lt;=$C$12),"Ok","Não")</f>
        <v>Não</v>
      </c>
      <c r="AV131" s="1">
        <f t="shared" ref="AV131:AV194" si="38">MONTH(AW131)</f>
        <v>8</v>
      </c>
      <c r="AW131" s="4">
        <f t="shared" si="31"/>
        <v>45511</v>
      </c>
      <c r="AX131" s="1" t="str">
        <f t="shared" ref="AX131:AX194" si="39">IF(AND(AW131&gt;=$C$4,AW131&lt;=$C$5),"Ok","Não")</f>
        <v>Ok</v>
      </c>
    </row>
    <row r="132" spans="34:50" hidden="1" x14ac:dyDescent="0.25">
      <c r="AH132" s="1">
        <f t="shared" si="32"/>
        <v>3</v>
      </c>
      <c r="AI132" s="5">
        <f t="shared" si="28"/>
        <v>45726</v>
      </c>
      <c r="AJ132" s="1" t="str">
        <f t="shared" si="33"/>
        <v>Não</v>
      </c>
      <c r="AK132" s="1"/>
      <c r="AL132" s="1">
        <f t="shared" si="34"/>
        <v>12</v>
      </c>
      <c r="AM132" s="4">
        <f t="shared" si="29"/>
        <v>46006</v>
      </c>
      <c r="AN132" s="1" t="str">
        <f t="shared" si="35"/>
        <v>Não</v>
      </c>
      <c r="AR132" s="1">
        <f t="shared" si="36"/>
        <v>7</v>
      </c>
      <c r="AS132" s="4">
        <f t="shared" si="30"/>
        <v>46216</v>
      </c>
      <c r="AT132" s="1" t="str">
        <f t="shared" si="37"/>
        <v>Não</v>
      </c>
      <c r="AV132" s="1">
        <f t="shared" si="38"/>
        <v>8</v>
      </c>
      <c r="AW132" s="4">
        <f t="shared" si="31"/>
        <v>45512</v>
      </c>
      <c r="AX132" s="1" t="str">
        <f t="shared" si="39"/>
        <v>Ok</v>
      </c>
    </row>
    <row r="133" spans="34:50" hidden="1" x14ac:dyDescent="0.25">
      <c r="AH133" s="1">
        <f t="shared" si="32"/>
        <v>3</v>
      </c>
      <c r="AI133" s="5">
        <f t="shared" ref="AI133:AI196" si="40">AI132+1</f>
        <v>45727</v>
      </c>
      <c r="AJ133" s="1" t="str">
        <f t="shared" si="33"/>
        <v>Não</v>
      </c>
      <c r="AK133" s="1"/>
      <c r="AL133" s="1">
        <f t="shared" si="34"/>
        <v>12</v>
      </c>
      <c r="AM133" s="4">
        <f t="shared" ref="AM133:AM196" si="41">AM132+1</f>
        <v>46007</v>
      </c>
      <c r="AN133" s="1" t="str">
        <f t="shared" si="35"/>
        <v>Não</v>
      </c>
      <c r="AR133" s="1">
        <f t="shared" si="36"/>
        <v>7</v>
      </c>
      <c r="AS133" s="4">
        <f t="shared" ref="AS133:AS196" si="42">AS132+1</f>
        <v>46217</v>
      </c>
      <c r="AT133" s="1" t="str">
        <f t="shared" si="37"/>
        <v>Não</v>
      </c>
      <c r="AV133" s="1">
        <f t="shared" si="38"/>
        <v>8</v>
      </c>
      <c r="AW133" s="4">
        <f t="shared" ref="AW133:AW196" si="43">AW132+1</f>
        <v>45513</v>
      </c>
      <c r="AX133" s="1" t="str">
        <f t="shared" si="39"/>
        <v>Ok</v>
      </c>
    </row>
    <row r="134" spans="34:50" hidden="1" x14ac:dyDescent="0.25">
      <c r="AH134" s="1">
        <f t="shared" si="32"/>
        <v>3</v>
      </c>
      <c r="AI134" s="5">
        <f t="shared" si="40"/>
        <v>45728</v>
      </c>
      <c r="AJ134" s="1" t="str">
        <f t="shared" si="33"/>
        <v>Não</v>
      </c>
      <c r="AK134" s="1"/>
      <c r="AL134" s="1">
        <f t="shared" si="34"/>
        <v>12</v>
      </c>
      <c r="AM134" s="4">
        <f t="shared" si="41"/>
        <v>46008</v>
      </c>
      <c r="AN134" s="1" t="str">
        <f t="shared" si="35"/>
        <v>Não</v>
      </c>
      <c r="AR134" s="1">
        <f t="shared" si="36"/>
        <v>7</v>
      </c>
      <c r="AS134" s="4">
        <f t="shared" si="42"/>
        <v>46218</v>
      </c>
      <c r="AT134" s="1" t="str">
        <f t="shared" si="37"/>
        <v>Não</v>
      </c>
      <c r="AV134" s="1">
        <f t="shared" si="38"/>
        <v>8</v>
      </c>
      <c r="AW134" s="4">
        <f t="shared" si="43"/>
        <v>45514</v>
      </c>
      <c r="AX134" s="1" t="str">
        <f t="shared" si="39"/>
        <v>Ok</v>
      </c>
    </row>
    <row r="135" spans="34:50" hidden="1" x14ac:dyDescent="0.25">
      <c r="AH135" s="1">
        <f t="shared" si="32"/>
        <v>3</v>
      </c>
      <c r="AI135" s="5">
        <f t="shared" si="40"/>
        <v>45729</v>
      </c>
      <c r="AJ135" s="1" t="str">
        <f t="shared" si="33"/>
        <v>Não</v>
      </c>
      <c r="AK135" s="1"/>
      <c r="AL135" s="1">
        <f t="shared" si="34"/>
        <v>12</v>
      </c>
      <c r="AM135" s="4">
        <f t="shared" si="41"/>
        <v>46009</v>
      </c>
      <c r="AN135" s="1" t="str">
        <f t="shared" si="35"/>
        <v>Não</v>
      </c>
      <c r="AR135" s="1">
        <f t="shared" si="36"/>
        <v>7</v>
      </c>
      <c r="AS135" s="4">
        <f t="shared" si="42"/>
        <v>46219</v>
      </c>
      <c r="AT135" s="1" t="str">
        <f t="shared" si="37"/>
        <v>Não</v>
      </c>
      <c r="AV135" s="1">
        <f t="shared" si="38"/>
        <v>8</v>
      </c>
      <c r="AW135" s="4">
        <f t="shared" si="43"/>
        <v>45515</v>
      </c>
      <c r="AX135" s="1" t="str">
        <f t="shared" si="39"/>
        <v>Ok</v>
      </c>
    </row>
    <row r="136" spans="34:50" hidden="1" x14ac:dyDescent="0.25">
      <c r="AH136" s="1">
        <f t="shared" si="32"/>
        <v>3</v>
      </c>
      <c r="AI136" s="5">
        <f t="shared" si="40"/>
        <v>45730</v>
      </c>
      <c r="AJ136" s="1" t="str">
        <f t="shared" si="33"/>
        <v>Não</v>
      </c>
      <c r="AK136" s="1"/>
      <c r="AL136" s="1">
        <f t="shared" si="34"/>
        <v>12</v>
      </c>
      <c r="AM136" s="4">
        <f t="shared" si="41"/>
        <v>46010</v>
      </c>
      <c r="AN136" s="1" t="str">
        <f t="shared" si="35"/>
        <v>Não</v>
      </c>
      <c r="AR136" s="1">
        <f t="shared" si="36"/>
        <v>7</v>
      </c>
      <c r="AS136" s="4">
        <f t="shared" si="42"/>
        <v>46220</v>
      </c>
      <c r="AT136" s="1" t="str">
        <f t="shared" si="37"/>
        <v>Não</v>
      </c>
      <c r="AV136" s="1">
        <f t="shared" si="38"/>
        <v>8</v>
      </c>
      <c r="AW136" s="4">
        <f t="shared" si="43"/>
        <v>45516</v>
      </c>
      <c r="AX136" s="1" t="str">
        <f t="shared" si="39"/>
        <v>Ok</v>
      </c>
    </row>
    <row r="137" spans="34:50" hidden="1" x14ac:dyDescent="0.25">
      <c r="AH137" s="1">
        <f t="shared" si="32"/>
        <v>3</v>
      </c>
      <c r="AI137" s="5">
        <f t="shared" si="40"/>
        <v>45731</v>
      </c>
      <c r="AJ137" s="1" t="str">
        <f t="shared" si="33"/>
        <v>Não</v>
      </c>
      <c r="AK137" s="1"/>
      <c r="AL137" s="1">
        <f t="shared" si="34"/>
        <v>12</v>
      </c>
      <c r="AM137" s="4">
        <f t="shared" si="41"/>
        <v>46011</v>
      </c>
      <c r="AN137" s="1" t="str">
        <f t="shared" si="35"/>
        <v>Não</v>
      </c>
      <c r="AR137" s="1">
        <f t="shared" si="36"/>
        <v>7</v>
      </c>
      <c r="AS137" s="4">
        <f t="shared" si="42"/>
        <v>46221</v>
      </c>
      <c r="AT137" s="1" t="str">
        <f t="shared" si="37"/>
        <v>Não</v>
      </c>
      <c r="AV137" s="1">
        <f t="shared" si="38"/>
        <v>8</v>
      </c>
      <c r="AW137" s="4">
        <f t="shared" si="43"/>
        <v>45517</v>
      </c>
      <c r="AX137" s="1" t="str">
        <f t="shared" si="39"/>
        <v>Ok</v>
      </c>
    </row>
    <row r="138" spans="34:50" hidden="1" x14ac:dyDescent="0.25">
      <c r="AH138" s="1">
        <f t="shared" si="32"/>
        <v>3</v>
      </c>
      <c r="AI138" s="5">
        <f t="shared" si="40"/>
        <v>45732</v>
      </c>
      <c r="AJ138" s="1" t="str">
        <f t="shared" si="33"/>
        <v>Não</v>
      </c>
      <c r="AK138" s="1"/>
      <c r="AL138" s="1">
        <f t="shared" si="34"/>
        <v>12</v>
      </c>
      <c r="AM138" s="4">
        <f t="shared" si="41"/>
        <v>46012</v>
      </c>
      <c r="AN138" s="1" t="str">
        <f t="shared" si="35"/>
        <v>Não</v>
      </c>
      <c r="AR138" s="1">
        <f t="shared" si="36"/>
        <v>7</v>
      </c>
      <c r="AS138" s="4">
        <f t="shared" si="42"/>
        <v>46222</v>
      </c>
      <c r="AT138" s="1" t="str">
        <f t="shared" si="37"/>
        <v>Não</v>
      </c>
      <c r="AV138" s="1">
        <f t="shared" si="38"/>
        <v>8</v>
      </c>
      <c r="AW138" s="4">
        <f t="shared" si="43"/>
        <v>45518</v>
      </c>
      <c r="AX138" s="1" t="str">
        <f t="shared" si="39"/>
        <v>Ok</v>
      </c>
    </row>
    <row r="139" spans="34:50" hidden="1" x14ac:dyDescent="0.25">
      <c r="AH139" s="1">
        <f t="shared" si="32"/>
        <v>3</v>
      </c>
      <c r="AI139" s="5">
        <f t="shared" si="40"/>
        <v>45733</v>
      </c>
      <c r="AJ139" s="1" t="str">
        <f t="shared" si="33"/>
        <v>Não</v>
      </c>
      <c r="AK139" s="1"/>
      <c r="AL139" s="1">
        <f t="shared" si="34"/>
        <v>12</v>
      </c>
      <c r="AM139" s="4">
        <f t="shared" si="41"/>
        <v>46013</v>
      </c>
      <c r="AN139" s="1" t="str">
        <f t="shared" si="35"/>
        <v>Não</v>
      </c>
      <c r="AR139" s="1">
        <f t="shared" si="36"/>
        <v>7</v>
      </c>
      <c r="AS139" s="4">
        <f t="shared" si="42"/>
        <v>46223</v>
      </c>
      <c r="AT139" s="1" t="str">
        <f t="shared" si="37"/>
        <v>Não</v>
      </c>
      <c r="AV139" s="1">
        <f t="shared" si="38"/>
        <v>8</v>
      </c>
      <c r="AW139" s="4">
        <f t="shared" si="43"/>
        <v>45519</v>
      </c>
      <c r="AX139" s="1" t="str">
        <f t="shared" si="39"/>
        <v>Ok</v>
      </c>
    </row>
    <row r="140" spans="34:50" hidden="1" x14ac:dyDescent="0.25">
      <c r="AH140" s="1">
        <f t="shared" si="32"/>
        <v>3</v>
      </c>
      <c r="AI140" s="5">
        <f t="shared" si="40"/>
        <v>45734</v>
      </c>
      <c r="AJ140" s="1" t="str">
        <f t="shared" si="33"/>
        <v>Não</v>
      </c>
      <c r="AK140" s="1"/>
      <c r="AL140" s="1">
        <f t="shared" si="34"/>
        <v>12</v>
      </c>
      <c r="AM140" s="4">
        <f t="shared" si="41"/>
        <v>46014</v>
      </c>
      <c r="AN140" s="1" t="str">
        <f t="shared" si="35"/>
        <v>Não</v>
      </c>
      <c r="AR140" s="1">
        <f t="shared" si="36"/>
        <v>7</v>
      </c>
      <c r="AS140" s="4">
        <f t="shared" si="42"/>
        <v>46224</v>
      </c>
      <c r="AT140" s="1" t="str">
        <f t="shared" si="37"/>
        <v>Não</v>
      </c>
      <c r="AV140" s="1">
        <f t="shared" si="38"/>
        <v>8</v>
      </c>
      <c r="AW140" s="4">
        <f t="shared" si="43"/>
        <v>45520</v>
      </c>
      <c r="AX140" s="1" t="str">
        <f t="shared" si="39"/>
        <v>Ok</v>
      </c>
    </row>
    <row r="141" spans="34:50" hidden="1" x14ac:dyDescent="0.25">
      <c r="AH141" s="1">
        <f t="shared" si="32"/>
        <v>3</v>
      </c>
      <c r="AI141" s="5">
        <f t="shared" si="40"/>
        <v>45735</v>
      </c>
      <c r="AJ141" s="1" t="str">
        <f t="shared" si="33"/>
        <v>Não</v>
      </c>
      <c r="AK141" s="1"/>
      <c r="AL141" s="1">
        <f t="shared" si="34"/>
        <v>12</v>
      </c>
      <c r="AM141" s="4">
        <f t="shared" si="41"/>
        <v>46015</v>
      </c>
      <c r="AN141" s="1" t="str">
        <f t="shared" si="35"/>
        <v>Não</v>
      </c>
      <c r="AR141" s="1">
        <f t="shared" si="36"/>
        <v>7</v>
      </c>
      <c r="AS141" s="4">
        <f t="shared" si="42"/>
        <v>46225</v>
      </c>
      <c r="AT141" s="1" t="str">
        <f t="shared" si="37"/>
        <v>Não</v>
      </c>
      <c r="AV141" s="1">
        <f t="shared" si="38"/>
        <v>8</v>
      </c>
      <c r="AW141" s="4">
        <f t="shared" si="43"/>
        <v>45521</v>
      </c>
      <c r="AX141" s="1" t="str">
        <f t="shared" si="39"/>
        <v>Ok</v>
      </c>
    </row>
    <row r="142" spans="34:50" hidden="1" x14ac:dyDescent="0.25">
      <c r="AH142" s="1">
        <f t="shared" si="32"/>
        <v>3</v>
      </c>
      <c r="AI142" s="5">
        <f t="shared" si="40"/>
        <v>45736</v>
      </c>
      <c r="AJ142" s="1" t="str">
        <f t="shared" si="33"/>
        <v>Não</v>
      </c>
      <c r="AK142" s="1"/>
      <c r="AL142" s="1">
        <f t="shared" si="34"/>
        <v>12</v>
      </c>
      <c r="AM142" s="4">
        <f t="shared" si="41"/>
        <v>46016</v>
      </c>
      <c r="AN142" s="1" t="str">
        <f t="shared" si="35"/>
        <v>Não</v>
      </c>
      <c r="AR142" s="1">
        <f t="shared" si="36"/>
        <v>7</v>
      </c>
      <c r="AS142" s="4">
        <f t="shared" si="42"/>
        <v>46226</v>
      </c>
      <c r="AT142" s="1" t="str">
        <f t="shared" si="37"/>
        <v>Não</v>
      </c>
      <c r="AV142" s="1">
        <f t="shared" si="38"/>
        <v>8</v>
      </c>
      <c r="AW142" s="4">
        <f t="shared" si="43"/>
        <v>45522</v>
      </c>
      <c r="AX142" s="1" t="str">
        <f t="shared" si="39"/>
        <v>Ok</v>
      </c>
    </row>
    <row r="143" spans="34:50" hidden="1" x14ac:dyDescent="0.25">
      <c r="AH143" s="1">
        <f t="shared" si="32"/>
        <v>3</v>
      </c>
      <c r="AI143" s="5">
        <f t="shared" si="40"/>
        <v>45737</v>
      </c>
      <c r="AJ143" s="1" t="str">
        <f t="shared" si="33"/>
        <v>Não</v>
      </c>
      <c r="AK143" s="1"/>
      <c r="AL143" s="1">
        <f t="shared" si="34"/>
        <v>12</v>
      </c>
      <c r="AM143" s="4">
        <f t="shared" si="41"/>
        <v>46017</v>
      </c>
      <c r="AN143" s="1" t="str">
        <f t="shared" si="35"/>
        <v>Não</v>
      </c>
      <c r="AR143" s="1">
        <f t="shared" si="36"/>
        <v>7</v>
      </c>
      <c r="AS143" s="4">
        <f t="shared" si="42"/>
        <v>46227</v>
      </c>
      <c r="AT143" s="1" t="str">
        <f t="shared" si="37"/>
        <v>Não</v>
      </c>
      <c r="AV143" s="1">
        <f t="shared" si="38"/>
        <v>8</v>
      </c>
      <c r="AW143" s="4">
        <f t="shared" si="43"/>
        <v>45523</v>
      </c>
      <c r="AX143" s="1" t="str">
        <f t="shared" si="39"/>
        <v>Ok</v>
      </c>
    </row>
    <row r="144" spans="34:50" hidden="1" x14ac:dyDescent="0.25">
      <c r="AH144" s="1">
        <f t="shared" si="32"/>
        <v>3</v>
      </c>
      <c r="AI144" s="5">
        <f t="shared" si="40"/>
        <v>45738</v>
      </c>
      <c r="AJ144" s="1" t="str">
        <f t="shared" si="33"/>
        <v>Não</v>
      </c>
      <c r="AK144" s="1"/>
      <c r="AL144" s="1">
        <f t="shared" si="34"/>
        <v>12</v>
      </c>
      <c r="AM144" s="4">
        <f t="shared" si="41"/>
        <v>46018</v>
      </c>
      <c r="AN144" s="1" t="str">
        <f t="shared" si="35"/>
        <v>Não</v>
      </c>
      <c r="AR144" s="1">
        <f t="shared" si="36"/>
        <v>7</v>
      </c>
      <c r="AS144" s="4">
        <f t="shared" si="42"/>
        <v>46228</v>
      </c>
      <c r="AT144" s="1" t="str">
        <f t="shared" si="37"/>
        <v>Não</v>
      </c>
      <c r="AV144" s="1">
        <f t="shared" si="38"/>
        <v>8</v>
      </c>
      <c r="AW144" s="4">
        <f t="shared" si="43"/>
        <v>45524</v>
      </c>
      <c r="AX144" s="1" t="str">
        <f t="shared" si="39"/>
        <v>Ok</v>
      </c>
    </row>
    <row r="145" spans="34:50" hidden="1" x14ac:dyDescent="0.25">
      <c r="AH145" s="1">
        <f t="shared" si="32"/>
        <v>3</v>
      </c>
      <c r="AI145" s="5">
        <f t="shared" si="40"/>
        <v>45739</v>
      </c>
      <c r="AJ145" s="1" t="str">
        <f t="shared" si="33"/>
        <v>Não</v>
      </c>
      <c r="AK145" s="1"/>
      <c r="AL145" s="1">
        <f t="shared" si="34"/>
        <v>12</v>
      </c>
      <c r="AM145" s="4">
        <f t="shared" si="41"/>
        <v>46019</v>
      </c>
      <c r="AN145" s="1" t="str">
        <f t="shared" si="35"/>
        <v>Não</v>
      </c>
      <c r="AR145" s="1">
        <f t="shared" si="36"/>
        <v>7</v>
      </c>
      <c r="AS145" s="4">
        <f t="shared" si="42"/>
        <v>46229</v>
      </c>
      <c r="AT145" s="1" t="str">
        <f t="shared" si="37"/>
        <v>Não</v>
      </c>
      <c r="AV145" s="1">
        <f t="shared" si="38"/>
        <v>8</v>
      </c>
      <c r="AW145" s="4">
        <f t="shared" si="43"/>
        <v>45525</v>
      </c>
      <c r="AX145" s="1" t="str">
        <f t="shared" si="39"/>
        <v>Ok</v>
      </c>
    </row>
    <row r="146" spans="34:50" hidden="1" x14ac:dyDescent="0.25">
      <c r="AH146" s="1">
        <f t="shared" si="32"/>
        <v>3</v>
      </c>
      <c r="AI146" s="5">
        <f t="shared" si="40"/>
        <v>45740</v>
      </c>
      <c r="AJ146" s="1" t="str">
        <f t="shared" si="33"/>
        <v>Não</v>
      </c>
      <c r="AK146" s="1"/>
      <c r="AL146" s="1">
        <f t="shared" si="34"/>
        <v>12</v>
      </c>
      <c r="AM146" s="4">
        <f t="shared" si="41"/>
        <v>46020</v>
      </c>
      <c r="AN146" s="1" t="str">
        <f t="shared" si="35"/>
        <v>Não</v>
      </c>
      <c r="AR146" s="1">
        <f t="shared" si="36"/>
        <v>7</v>
      </c>
      <c r="AS146" s="4">
        <f t="shared" si="42"/>
        <v>46230</v>
      </c>
      <c r="AT146" s="1" t="str">
        <f t="shared" si="37"/>
        <v>Não</v>
      </c>
      <c r="AV146" s="1">
        <f t="shared" si="38"/>
        <v>8</v>
      </c>
      <c r="AW146" s="4">
        <f t="shared" si="43"/>
        <v>45526</v>
      </c>
      <c r="AX146" s="1" t="str">
        <f t="shared" si="39"/>
        <v>Ok</v>
      </c>
    </row>
    <row r="147" spans="34:50" hidden="1" x14ac:dyDescent="0.25">
      <c r="AH147" s="1">
        <f t="shared" si="32"/>
        <v>3</v>
      </c>
      <c r="AI147" s="5">
        <f t="shared" si="40"/>
        <v>45741</v>
      </c>
      <c r="AJ147" s="1" t="str">
        <f t="shared" si="33"/>
        <v>Não</v>
      </c>
      <c r="AK147" s="1"/>
      <c r="AL147" s="1">
        <f t="shared" si="34"/>
        <v>12</v>
      </c>
      <c r="AM147" s="4">
        <f t="shared" si="41"/>
        <v>46021</v>
      </c>
      <c r="AN147" s="1" t="str">
        <f t="shared" si="35"/>
        <v>Não</v>
      </c>
      <c r="AR147" s="1">
        <f t="shared" si="36"/>
        <v>7</v>
      </c>
      <c r="AS147" s="4">
        <f t="shared" si="42"/>
        <v>46231</v>
      </c>
      <c r="AT147" s="1" t="str">
        <f t="shared" si="37"/>
        <v>Não</v>
      </c>
      <c r="AV147" s="1">
        <f t="shared" si="38"/>
        <v>8</v>
      </c>
      <c r="AW147" s="4">
        <f t="shared" si="43"/>
        <v>45527</v>
      </c>
      <c r="AX147" s="1" t="str">
        <f t="shared" si="39"/>
        <v>Ok</v>
      </c>
    </row>
    <row r="148" spans="34:50" hidden="1" x14ac:dyDescent="0.25">
      <c r="AH148" s="1">
        <f t="shared" si="32"/>
        <v>3</v>
      </c>
      <c r="AI148" s="5">
        <f t="shared" si="40"/>
        <v>45742</v>
      </c>
      <c r="AJ148" s="1" t="str">
        <f t="shared" si="33"/>
        <v>Não</v>
      </c>
      <c r="AK148" s="1"/>
      <c r="AL148" s="1">
        <f t="shared" si="34"/>
        <v>12</v>
      </c>
      <c r="AM148" s="4">
        <f t="shared" si="41"/>
        <v>46022</v>
      </c>
      <c r="AN148" s="1" t="str">
        <f t="shared" si="35"/>
        <v>Não</v>
      </c>
      <c r="AR148" s="1">
        <f t="shared" si="36"/>
        <v>7</v>
      </c>
      <c r="AS148" s="4">
        <f t="shared" si="42"/>
        <v>46232</v>
      </c>
      <c r="AT148" s="1" t="str">
        <f t="shared" si="37"/>
        <v>Não</v>
      </c>
      <c r="AV148" s="1">
        <f t="shared" si="38"/>
        <v>8</v>
      </c>
      <c r="AW148" s="4">
        <f t="shared" si="43"/>
        <v>45528</v>
      </c>
      <c r="AX148" s="1" t="str">
        <f t="shared" si="39"/>
        <v>Ok</v>
      </c>
    </row>
    <row r="149" spans="34:50" hidden="1" x14ac:dyDescent="0.25">
      <c r="AH149" s="1">
        <f t="shared" si="32"/>
        <v>3</v>
      </c>
      <c r="AI149" s="5">
        <f t="shared" si="40"/>
        <v>45743</v>
      </c>
      <c r="AJ149" s="1" t="str">
        <f t="shared" si="33"/>
        <v>Não</v>
      </c>
      <c r="AK149" s="1"/>
      <c r="AL149" s="1">
        <f t="shared" si="34"/>
        <v>1</v>
      </c>
      <c r="AM149" s="4">
        <f t="shared" si="41"/>
        <v>46023</v>
      </c>
      <c r="AN149" s="1" t="str">
        <f t="shared" si="35"/>
        <v>Não</v>
      </c>
      <c r="AR149" s="1">
        <f t="shared" si="36"/>
        <v>7</v>
      </c>
      <c r="AS149" s="4">
        <f t="shared" si="42"/>
        <v>46233</v>
      </c>
      <c r="AT149" s="1" t="str">
        <f t="shared" si="37"/>
        <v>Não</v>
      </c>
      <c r="AV149" s="1">
        <f t="shared" si="38"/>
        <v>8</v>
      </c>
      <c r="AW149" s="4">
        <f t="shared" si="43"/>
        <v>45529</v>
      </c>
      <c r="AX149" s="1" t="str">
        <f t="shared" si="39"/>
        <v>Ok</v>
      </c>
    </row>
    <row r="150" spans="34:50" hidden="1" x14ac:dyDescent="0.25">
      <c r="AH150" s="1">
        <f t="shared" si="32"/>
        <v>3</v>
      </c>
      <c r="AI150" s="5">
        <f t="shared" si="40"/>
        <v>45744</v>
      </c>
      <c r="AJ150" s="1" t="str">
        <f t="shared" si="33"/>
        <v>Não</v>
      </c>
      <c r="AK150" s="1"/>
      <c r="AL150" s="1">
        <f t="shared" si="34"/>
        <v>1</v>
      </c>
      <c r="AM150" s="4">
        <f t="shared" si="41"/>
        <v>46024</v>
      </c>
      <c r="AN150" s="1" t="str">
        <f t="shared" si="35"/>
        <v>Não</v>
      </c>
      <c r="AR150" s="1">
        <f t="shared" si="36"/>
        <v>7</v>
      </c>
      <c r="AS150" s="4">
        <f t="shared" si="42"/>
        <v>46234</v>
      </c>
      <c r="AT150" s="1" t="str">
        <f t="shared" si="37"/>
        <v>Não</v>
      </c>
      <c r="AV150" s="1">
        <f t="shared" si="38"/>
        <v>8</v>
      </c>
      <c r="AW150" s="4">
        <f t="shared" si="43"/>
        <v>45530</v>
      </c>
      <c r="AX150" s="1" t="str">
        <f t="shared" si="39"/>
        <v>Ok</v>
      </c>
    </row>
    <row r="151" spans="34:50" hidden="1" x14ac:dyDescent="0.25">
      <c r="AH151" s="1">
        <f t="shared" si="32"/>
        <v>3</v>
      </c>
      <c r="AI151" s="5">
        <f t="shared" si="40"/>
        <v>45745</v>
      </c>
      <c r="AJ151" s="1" t="str">
        <f t="shared" si="33"/>
        <v>Não</v>
      </c>
      <c r="AK151" s="1"/>
      <c r="AL151" s="1">
        <f t="shared" si="34"/>
        <v>1</v>
      </c>
      <c r="AM151" s="4">
        <f t="shared" si="41"/>
        <v>46025</v>
      </c>
      <c r="AN151" s="1" t="str">
        <f t="shared" si="35"/>
        <v>Não</v>
      </c>
      <c r="AR151" s="1">
        <f t="shared" si="36"/>
        <v>8</v>
      </c>
      <c r="AS151" s="4">
        <f t="shared" si="42"/>
        <v>46235</v>
      </c>
      <c r="AT151" s="1" t="str">
        <f t="shared" si="37"/>
        <v>Não</v>
      </c>
      <c r="AV151" s="1">
        <f t="shared" si="38"/>
        <v>8</v>
      </c>
      <c r="AW151" s="4">
        <f t="shared" si="43"/>
        <v>45531</v>
      </c>
      <c r="AX151" s="1" t="str">
        <f t="shared" si="39"/>
        <v>Ok</v>
      </c>
    </row>
    <row r="152" spans="34:50" hidden="1" x14ac:dyDescent="0.25">
      <c r="AH152" s="1">
        <f t="shared" si="32"/>
        <v>3</v>
      </c>
      <c r="AI152" s="5">
        <f t="shared" si="40"/>
        <v>45746</v>
      </c>
      <c r="AJ152" s="1" t="str">
        <f t="shared" si="33"/>
        <v>Não</v>
      </c>
      <c r="AK152" s="1"/>
      <c r="AL152" s="1">
        <f t="shared" si="34"/>
        <v>1</v>
      </c>
      <c r="AM152" s="4">
        <f t="shared" si="41"/>
        <v>46026</v>
      </c>
      <c r="AN152" s="1" t="str">
        <f t="shared" si="35"/>
        <v>Não</v>
      </c>
      <c r="AR152" s="1">
        <f t="shared" si="36"/>
        <v>8</v>
      </c>
      <c r="AS152" s="4">
        <f t="shared" si="42"/>
        <v>46236</v>
      </c>
      <c r="AT152" s="1" t="str">
        <f t="shared" si="37"/>
        <v>Não</v>
      </c>
      <c r="AV152" s="1">
        <f t="shared" si="38"/>
        <v>8</v>
      </c>
      <c r="AW152" s="4">
        <f t="shared" si="43"/>
        <v>45532</v>
      </c>
      <c r="AX152" s="1" t="str">
        <f t="shared" si="39"/>
        <v>Ok</v>
      </c>
    </row>
    <row r="153" spans="34:50" hidden="1" x14ac:dyDescent="0.25">
      <c r="AH153" s="1">
        <f t="shared" si="32"/>
        <v>3</v>
      </c>
      <c r="AI153" s="5">
        <f t="shared" si="40"/>
        <v>45747</v>
      </c>
      <c r="AJ153" s="1" t="str">
        <f t="shared" si="33"/>
        <v>Não</v>
      </c>
      <c r="AK153" s="1"/>
      <c r="AL153" s="1">
        <f t="shared" si="34"/>
        <v>1</v>
      </c>
      <c r="AM153" s="4">
        <f t="shared" si="41"/>
        <v>46027</v>
      </c>
      <c r="AN153" s="1" t="str">
        <f t="shared" si="35"/>
        <v>Não</v>
      </c>
      <c r="AR153" s="1">
        <f t="shared" si="36"/>
        <v>8</v>
      </c>
      <c r="AS153" s="4">
        <f t="shared" si="42"/>
        <v>46237</v>
      </c>
      <c r="AT153" s="1" t="str">
        <f t="shared" si="37"/>
        <v>Não</v>
      </c>
      <c r="AV153" s="1">
        <f t="shared" si="38"/>
        <v>8</v>
      </c>
      <c r="AW153" s="4">
        <f t="shared" si="43"/>
        <v>45533</v>
      </c>
      <c r="AX153" s="1" t="str">
        <f t="shared" si="39"/>
        <v>Ok</v>
      </c>
    </row>
    <row r="154" spans="34:50" hidden="1" x14ac:dyDescent="0.25">
      <c r="AH154" s="1">
        <f t="shared" si="32"/>
        <v>4</v>
      </c>
      <c r="AI154" s="5">
        <f t="shared" si="40"/>
        <v>45748</v>
      </c>
      <c r="AJ154" s="1" t="str">
        <f t="shared" si="33"/>
        <v>Não</v>
      </c>
      <c r="AK154" s="1"/>
      <c r="AL154" s="1">
        <f t="shared" si="34"/>
        <v>1</v>
      </c>
      <c r="AM154" s="4">
        <f t="shared" si="41"/>
        <v>46028</v>
      </c>
      <c r="AN154" s="1" t="str">
        <f t="shared" si="35"/>
        <v>Não</v>
      </c>
      <c r="AR154" s="1">
        <f t="shared" si="36"/>
        <v>8</v>
      </c>
      <c r="AS154" s="4">
        <f t="shared" si="42"/>
        <v>46238</v>
      </c>
      <c r="AT154" s="1" t="str">
        <f t="shared" si="37"/>
        <v>Não</v>
      </c>
      <c r="AV154" s="1">
        <f t="shared" si="38"/>
        <v>8</v>
      </c>
      <c r="AW154" s="4">
        <f t="shared" si="43"/>
        <v>45534</v>
      </c>
      <c r="AX154" s="1" t="str">
        <f t="shared" si="39"/>
        <v>Ok</v>
      </c>
    </row>
    <row r="155" spans="34:50" hidden="1" x14ac:dyDescent="0.25">
      <c r="AH155" s="1">
        <f t="shared" si="32"/>
        <v>4</v>
      </c>
      <c r="AI155" s="5">
        <f t="shared" si="40"/>
        <v>45749</v>
      </c>
      <c r="AJ155" s="1" t="str">
        <f t="shared" si="33"/>
        <v>Não</v>
      </c>
      <c r="AK155" s="1"/>
      <c r="AL155" s="1">
        <f t="shared" si="34"/>
        <v>1</v>
      </c>
      <c r="AM155" s="4">
        <f t="shared" si="41"/>
        <v>46029</v>
      </c>
      <c r="AN155" s="1" t="str">
        <f t="shared" si="35"/>
        <v>Não</v>
      </c>
      <c r="AR155" s="1">
        <f t="shared" si="36"/>
        <v>8</v>
      </c>
      <c r="AS155" s="4">
        <f t="shared" si="42"/>
        <v>46239</v>
      </c>
      <c r="AT155" s="1" t="str">
        <f t="shared" si="37"/>
        <v>Não</v>
      </c>
      <c r="AV155" s="1">
        <f t="shared" si="38"/>
        <v>8</v>
      </c>
      <c r="AW155" s="4">
        <f t="shared" si="43"/>
        <v>45535</v>
      </c>
      <c r="AX155" s="1" t="str">
        <f t="shared" si="39"/>
        <v>Ok</v>
      </c>
    </row>
    <row r="156" spans="34:50" hidden="1" x14ac:dyDescent="0.25">
      <c r="AH156" s="1">
        <f t="shared" si="32"/>
        <v>4</v>
      </c>
      <c r="AI156" s="5">
        <f t="shared" si="40"/>
        <v>45750</v>
      </c>
      <c r="AJ156" s="1" t="str">
        <f t="shared" si="33"/>
        <v>Não</v>
      </c>
      <c r="AK156" s="1"/>
      <c r="AL156" s="1">
        <f t="shared" si="34"/>
        <v>1</v>
      </c>
      <c r="AM156" s="4">
        <f t="shared" si="41"/>
        <v>46030</v>
      </c>
      <c r="AN156" s="1" t="str">
        <f t="shared" si="35"/>
        <v>Não</v>
      </c>
      <c r="AR156" s="1">
        <f t="shared" si="36"/>
        <v>8</v>
      </c>
      <c r="AS156" s="4">
        <f t="shared" si="42"/>
        <v>46240</v>
      </c>
      <c r="AT156" s="1" t="str">
        <f t="shared" si="37"/>
        <v>Não</v>
      </c>
      <c r="AV156" s="1">
        <f t="shared" si="38"/>
        <v>9</v>
      </c>
      <c r="AW156" s="4">
        <f t="shared" si="43"/>
        <v>45536</v>
      </c>
      <c r="AX156" s="1" t="str">
        <f t="shared" si="39"/>
        <v>Ok</v>
      </c>
    </row>
    <row r="157" spans="34:50" hidden="1" x14ac:dyDescent="0.25">
      <c r="AH157" s="1">
        <f t="shared" si="32"/>
        <v>4</v>
      </c>
      <c r="AI157" s="5">
        <f t="shared" si="40"/>
        <v>45751</v>
      </c>
      <c r="AJ157" s="1" t="str">
        <f t="shared" si="33"/>
        <v>Não</v>
      </c>
      <c r="AK157" s="1"/>
      <c r="AL157" s="1">
        <f t="shared" si="34"/>
        <v>1</v>
      </c>
      <c r="AM157" s="4">
        <f t="shared" si="41"/>
        <v>46031</v>
      </c>
      <c r="AN157" s="1" t="str">
        <f t="shared" si="35"/>
        <v>Não</v>
      </c>
      <c r="AR157" s="1">
        <f t="shared" si="36"/>
        <v>8</v>
      </c>
      <c r="AS157" s="4">
        <f t="shared" si="42"/>
        <v>46241</v>
      </c>
      <c r="AT157" s="1" t="str">
        <f t="shared" si="37"/>
        <v>Não</v>
      </c>
      <c r="AV157" s="1">
        <f t="shared" si="38"/>
        <v>9</v>
      </c>
      <c r="AW157" s="4">
        <f t="shared" si="43"/>
        <v>45537</v>
      </c>
      <c r="AX157" s="1" t="str">
        <f t="shared" si="39"/>
        <v>Ok</v>
      </c>
    </row>
    <row r="158" spans="34:50" hidden="1" x14ac:dyDescent="0.25">
      <c r="AH158" s="1">
        <f t="shared" si="32"/>
        <v>4</v>
      </c>
      <c r="AI158" s="5">
        <f t="shared" si="40"/>
        <v>45752</v>
      </c>
      <c r="AJ158" s="1" t="str">
        <f t="shared" si="33"/>
        <v>Não</v>
      </c>
      <c r="AK158" s="1"/>
      <c r="AL158" s="1">
        <f t="shared" si="34"/>
        <v>1</v>
      </c>
      <c r="AM158" s="4">
        <f t="shared" si="41"/>
        <v>46032</v>
      </c>
      <c r="AN158" s="1" t="str">
        <f t="shared" si="35"/>
        <v>Não</v>
      </c>
      <c r="AR158" s="1">
        <f t="shared" si="36"/>
        <v>8</v>
      </c>
      <c r="AS158" s="4">
        <f t="shared" si="42"/>
        <v>46242</v>
      </c>
      <c r="AT158" s="1" t="str">
        <f t="shared" si="37"/>
        <v>Não</v>
      </c>
      <c r="AV158" s="1">
        <f t="shared" si="38"/>
        <v>9</v>
      </c>
      <c r="AW158" s="4">
        <f t="shared" si="43"/>
        <v>45538</v>
      </c>
      <c r="AX158" s="1" t="str">
        <f t="shared" si="39"/>
        <v>Ok</v>
      </c>
    </row>
    <row r="159" spans="34:50" hidden="1" x14ac:dyDescent="0.25">
      <c r="AH159" s="1">
        <f t="shared" si="32"/>
        <v>4</v>
      </c>
      <c r="AI159" s="5">
        <f t="shared" si="40"/>
        <v>45753</v>
      </c>
      <c r="AJ159" s="1" t="str">
        <f t="shared" si="33"/>
        <v>Não</v>
      </c>
      <c r="AK159" s="1"/>
      <c r="AL159" s="1">
        <f t="shared" si="34"/>
        <v>1</v>
      </c>
      <c r="AM159" s="4">
        <f t="shared" si="41"/>
        <v>46033</v>
      </c>
      <c r="AN159" s="1" t="str">
        <f t="shared" si="35"/>
        <v>Não</v>
      </c>
      <c r="AR159" s="1">
        <f t="shared" si="36"/>
        <v>8</v>
      </c>
      <c r="AS159" s="4">
        <f t="shared" si="42"/>
        <v>46243</v>
      </c>
      <c r="AT159" s="1" t="str">
        <f t="shared" si="37"/>
        <v>Não</v>
      </c>
      <c r="AV159" s="1">
        <f t="shared" si="38"/>
        <v>9</v>
      </c>
      <c r="AW159" s="4">
        <f t="shared" si="43"/>
        <v>45539</v>
      </c>
      <c r="AX159" s="1" t="str">
        <f t="shared" si="39"/>
        <v>Ok</v>
      </c>
    </row>
    <row r="160" spans="34:50" hidden="1" x14ac:dyDescent="0.25">
      <c r="AH160" s="1">
        <f t="shared" si="32"/>
        <v>4</v>
      </c>
      <c r="AI160" s="5">
        <f t="shared" si="40"/>
        <v>45754</v>
      </c>
      <c r="AJ160" s="1" t="str">
        <f t="shared" si="33"/>
        <v>Não</v>
      </c>
      <c r="AK160" s="1"/>
      <c r="AL160" s="1">
        <f t="shared" si="34"/>
        <v>1</v>
      </c>
      <c r="AM160" s="4">
        <f t="shared" si="41"/>
        <v>46034</v>
      </c>
      <c r="AN160" s="1" t="str">
        <f t="shared" si="35"/>
        <v>Não</v>
      </c>
      <c r="AR160" s="1">
        <f t="shared" si="36"/>
        <v>8</v>
      </c>
      <c r="AS160" s="4">
        <f t="shared" si="42"/>
        <v>46244</v>
      </c>
      <c r="AT160" s="1" t="str">
        <f t="shared" si="37"/>
        <v>Não</v>
      </c>
      <c r="AV160" s="1">
        <f t="shared" si="38"/>
        <v>9</v>
      </c>
      <c r="AW160" s="4">
        <f t="shared" si="43"/>
        <v>45540</v>
      </c>
      <c r="AX160" s="1" t="str">
        <f t="shared" si="39"/>
        <v>Ok</v>
      </c>
    </row>
    <row r="161" spans="34:50" hidden="1" x14ac:dyDescent="0.25">
      <c r="AH161" s="1">
        <f t="shared" si="32"/>
        <v>4</v>
      </c>
      <c r="AI161" s="5">
        <f t="shared" si="40"/>
        <v>45755</v>
      </c>
      <c r="AJ161" s="1" t="str">
        <f t="shared" si="33"/>
        <v>Não</v>
      </c>
      <c r="AK161" s="1"/>
      <c r="AL161" s="1">
        <f t="shared" si="34"/>
        <v>1</v>
      </c>
      <c r="AM161" s="4">
        <f t="shared" si="41"/>
        <v>46035</v>
      </c>
      <c r="AN161" s="1" t="str">
        <f t="shared" si="35"/>
        <v>Não</v>
      </c>
      <c r="AR161" s="1">
        <f t="shared" si="36"/>
        <v>8</v>
      </c>
      <c r="AS161" s="4">
        <f t="shared" si="42"/>
        <v>46245</v>
      </c>
      <c r="AT161" s="1" t="str">
        <f t="shared" si="37"/>
        <v>Não</v>
      </c>
      <c r="AV161" s="1">
        <f t="shared" si="38"/>
        <v>9</v>
      </c>
      <c r="AW161" s="4">
        <f t="shared" si="43"/>
        <v>45541</v>
      </c>
      <c r="AX161" s="1" t="str">
        <f t="shared" si="39"/>
        <v>Ok</v>
      </c>
    </row>
    <row r="162" spans="34:50" hidden="1" x14ac:dyDescent="0.25">
      <c r="AH162" s="1">
        <f t="shared" si="32"/>
        <v>4</v>
      </c>
      <c r="AI162" s="5">
        <f t="shared" si="40"/>
        <v>45756</v>
      </c>
      <c r="AJ162" s="1" t="str">
        <f t="shared" si="33"/>
        <v>Não</v>
      </c>
      <c r="AK162" s="1"/>
      <c r="AL162" s="1">
        <f t="shared" si="34"/>
        <v>1</v>
      </c>
      <c r="AM162" s="4">
        <f t="shared" si="41"/>
        <v>46036</v>
      </c>
      <c r="AN162" s="1" t="str">
        <f t="shared" si="35"/>
        <v>Não</v>
      </c>
      <c r="AR162" s="1">
        <f t="shared" si="36"/>
        <v>8</v>
      </c>
      <c r="AS162" s="4">
        <f t="shared" si="42"/>
        <v>46246</v>
      </c>
      <c r="AT162" s="1" t="str">
        <f t="shared" si="37"/>
        <v>Não</v>
      </c>
      <c r="AV162" s="1">
        <f t="shared" si="38"/>
        <v>9</v>
      </c>
      <c r="AW162" s="4">
        <f t="shared" si="43"/>
        <v>45542</v>
      </c>
      <c r="AX162" s="1" t="str">
        <f t="shared" si="39"/>
        <v>Ok</v>
      </c>
    </row>
    <row r="163" spans="34:50" hidden="1" x14ac:dyDescent="0.25">
      <c r="AH163" s="1">
        <f t="shared" si="32"/>
        <v>4</v>
      </c>
      <c r="AI163" s="5">
        <f t="shared" si="40"/>
        <v>45757</v>
      </c>
      <c r="AJ163" s="1" t="str">
        <f t="shared" si="33"/>
        <v>Não</v>
      </c>
      <c r="AK163" s="1"/>
      <c r="AL163" s="1">
        <f t="shared" si="34"/>
        <v>1</v>
      </c>
      <c r="AM163" s="4">
        <f t="shared" si="41"/>
        <v>46037</v>
      </c>
      <c r="AN163" s="1" t="str">
        <f t="shared" si="35"/>
        <v>Não</v>
      </c>
      <c r="AR163" s="1">
        <f t="shared" si="36"/>
        <v>8</v>
      </c>
      <c r="AS163" s="4">
        <f t="shared" si="42"/>
        <v>46247</v>
      </c>
      <c r="AT163" s="1" t="str">
        <f t="shared" si="37"/>
        <v>Não</v>
      </c>
      <c r="AV163" s="1">
        <f t="shared" si="38"/>
        <v>9</v>
      </c>
      <c r="AW163" s="4">
        <f t="shared" si="43"/>
        <v>45543</v>
      </c>
      <c r="AX163" s="1" t="str">
        <f t="shared" si="39"/>
        <v>Ok</v>
      </c>
    </row>
    <row r="164" spans="34:50" hidden="1" x14ac:dyDescent="0.25">
      <c r="AH164" s="1">
        <f t="shared" si="32"/>
        <v>4</v>
      </c>
      <c r="AI164" s="5">
        <f t="shared" si="40"/>
        <v>45758</v>
      </c>
      <c r="AJ164" s="1" t="str">
        <f t="shared" si="33"/>
        <v>Não</v>
      </c>
      <c r="AK164" s="1"/>
      <c r="AL164" s="1">
        <f t="shared" si="34"/>
        <v>1</v>
      </c>
      <c r="AM164" s="4">
        <f t="shared" si="41"/>
        <v>46038</v>
      </c>
      <c r="AN164" s="1" t="str">
        <f t="shared" si="35"/>
        <v>Não</v>
      </c>
      <c r="AR164" s="1">
        <f t="shared" si="36"/>
        <v>8</v>
      </c>
      <c r="AS164" s="4">
        <f t="shared" si="42"/>
        <v>46248</v>
      </c>
      <c r="AT164" s="1" t="str">
        <f t="shared" si="37"/>
        <v>Não</v>
      </c>
      <c r="AV164" s="1">
        <f t="shared" si="38"/>
        <v>9</v>
      </c>
      <c r="AW164" s="4">
        <f t="shared" si="43"/>
        <v>45544</v>
      </c>
      <c r="AX164" s="1" t="str">
        <f t="shared" si="39"/>
        <v>Ok</v>
      </c>
    </row>
    <row r="165" spans="34:50" hidden="1" x14ac:dyDescent="0.25">
      <c r="AH165" s="1">
        <f t="shared" si="32"/>
        <v>4</v>
      </c>
      <c r="AI165" s="5">
        <f t="shared" si="40"/>
        <v>45759</v>
      </c>
      <c r="AJ165" s="1" t="str">
        <f t="shared" si="33"/>
        <v>Não</v>
      </c>
      <c r="AK165" s="1"/>
      <c r="AL165" s="1">
        <f t="shared" si="34"/>
        <v>1</v>
      </c>
      <c r="AM165" s="4">
        <f t="shared" si="41"/>
        <v>46039</v>
      </c>
      <c r="AN165" s="1" t="str">
        <f t="shared" si="35"/>
        <v>Não</v>
      </c>
      <c r="AR165" s="1">
        <f t="shared" si="36"/>
        <v>8</v>
      </c>
      <c r="AS165" s="4">
        <f t="shared" si="42"/>
        <v>46249</v>
      </c>
      <c r="AT165" s="1" t="str">
        <f t="shared" si="37"/>
        <v>Não</v>
      </c>
      <c r="AV165" s="1">
        <f t="shared" si="38"/>
        <v>9</v>
      </c>
      <c r="AW165" s="4">
        <f t="shared" si="43"/>
        <v>45545</v>
      </c>
      <c r="AX165" s="1" t="str">
        <f t="shared" si="39"/>
        <v>Ok</v>
      </c>
    </row>
    <row r="166" spans="34:50" hidden="1" x14ac:dyDescent="0.25">
      <c r="AH166" s="1">
        <f t="shared" si="32"/>
        <v>4</v>
      </c>
      <c r="AI166" s="5">
        <f t="shared" si="40"/>
        <v>45760</v>
      </c>
      <c r="AJ166" s="1" t="str">
        <f t="shared" si="33"/>
        <v>Não</v>
      </c>
      <c r="AK166" s="1"/>
      <c r="AL166" s="1">
        <f t="shared" si="34"/>
        <v>1</v>
      </c>
      <c r="AM166" s="4">
        <f t="shared" si="41"/>
        <v>46040</v>
      </c>
      <c r="AN166" s="1" t="str">
        <f t="shared" si="35"/>
        <v>Não</v>
      </c>
      <c r="AR166" s="1">
        <f t="shared" si="36"/>
        <v>8</v>
      </c>
      <c r="AS166" s="4">
        <f t="shared" si="42"/>
        <v>46250</v>
      </c>
      <c r="AT166" s="1" t="str">
        <f t="shared" si="37"/>
        <v>Não</v>
      </c>
      <c r="AV166" s="1">
        <f t="shared" si="38"/>
        <v>9</v>
      </c>
      <c r="AW166" s="4">
        <f t="shared" si="43"/>
        <v>45546</v>
      </c>
      <c r="AX166" s="1" t="str">
        <f t="shared" si="39"/>
        <v>Ok</v>
      </c>
    </row>
    <row r="167" spans="34:50" hidden="1" x14ac:dyDescent="0.25">
      <c r="AH167" s="1">
        <f t="shared" si="32"/>
        <v>4</v>
      </c>
      <c r="AI167" s="5">
        <f t="shared" si="40"/>
        <v>45761</v>
      </c>
      <c r="AJ167" s="1" t="str">
        <f t="shared" si="33"/>
        <v>Não</v>
      </c>
      <c r="AK167" s="1"/>
      <c r="AL167" s="1">
        <f t="shared" si="34"/>
        <v>1</v>
      </c>
      <c r="AM167" s="4">
        <f t="shared" si="41"/>
        <v>46041</v>
      </c>
      <c r="AN167" s="1" t="str">
        <f t="shared" si="35"/>
        <v>Não</v>
      </c>
      <c r="AR167" s="1">
        <f t="shared" si="36"/>
        <v>8</v>
      </c>
      <c r="AS167" s="4">
        <f t="shared" si="42"/>
        <v>46251</v>
      </c>
      <c r="AT167" s="1" t="str">
        <f t="shared" si="37"/>
        <v>Não</v>
      </c>
      <c r="AV167" s="1">
        <f t="shared" si="38"/>
        <v>9</v>
      </c>
      <c r="AW167" s="4">
        <f t="shared" si="43"/>
        <v>45547</v>
      </c>
      <c r="AX167" s="1" t="str">
        <f t="shared" si="39"/>
        <v>Ok</v>
      </c>
    </row>
    <row r="168" spans="34:50" hidden="1" x14ac:dyDescent="0.25">
      <c r="AH168" s="1">
        <f t="shared" si="32"/>
        <v>4</v>
      </c>
      <c r="AI168" s="5">
        <f t="shared" si="40"/>
        <v>45762</v>
      </c>
      <c r="AJ168" s="1" t="str">
        <f t="shared" si="33"/>
        <v>Não</v>
      </c>
      <c r="AK168" s="1"/>
      <c r="AL168" s="1">
        <f t="shared" si="34"/>
        <v>1</v>
      </c>
      <c r="AM168" s="4">
        <f t="shared" si="41"/>
        <v>46042</v>
      </c>
      <c r="AN168" s="1" t="str">
        <f t="shared" si="35"/>
        <v>Não</v>
      </c>
      <c r="AR168" s="1">
        <f t="shared" si="36"/>
        <v>8</v>
      </c>
      <c r="AS168" s="4">
        <f t="shared" si="42"/>
        <v>46252</v>
      </c>
      <c r="AT168" s="1" t="str">
        <f t="shared" si="37"/>
        <v>Não</v>
      </c>
      <c r="AV168" s="1">
        <f t="shared" si="38"/>
        <v>9</v>
      </c>
      <c r="AW168" s="4">
        <f t="shared" si="43"/>
        <v>45548</v>
      </c>
      <c r="AX168" s="1" t="str">
        <f t="shared" si="39"/>
        <v>Ok</v>
      </c>
    </row>
    <row r="169" spans="34:50" hidden="1" x14ac:dyDescent="0.25">
      <c r="AH169" s="1">
        <f t="shared" si="32"/>
        <v>4</v>
      </c>
      <c r="AI169" s="5">
        <f t="shared" si="40"/>
        <v>45763</v>
      </c>
      <c r="AJ169" s="1" t="str">
        <f t="shared" si="33"/>
        <v>Não</v>
      </c>
      <c r="AK169" s="1"/>
      <c r="AL169" s="1">
        <f t="shared" si="34"/>
        <v>1</v>
      </c>
      <c r="AM169" s="4">
        <f t="shared" si="41"/>
        <v>46043</v>
      </c>
      <c r="AN169" s="1" t="str">
        <f t="shared" si="35"/>
        <v>Não</v>
      </c>
      <c r="AR169" s="1">
        <f t="shared" si="36"/>
        <v>8</v>
      </c>
      <c r="AS169" s="4">
        <f t="shared" si="42"/>
        <v>46253</v>
      </c>
      <c r="AT169" s="1" t="str">
        <f t="shared" si="37"/>
        <v>Não</v>
      </c>
      <c r="AV169" s="1">
        <f t="shared" si="38"/>
        <v>9</v>
      </c>
      <c r="AW169" s="4">
        <f t="shared" si="43"/>
        <v>45549</v>
      </c>
      <c r="AX169" s="1" t="str">
        <f t="shared" si="39"/>
        <v>Ok</v>
      </c>
    </row>
    <row r="170" spans="34:50" hidden="1" x14ac:dyDescent="0.25">
      <c r="AH170" s="1">
        <f t="shared" si="32"/>
        <v>4</v>
      </c>
      <c r="AI170" s="5">
        <f t="shared" si="40"/>
        <v>45764</v>
      </c>
      <c r="AJ170" s="1" t="str">
        <f t="shared" si="33"/>
        <v>Não</v>
      </c>
      <c r="AK170" s="1"/>
      <c r="AL170" s="1">
        <f t="shared" si="34"/>
        <v>1</v>
      </c>
      <c r="AM170" s="4">
        <f t="shared" si="41"/>
        <v>46044</v>
      </c>
      <c r="AN170" s="1" t="str">
        <f t="shared" si="35"/>
        <v>Não</v>
      </c>
      <c r="AR170" s="1">
        <f t="shared" si="36"/>
        <v>8</v>
      </c>
      <c r="AS170" s="4">
        <f t="shared" si="42"/>
        <v>46254</v>
      </c>
      <c r="AT170" s="1" t="str">
        <f t="shared" si="37"/>
        <v>Não</v>
      </c>
      <c r="AV170" s="1">
        <f t="shared" si="38"/>
        <v>9</v>
      </c>
      <c r="AW170" s="4">
        <f t="shared" si="43"/>
        <v>45550</v>
      </c>
      <c r="AX170" s="1" t="str">
        <f t="shared" si="39"/>
        <v>Ok</v>
      </c>
    </row>
    <row r="171" spans="34:50" hidden="1" x14ac:dyDescent="0.25">
      <c r="AH171" s="1">
        <f t="shared" si="32"/>
        <v>4</v>
      </c>
      <c r="AI171" s="5">
        <f t="shared" si="40"/>
        <v>45765</v>
      </c>
      <c r="AJ171" s="1" t="str">
        <f t="shared" si="33"/>
        <v>Não</v>
      </c>
      <c r="AK171" s="1"/>
      <c r="AL171" s="1">
        <f t="shared" si="34"/>
        <v>1</v>
      </c>
      <c r="AM171" s="4">
        <f t="shared" si="41"/>
        <v>46045</v>
      </c>
      <c r="AN171" s="1" t="str">
        <f t="shared" si="35"/>
        <v>Não</v>
      </c>
      <c r="AR171" s="1">
        <f t="shared" si="36"/>
        <v>8</v>
      </c>
      <c r="AS171" s="4">
        <f t="shared" si="42"/>
        <v>46255</v>
      </c>
      <c r="AT171" s="1" t="str">
        <f t="shared" si="37"/>
        <v>Não</v>
      </c>
      <c r="AV171" s="1">
        <f t="shared" si="38"/>
        <v>9</v>
      </c>
      <c r="AW171" s="4">
        <f t="shared" si="43"/>
        <v>45551</v>
      </c>
      <c r="AX171" s="1" t="str">
        <f t="shared" si="39"/>
        <v>Ok</v>
      </c>
    </row>
    <row r="172" spans="34:50" hidden="1" x14ac:dyDescent="0.25">
      <c r="AH172" s="1">
        <f t="shared" si="32"/>
        <v>4</v>
      </c>
      <c r="AI172" s="5">
        <f t="shared" si="40"/>
        <v>45766</v>
      </c>
      <c r="AJ172" s="1" t="str">
        <f t="shared" si="33"/>
        <v>Não</v>
      </c>
      <c r="AK172" s="1"/>
      <c r="AL172" s="1">
        <f t="shared" si="34"/>
        <v>1</v>
      </c>
      <c r="AM172" s="4">
        <f t="shared" si="41"/>
        <v>46046</v>
      </c>
      <c r="AN172" s="1" t="str">
        <f t="shared" si="35"/>
        <v>Não</v>
      </c>
      <c r="AR172" s="1">
        <f t="shared" si="36"/>
        <v>8</v>
      </c>
      <c r="AS172" s="4">
        <f t="shared" si="42"/>
        <v>46256</v>
      </c>
      <c r="AT172" s="1" t="str">
        <f t="shared" si="37"/>
        <v>Não</v>
      </c>
      <c r="AV172" s="1">
        <f t="shared" si="38"/>
        <v>9</v>
      </c>
      <c r="AW172" s="4">
        <f t="shared" si="43"/>
        <v>45552</v>
      </c>
      <c r="AX172" s="1" t="str">
        <f t="shared" si="39"/>
        <v>Ok</v>
      </c>
    </row>
    <row r="173" spans="34:50" hidden="1" x14ac:dyDescent="0.25">
      <c r="AH173" s="1">
        <f t="shared" si="32"/>
        <v>4</v>
      </c>
      <c r="AI173" s="5">
        <f t="shared" si="40"/>
        <v>45767</v>
      </c>
      <c r="AJ173" s="1" t="str">
        <f t="shared" si="33"/>
        <v>Não</v>
      </c>
      <c r="AK173" s="1"/>
      <c r="AL173" s="1">
        <f t="shared" si="34"/>
        <v>1</v>
      </c>
      <c r="AM173" s="4">
        <f t="shared" si="41"/>
        <v>46047</v>
      </c>
      <c r="AN173" s="1" t="str">
        <f t="shared" si="35"/>
        <v>Não</v>
      </c>
      <c r="AR173" s="1">
        <f t="shared" si="36"/>
        <v>8</v>
      </c>
      <c r="AS173" s="4">
        <f t="shared" si="42"/>
        <v>46257</v>
      </c>
      <c r="AT173" s="1" t="str">
        <f t="shared" si="37"/>
        <v>Não</v>
      </c>
      <c r="AV173" s="1">
        <f t="shared" si="38"/>
        <v>9</v>
      </c>
      <c r="AW173" s="4">
        <f t="shared" si="43"/>
        <v>45553</v>
      </c>
      <c r="AX173" s="1" t="str">
        <f t="shared" si="39"/>
        <v>Ok</v>
      </c>
    </row>
    <row r="174" spans="34:50" hidden="1" x14ac:dyDescent="0.25">
      <c r="AH174" s="1">
        <f t="shared" si="32"/>
        <v>4</v>
      </c>
      <c r="AI174" s="5">
        <f t="shared" si="40"/>
        <v>45768</v>
      </c>
      <c r="AJ174" s="1" t="str">
        <f t="shared" si="33"/>
        <v>Não</v>
      </c>
      <c r="AK174" s="1"/>
      <c r="AL174" s="1">
        <f t="shared" si="34"/>
        <v>1</v>
      </c>
      <c r="AM174" s="4">
        <f t="shared" si="41"/>
        <v>46048</v>
      </c>
      <c r="AN174" s="1" t="str">
        <f t="shared" si="35"/>
        <v>Não</v>
      </c>
      <c r="AR174" s="1">
        <f t="shared" si="36"/>
        <v>8</v>
      </c>
      <c r="AS174" s="4">
        <f t="shared" si="42"/>
        <v>46258</v>
      </c>
      <c r="AT174" s="1" t="str">
        <f t="shared" si="37"/>
        <v>Não</v>
      </c>
      <c r="AV174" s="1">
        <f t="shared" si="38"/>
        <v>9</v>
      </c>
      <c r="AW174" s="4">
        <f t="shared" si="43"/>
        <v>45554</v>
      </c>
      <c r="AX174" s="1" t="str">
        <f t="shared" si="39"/>
        <v>Ok</v>
      </c>
    </row>
    <row r="175" spans="34:50" hidden="1" x14ac:dyDescent="0.25">
      <c r="AH175" s="1">
        <f t="shared" si="32"/>
        <v>4</v>
      </c>
      <c r="AI175" s="5">
        <f t="shared" si="40"/>
        <v>45769</v>
      </c>
      <c r="AJ175" s="1" t="str">
        <f t="shared" si="33"/>
        <v>Não</v>
      </c>
      <c r="AK175" s="1"/>
      <c r="AL175" s="1">
        <f t="shared" si="34"/>
        <v>1</v>
      </c>
      <c r="AM175" s="4">
        <f t="shared" si="41"/>
        <v>46049</v>
      </c>
      <c r="AN175" s="1" t="str">
        <f t="shared" si="35"/>
        <v>Não</v>
      </c>
      <c r="AR175" s="1">
        <f t="shared" si="36"/>
        <v>8</v>
      </c>
      <c r="AS175" s="4">
        <f t="shared" si="42"/>
        <v>46259</v>
      </c>
      <c r="AT175" s="1" t="str">
        <f t="shared" si="37"/>
        <v>Não</v>
      </c>
      <c r="AV175" s="1">
        <f t="shared" si="38"/>
        <v>9</v>
      </c>
      <c r="AW175" s="4">
        <f t="shared" si="43"/>
        <v>45555</v>
      </c>
      <c r="AX175" s="1" t="str">
        <f t="shared" si="39"/>
        <v>Ok</v>
      </c>
    </row>
    <row r="176" spans="34:50" hidden="1" x14ac:dyDescent="0.25">
      <c r="AH176" s="1">
        <f t="shared" si="32"/>
        <v>4</v>
      </c>
      <c r="AI176" s="5">
        <f t="shared" si="40"/>
        <v>45770</v>
      </c>
      <c r="AJ176" s="1" t="str">
        <f t="shared" si="33"/>
        <v>Não</v>
      </c>
      <c r="AK176" s="1"/>
      <c r="AL176" s="1">
        <f t="shared" si="34"/>
        <v>1</v>
      </c>
      <c r="AM176" s="4">
        <f t="shared" si="41"/>
        <v>46050</v>
      </c>
      <c r="AN176" s="1" t="str">
        <f t="shared" si="35"/>
        <v>Não</v>
      </c>
      <c r="AR176" s="1">
        <f t="shared" si="36"/>
        <v>8</v>
      </c>
      <c r="AS176" s="4">
        <f t="shared" si="42"/>
        <v>46260</v>
      </c>
      <c r="AT176" s="1" t="str">
        <f t="shared" si="37"/>
        <v>Não</v>
      </c>
      <c r="AV176" s="1">
        <f t="shared" si="38"/>
        <v>9</v>
      </c>
      <c r="AW176" s="4">
        <f t="shared" si="43"/>
        <v>45556</v>
      </c>
      <c r="AX176" s="1" t="str">
        <f t="shared" si="39"/>
        <v>Ok</v>
      </c>
    </row>
    <row r="177" spans="34:50" hidden="1" x14ac:dyDescent="0.25">
      <c r="AH177" s="1">
        <f t="shared" si="32"/>
        <v>4</v>
      </c>
      <c r="AI177" s="5">
        <f t="shared" si="40"/>
        <v>45771</v>
      </c>
      <c r="AJ177" s="1" t="str">
        <f t="shared" si="33"/>
        <v>Não</v>
      </c>
      <c r="AK177" s="1"/>
      <c r="AL177" s="1">
        <f t="shared" si="34"/>
        <v>1</v>
      </c>
      <c r="AM177" s="4">
        <f t="shared" si="41"/>
        <v>46051</v>
      </c>
      <c r="AN177" s="1" t="str">
        <f t="shared" si="35"/>
        <v>Não</v>
      </c>
      <c r="AR177" s="1">
        <f t="shared" si="36"/>
        <v>8</v>
      </c>
      <c r="AS177" s="4">
        <f t="shared" si="42"/>
        <v>46261</v>
      </c>
      <c r="AT177" s="1" t="str">
        <f t="shared" si="37"/>
        <v>Não</v>
      </c>
      <c r="AV177" s="1">
        <f t="shared" si="38"/>
        <v>9</v>
      </c>
      <c r="AW177" s="4">
        <f t="shared" si="43"/>
        <v>45557</v>
      </c>
      <c r="AX177" s="1" t="str">
        <f t="shared" si="39"/>
        <v>Ok</v>
      </c>
    </row>
    <row r="178" spans="34:50" hidden="1" x14ac:dyDescent="0.25">
      <c r="AH178" s="1">
        <f t="shared" si="32"/>
        <v>4</v>
      </c>
      <c r="AI178" s="5">
        <f t="shared" si="40"/>
        <v>45772</v>
      </c>
      <c r="AJ178" s="1" t="str">
        <f t="shared" si="33"/>
        <v>Não</v>
      </c>
      <c r="AK178" s="1"/>
      <c r="AL178" s="1">
        <f t="shared" si="34"/>
        <v>1</v>
      </c>
      <c r="AM178" s="4">
        <f t="shared" si="41"/>
        <v>46052</v>
      </c>
      <c r="AN178" s="1" t="str">
        <f t="shared" si="35"/>
        <v>Não</v>
      </c>
      <c r="AR178" s="1">
        <f t="shared" si="36"/>
        <v>8</v>
      </c>
      <c r="AS178" s="4">
        <f t="shared" si="42"/>
        <v>46262</v>
      </c>
      <c r="AT178" s="1" t="str">
        <f t="shared" si="37"/>
        <v>Não</v>
      </c>
      <c r="AV178" s="1">
        <f t="shared" si="38"/>
        <v>9</v>
      </c>
      <c r="AW178" s="4">
        <f t="shared" si="43"/>
        <v>45558</v>
      </c>
      <c r="AX178" s="1" t="str">
        <f t="shared" si="39"/>
        <v>Ok</v>
      </c>
    </row>
    <row r="179" spans="34:50" hidden="1" x14ac:dyDescent="0.25">
      <c r="AH179" s="1">
        <f t="shared" si="32"/>
        <v>4</v>
      </c>
      <c r="AI179" s="5">
        <f t="shared" si="40"/>
        <v>45773</v>
      </c>
      <c r="AJ179" s="1" t="str">
        <f t="shared" si="33"/>
        <v>Não</v>
      </c>
      <c r="AK179" s="1"/>
      <c r="AL179" s="1">
        <f t="shared" si="34"/>
        <v>1</v>
      </c>
      <c r="AM179" s="4">
        <f t="shared" si="41"/>
        <v>46053</v>
      </c>
      <c r="AN179" s="1" t="str">
        <f t="shared" si="35"/>
        <v>Não</v>
      </c>
      <c r="AR179" s="1">
        <f t="shared" si="36"/>
        <v>8</v>
      </c>
      <c r="AS179" s="4">
        <f t="shared" si="42"/>
        <v>46263</v>
      </c>
      <c r="AT179" s="1" t="str">
        <f t="shared" si="37"/>
        <v>Não</v>
      </c>
      <c r="AV179" s="1">
        <f t="shared" si="38"/>
        <v>9</v>
      </c>
      <c r="AW179" s="4">
        <f t="shared" si="43"/>
        <v>45559</v>
      </c>
      <c r="AX179" s="1" t="str">
        <f t="shared" si="39"/>
        <v>Ok</v>
      </c>
    </row>
    <row r="180" spans="34:50" hidden="1" x14ac:dyDescent="0.25">
      <c r="AH180" s="1">
        <f t="shared" si="32"/>
        <v>4</v>
      </c>
      <c r="AI180" s="5">
        <f t="shared" si="40"/>
        <v>45774</v>
      </c>
      <c r="AJ180" s="1" t="str">
        <f t="shared" si="33"/>
        <v>Não</v>
      </c>
      <c r="AK180" s="1"/>
      <c r="AL180" s="1">
        <f t="shared" si="34"/>
        <v>2</v>
      </c>
      <c r="AM180" s="4">
        <f t="shared" si="41"/>
        <v>46054</v>
      </c>
      <c r="AN180" s="1" t="str">
        <f t="shared" si="35"/>
        <v>Não</v>
      </c>
      <c r="AR180" s="1">
        <f t="shared" si="36"/>
        <v>8</v>
      </c>
      <c r="AS180" s="4">
        <f t="shared" si="42"/>
        <v>46264</v>
      </c>
      <c r="AT180" s="1" t="str">
        <f t="shared" si="37"/>
        <v>Não</v>
      </c>
      <c r="AV180" s="1">
        <f t="shared" si="38"/>
        <v>9</v>
      </c>
      <c r="AW180" s="4">
        <f t="shared" si="43"/>
        <v>45560</v>
      </c>
      <c r="AX180" s="1" t="str">
        <f t="shared" si="39"/>
        <v>Ok</v>
      </c>
    </row>
    <row r="181" spans="34:50" hidden="1" x14ac:dyDescent="0.25">
      <c r="AH181" s="1">
        <f t="shared" si="32"/>
        <v>4</v>
      </c>
      <c r="AI181" s="5">
        <f t="shared" si="40"/>
        <v>45775</v>
      </c>
      <c r="AJ181" s="1" t="str">
        <f t="shared" si="33"/>
        <v>Não</v>
      </c>
      <c r="AK181" s="1"/>
      <c r="AL181" s="1">
        <f t="shared" si="34"/>
        <v>2</v>
      </c>
      <c r="AM181" s="4">
        <f t="shared" si="41"/>
        <v>46055</v>
      </c>
      <c r="AN181" s="1" t="str">
        <f t="shared" si="35"/>
        <v>Não</v>
      </c>
      <c r="AR181" s="1">
        <f t="shared" si="36"/>
        <v>8</v>
      </c>
      <c r="AS181" s="4">
        <f t="shared" si="42"/>
        <v>46265</v>
      </c>
      <c r="AT181" s="1" t="str">
        <f t="shared" si="37"/>
        <v>Não</v>
      </c>
      <c r="AV181" s="1">
        <f t="shared" si="38"/>
        <v>9</v>
      </c>
      <c r="AW181" s="4">
        <f t="shared" si="43"/>
        <v>45561</v>
      </c>
      <c r="AX181" s="1" t="str">
        <f t="shared" si="39"/>
        <v>Ok</v>
      </c>
    </row>
    <row r="182" spans="34:50" hidden="1" x14ac:dyDescent="0.25">
      <c r="AH182" s="1">
        <f t="shared" si="32"/>
        <v>4</v>
      </c>
      <c r="AI182" s="5">
        <f t="shared" si="40"/>
        <v>45776</v>
      </c>
      <c r="AJ182" s="1" t="str">
        <f t="shared" si="33"/>
        <v>Não</v>
      </c>
      <c r="AK182" s="1"/>
      <c r="AL182" s="1">
        <f t="shared" si="34"/>
        <v>2</v>
      </c>
      <c r="AM182" s="4">
        <f t="shared" si="41"/>
        <v>46056</v>
      </c>
      <c r="AN182" s="1" t="str">
        <f t="shared" si="35"/>
        <v>Não</v>
      </c>
      <c r="AR182" s="1">
        <f t="shared" si="36"/>
        <v>9</v>
      </c>
      <c r="AS182" s="4">
        <f t="shared" si="42"/>
        <v>46266</v>
      </c>
      <c r="AT182" s="1" t="str">
        <f t="shared" si="37"/>
        <v>Não</v>
      </c>
      <c r="AV182" s="1">
        <f t="shared" si="38"/>
        <v>9</v>
      </c>
      <c r="AW182" s="4">
        <f t="shared" si="43"/>
        <v>45562</v>
      </c>
      <c r="AX182" s="1" t="str">
        <f t="shared" si="39"/>
        <v>Ok</v>
      </c>
    </row>
    <row r="183" spans="34:50" hidden="1" x14ac:dyDescent="0.25">
      <c r="AH183" s="1">
        <f t="shared" si="32"/>
        <v>4</v>
      </c>
      <c r="AI183" s="5">
        <f t="shared" si="40"/>
        <v>45777</v>
      </c>
      <c r="AJ183" s="1" t="str">
        <f t="shared" si="33"/>
        <v>Não</v>
      </c>
      <c r="AK183" s="1"/>
      <c r="AL183" s="1">
        <f t="shared" si="34"/>
        <v>2</v>
      </c>
      <c r="AM183" s="4">
        <f t="shared" si="41"/>
        <v>46057</v>
      </c>
      <c r="AN183" s="1" t="str">
        <f t="shared" si="35"/>
        <v>Não</v>
      </c>
      <c r="AR183" s="1">
        <f t="shared" si="36"/>
        <v>9</v>
      </c>
      <c r="AS183" s="4">
        <f t="shared" si="42"/>
        <v>46267</v>
      </c>
      <c r="AT183" s="1" t="str">
        <f t="shared" si="37"/>
        <v>Não</v>
      </c>
      <c r="AV183" s="1">
        <f t="shared" si="38"/>
        <v>9</v>
      </c>
      <c r="AW183" s="4">
        <f t="shared" si="43"/>
        <v>45563</v>
      </c>
      <c r="AX183" s="1" t="str">
        <f t="shared" si="39"/>
        <v>Ok</v>
      </c>
    </row>
    <row r="184" spans="34:50" hidden="1" x14ac:dyDescent="0.25">
      <c r="AH184" s="1">
        <f t="shared" si="32"/>
        <v>5</v>
      </c>
      <c r="AI184" s="5">
        <f t="shared" si="40"/>
        <v>45778</v>
      </c>
      <c r="AJ184" s="1" t="str">
        <f t="shared" si="33"/>
        <v>Não</v>
      </c>
      <c r="AK184" s="1"/>
      <c r="AL184" s="1">
        <f t="shared" si="34"/>
        <v>2</v>
      </c>
      <c r="AM184" s="4">
        <f t="shared" si="41"/>
        <v>46058</v>
      </c>
      <c r="AN184" s="1" t="str">
        <f t="shared" si="35"/>
        <v>Não</v>
      </c>
      <c r="AR184" s="1">
        <f t="shared" si="36"/>
        <v>9</v>
      </c>
      <c r="AS184" s="4">
        <f t="shared" si="42"/>
        <v>46268</v>
      </c>
      <c r="AT184" s="1" t="str">
        <f t="shared" si="37"/>
        <v>Não</v>
      </c>
      <c r="AV184" s="1">
        <f t="shared" si="38"/>
        <v>9</v>
      </c>
      <c r="AW184" s="4">
        <f t="shared" si="43"/>
        <v>45564</v>
      </c>
      <c r="AX184" s="1" t="str">
        <f t="shared" si="39"/>
        <v>Ok</v>
      </c>
    </row>
    <row r="185" spans="34:50" hidden="1" x14ac:dyDescent="0.25">
      <c r="AH185" s="1">
        <f t="shared" si="32"/>
        <v>5</v>
      </c>
      <c r="AI185" s="5">
        <f t="shared" si="40"/>
        <v>45779</v>
      </c>
      <c r="AJ185" s="1" t="str">
        <f t="shared" si="33"/>
        <v>Não</v>
      </c>
      <c r="AK185" s="1"/>
      <c r="AL185" s="1">
        <f t="shared" si="34"/>
        <v>2</v>
      </c>
      <c r="AM185" s="4">
        <f t="shared" si="41"/>
        <v>46059</v>
      </c>
      <c r="AN185" s="1" t="str">
        <f t="shared" si="35"/>
        <v>Não</v>
      </c>
      <c r="AR185" s="1">
        <f t="shared" si="36"/>
        <v>9</v>
      </c>
      <c r="AS185" s="4">
        <f t="shared" si="42"/>
        <v>46269</v>
      </c>
      <c r="AT185" s="1" t="str">
        <f t="shared" si="37"/>
        <v>Não</v>
      </c>
      <c r="AV185" s="1">
        <f t="shared" si="38"/>
        <v>9</v>
      </c>
      <c r="AW185" s="4">
        <f t="shared" si="43"/>
        <v>45565</v>
      </c>
      <c r="AX185" s="1" t="str">
        <f t="shared" si="39"/>
        <v>Ok</v>
      </c>
    </row>
    <row r="186" spans="34:50" hidden="1" x14ac:dyDescent="0.25">
      <c r="AH186" s="1">
        <f t="shared" si="32"/>
        <v>5</v>
      </c>
      <c r="AI186" s="5">
        <f t="shared" si="40"/>
        <v>45780</v>
      </c>
      <c r="AJ186" s="1" t="str">
        <f t="shared" si="33"/>
        <v>Não</v>
      </c>
      <c r="AK186" s="1"/>
      <c r="AL186" s="1">
        <f t="shared" si="34"/>
        <v>2</v>
      </c>
      <c r="AM186" s="4">
        <f t="shared" si="41"/>
        <v>46060</v>
      </c>
      <c r="AN186" s="1" t="str">
        <f t="shared" si="35"/>
        <v>Não</v>
      </c>
      <c r="AR186" s="1">
        <f t="shared" si="36"/>
        <v>9</v>
      </c>
      <c r="AS186" s="4">
        <f t="shared" si="42"/>
        <v>46270</v>
      </c>
      <c r="AT186" s="1" t="str">
        <f t="shared" si="37"/>
        <v>Não</v>
      </c>
      <c r="AV186" s="1">
        <f t="shared" si="38"/>
        <v>10</v>
      </c>
      <c r="AW186" s="4">
        <f t="shared" si="43"/>
        <v>45566</v>
      </c>
      <c r="AX186" s="1" t="str">
        <f t="shared" si="39"/>
        <v>Ok</v>
      </c>
    </row>
    <row r="187" spans="34:50" hidden="1" x14ac:dyDescent="0.25">
      <c r="AH187" s="1">
        <f t="shared" si="32"/>
        <v>5</v>
      </c>
      <c r="AI187" s="5">
        <f t="shared" si="40"/>
        <v>45781</v>
      </c>
      <c r="AJ187" s="1" t="str">
        <f t="shared" si="33"/>
        <v>Não</v>
      </c>
      <c r="AK187" s="1"/>
      <c r="AL187" s="1">
        <f t="shared" si="34"/>
        <v>2</v>
      </c>
      <c r="AM187" s="4">
        <f t="shared" si="41"/>
        <v>46061</v>
      </c>
      <c r="AN187" s="1" t="str">
        <f t="shared" si="35"/>
        <v>Não</v>
      </c>
      <c r="AR187" s="1">
        <f t="shared" si="36"/>
        <v>9</v>
      </c>
      <c r="AS187" s="4">
        <f t="shared" si="42"/>
        <v>46271</v>
      </c>
      <c r="AT187" s="1" t="str">
        <f t="shared" si="37"/>
        <v>Não</v>
      </c>
      <c r="AV187" s="1">
        <f t="shared" si="38"/>
        <v>10</v>
      </c>
      <c r="AW187" s="4">
        <f t="shared" si="43"/>
        <v>45567</v>
      </c>
      <c r="AX187" s="1" t="str">
        <f t="shared" si="39"/>
        <v>Ok</v>
      </c>
    </row>
    <row r="188" spans="34:50" hidden="1" x14ac:dyDescent="0.25">
      <c r="AH188" s="1">
        <f t="shared" si="32"/>
        <v>5</v>
      </c>
      <c r="AI188" s="5">
        <f t="shared" si="40"/>
        <v>45782</v>
      </c>
      <c r="AJ188" s="1" t="str">
        <f t="shared" si="33"/>
        <v>Não</v>
      </c>
      <c r="AK188" s="1"/>
      <c r="AL188" s="1">
        <f t="shared" si="34"/>
        <v>2</v>
      </c>
      <c r="AM188" s="4">
        <f t="shared" si="41"/>
        <v>46062</v>
      </c>
      <c r="AN188" s="1" t="str">
        <f t="shared" si="35"/>
        <v>Não</v>
      </c>
      <c r="AR188" s="1">
        <f t="shared" si="36"/>
        <v>9</v>
      </c>
      <c r="AS188" s="4">
        <f t="shared" si="42"/>
        <v>46272</v>
      </c>
      <c r="AT188" s="1" t="str">
        <f t="shared" si="37"/>
        <v>Não</v>
      </c>
      <c r="AV188" s="1">
        <f t="shared" si="38"/>
        <v>10</v>
      </c>
      <c r="AW188" s="4">
        <f t="shared" si="43"/>
        <v>45568</v>
      </c>
      <c r="AX188" s="1" t="str">
        <f t="shared" si="39"/>
        <v>Ok</v>
      </c>
    </row>
    <row r="189" spans="34:50" hidden="1" x14ac:dyDescent="0.25">
      <c r="AH189" s="1">
        <f t="shared" si="32"/>
        <v>5</v>
      </c>
      <c r="AI189" s="5">
        <f t="shared" si="40"/>
        <v>45783</v>
      </c>
      <c r="AJ189" s="1" t="str">
        <f t="shared" si="33"/>
        <v>Não</v>
      </c>
      <c r="AK189" s="1"/>
      <c r="AL189" s="1">
        <f t="shared" si="34"/>
        <v>2</v>
      </c>
      <c r="AM189" s="4">
        <f t="shared" si="41"/>
        <v>46063</v>
      </c>
      <c r="AN189" s="1" t="str">
        <f t="shared" si="35"/>
        <v>Não</v>
      </c>
      <c r="AR189" s="1">
        <f t="shared" si="36"/>
        <v>9</v>
      </c>
      <c r="AS189" s="4">
        <f t="shared" si="42"/>
        <v>46273</v>
      </c>
      <c r="AT189" s="1" t="str">
        <f t="shared" si="37"/>
        <v>Não</v>
      </c>
      <c r="AV189" s="1">
        <f t="shared" si="38"/>
        <v>10</v>
      </c>
      <c r="AW189" s="4">
        <f t="shared" si="43"/>
        <v>45569</v>
      </c>
      <c r="AX189" s="1" t="str">
        <f t="shared" si="39"/>
        <v>Ok</v>
      </c>
    </row>
    <row r="190" spans="34:50" hidden="1" x14ac:dyDescent="0.25">
      <c r="AH190" s="1">
        <f t="shared" si="32"/>
        <v>5</v>
      </c>
      <c r="AI190" s="5">
        <f t="shared" si="40"/>
        <v>45784</v>
      </c>
      <c r="AJ190" s="1" t="str">
        <f t="shared" si="33"/>
        <v>Não</v>
      </c>
      <c r="AK190" s="1"/>
      <c r="AL190" s="1">
        <f t="shared" si="34"/>
        <v>2</v>
      </c>
      <c r="AM190" s="4">
        <f t="shared" si="41"/>
        <v>46064</v>
      </c>
      <c r="AN190" s="1" t="str">
        <f t="shared" si="35"/>
        <v>Não</v>
      </c>
      <c r="AR190" s="1">
        <f t="shared" si="36"/>
        <v>9</v>
      </c>
      <c r="AS190" s="4">
        <f t="shared" si="42"/>
        <v>46274</v>
      </c>
      <c r="AT190" s="1" t="str">
        <f t="shared" si="37"/>
        <v>Não</v>
      </c>
      <c r="AV190" s="1">
        <f t="shared" si="38"/>
        <v>10</v>
      </c>
      <c r="AW190" s="4">
        <f t="shared" si="43"/>
        <v>45570</v>
      </c>
      <c r="AX190" s="1" t="str">
        <f t="shared" si="39"/>
        <v>Ok</v>
      </c>
    </row>
    <row r="191" spans="34:50" hidden="1" x14ac:dyDescent="0.25">
      <c r="AH191" s="1">
        <f t="shared" si="32"/>
        <v>5</v>
      </c>
      <c r="AI191" s="5">
        <f t="shared" si="40"/>
        <v>45785</v>
      </c>
      <c r="AJ191" s="1" t="str">
        <f t="shared" si="33"/>
        <v>Não</v>
      </c>
      <c r="AK191" s="1"/>
      <c r="AL191" s="1">
        <f t="shared" si="34"/>
        <v>2</v>
      </c>
      <c r="AM191" s="4">
        <f t="shared" si="41"/>
        <v>46065</v>
      </c>
      <c r="AN191" s="1" t="str">
        <f t="shared" si="35"/>
        <v>Não</v>
      </c>
      <c r="AR191" s="1">
        <f t="shared" si="36"/>
        <v>9</v>
      </c>
      <c r="AS191" s="4">
        <f t="shared" si="42"/>
        <v>46275</v>
      </c>
      <c r="AT191" s="1" t="str">
        <f t="shared" si="37"/>
        <v>Não</v>
      </c>
      <c r="AV191" s="1">
        <f t="shared" si="38"/>
        <v>10</v>
      </c>
      <c r="AW191" s="4">
        <f t="shared" si="43"/>
        <v>45571</v>
      </c>
      <c r="AX191" s="1" t="str">
        <f t="shared" si="39"/>
        <v>Ok</v>
      </c>
    </row>
    <row r="192" spans="34:50" hidden="1" x14ac:dyDescent="0.25">
      <c r="AH192" s="1">
        <f t="shared" si="32"/>
        <v>5</v>
      </c>
      <c r="AI192" s="5">
        <f t="shared" si="40"/>
        <v>45786</v>
      </c>
      <c r="AJ192" s="1" t="str">
        <f t="shared" si="33"/>
        <v>Não</v>
      </c>
      <c r="AK192" s="1"/>
      <c r="AL192" s="1">
        <f t="shared" si="34"/>
        <v>2</v>
      </c>
      <c r="AM192" s="4">
        <f t="shared" si="41"/>
        <v>46066</v>
      </c>
      <c r="AN192" s="1" t="str">
        <f t="shared" si="35"/>
        <v>Não</v>
      </c>
      <c r="AR192" s="1">
        <f t="shared" si="36"/>
        <v>9</v>
      </c>
      <c r="AS192" s="4">
        <f t="shared" si="42"/>
        <v>46276</v>
      </c>
      <c r="AT192" s="1" t="str">
        <f t="shared" si="37"/>
        <v>Não</v>
      </c>
      <c r="AV192" s="1">
        <f t="shared" si="38"/>
        <v>10</v>
      </c>
      <c r="AW192" s="4">
        <f t="shared" si="43"/>
        <v>45572</v>
      </c>
      <c r="AX192" s="1" t="str">
        <f t="shared" si="39"/>
        <v>Ok</v>
      </c>
    </row>
    <row r="193" spans="34:50" hidden="1" x14ac:dyDescent="0.25">
      <c r="AH193" s="1">
        <f t="shared" si="32"/>
        <v>5</v>
      </c>
      <c r="AI193" s="5">
        <f t="shared" si="40"/>
        <v>45787</v>
      </c>
      <c r="AJ193" s="1" t="str">
        <f t="shared" si="33"/>
        <v>Não</v>
      </c>
      <c r="AK193" s="1"/>
      <c r="AL193" s="1">
        <f t="shared" si="34"/>
        <v>2</v>
      </c>
      <c r="AM193" s="4">
        <f t="shared" si="41"/>
        <v>46067</v>
      </c>
      <c r="AN193" s="1" t="str">
        <f t="shared" si="35"/>
        <v>Não</v>
      </c>
      <c r="AR193" s="1">
        <f t="shared" si="36"/>
        <v>9</v>
      </c>
      <c r="AS193" s="4">
        <f t="shared" si="42"/>
        <v>46277</v>
      </c>
      <c r="AT193" s="1" t="str">
        <f t="shared" si="37"/>
        <v>Não</v>
      </c>
      <c r="AV193" s="1">
        <f t="shared" si="38"/>
        <v>10</v>
      </c>
      <c r="AW193" s="4">
        <f t="shared" si="43"/>
        <v>45573</v>
      </c>
      <c r="AX193" s="1" t="str">
        <f t="shared" si="39"/>
        <v>Ok</v>
      </c>
    </row>
    <row r="194" spans="34:50" hidden="1" x14ac:dyDescent="0.25">
      <c r="AH194" s="1">
        <f t="shared" si="32"/>
        <v>5</v>
      </c>
      <c r="AI194" s="5">
        <f t="shared" si="40"/>
        <v>45788</v>
      </c>
      <c r="AJ194" s="1" t="str">
        <f t="shared" si="33"/>
        <v>Não</v>
      </c>
      <c r="AK194" s="1"/>
      <c r="AL194" s="1">
        <f t="shared" si="34"/>
        <v>2</v>
      </c>
      <c r="AM194" s="4">
        <f t="shared" si="41"/>
        <v>46068</v>
      </c>
      <c r="AN194" s="1" t="str">
        <f t="shared" si="35"/>
        <v>Não</v>
      </c>
      <c r="AR194" s="1">
        <f t="shared" si="36"/>
        <v>9</v>
      </c>
      <c r="AS194" s="4">
        <f t="shared" si="42"/>
        <v>46278</v>
      </c>
      <c r="AT194" s="1" t="str">
        <f t="shared" si="37"/>
        <v>Não</v>
      </c>
      <c r="AV194" s="1">
        <f t="shared" si="38"/>
        <v>10</v>
      </c>
      <c r="AW194" s="4">
        <f t="shared" si="43"/>
        <v>45574</v>
      </c>
      <c r="AX194" s="1" t="str">
        <f t="shared" si="39"/>
        <v>Ok</v>
      </c>
    </row>
    <row r="195" spans="34:50" hidden="1" x14ac:dyDescent="0.25">
      <c r="AH195" s="1">
        <f t="shared" ref="AH195:AH258" si="44">MONTH(AI195)</f>
        <v>5</v>
      </c>
      <c r="AI195" s="5">
        <f t="shared" si="40"/>
        <v>45789</v>
      </c>
      <c r="AJ195" s="1" t="str">
        <f t="shared" ref="AJ195:AJ258" si="45">IF(AND(AI195&gt;=$C$6,AI195&lt;=$C$8),"Ok","Não")</f>
        <v>Não</v>
      </c>
      <c r="AK195" s="1"/>
      <c r="AL195" s="1">
        <f t="shared" ref="AL195:AL258" si="46">MONTH(AM195)</f>
        <v>2</v>
      </c>
      <c r="AM195" s="4">
        <f t="shared" si="41"/>
        <v>46069</v>
      </c>
      <c r="AN195" s="1" t="str">
        <f t="shared" ref="AN195:AN258" si="47">IF(AND(AM195&gt;=$C$9,AM195&lt;=$C$10),"Ok","Não")</f>
        <v>Não</v>
      </c>
      <c r="AR195" s="1">
        <f t="shared" ref="AR195:AR258" si="48">MONTH(AS195)</f>
        <v>9</v>
      </c>
      <c r="AS195" s="4">
        <f t="shared" si="42"/>
        <v>46279</v>
      </c>
      <c r="AT195" s="1" t="str">
        <f t="shared" ref="AT195:AT258" si="49">IF(AND(AS195&gt;=$C$11,AS195&lt;=$C$12),"Ok","Não")</f>
        <v>Não</v>
      </c>
      <c r="AV195" s="1">
        <f t="shared" ref="AV195:AV258" si="50">MONTH(AW195)</f>
        <v>10</v>
      </c>
      <c r="AW195" s="4">
        <f t="shared" si="43"/>
        <v>45575</v>
      </c>
      <c r="AX195" s="1" t="str">
        <f t="shared" ref="AX195:AX258" si="51">IF(AND(AW195&gt;=$C$4,AW195&lt;=$C$5),"Ok","Não")</f>
        <v>Ok</v>
      </c>
    </row>
    <row r="196" spans="34:50" hidden="1" x14ac:dyDescent="0.25">
      <c r="AH196" s="1">
        <f t="shared" si="44"/>
        <v>5</v>
      </c>
      <c r="AI196" s="5">
        <f t="shared" si="40"/>
        <v>45790</v>
      </c>
      <c r="AJ196" s="1" t="str">
        <f t="shared" si="45"/>
        <v>Não</v>
      </c>
      <c r="AK196" s="1"/>
      <c r="AL196" s="1">
        <f t="shared" si="46"/>
        <v>2</v>
      </c>
      <c r="AM196" s="4">
        <f t="shared" si="41"/>
        <v>46070</v>
      </c>
      <c r="AN196" s="1" t="str">
        <f t="shared" si="47"/>
        <v>Não</v>
      </c>
      <c r="AR196" s="1">
        <f t="shared" si="48"/>
        <v>9</v>
      </c>
      <c r="AS196" s="4">
        <f t="shared" si="42"/>
        <v>46280</v>
      </c>
      <c r="AT196" s="1" t="str">
        <f t="shared" si="49"/>
        <v>Não</v>
      </c>
      <c r="AV196" s="1">
        <f t="shared" si="50"/>
        <v>10</v>
      </c>
      <c r="AW196" s="4">
        <f t="shared" si="43"/>
        <v>45576</v>
      </c>
      <c r="AX196" s="1" t="str">
        <f t="shared" si="51"/>
        <v>Ok</v>
      </c>
    </row>
    <row r="197" spans="34:50" hidden="1" x14ac:dyDescent="0.25">
      <c r="AH197" s="1">
        <f t="shared" si="44"/>
        <v>5</v>
      </c>
      <c r="AI197" s="5">
        <f t="shared" ref="AI197:AI260" si="52">AI196+1</f>
        <v>45791</v>
      </c>
      <c r="AJ197" s="1" t="str">
        <f t="shared" si="45"/>
        <v>Não</v>
      </c>
      <c r="AK197" s="1"/>
      <c r="AL197" s="1">
        <f t="shared" si="46"/>
        <v>2</v>
      </c>
      <c r="AM197" s="4">
        <f t="shared" ref="AM197:AM260" si="53">AM196+1</f>
        <v>46071</v>
      </c>
      <c r="AN197" s="1" t="str">
        <f t="shared" si="47"/>
        <v>Não</v>
      </c>
      <c r="AR197" s="1">
        <f t="shared" si="48"/>
        <v>9</v>
      </c>
      <c r="AS197" s="4">
        <f t="shared" ref="AS197:AS260" si="54">AS196+1</f>
        <v>46281</v>
      </c>
      <c r="AT197" s="1" t="str">
        <f t="shared" si="49"/>
        <v>Não</v>
      </c>
      <c r="AV197" s="1">
        <f t="shared" si="50"/>
        <v>10</v>
      </c>
      <c r="AW197" s="4">
        <f t="shared" ref="AW197:AW260" si="55">AW196+1</f>
        <v>45577</v>
      </c>
      <c r="AX197" s="1" t="str">
        <f t="shared" si="51"/>
        <v>Ok</v>
      </c>
    </row>
    <row r="198" spans="34:50" hidden="1" x14ac:dyDescent="0.25">
      <c r="AH198" s="1">
        <f t="shared" si="44"/>
        <v>5</v>
      </c>
      <c r="AI198" s="5">
        <f t="shared" si="52"/>
        <v>45792</v>
      </c>
      <c r="AJ198" s="1" t="str">
        <f t="shared" si="45"/>
        <v>Não</v>
      </c>
      <c r="AK198" s="1"/>
      <c r="AL198" s="1">
        <f t="shared" si="46"/>
        <v>2</v>
      </c>
      <c r="AM198" s="4">
        <f t="shared" si="53"/>
        <v>46072</v>
      </c>
      <c r="AN198" s="1" t="str">
        <f t="shared" si="47"/>
        <v>Não</v>
      </c>
      <c r="AR198" s="1">
        <f t="shared" si="48"/>
        <v>9</v>
      </c>
      <c r="AS198" s="4">
        <f t="shared" si="54"/>
        <v>46282</v>
      </c>
      <c r="AT198" s="1" t="str">
        <f t="shared" si="49"/>
        <v>Não</v>
      </c>
      <c r="AV198" s="1">
        <f t="shared" si="50"/>
        <v>10</v>
      </c>
      <c r="AW198" s="4">
        <f t="shared" si="55"/>
        <v>45578</v>
      </c>
      <c r="AX198" s="1" t="str">
        <f t="shared" si="51"/>
        <v>Ok</v>
      </c>
    </row>
    <row r="199" spans="34:50" hidden="1" x14ac:dyDescent="0.25">
      <c r="AH199" s="1">
        <f t="shared" si="44"/>
        <v>5</v>
      </c>
      <c r="AI199" s="5">
        <f t="shared" si="52"/>
        <v>45793</v>
      </c>
      <c r="AJ199" s="1" t="str">
        <f t="shared" si="45"/>
        <v>Não</v>
      </c>
      <c r="AK199" s="1"/>
      <c r="AL199" s="1">
        <f t="shared" si="46"/>
        <v>2</v>
      </c>
      <c r="AM199" s="4">
        <f t="shared" si="53"/>
        <v>46073</v>
      </c>
      <c r="AN199" s="1" t="str">
        <f t="shared" si="47"/>
        <v>Não</v>
      </c>
      <c r="AR199" s="1">
        <f t="shared" si="48"/>
        <v>9</v>
      </c>
      <c r="AS199" s="4">
        <f t="shared" si="54"/>
        <v>46283</v>
      </c>
      <c r="AT199" s="1" t="str">
        <f t="shared" si="49"/>
        <v>Não</v>
      </c>
      <c r="AV199" s="1">
        <f t="shared" si="50"/>
        <v>10</v>
      </c>
      <c r="AW199" s="4">
        <f t="shared" si="55"/>
        <v>45579</v>
      </c>
      <c r="AX199" s="1" t="str">
        <f t="shared" si="51"/>
        <v>Ok</v>
      </c>
    </row>
    <row r="200" spans="34:50" hidden="1" x14ac:dyDescent="0.25">
      <c r="AH200" s="1">
        <f t="shared" si="44"/>
        <v>5</v>
      </c>
      <c r="AI200" s="5">
        <f t="shared" si="52"/>
        <v>45794</v>
      </c>
      <c r="AJ200" s="1" t="str">
        <f t="shared" si="45"/>
        <v>Não</v>
      </c>
      <c r="AK200" s="1"/>
      <c r="AL200" s="1">
        <f t="shared" si="46"/>
        <v>2</v>
      </c>
      <c r="AM200" s="4">
        <f t="shared" si="53"/>
        <v>46074</v>
      </c>
      <c r="AN200" s="1" t="str">
        <f t="shared" si="47"/>
        <v>Não</v>
      </c>
      <c r="AR200" s="1">
        <f t="shared" si="48"/>
        <v>9</v>
      </c>
      <c r="AS200" s="4">
        <f t="shared" si="54"/>
        <v>46284</v>
      </c>
      <c r="AT200" s="1" t="str">
        <f t="shared" si="49"/>
        <v>Não</v>
      </c>
      <c r="AV200" s="1">
        <f t="shared" si="50"/>
        <v>10</v>
      </c>
      <c r="AW200" s="4">
        <f t="shared" si="55"/>
        <v>45580</v>
      </c>
      <c r="AX200" s="1" t="str">
        <f t="shared" si="51"/>
        <v>Ok</v>
      </c>
    </row>
    <row r="201" spans="34:50" hidden="1" x14ac:dyDescent="0.25">
      <c r="AH201" s="1">
        <f t="shared" si="44"/>
        <v>5</v>
      </c>
      <c r="AI201" s="5">
        <f t="shared" si="52"/>
        <v>45795</v>
      </c>
      <c r="AJ201" s="1" t="str">
        <f t="shared" si="45"/>
        <v>Não</v>
      </c>
      <c r="AK201" s="1"/>
      <c r="AL201" s="1">
        <f t="shared" si="46"/>
        <v>2</v>
      </c>
      <c r="AM201" s="4">
        <f t="shared" si="53"/>
        <v>46075</v>
      </c>
      <c r="AN201" s="1" t="str">
        <f t="shared" si="47"/>
        <v>Não</v>
      </c>
      <c r="AR201" s="1">
        <f t="shared" si="48"/>
        <v>9</v>
      </c>
      <c r="AS201" s="4">
        <f t="shared" si="54"/>
        <v>46285</v>
      </c>
      <c r="AT201" s="1" t="str">
        <f t="shared" si="49"/>
        <v>Não</v>
      </c>
      <c r="AV201" s="1">
        <f t="shared" si="50"/>
        <v>10</v>
      </c>
      <c r="AW201" s="4">
        <f t="shared" si="55"/>
        <v>45581</v>
      </c>
      <c r="AX201" s="1" t="str">
        <f t="shared" si="51"/>
        <v>Não</v>
      </c>
    </row>
    <row r="202" spans="34:50" hidden="1" x14ac:dyDescent="0.25">
      <c r="AH202" s="1">
        <f t="shared" si="44"/>
        <v>5</v>
      </c>
      <c r="AI202" s="5">
        <f t="shared" si="52"/>
        <v>45796</v>
      </c>
      <c r="AJ202" s="1" t="str">
        <f t="shared" si="45"/>
        <v>Não</v>
      </c>
      <c r="AK202" s="1"/>
      <c r="AL202" s="1">
        <f t="shared" si="46"/>
        <v>2</v>
      </c>
      <c r="AM202" s="4">
        <f t="shared" si="53"/>
        <v>46076</v>
      </c>
      <c r="AN202" s="1" t="str">
        <f t="shared" si="47"/>
        <v>Não</v>
      </c>
      <c r="AR202" s="1">
        <f t="shared" si="48"/>
        <v>9</v>
      </c>
      <c r="AS202" s="4">
        <f t="shared" si="54"/>
        <v>46286</v>
      </c>
      <c r="AT202" s="1" t="str">
        <f t="shared" si="49"/>
        <v>Não</v>
      </c>
      <c r="AV202" s="1">
        <f t="shared" si="50"/>
        <v>10</v>
      </c>
      <c r="AW202" s="4">
        <f t="shared" si="55"/>
        <v>45582</v>
      </c>
      <c r="AX202" s="1" t="str">
        <f t="shared" si="51"/>
        <v>Não</v>
      </c>
    </row>
    <row r="203" spans="34:50" hidden="1" x14ac:dyDescent="0.25">
      <c r="AH203" s="1">
        <f t="shared" si="44"/>
        <v>5</v>
      </c>
      <c r="AI203" s="5">
        <f t="shared" si="52"/>
        <v>45797</v>
      </c>
      <c r="AJ203" s="1" t="str">
        <f t="shared" si="45"/>
        <v>Não</v>
      </c>
      <c r="AK203" s="1"/>
      <c r="AL203" s="1">
        <f t="shared" si="46"/>
        <v>2</v>
      </c>
      <c r="AM203" s="4">
        <f t="shared" si="53"/>
        <v>46077</v>
      </c>
      <c r="AN203" s="1" t="str">
        <f t="shared" si="47"/>
        <v>Não</v>
      </c>
      <c r="AR203" s="1">
        <f t="shared" si="48"/>
        <v>9</v>
      </c>
      <c r="AS203" s="4">
        <f t="shared" si="54"/>
        <v>46287</v>
      </c>
      <c r="AT203" s="1" t="str">
        <f t="shared" si="49"/>
        <v>Não</v>
      </c>
      <c r="AV203" s="1">
        <f t="shared" si="50"/>
        <v>10</v>
      </c>
      <c r="AW203" s="4">
        <f t="shared" si="55"/>
        <v>45583</v>
      </c>
      <c r="AX203" s="1" t="str">
        <f t="shared" si="51"/>
        <v>Não</v>
      </c>
    </row>
    <row r="204" spans="34:50" hidden="1" x14ac:dyDescent="0.25">
      <c r="AH204" s="1">
        <f t="shared" si="44"/>
        <v>5</v>
      </c>
      <c r="AI204" s="5">
        <f t="shared" si="52"/>
        <v>45798</v>
      </c>
      <c r="AJ204" s="1" t="str">
        <f t="shared" si="45"/>
        <v>Não</v>
      </c>
      <c r="AK204" s="1"/>
      <c r="AL204" s="1">
        <f t="shared" si="46"/>
        <v>2</v>
      </c>
      <c r="AM204" s="4">
        <f t="shared" si="53"/>
        <v>46078</v>
      </c>
      <c r="AN204" s="1" t="str">
        <f t="shared" si="47"/>
        <v>Não</v>
      </c>
      <c r="AR204" s="1">
        <f t="shared" si="48"/>
        <v>9</v>
      </c>
      <c r="AS204" s="4">
        <f t="shared" si="54"/>
        <v>46288</v>
      </c>
      <c r="AT204" s="1" t="str">
        <f t="shared" si="49"/>
        <v>Não</v>
      </c>
      <c r="AV204" s="1">
        <f t="shared" si="50"/>
        <v>10</v>
      </c>
      <c r="AW204" s="4">
        <f t="shared" si="55"/>
        <v>45584</v>
      </c>
      <c r="AX204" s="1" t="str">
        <f t="shared" si="51"/>
        <v>Não</v>
      </c>
    </row>
    <row r="205" spans="34:50" hidden="1" x14ac:dyDescent="0.25">
      <c r="AH205" s="1">
        <f t="shared" si="44"/>
        <v>5</v>
      </c>
      <c r="AI205" s="5">
        <f t="shared" si="52"/>
        <v>45799</v>
      </c>
      <c r="AJ205" s="1" t="str">
        <f t="shared" si="45"/>
        <v>Não</v>
      </c>
      <c r="AK205" s="1"/>
      <c r="AL205" s="1">
        <f t="shared" si="46"/>
        <v>2</v>
      </c>
      <c r="AM205" s="4">
        <f t="shared" si="53"/>
        <v>46079</v>
      </c>
      <c r="AN205" s="1" t="str">
        <f t="shared" si="47"/>
        <v>Não</v>
      </c>
      <c r="AR205" s="1">
        <f t="shared" si="48"/>
        <v>9</v>
      </c>
      <c r="AS205" s="4">
        <f t="shared" si="54"/>
        <v>46289</v>
      </c>
      <c r="AT205" s="1" t="str">
        <f t="shared" si="49"/>
        <v>Não</v>
      </c>
      <c r="AV205" s="1">
        <f t="shared" si="50"/>
        <v>10</v>
      </c>
      <c r="AW205" s="4">
        <f t="shared" si="55"/>
        <v>45585</v>
      </c>
      <c r="AX205" s="1" t="str">
        <f t="shared" si="51"/>
        <v>Não</v>
      </c>
    </row>
    <row r="206" spans="34:50" hidden="1" x14ac:dyDescent="0.25">
      <c r="AH206" s="1">
        <f t="shared" si="44"/>
        <v>5</v>
      </c>
      <c r="AI206" s="5">
        <f t="shared" si="52"/>
        <v>45800</v>
      </c>
      <c r="AJ206" s="1" t="str">
        <f t="shared" si="45"/>
        <v>Não</v>
      </c>
      <c r="AK206" s="1"/>
      <c r="AL206" s="1">
        <f t="shared" si="46"/>
        <v>2</v>
      </c>
      <c r="AM206" s="4">
        <f t="shared" si="53"/>
        <v>46080</v>
      </c>
      <c r="AN206" s="1" t="str">
        <f t="shared" si="47"/>
        <v>Não</v>
      </c>
      <c r="AR206" s="1">
        <f t="shared" si="48"/>
        <v>9</v>
      </c>
      <c r="AS206" s="4">
        <f t="shared" si="54"/>
        <v>46290</v>
      </c>
      <c r="AT206" s="1" t="str">
        <f t="shared" si="49"/>
        <v>Não</v>
      </c>
      <c r="AV206" s="1">
        <f t="shared" si="50"/>
        <v>10</v>
      </c>
      <c r="AW206" s="4">
        <f t="shared" si="55"/>
        <v>45586</v>
      </c>
      <c r="AX206" s="1" t="str">
        <f t="shared" si="51"/>
        <v>Não</v>
      </c>
    </row>
    <row r="207" spans="34:50" hidden="1" x14ac:dyDescent="0.25">
      <c r="AH207" s="1">
        <f t="shared" si="44"/>
        <v>5</v>
      </c>
      <c r="AI207" s="5">
        <f t="shared" si="52"/>
        <v>45801</v>
      </c>
      <c r="AJ207" s="1" t="str">
        <f t="shared" si="45"/>
        <v>Não</v>
      </c>
      <c r="AK207" s="1"/>
      <c r="AL207" s="1">
        <f t="shared" si="46"/>
        <v>2</v>
      </c>
      <c r="AM207" s="4">
        <f t="shared" si="53"/>
        <v>46081</v>
      </c>
      <c r="AN207" s="1" t="str">
        <f t="shared" si="47"/>
        <v>Não</v>
      </c>
      <c r="AR207" s="1">
        <f t="shared" si="48"/>
        <v>9</v>
      </c>
      <c r="AS207" s="4">
        <f t="shared" si="54"/>
        <v>46291</v>
      </c>
      <c r="AT207" s="1" t="str">
        <f t="shared" si="49"/>
        <v>Não</v>
      </c>
      <c r="AV207" s="1">
        <f t="shared" si="50"/>
        <v>10</v>
      </c>
      <c r="AW207" s="4">
        <f t="shared" si="55"/>
        <v>45587</v>
      </c>
      <c r="AX207" s="1" t="str">
        <f t="shared" si="51"/>
        <v>Não</v>
      </c>
    </row>
    <row r="208" spans="34:50" hidden="1" x14ac:dyDescent="0.25">
      <c r="AH208" s="1">
        <f t="shared" si="44"/>
        <v>5</v>
      </c>
      <c r="AI208" s="5">
        <f t="shared" si="52"/>
        <v>45802</v>
      </c>
      <c r="AJ208" s="1" t="str">
        <f t="shared" si="45"/>
        <v>Não</v>
      </c>
      <c r="AK208" s="1"/>
      <c r="AL208" s="1">
        <f t="shared" si="46"/>
        <v>3</v>
      </c>
      <c r="AM208" s="4">
        <f t="shared" si="53"/>
        <v>46082</v>
      </c>
      <c r="AN208" s="1" t="str">
        <f t="shared" si="47"/>
        <v>Não</v>
      </c>
      <c r="AR208" s="1">
        <f t="shared" si="48"/>
        <v>9</v>
      </c>
      <c r="AS208" s="4">
        <f t="shared" si="54"/>
        <v>46292</v>
      </c>
      <c r="AT208" s="1" t="str">
        <f t="shared" si="49"/>
        <v>Não</v>
      </c>
      <c r="AV208" s="1">
        <f t="shared" si="50"/>
        <v>10</v>
      </c>
      <c r="AW208" s="4">
        <f t="shared" si="55"/>
        <v>45588</v>
      </c>
      <c r="AX208" s="1" t="str">
        <f t="shared" si="51"/>
        <v>Não</v>
      </c>
    </row>
    <row r="209" spans="34:50" hidden="1" x14ac:dyDescent="0.25">
      <c r="AH209" s="1">
        <f t="shared" si="44"/>
        <v>5</v>
      </c>
      <c r="AI209" s="5">
        <f t="shared" si="52"/>
        <v>45803</v>
      </c>
      <c r="AJ209" s="1" t="str">
        <f t="shared" si="45"/>
        <v>Não</v>
      </c>
      <c r="AK209" s="1"/>
      <c r="AL209" s="1">
        <f t="shared" si="46"/>
        <v>3</v>
      </c>
      <c r="AM209" s="4">
        <f t="shared" si="53"/>
        <v>46083</v>
      </c>
      <c r="AN209" s="1" t="str">
        <f t="shared" si="47"/>
        <v>Não</v>
      </c>
      <c r="AR209" s="1">
        <f t="shared" si="48"/>
        <v>9</v>
      </c>
      <c r="AS209" s="4">
        <f t="shared" si="54"/>
        <v>46293</v>
      </c>
      <c r="AT209" s="1" t="str">
        <f t="shared" si="49"/>
        <v>Não</v>
      </c>
      <c r="AV209" s="1">
        <f t="shared" si="50"/>
        <v>10</v>
      </c>
      <c r="AW209" s="4">
        <f t="shared" si="55"/>
        <v>45589</v>
      </c>
      <c r="AX209" s="1" t="str">
        <f t="shared" si="51"/>
        <v>Não</v>
      </c>
    </row>
    <row r="210" spans="34:50" hidden="1" x14ac:dyDescent="0.25">
      <c r="AH210" s="1">
        <f t="shared" si="44"/>
        <v>5</v>
      </c>
      <c r="AI210" s="5">
        <f t="shared" si="52"/>
        <v>45804</v>
      </c>
      <c r="AJ210" s="1" t="str">
        <f t="shared" si="45"/>
        <v>Não</v>
      </c>
      <c r="AK210" s="1"/>
      <c r="AL210" s="1">
        <f t="shared" si="46"/>
        <v>3</v>
      </c>
      <c r="AM210" s="4">
        <f t="shared" si="53"/>
        <v>46084</v>
      </c>
      <c r="AN210" s="1" t="str">
        <f t="shared" si="47"/>
        <v>Não</v>
      </c>
      <c r="AR210" s="1">
        <f t="shared" si="48"/>
        <v>9</v>
      </c>
      <c r="AS210" s="4">
        <f t="shared" si="54"/>
        <v>46294</v>
      </c>
      <c r="AT210" s="1" t="str">
        <f t="shared" si="49"/>
        <v>Não</v>
      </c>
      <c r="AV210" s="1">
        <f t="shared" si="50"/>
        <v>10</v>
      </c>
      <c r="AW210" s="4">
        <f t="shared" si="55"/>
        <v>45590</v>
      </c>
      <c r="AX210" s="1" t="str">
        <f t="shared" si="51"/>
        <v>Não</v>
      </c>
    </row>
    <row r="211" spans="34:50" hidden="1" x14ac:dyDescent="0.25">
      <c r="AH211" s="1">
        <f t="shared" si="44"/>
        <v>5</v>
      </c>
      <c r="AI211" s="5">
        <f t="shared" si="52"/>
        <v>45805</v>
      </c>
      <c r="AJ211" s="1" t="str">
        <f t="shared" si="45"/>
        <v>Não</v>
      </c>
      <c r="AK211" s="1"/>
      <c r="AL211" s="1">
        <f t="shared" si="46"/>
        <v>3</v>
      </c>
      <c r="AM211" s="4">
        <f t="shared" si="53"/>
        <v>46085</v>
      </c>
      <c r="AN211" s="1" t="str">
        <f t="shared" si="47"/>
        <v>Não</v>
      </c>
      <c r="AR211" s="1">
        <f t="shared" si="48"/>
        <v>9</v>
      </c>
      <c r="AS211" s="4">
        <f t="shared" si="54"/>
        <v>46295</v>
      </c>
      <c r="AT211" s="1" t="str">
        <f t="shared" si="49"/>
        <v>Não</v>
      </c>
      <c r="AV211" s="1">
        <f t="shared" si="50"/>
        <v>10</v>
      </c>
      <c r="AW211" s="4">
        <f t="shared" si="55"/>
        <v>45591</v>
      </c>
      <c r="AX211" s="1" t="str">
        <f t="shared" si="51"/>
        <v>Não</v>
      </c>
    </row>
    <row r="212" spans="34:50" hidden="1" x14ac:dyDescent="0.25">
      <c r="AH212" s="1">
        <f t="shared" si="44"/>
        <v>5</v>
      </c>
      <c r="AI212" s="5">
        <f t="shared" si="52"/>
        <v>45806</v>
      </c>
      <c r="AJ212" s="1" t="str">
        <f t="shared" si="45"/>
        <v>Não</v>
      </c>
      <c r="AK212" s="1"/>
      <c r="AL212" s="1">
        <f t="shared" si="46"/>
        <v>3</v>
      </c>
      <c r="AM212" s="4">
        <f t="shared" si="53"/>
        <v>46086</v>
      </c>
      <c r="AN212" s="1" t="str">
        <f t="shared" si="47"/>
        <v>Não</v>
      </c>
      <c r="AR212" s="1">
        <f t="shared" si="48"/>
        <v>10</v>
      </c>
      <c r="AS212" s="4">
        <f t="shared" si="54"/>
        <v>46296</v>
      </c>
      <c r="AT212" s="1" t="str">
        <f t="shared" si="49"/>
        <v>Não</v>
      </c>
      <c r="AV212" s="1">
        <f t="shared" si="50"/>
        <v>10</v>
      </c>
      <c r="AW212" s="4">
        <f t="shared" si="55"/>
        <v>45592</v>
      </c>
      <c r="AX212" s="1" t="str">
        <f t="shared" si="51"/>
        <v>Não</v>
      </c>
    </row>
    <row r="213" spans="34:50" hidden="1" x14ac:dyDescent="0.25">
      <c r="AH213" s="1">
        <f t="shared" si="44"/>
        <v>5</v>
      </c>
      <c r="AI213" s="5">
        <f t="shared" si="52"/>
        <v>45807</v>
      </c>
      <c r="AJ213" s="1" t="str">
        <f t="shared" si="45"/>
        <v>Não</v>
      </c>
      <c r="AK213" s="1"/>
      <c r="AL213" s="1">
        <f t="shared" si="46"/>
        <v>3</v>
      </c>
      <c r="AM213" s="4">
        <f t="shared" si="53"/>
        <v>46087</v>
      </c>
      <c r="AN213" s="1" t="str">
        <f t="shared" si="47"/>
        <v>Não</v>
      </c>
      <c r="AR213" s="1">
        <f t="shared" si="48"/>
        <v>10</v>
      </c>
      <c r="AS213" s="4">
        <f t="shared" si="54"/>
        <v>46297</v>
      </c>
      <c r="AT213" s="1" t="str">
        <f t="shared" si="49"/>
        <v>Não</v>
      </c>
      <c r="AV213" s="1">
        <f t="shared" si="50"/>
        <v>10</v>
      </c>
      <c r="AW213" s="4">
        <f t="shared" si="55"/>
        <v>45593</v>
      </c>
      <c r="AX213" s="1" t="str">
        <f t="shared" si="51"/>
        <v>Não</v>
      </c>
    </row>
    <row r="214" spans="34:50" hidden="1" x14ac:dyDescent="0.25">
      <c r="AH214" s="1">
        <f t="shared" si="44"/>
        <v>5</v>
      </c>
      <c r="AI214" s="5">
        <f t="shared" si="52"/>
        <v>45808</v>
      </c>
      <c r="AJ214" s="1" t="str">
        <f t="shared" si="45"/>
        <v>Não</v>
      </c>
      <c r="AK214" s="1"/>
      <c r="AL214" s="1">
        <f t="shared" si="46"/>
        <v>3</v>
      </c>
      <c r="AM214" s="4">
        <f t="shared" si="53"/>
        <v>46088</v>
      </c>
      <c r="AN214" s="1" t="str">
        <f t="shared" si="47"/>
        <v>Não</v>
      </c>
      <c r="AR214" s="1">
        <f t="shared" si="48"/>
        <v>10</v>
      </c>
      <c r="AS214" s="4">
        <f t="shared" si="54"/>
        <v>46298</v>
      </c>
      <c r="AT214" s="1" t="str">
        <f t="shared" si="49"/>
        <v>Não</v>
      </c>
      <c r="AV214" s="1">
        <f t="shared" si="50"/>
        <v>10</v>
      </c>
      <c r="AW214" s="4">
        <f t="shared" si="55"/>
        <v>45594</v>
      </c>
      <c r="AX214" s="1" t="str">
        <f t="shared" si="51"/>
        <v>Não</v>
      </c>
    </row>
    <row r="215" spans="34:50" hidden="1" x14ac:dyDescent="0.25">
      <c r="AH215" s="1">
        <f t="shared" si="44"/>
        <v>6</v>
      </c>
      <c r="AI215" s="5">
        <f t="shared" si="52"/>
        <v>45809</v>
      </c>
      <c r="AJ215" s="1" t="str">
        <f t="shared" si="45"/>
        <v>Não</v>
      </c>
      <c r="AK215" s="1"/>
      <c r="AL215" s="1">
        <f t="shared" si="46"/>
        <v>3</v>
      </c>
      <c r="AM215" s="4">
        <f t="shared" si="53"/>
        <v>46089</v>
      </c>
      <c r="AN215" s="1" t="str">
        <f t="shared" si="47"/>
        <v>Não</v>
      </c>
      <c r="AR215" s="1">
        <f t="shared" si="48"/>
        <v>10</v>
      </c>
      <c r="AS215" s="4">
        <f t="shared" si="54"/>
        <v>46299</v>
      </c>
      <c r="AT215" s="1" t="str">
        <f t="shared" si="49"/>
        <v>Não</v>
      </c>
      <c r="AV215" s="1">
        <f t="shared" si="50"/>
        <v>10</v>
      </c>
      <c r="AW215" s="4">
        <f t="shared" si="55"/>
        <v>45595</v>
      </c>
      <c r="AX215" s="1" t="str">
        <f t="shared" si="51"/>
        <v>Não</v>
      </c>
    </row>
    <row r="216" spans="34:50" hidden="1" x14ac:dyDescent="0.25">
      <c r="AH216" s="1">
        <f t="shared" si="44"/>
        <v>6</v>
      </c>
      <c r="AI216" s="5">
        <f t="shared" si="52"/>
        <v>45810</v>
      </c>
      <c r="AJ216" s="1" t="str">
        <f t="shared" si="45"/>
        <v>Não</v>
      </c>
      <c r="AK216" s="1"/>
      <c r="AL216" s="1">
        <f t="shared" si="46"/>
        <v>3</v>
      </c>
      <c r="AM216" s="4">
        <f t="shared" si="53"/>
        <v>46090</v>
      </c>
      <c r="AN216" s="1" t="str">
        <f t="shared" si="47"/>
        <v>Não</v>
      </c>
      <c r="AR216" s="1">
        <f t="shared" si="48"/>
        <v>10</v>
      </c>
      <c r="AS216" s="4">
        <f t="shared" si="54"/>
        <v>46300</v>
      </c>
      <c r="AT216" s="1" t="str">
        <f t="shared" si="49"/>
        <v>Não</v>
      </c>
      <c r="AV216" s="1">
        <f t="shared" si="50"/>
        <v>10</v>
      </c>
      <c r="AW216" s="4">
        <f t="shared" si="55"/>
        <v>45596</v>
      </c>
      <c r="AX216" s="1" t="str">
        <f t="shared" si="51"/>
        <v>Não</v>
      </c>
    </row>
    <row r="217" spans="34:50" hidden="1" x14ac:dyDescent="0.25">
      <c r="AH217" s="1">
        <f t="shared" si="44"/>
        <v>6</v>
      </c>
      <c r="AI217" s="5">
        <f t="shared" si="52"/>
        <v>45811</v>
      </c>
      <c r="AJ217" s="1" t="str">
        <f t="shared" si="45"/>
        <v>Não</v>
      </c>
      <c r="AK217" s="1"/>
      <c r="AL217" s="1">
        <f t="shared" si="46"/>
        <v>3</v>
      </c>
      <c r="AM217" s="4">
        <f t="shared" si="53"/>
        <v>46091</v>
      </c>
      <c r="AN217" s="1" t="str">
        <f t="shared" si="47"/>
        <v>Não</v>
      </c>
      <c r="AR217" s="1">
        <f t="shared" si="48"/>
        <v>10</v>
      </c>
      <c r="AS217" s="4">
        <f t="shared" si="54"/>
        <v>46301</v>
      </c>
      <c r="AT217" s="1" t="str">
        <f t="shared" si="49"/>
        <v>Não</v>
      </c>
      <c r="AV217" s="1">
        <f t="shared" si="50"/>
        <v>11</v>
      </c>
      <c r="AW217" s="4">
        <f t="shared" si="55"/>
        <v>45597</v>
      </c>
      <c r="AX217" s="1" t="str">
        <f t="shared" si="51"/>
        <v>Não</v>
      </c>
    </row>
    <row r="218" spans="34:50" hidden="1" x14ac:dyDescent="0.25">
      <c r="AH218" s="1">
        <f t="shared" si="44"/>
        <v>6</v>
      </c>
      <c r="AI218" s="5">
        <f t="shared" si="52"/>
        <v>45812</v>
      </c>
      <c r="AJ218" s="1" t="str">
        <f t="shared" si="45"/>
        <v>Não</v>
      </c>
      <c r="AK218" s="1"/>
      <c r="AL218" s="1">
        <f t="shared" si="46"/>
        <v>3</v>
      </c>
      <c r="AM218" s="4">
        <f t="shared" si="53"/>
        <v>46092</v>
      </c>
      <c r="AN218" s="1" t="str">
        <f t="shared" si="47"/>
        <v>Não</v>
      </c>
      <c r="AR218" s="1">
        <f t="shared" si="48"/>
        <v>10</v>
      </c>
      <c r="AS218" s="4">
        <f t="shared" si="54"/>
        <v>46302</v>
      </c>
      <c r="AT218" s="1" t="str">
        <f t="shared" si="49"/>
        <v>Não</v>
      </c>
      <c r="AV218" s="1">
        <f t="shared" si="50"/>
        <v>11</v>
      </c>
      <c r="AW218" s="4">
        <f t="shared" si="55"/>
        <v>45598</v>
      </c>
      <c r="AX218" s="1" t="str">
        <f t="shared" si="51"/>
        <v>Não</v>
      </c>
    </row>
    <row r="219" spans="34:50" hidden="1" x14ac:dyDescent="0.25">
      <c r="AH219" s="1">
        <f t="shared" si="44"/>
        <v>6</v>
      </c>
      <c r="AI219" s="5">
        <f t="shared" si="52"/>
        <v>45813</v>
      </c>
      <c r="AJ219" s="1" t="str">
        <f t="shared" si="45"/>
        <v>Não</v>
      </c>
      <c r="AK219" s="1"/>
      <c r="AL219" s="1">
        <f t="shared" si="46"/>
        <v>3</v>
      </c>
      <c r="AM219" s="4">
        <f t="shared" si="53"/>
        <v>46093</v>
      </c>
      <c r="AN219" s="1" t="str">
        <f t="shared" si="47"/>
        <v>Não</v>
      </c>
      <c r="AR219" s="1">
        <f t="shared" si="48"/>
        <v>10</v>
      </c>
      <c r="AS219" s="4">
        <f t="shared" si="54"/>
        <v>46303</v>
      </c>
      <c r="AT219" s="1" t="str">
        <f t="shared" si="49"/>
        <v>Não</v>
      </c>
      <c r="AV219" s="1">
        <f t="shared" si="50"/>
        <v>11</v>
      </c>
      <c r="AW219" s="4">
        <f t="shared" si="55"/>
        <v>45599</v>
      </c>
      <c r="AX219" s="1" t="str">
        <f t="shared" si="51"/>
        <v>Não</v>
      </c>
    </row>
    <row r="220" spans="34:50" hidden="1" x14ac:dyDescent="0.25">
      <c r="AH220" s="1">
        <f t="shared" si="44"/>
        <v>6</v>
      </c>
      <c r="AI220" s="5">
        <f t="shared" si="52"/>
        <v>45814</v>
      </c>
      <c r="AJ220" s="1" t="str">
        <f t="shared" si="45"/>
        <v>Não</v>
      </c>
      <c r="AK220" s="1"/>
      <c r="AL220" s="1">
        <f t="shared" si="46"/>
        <v>3</v>
      </c>
      <c r="AM220" s="4">
        <f t="shared" si="53"/>
        <v>46094</v>
      </c>
      <c r="AN220" s="1" t="str">
        <f t="shared" si="47"/>
        <v>Não</v>
      </c>
      <c r="AR220" s="1">
        <f t="shared" si="48"/>
        <v>10</v>
      </c>
      <c r="AS220" s="4">
        <f t="shared" si="54"/>
        <v>46304</v>
      </c>
      <c r="AT220" s="1" t="str">
        <f t="shared" si="49"/>
        <v>Não</v>
      </c>
      <c r="AV220" s="1">
        <f t="shared" si="50"/>
        <v>11</v>
      </c>
      <c r="AW220" s="4">
        <f t="shared" si="55"/>
        <v>45600</v>
      </c>
      <c r="AX220" s="1" t="str">
        <f t="shared" si="51"/>
        <v>Não</v>
      </c>
    </row>
    <row r="221" spans="34:50" hidden="1" x14ac:dyDescent="0.25">
      <c r="AH221" s="1">
        <f t="shared" si="44"/>
        <v>6</v>
      </c>
      <c r="AI221" s="5">
        <f t="shared" si="52"/>
        <v>45815</v>
      </c>
      <c r="AJ221" s="1" t="str">
        <f t="shared" si="45"/>
        <v>Não</v>
      </c>
      <c r="AK221" s="1"/>
      <c r="AL221" s="1">
        <f t="shared" si="46"/>
        <v>3</v>
      </c>
      <c r="AM221" s="4">
        <f t="shared" si="53"/>
        <v>46095</v>
      </c>
      <c r="AN221" s="1" t="str">
        <f t="shared" si="47"/>
        <v>Não</v>
      </c>
      <c r="AR221" s="1">
        <f t="shared" si="48"/>
        <v>10</v>
      </c>
      <c r="AS221" s="4">
        <f t="shared" si="54"/>
        <v>46305</v>
      </c>
      <c r="AT221" s="1" t="str">
        <f t="shared" si="49"/>
        <v>Não</v>
      </c>
      <c r="AV221" s="1">
        <f t="shared" si="50"/>
        <v>11</v>
      </c>
      <c r="AW221" s="4">
        <f t="shared" si="55"/>
        <v>45601</v>
      </c>
      <c r="AX221" s="1" t="str">
        <f t="shared" si="51"/>
        <v>Não</v>
      </c>
    </row>
    <row r="222" spans="34:50" hidden="1" x14ac:dyDescent="0.25">
      <c r="AH222" s="1">
        <f t="shared" si="44"/>
        <v>6</v>
      </c>
      <c r="AI222" s="5">
        <f t="shared" si="52"/>
        <v>45816</v>
      </c>
      <c r="AJ222" s="1" t="str">
        <f t="shared" si="45"/>
        <v>Não</v>
      </c>
      <c r="AK222" s="1"/>
      <c r="AL222" s="1">
        <f t="shared" si="46"/>
        <v>3</v>
      </c>
      <c r="AM222" s="4">
        <f t="shared" si="53"/>
        <v>46096</v>
      </c>
      <c r="AN222" s="1" t="str">
        <f t="shared" si="47"/>
        <v>Não</v>
      </c>
      <c r="AR222" s="1">
        <f t="shared" si="48"/>
        <v>10</v>
      </c>
      <c r="AS222" s="4">
        <f t="shared" si="54"/>
        <v>46306</v>
      </c>
      <c r="AT222" s="1" t="str">
        <f t="shared" si="49"/>
        <v>Não</v>
      </c>
      <c r="AV222" s="1">
        <f t="shared" si="50"/>
        <v>11</v>
      </c>
      <c r="AW222" s="4">
        <f t="shared" si="55"/>
        <v>45602</v>
      </c>
      <c r="AX222" s="1" t="str">
        <f t="shared" si="51"/>
        <v>Não</v>
      </c>
    </row>
    <row r="223" spans="34:50" hidden="1" x14ac:dyDescent="0.25">
      <c r="AH223" s="1">
        <f t="shared" si="44"/>
        <v>6</v>
      </c>
      <c r="AI223" s="5">
        <f t="shared" si="52"/>
        <v>45817</v>
      </c>
      <c r="AJ223" s="1" t="str">
        <f t="shared" si="45"/>
        <v>Não</v>
      </c>
      <c r="AK223" s="1"/>
      <c r="AL223" s="1">
        <f t="shared" si="46"/>
        <v>3</v>
      </c>
      <c r="AM223" s="4">
        <f t="shared" si="53"/>
        <v>46097</v>
      </c>
      <c r="AN223" s="1" t="str">
        <f t="shared" si="47"/>
        <v>Não</v>
      </c>
      <c r="AR223" s="1">
        <f t="shared" si="48"/>
        <v>10</v>
      </c>
      <c r="AS223" s="4">
        <f t="shared" si="54"/>
        <v>46307</v>
      </c>
      <c r="AT223" s="1" t="str">
        <f t="shared" si="49"/>
        <v>Não</v>
      </c>
      <c r="AV223" s="1">
        <f t="shared" si="50"/>
        <v>11</v>
      </c>
      <c r="AW223" s="4">
        <f t="shared" si="55"/>
        <v>45603</v>
      </c>
      <c r="AX223" s="1" t="str">
        <f t="shared" si="51"/>
        <v>Não</v>
      </c>
    </row>
    <row r="224" spans="34:50" hidden="1" x14ac:dyDescent="0.25">
      <c r="AH224" s="1">
        <f t="shared" si="44"/>
        <v>6</v>
      </c>
      <c r="AI224" s="5">
        <f t="shared" si="52"/>
        <v>45818</v>
      </c>
      <c r="AJ224" s="1" t="str">
        <f t="shared" si="45"/>
        <v>Não</v>
      </c>
      <c r="AK224" s="1"/>
      <c r="AL224" s="1">
        <f t="shared" si="46"/>
        <v>3</v>
      </c>
      <c r="AM224" s="4">
        <f t="shared" si="53"/>
        <v>46098</v>
      </c>
      <c r="AN224" s="1" t="str">
        <f t="shared" si="47"/>
        <v>Não</v>
      </c>
      <c r="AR224" s="1">
        <f t="shared" si="48"/>
        <v>10</v>
      </c>
      <c r="AS224" s="4">
        <f t="shared" si="54"/>
        <v>46308</v>
      </c>
      <c r="AT224" s="1" t="str">
        <f t="shared" si="49"/>
        <v>Não</v>
      </c>
      <c r="AV224" s="1">
        <f t="shared" si="50"/>
        <v>11</v>
      </c>
      <c r="AW224" s="4">
        <f t="shared" si="55"/>
        <v>45604</v>
      </c>
      <c r="AX224" s="1" t="str">
        <f t="shared" si="51"/>
        <v>Não</v>
      </c>
    </row>
    <row r="225" spans="34:50" hidden="1" x14ac:dyDescent="0.25">
      <c r="AH225" s="1">
        <f t="shared" si="44"/>
        <v>6</v>
      </c>
      <c r="AI225" s="5">
        <f t="shared" si="52"/>
        <v>45819</v>
      </c>
      <c r="AJ225" s="1" t="str">
        <f t="shared" si="45"/>
        <v>Não</v>
      </c>
      <c r="AK225" s="1"/>
      <c r="AL225" s="1">
        <f t="shared" si="46"/>
        <v>3</v>
      </c>
      <c r="AM225" s="4">
        <f t="shared" si="53"/>
        <v>46099</v>
      </c>
      <c r="AN225" s="1" t="str">
        <f t="shared" si="47"/>
        <v>Não</v>
      </c>
      <c r="AR225" s="1">
        <f t="shared" si="48"/>
        <v>10</v>
      </c>
      <c r="AS225" s="4">
        <f t="shared" si="54"/>
        <v>46309</v>
      </c>
      <c r="AT225" s="1" t="str">
        <f t="shared" si="49"/>
        <v>Não</v>
      </c>
      <c r="AV225" s="1">
        <f t="shared" si="50"/>
        <v>11</v>
      </c>
      <c r="AW225" s="4">
        <f t="shared" si="55"/>
        <v>45605</v>
      </c>
      <c r="AX225" s="1" t="str">
        <f t="shared" si="51"/>
        <v>Não</v>
      </c>
    </row>
    <row r="226" spans="34:50" hidden="1" x14ac:dyDescent="0.25">
      <c r="AH226" s="1">
        <f t="shared" si="44"/>
        <v>6</v>
      </c>
      <c r="AI226" s="5">
        <f t="shared" si="52"/>
        <v>45820</v>
      </c>
      <c r="AJ226" s="1" t="str">
        <f t="shared" si="45"/>
        <v>Não</v>
      </c>
      <c r="AK226" s="1"/>
      <c r="AL226" s="1">
        <f t="shared" si="46"/>
        <v>3</v>
      </c>
      <c r="AM226" s="4">
        <f t="shared" si="53"/>
        <v>46100</v>
      </c>
      <c r="AN226" s="1" t="str">
        <f t="shared" si="47"/>
        <v>Não</v>
      </c>
      <c r="AR226" s="1">
        <f t="shared" si="48"/>
        <v>10</v>
      </c>
      <c r="AS226" s="4">
        <f t="shared" si="54"/>
        <v>46310</v>
      </c>
      <c r="AT226" s="1" t="str">
        <f t="shared" si="49"/>
        <v>Não</v>
      </c>
      <c r="AV226" s="1">
        <f t="shared" si="50"/>
        <v>11</v>
      </c>
      <c r="AW226" s="4">
        <f t="shared" si="55"/>
        <v>45606</v>
      </c>
      <c r="AX226" s="1" t="str">
        <f t="shared" si="51"/>
        <v>Não</v>
      </c>
    </row>
    <row r="227" spans="34:50" hidden="1" x14ac:dyDescent="0.25">
      <c r="AH227" s="1">
        <f t="shared" si="44"/>
        <v>6</v>
      </c>
      <c r="AI227" s="5">
        <f t="shared" si="52"/>
        <v>45821</v>
      </c>
      <c r="AJ227" s="1" t="str">
        <f t="shared" si="45"/>
        <v>Não</v>
      </c>
      <c r="AK227" s="1"/>
      <c r="AL227" s="1">
        <f t="shared" si="46"/>
        <v>3</v>
      </c>
      <c r="AM227" s="4">
        <f t="shared" si="53"/>
        <v>46101</v>
      </c>
      <c r="AN227" s="1" t="str">
        <f t="shared" si="47"/>
        <v>Não</v>
      </c>
      <c r="AR227" s="1">
        <f t="shared" si="48"/>
        <v>10</v>
      </c>
      <c r="AS227" s="4">
        <f t="shared" si="54"/>
        <v>46311</v>
      </c>
      <c r="AT227" s="1" t="str">
        <f t="shared" si="49"/>
        <v>Não</v>
      </c>
      <c r="AV227" s="1">
        <f t="shared" si="50"/>
        <v>11</v>
      </c>
      <c r="AW227" s="4">
        <f t="shared" si="55"/>
        <v>45607</v>
      </c>
      <c r="AX227" s="1" t="str">
        <f t="shared" si="51"/>
        <v>Não</v>
      </c>
    </row>
    <row r="228" spans="34:50" hidden="1" x14ac:dyDescent="0.25">
      <c r="AH228" s="1">
        <f t="shared" si="44"/>
        <v>6</v>
      </c>
      <c r="AI228" s="5">
        <f t="shared" si="52"/>
        <v>45822</v>
      </c>
      <c r="AJ228" s="1" t="str">
        <f t="shared" si="45"/>
        <v>Não</v>
      </c>
      <c r="AK228" s="1"/>
      <c r="AL228" s="1">
        <f t="shared" si="46"/>
        <v>3</v>
      </c>
      <c r="AM228" s="4">
        <f t="shared" si="53"/>
        <v>46102</v>
      </c>
      <c r="AN228" s="1" t="str">
        <f t="shared" si="47"/>
        <v>Não</v>
      </c>
      <c r="AR228" s="1">
        <f t="shared" si="48"/>
        <v>10</v>
      </c>
      <c r="AS228" s="4">
        <f t="shared" si="54"/>
        <v>46312</v>
      </c>
      <c r="AT228" s="1" t="str">
        <f t="shared" si="49"/>
        <v>Não</v>
      </c>
      <c r="AV228" s="1">
        <f t="shared" si="50"/>
        <v>11</v>
      </c>
      <c r="AW228" s="4">
        <f t="shared" si="55"/>
        <v>45608</v>
      </c>
      <c r="AX228" s="1" t="str">
        <f t="shared" si="51"/>
        <v>Não</v>
      </c>
    </row>
    <row r="229" spans="34:50" hidden="1" x14ac:dyDescent="0.25">
      <c r="AH229" s="1">
        <f t="shared" si="44"/>
        <v>6</v>
      </c>
      <c r="AI229" s="5">
        <f t="shared" si="52"/>
        <v>45823</v>
      </c>
      <c r="AJ229" s="1" t="str">
        <f t="shared" si="45"/>
        <v>Não</v>
      </c>
      <c r="AK229" s="1"/>
      <c r="AL229" s="1">
        <f t="shared" si="46"/>
        <v>3</v>
      </c>
      <c r="AM229" s="4">
        <f t="shared" si="53"/>
        <v>46103</v>
      </c>
      <c r="AN229" s="1" t="str">
        <f t="shared" si="47"/>
        <v>Não</v>
      </c>
      <c r="AR229" s="1">
        <f t="shared" si="48"/>
        <v>10</v>
      </c>
      <c r="AS229" s="4">
        <f t="shared" si="54"/>
        <v>46313</v>
      </c>
      <c r="AT229" s="1" t="str">
        <f t="shared" si="49"/>
        <v>Não</v>
      </c>
      <c r="AV229" s="1">
        <f t="shared" si="50"/>
        <v>11</v>
      </c>
      <c r="AW229" s="4">
        <f t="shared" si="55"/>
        <v>45609</v>
      </c>
      <c r="AX229" s="1" t="str">
        <f t="shared" si="51"/>
        <v>Não</v>
      </c>
    </row>
    <row r="230" spans="34:50" hidden="1" x14ac:dyDescent="0.25">
      <c r="AH230" s="1">
        <f t="shared" si="44"/>
        <v>6</v>
      </c>
      <c r="AI230" s="5">
        <f t="shared" si="52"/>
        <v>45824</v>
      </c>
      <c r="AJ230" s="1" t="str">
        <f t="shared" si="45"/>
        <v>Não</v>
      </c>
      <c r="AK230" s="1"/>
      <c r="AL230" s="1">
        <f t="shared" si="46"/>
        <v>3</v>
      </c>
      <c r="AM230" s="4">
        <f t="shared" si="53"/>
        <v>46104</v>
      </c>
      <c r="AN230" s="1" t="str">
        <f t="shared" si="47"/>
        <v>Não</v>
      </c>
      <c r="AR230" s="1">
        <f t="shared" si="48"/>
        <v>10</v>
      </c>
      <c r="AS230" s="4">
        <f t="shared" si="54"/>
        <v>46314</v>
      </c>
      <c r="AT230" s="1" t="str">
        <f t="shared" si="49"/>
        <v>Não</v>
      </c>
      <c r="AV230" s="1">
        <f t="shared" si="50"/>
        <v>11</v>
      </c>
      <c r="AW230" s="4">
        <f t="shared" si="55"/>
        <v>45610</v>
      </c>
      <c r="AX230" s="1" t="str">
        <f t="shared" si="51"/>
        <v>Não</v>
      </c>
    </row>
    <row r="231" spans="34:50" hidden="1" x14ac:dyDescent="0.25">
      <c r="AH231" s="1">
        <f t="shared" si="44"/>
        <v>6</v>
      </c>
      <c r="AI231" s="5">
        <f t="shared" si="52"/>
        <v>45825</v>
      </c>
      <c r="AJ231" s="1" t="str">
        <f t="shared" si="45"/>
        <v>Não</v>
      </c>
      <c r="AK231" s="1"/>
      <c r="AL231" s="1">
        <f t="shared" si="46"/>
        <v>3</v>
      </c>
      <c r="AM231" s="4">
        <f t="shared" si="53"/>
        <v>46105</v>
      </c>
      <c r="AN231" s="1" t="str">
        <f t="shared" si="47"/>
        <v>Não</v>
      </c>
      <c r="AR231" s="1">
        <f t="shared" si="48"/>
        <v>10</v>
      </c>
      <c r="AS231" s="4">
        <f t="shared" si="54"/>
        <v>46315</v>
      </c>
      <c r="AT231" s="1" t="str">
        <f t="shared" si="49"/>
        <v>Não</v>
      </c>
      <c r="AV231" s="1">
        <f t="shared" si="50"/>
        <v>11</v>
      </c>
      <c r="AW231" s="4">
        <f t="shared" si="55"/>
        <v>45611</v>
      </c>
      <c r="AX231" s="1" t="str">
        <f t="shared" si="51"/>
        <v>Não</v>
      </c>
    </row>
    <row r="232" spans="34:50" hidden="1" x14ac:dyDescent="0.25">
      <c r="AH232" s="1">
        <f t="shared" si="44"/>
        <v>6</v>
      </c>
      <c r="AI232" s="5">
        <f t="shared" si="52"/>
        <v>45826</v>
      </c>
      <c r="AJ232" s="1" t="str">
        <f t="shared" si="45"/>
        <v>Não</v>
      </c>
      <c r="AK232" s="1"/>
      <c r="AL232" s="1">
        <f t="shared" si="46"/>
        <v>3</v>
      </c>
      <c r="AM232" s="4">
        <f t="shared" si="53"/>
        <v>46106</v>
      </c>
      <c r="AN232" s="1" t="str">
        <f t="shared" si="47"/>
        <v>Não</v>
      </c>
      <c r="AR232" s="1">
        <f t="shared" si="48"/>
        <v>10</v>
      </c>
      <c r="AS232" s="4">
        <f t="shared" si="54"/>
        <v>46316</v>
      </c>
      <c r="AT232" s="1" t="str">
        <f t="shared" si="49"/>
        <v>Não</v>
      </c>
      <c r="AV232" s="1">
        <f t="shared" si="50"/>
        <v>11</v>
      </c>
      <c r="AW232" s="4">
        <f t="shared" si="55"/>
        <v>45612</v>
      </c>
      <c r="AX232" s="1" t="str">
        <f t="shared" si="51"/>
        <v>Não</v>
      </c>
    </row>
    <row r="233" spans="34:50" hidden="1" x14ac:dyDescent="0.25">
      <c r="AH233" s="1">
        <f t="shared" si="44"/>
        <v>6</v>
      </c>
      <c r="AI233" s="5">
        <f t="shared" si="52"/>
        <v>45827</v>
      </c>
      <c r="AJ233" s="1" t="str">
        <f t="shared" si="45"/>
        <v>Não</v>
      </c>
      <c r="AK233" s="1"/>
      <c r="AL233" s="1">
        <f t="shared" si="46"/>
        <v>3</v>
      </c>
      <c r="AM233" s="4">
        <f t="shared" si="53"/>
        <v>46107</v>
      </c>
      <c r="AN233" s="1" t="str">
        <f t="shared" si="47"/>
        <v>Não</v>
      </c>
      <c r="AR233" s="1">
        <f t="shared" si="48"/>
        <v>10</v>
      </c>
      <c r="AS233" s="4">
        <f t="shared" si="54"/>
        <v>46317</v>
      </c>
      <c r="AT233" s="1" t="str">
        <f t="shared" si="49"/>
        <v>Não</v>
      </c>
      <c r="AV233" s="1">
        <f t="shared" si="50"/>
        <v>11</v>
      </c>
      <c r="AW233" s="4">
        <f t="shared" si="55"/>
        <v>45613</v>
      </c>
      <c r="AX233" s="1" t="str">
        <f t="shared" si="51"/>
        <v>Não</v>
      </c>
    </row>
    <row r="234" spans="34:50" hidden="1" x14ac:dyDescent="0.25">
      <c r="AH234" s="1">
        <f t="shared" si="44"/>
        <v>6</v>
      </c>
      <c r="AI234" s="5">
        <f t="shared" si="52"/>
        <v>45828</v>
      </c>
      <c r="AJ234" s="1" t="str">
        <f t="shared" si="45"/>
        <v>Não</v>
      </c>
      <c r="AK234" s="1"/>
      <c r="AL234" s="1">
        <f t="shared" si="46"/>
        <v>3</v>
      </c>
      <c r="AM234" s="4">
        <f t="shared" si="53"/>
        <v>46108</v>
      </c>
      <c r="AN234" s="1" t="str">
        <f t="shared" si="47"/>
        <v>Não</v>
      </c>
      <c r="AR234" s="1">
        <f t="shared" si="48"/>
        <v>10</v>
      </c>
      <c r="AS234" s="4">
        <f t="shared" si="54"/>
        <v>46318</v>
      </c>
      <c r="AT234" s="1" t="str">
        <f t="shared" si="49"/>
        <v>Não</v>
      </c>
      <c r="AV234" s="1">
        <f t="shared" si="50"/>
        <v>11</v>
      </c>
      <c r="AW234" s="4">
        <f t="shared" si="55"/>
        <v>45614</v>
      </c>
      <c r="AX234" s="1" t="str">
        <f t="shared" si="51"/>
        <v>Não</v>
      </c>
    </row>
    <row r="235" spans="34:50" hidden="1" x14ac:dyDescent="0.25">
      <c r="AH235" s="1">
        <f t="shared" si="44"/>
        <v>6</v>
      </c>
      <c r="AI235" s="5">
        <f t="shared" si="52"/>
        <v>45829</v>
      </c>
      <c r="AJ235" s="1" t="str">
        <f t="shared" si="45"/>
        <v>Não</v>
      </c>
      <c r="AK235" s="1"/>
      <c r="AL235" s="1">
        <f t="shared" si="46"/>
        <v>3</v>
      </c>
      <c r="AM235" s="4">
        <f t="shared" si="53"/>
        <v>46109</v>
      </c>
      <c r="AN235" s="1" t="str">
        <f t="shared" si="47"/>
        <v>Não</v>
      </c>
      <c r="AR235" s="1">
        <f t="shared" si="48"/>
        <v>10</v>
      </c>
      <c r="AS235" s="4">
        <f t="shared" si="54"/>
        <v>46319</v>
      </c>
      <c r="AT235" s="1" t="str">
        <f t="shared" si="49"/>
        <v>Não</v>
      </c>
      <c r="AV235" s="1">
        <f t="shared" si="50"/>
        <v>11</v>
      </c>
      <c r="AW235" s="4">
        <f t="shared" si="55"/>
        <v>45615</v>
      </c>
      <c r="AX235" s="1" t="str">
        <f t="shared" si="51"/>
        <v>Não</v>
      </c>
    </row>
    <row r="236" spans="34:50" hidden="1" x14ac:dyDescent="0.25">
      <c r="AH236" s="1">
        <f t="shared" si="44"/>
        <v>6</v>
      </c>
      <c r="AI236" s="5">
        <f t="shared" si="52"/>
        <v>45830</v>
      </c>
      <c r="AJ236" s="1" t="str">
        <f t="shared" si="45"/>
        <v>Não</v>
      </c>
      <c r="AK236" s="1"/>
      <c r="AL236" s="1">
        <f t="shared" si="46"/>
        <v>3</v>
      </c>
      <c r="AM236" s="4">
        <f t="shared" si="53"/>
        <v>46110</v>
      </c>
      <c r="AN236" s="1" t="str">
        <f t="shared" si="47"/>
        <v>Não</v>
      </c>
      <c r="AR236" s="1">
        <f t="shared" si="48"/>
        <v>10</v>
      </c>
      <c r="AS236" s="4">
        <f t="shared" si="54"/>
        <v>46320</v>
      </c>
      <c r="AT236" s="1" t="str">
        <f t="shared" si="49"/>
        <v>Não</v>
      </c>
      <c r="AV236" s="1">
        <f t="shared" si="50"/>
        <v>11</v>
      </c>
      <c r="AW236" s="4">
        <f t="shared" si="55"/>
        <v>45616</v>
      </c>
      <c r="AX236" s="1" t="str">
        <f t="shared" si="51"/>
        <v>Não</v>
      </c>
    </row>
    <row r="237" spans="34:50" hidden="1" x14ac:dyDescent="0.25">
      <c r="AH237" s="1">
        <f t="shared" si="44"/>
        <v>6</v>
      </c>
      <c r="AI237" s="5">
        <f t="shared" si="52"/>
        <v>45831</v>
      </c>
      <c r="AJ237" s="1" t="str">
        <f t="shared" si="45"/>
        <v>Não</v>
      </c>
      <c r="AK237" s="1"/>
      <c r="AL237" s="1">
        <f t="shared" si="46"/>
        <v>3</v>
      </c>
      <c r="AM237" s="4">
        <f t="shared" si="53"/>
        <v>46111</v>
      </c>
      <c r="AN237" s="1" t="str">
        <f t="shared" si="47"/>
        <v>Não</v>
      </c>
      <c r="AR237" s="1">
        <f t="shared" si="48"/>
        <v>10</v>
      </c>
      <c r="AS237" s="4">
        <f t="shared" si="54"/>
        <v>46321</v>
      </c>
      <c r="AT237" s="1" t="str">
        <f t="shared" si="49"/>
        <v>Não</v>
      </c>
      <c r="AV237" s="1">
        <f t="shared" si="50"/>
        <v>11</v>
      </c>
      <c r="AW237" s="4">
        <f t="shared" si="55"/>
        <v>45617</v>
      </c>
      <c r="AX237" s="1" t="str">
        <f t="shared" si="51"/>
        <v>Não</v>
      </c>
    </row>
    <row r="238" spans="34:50" hidden="1" x14ac:dyDescent="0.25">
      <c r="AH238" s="1">
        <f t="shared" si="44"/>
        <v>6</v>
      </c>
      <c r="AI238" s="5">
        <f t="shared" si="52"/>
        <v>45832</v>
      </c>
      <c r="AJ238" s="1" t="str">
        <f t="shared" si="45"/>
        <v>Não</v>
      </c>
      <c r="AK238" s="1"/>
      <c r="AL238" s="1">
        <f t="shared" si="46"/>
        <v>3</v>
      </c>
      <c r="AM238" s="4">
        <f t="shared" si="53"/>
        <v>46112</v>
      </c>
      <c r="AN238" s="1" t="str">
        <f t="shared" si="47"/>
        <v>Não</v>
      </c>
      <c r="AR238" s="1">
        <f t="shared" si="48"/>
        <v>10</v>
      </c>
      <c r="AS238" s="4">
        <f t="shared" si="54"/>
        <v>46322</v>
      </c>
      <c r="AT238" s="1" t="str">
        <f t="shared" si="49"/>
        <v>Não</v>
      </c>
      <c r="AV238" s="1">
        <f t="shared" si="50"/>
        <v>11</v>
      </c>
      <c r="AW238" s="4">
        <f t="shared" si="55"/>
        <v>45618</v>
      </c>
      <c r="AX238" s="1" t="str">
        <f t="shared" si="51"/>
        <v>Não</v>
      </c>
    </row>
    <row r="239" spans="34:50" hidden="1" x14ac:dyDescent="0.25">
      <c r="AH239" s="1">
        <f t="shared" si="44"/>
        <v>6</v>
      </c>
      <c r="AI239" s="5">
        <f t="shared" si="52"/>
        <v>45833</v>
      </c>
      <c r="AJ239" s="1" t="str">
        <f t="shared" si="45"/>
        <v>Não</v>
      </c>
      <c r="AK239" s="1"/>
      <c r="AL239" s="1">
        <f t="shared" si="46"/>
        <v>4</v>
      </c>
      <c r="AM239" s="4">
        <f t="shared" si="53"/>
        <v>46113</v>
      </c>
      <c r="AN239" s="1" t="str">
        <f t="shared" si="47"/>
        <v>Não</v>
      </c>
      <c r="AR239" s="1">
        <f t="shared" si="48"/>
        <v>10</v>
      </c>
      <c r="AS239" s="4">
        <f t="shared" si="54"/>
        <v>46323</v>
      </c>
      <c r="AT239" s="1" t="str">
        <f t="shared" si="49"/>
        <v>Não</v>
      </c>
      <c r="AV239" s="1">
        <f t="shared" si="50"/>
        <v>11</v>
      </c>
      <c r="AW239" s="4">
        <f t="shared" si="55"/>
        <v>45619</v>
      </c>
      <c r="AX239" s="1" t="str">
        <f t="shared" si="51"/>
        <v>Não</v>
      </c>
    </row>
    <row r="240" spans="34:50" hidden="1" x14ac:dyDescent="0.25">
      <c r="AH240" s="1">
        <f t="shared" si="44"/>
        <v>6</v>
      </c>
      <c r="AI240" s="5">
        <f t="shared" si="52"/>
        <v>45834</v>
      </c>
      <c r="AJ240" s="1" t="str">
        <f t="shared" si="45"/>
        <v>Não</v>
      </c>
      <c r="AK240" s="1"/>
      <c r="AL240" s="1">
        <f t="shared" si="46"/>
        <v>4</v>
      </c>
      <c r="AM240" s="4">
        <f t="shared" si="53"/>
        <v>46114</v>
      </c>
      <c r="AN240" s="1" t="str">
        <f t="shared" si="47"/>
        <v>Não</v>
      </c>
      <c r="AR240" s="1">
        <f t="shared" si="48"/>
        <v>10</v>
      </c>
      <c r="AS240" s="4">
        <f t="shared" si="54"/>
        <v>46324</v>
      </c>
      <c r="AT240" s="1" t="str">
        <f t="shared" si="49"/>
        <v>Não</v>
      </c>
      <c r="AV240" s="1">
        <f t="shared" si="50"/>
        <v>11</v>
      </c>
      <c r="AW240" s="4">
        <f t="shared" si="55"/>
        <v>45620</v>
      </c>
      <c r="AX240" s="1" t="str">
        <f t="shared" si="51"/>
        <v>Não</v>
      </c>
    </row>
    <row r="241" spans="34:50" hidden="1" x14ac:dyDescent="0.25">
      <c r="AH241" s="1">
        <f t="shared" si="44"/>
        <v>6</v>
      </c>
      <c r="AI241" s="5">
        <f t="shared" si="52"/>
        <v>45835</v>
      </c>
      <c r="AJ241" s="1" t="str">
        <f t="shared" si="45"/>
        <v>Não</v>
      </c>
      <c r="AK241" s="1"/>
      <c r="AL241" s="1">
        <f t="shared" si="46"/>
        <v>4</v>
      </c>
      <c r="AM241" s="4">
        <f t="shared" si="53"/>
        <v>46115</v>
      </c>
      <c r="AN241" s="1" t="str">
        <f t="shared" si="47"/>
        <v>Não</v>
      </c>
      <c r="AR241" s="1">
        <f t="shared" si="48"/>
        <v>10</v>
      </c>
      <c r="AS241" s="4">
        <f t="shared" si="54"/>
        <v>46325</v>
      </c>
      <c r="AT241" s="1" t="str">
        <f t="shared" si="49"/>
        <v>Não</v>
      </c>
      <c r="AV241" s="1">
        <f t="shared" si="50"/>
        <v>11</v>
      </c>
      <c r="AW241" s="4">
        <f t="shared" si="55"/>
        <v>45621</v>
      </c>
      <c r="AX241" s="1" t="str">
        <f t="shared" si="51"/>
        <v>Não</v>
      </c>
    </row>
    <row r="242" spans="34:50" hidden="1" x14ac:dyDescent="0.25">
      <c r="AH242" s="1">
        <f t="shared" si="44"/>
        <v>6</v>
      </c>
      <c r="AI242" s="5">
        <f t="shared" si="52"/>
        <v>45836</v>
      </c>
      <c r="AJ242" s="1" t="str">
        <f t="shared" si="45"/>
        <v>Não</v>
      </c>
      <c r="AK242" s="1"/>
      <c r="AL242" s="1">
        <f t="shared" si="46"/>
        <v>4</v>
      </c>
      <c r="AM242" s="4">
        <f t="shared" si="53"/>
        <v>46116</v>
      </c>
      <c r="AN242" s="1" t="str">
        <f t="shared" si="47"/>
        <v>Não</v>
      </c>
      <c r="AR242" s="1">
        <f t="shared" si="48"/>
        <v>10</v>
      </c>
      <c r="AS242" s="4">
        <f t="shared" si="54"/>
        <v>46326</v>
      </c>
      <c r="AT242" s="1" t="str">
        <f t="shared" si="49"/>
        <v>Não</v>
      </c>
      <c r="AV242" s="1">
        <f t="shared" si="50"/>
        <v>11</v>
      </c>
      <c r="AW242" s="4">
        <f t="shared" si="55"/>
        <v>45622</v>
      </c>
      <c r="AX242" s="1" t="str">
        <f t="shared" si="51"/>
        <v>Não</v>
      </c>
    </row>
    <row r="243" spans="34:50" hidden="1" x14ac:dyDescent="0.25">
      <c r="AH243" s="1">
        <f t="shared" si="44"/>
        <v>6</v>
      </c>
      <c r="AI243" s="5">
        <f t="shared" si="52"/>
        <v>45837</v>
      </c>
      <c r="AJ243" s="1" t="str">
        <f t="shared" si="45"/>
        <v>Não</v>
      </c>
      <c r="AK243" s="1"/>
      <c r="AL243" s="1">
        <f t="shared" si="46"/>
        <v>4</v>
      </c>
      <c r="AM243" s="4">
        <f t="shared" si="53"/>
        <v>46117</v>
      </c>
      <c r="AN243" s="1" t="str">
        <f t="shared" si="47"/>
        <v>Não</v>
      </c>
      <c r="AR243" s="1">
        <f t="shared" si="48"/>
        <v>11</v>
      </c>
      <c r="AS243" s="4">
        <f t="shared" si="54"/>
        <v>46327</v>
      </c>
      <c r="AT243" s="1" t="str">
        <f t="shared" si="49"/>
        <v>Não</v>
      </c>
      <c r="AV243" s="1">
        <f t="shared" si="50"/>
        <v>11</v>
      </c>
      <c r="AW243" s="4">
        <f t="shared" si="55"/>
        <v>45623</v>
      </c>
      <c r="AX243" s="1" t="str">
        <f t="shared" si="51"/>
        <v>Não</v>
      </c>
    </row>
    <row r="244" spans="34:50" hidden="1" x14ac:dyDescent="0.25">
      <c r="AH244" s="1">
        <f t="shared" si="44"/>
        <v>6</v>
      </c>
      <c r="AI244" s="5">
        <f t="shared" si="52"/>
        <v>45838</v>
      </c>
      <c r="AJ244" s="1" t="str">
        <f t="shared" si="45"/>
        <v>Não</v>
      </c>
      <c r="AK244" s="1"/>
      <c r="AL244" s="1">
        <f t="shared" si="46"/>
        <v>4</v>
      </c>
      <c r="AM244" s="4">
        <f t="shared" si="53"/>
        <v>46118</v>
      </c>
      <c r="AN244" s="1" t="str">
        <f t="shared" si="47"/>
        <v>Não</v>
      </c>
      <c r="AR244" s="1">
        <f t="shared" si="48"/>
        <v>11</v>
      </c>
      <c r="AS244" s="4">
        <f t="shared" si="54"/>
        <v>46328</v>
      </c>
      <c r="AT244" s="1" t="str">
        <f t="shared" si="49"/>
        <v>Não</v>
      </c>
      <c r="AV244" s="1">
        <f t="shared" si="50"/>
        <v>11</v>
      </c>
      <c r="AW244" s="4">
        <f t="shared" si="55"/>
        <v>45624</v>
      </c>
      <c r="AX244" s="1" t="str">
        <f t="shared" si="51"/>
        <v>Não</v>
      </c>
    </row>
    <row r="245" spans="34:50" hidden="1" x14ac:dyDescent="0.25">
      <c r="AH245" s="1">
        <f t="shared" si="44"/>
        <v>7</v>
      </c>
      <c r="AI245" s="5">
        <f t="shared" si="52"/>
        <v>45839</v>
      </c>
      <c r="AJ245" s="1" t="str">
        <f t="shared" si="45"/>
        <v>Não</v>
      </c>
      <c r="AK245" s="1"/>
      <c r="AL245" s="1">
        <f t="shared" si="46"/>
        <v>4</v>
      </c>
      <c r="AM245" s="4">
        <f t="shared" si="53"/>
        <v>46119</v>
      </c>
      <c r="AN245" s="1" t="str">
        <f t="shared" si="47"/>
        <v>Não</v>
      </c>
      <c r="AR245" s="1">
        <f t="shared" si="48"/>
        <v>11</v>
      </c>
      <c r="AS245" s="4">
        <f t="shared" si="54"/>
        <v>46329</v>
      </c>
      <c r="AT245" s="1" t="str">
        <f t="shared" si="49"/>
        <v>Não</v>
      </c>
      <c r="AV245" s="1">
        <f t="shared" si="50"/>
        <v>11</v>
      </c>
      <c r="AW245" s="4">
        <f t="shared" si="55"/>
        <v>45625</v>
      </c>
      <c r="AX245" s="1" t="str">
        <f t="shared" si="51"/>
        <v>Não</v>
      </c>
    </row>
    <row r="246" spans="34:50" hidden="1" x14ac:dyDescent="0.25">
      <c r="AH246" s="1">
        <f t="shared" si="44"/>
        <v>7</v>
      </c>
      <c r="AI246" s="5">
        <f t="shared" si="52"/>
        <v>45840</v>
      </c>
      <c r="AJ246" s="1" t="str">
        <f t="shared" si="45"/>
        <v>Não</v>
      </c>
      <c r="AK246" s="1"/>
      <c r="AL246" s="1">
        <f t="shared" si="46"/>
        <v>4</v>
      </c>
      <c r="AM246" s="4">
        <f t="shared" si="53"/>
        <v>46120</v>
      </c>
      <c r="AN246" s="1" t="str">
        <f t="shared" si="47"/>
        <v>Não</v>
      </c>
      <c r="AR246" s="1">
        <f t="shared" si="48"/>
        <v>11</v>
      </c>
      <c r="AS246" s="4">
        <f t="shared" si="54"/>
        <v>46330</v>
      </c>
      <c r="AT246" s="1" t="str">
        <f t="shared" si="49"/>
        <v>Não</v>
      </c>
      <c r="AV246" s="1">
        <f t="shared" si="50"/>
        <v>11</v>
      </c>
      <c r="AW246" s="4">
        <f t="shared" si="55"/>
        <v>45626</v>
      </c>
      <c r="AX246" s="1" t="str">
        <f t="shared" si="51"/>
        <v>Não</v>
      </c>
    </row>
    <row r="247" spans="34:50" hidden="1" x14ac:dyDescent="0.25">
      <c r="AH247" s="1">
        <f t="shared" si="44"/>
        <v>7</v>
      </c>
      <c r="AI247" s="5">
        <f t="shared" si="52"/>
        <v>45841</v>
      </c>
      <c r="AJ247" s="1" t="str">
        <f t="shared" si="45"/>
        <v>Não</v>
      </c>
      <c r="AK247" s="1"/>
      <c r="AL247" s="1">
        <f t="shared" si="46"/>
        <v>4</v>
      </c>
      <c r="AM247" s="4">
        <f t="shared" si="53"/>
        <v>46121</v>
      </c>
      <c r="AN247" s="1" t="str">
        <f t="shared" si="47"/>
        <v>Não</v>
      </c>
      <c r="AR247" s="1">
        <f t="shared" si="48"/>
        <v>11</v>
      </c>
      <c r="AS247" s="4">
        <f t="shared" si="54"/>
        <v>46331</v>
      </c>
      <c r="AT247" s="1" t="str">
        <f t="shared" si="49"/>
        <v>Não</v>
      </c>
      <c r="AV247" s="1">
        <f t="shared" si="50"/>
        <v>12</v>
      </c>
      <c r="AW247" s="4">
        <f t="shared" si="55"/>
        <v>45627</v>
      </c>
      <c r="AX247" s="1" t="str">
        <f t="shared" si="51"/>
        <v>Não</v>
      </c>
    </row>
    <row r="248" spans="34:50" hidden="1" x14ac:dyDescent="0.25">
      <c r="AH248" s="1">
        <f t="shared" si="44"/>
        <v>7</v>
      </c>
      <c r="AI248" s="5">
        <f t="shared" si="52"/>
        <v>45842</v>
      </c>
      <c r="AJ248" s="1" t="str">
        <f t="shared" si="45"/>
        <v>Não</v>
      </c>
      <c r="AK248" s="1"/>
      <c r="AL248" s="1">
        <f t="shared" si="46"/>
        <v>4</v>
      </c>
      <c r="AM248" s="4">
        <f t="shared" si="53"/>
        <v>46122</v>
      </c>
      <c r="AN248" s="1" t="str">
        <f t="shared" si="47"/>
        <v>Não</v>
      </c>
      <c r="AR248" s="1">
        <f t="shared" si="48"/>
        <v>11</v>
      </c>
      <c r="AS248" s="4">
        <f t="shared" si="54"/>
        <v>46332</v>
      </c>
      <c r="AT248" s="1" t="str">
        <f t="shared" si="49"/>
        <v>Não</v>
      </c>
      <c r="AV248" s="1">
        <f t="shared" si="50"/>
        <v>12</v>
      </c>
      <c r="AW248" s="4">
        <f t="shared" si="55"/>
        <v>45628</v>
      </c>
      <c r="AX248" s="1" t="str">
        <f t="shared" si="51"/>
        <v>Não</v>
      </c>
    </row>
    <row r="249" spans="34:50" hidden="1" x14ac:dyDescent="0.25">
      <c r="AH249" s="1">
        <f t="shared" si="44"/>
        <v>7</v>
      </c>
      <c r="AI249" s="5">
        <f t="shared" si="52"/>
        <v>45843</v>
      </c>
      <c r="AJ249" s="1" t="str">
        <f t="shared" si="45"/>
        <v>Não</v>
      </c>
      <c r="AK249" s="1"/>
      <c r="AL249" s="1">
        <f t="shared" si="46"/>
        <v>4</v>
      </c>
      <c r="AM249" s="4">
        <f t="shared" si="53"/>
        <v>46123</v>
      </c>
      <c r="AN249" s="1" t="str">
        <f t="shared" si="47"/>
        <v>Não</v>
      </c>
      <c r="AR249" s="1">
        <f t="shared" si="48"/>
        <v>11</v>
      </c>
      <c r="AS249" s="4">
        <f t="shared" si="54"/>
        <v>46333</v>
      </c>
      <c r="AT249" s="1" t="str">
        <f t="shared" si="49"/>
        <v>Não</v>
      </c>
      <c r="AV249" s="1">
        <f t="shared" si="50"/>
        <v>12</v>
      </c>
      <c r="AW249" s="4">
        <f t="shared" si="55"/>
        <v>45629</v>
      </c>
      <c r="AX249" s="1" t="str">
        <f t="shared" si="51"/>
        <v>Não</v>
      </c>
    </row>
    <row r="250" spans="34:50" hidden="1" x14ac:dyDescent="0.25">
      <c r="AH250" s="1">
        <f t="shared" si="44"/>
        <v>7</v>
      </c>
      <c r="AI250" s="5">
        <f t="shared" si="52"/>
        <v>45844</v>
      </c>
      <c r="AJ250" s="1" t="str">
        <f t="shared" si="45"/>
        <v>Não</v>
      </c>
      <c r="AK250" s="1"/>
      <c r="AL250" s="1">
        <f t="shared" si="46"/>
        <v>4</v>
      </c>
      <c r="AM250" s="4">
        <f t="shared" si="53"/>
        <v>46124</v>
      </c>
      <c r="AN250" s="1" t="str">
        <f t="shared" si="47"/>
        <v>Não</v>
      </c>
      <c r="AR250" s="1">
        <f t="shared" si="48"/>
        <v>11</v>
      </c>
      <c r="AS250" s="4">
        <f t="shared" si="54"/>
        <v>46334</v>
      </c>
      <c r="AT250" s="1" t="str">
        <f t="shared" si="49"/>
        <v>Não</v>
      </c>
      <c r="AV250" s="1">
        <f t="shared" si="50"/>
        <v>12</v>
      </c>
      <c r="AW250" s="4">
        <f t="shared" si="55"/>
        <v>45630</v>
      </c>
      <c r="AX250" s="1" t="str">
        <f t="shared" si="51"/>
        <v>Não</v>
      </c>
    </row>
    <row r="251" spans="34:50" hidden="1" x14ac:dyDescent="0.25">
      <c r="AH251" s="1">
        <f t="shared" si="44"/>
        <v>7</v>
      </c>
      <c r="AI251" s="5">
        <f t="shared" si="52"/>
        <v>45845</v>
      </c>
      <c r="AJ251" s="1" t="str">
        <f t="shared" si="45"/>
        <v>Não</v>
      </c>
      <c r="AK251" s="1"/>
      <c r="AL251" s="1">
        <f t="shared" si="46"/>
        <v>4</v>
      </c>
      <c r="AM251" s="4">
        <f t="shared" si="53"/>
        <v>46125</v>
      </c>
      <c r="AN251" s="1" t="str">
        <f t="shared" si="47"/>
        <v>Não</v>
      </c>
      <c r="AR251" s="1">
        <f t="shared" si="48"/>
        <v>11</v>
      </c>
      <c r="AS251" s="4">
        <f t="shared" si="54"/>
        <v>46335</v>
      </c>
      <c r="AT251" s="1" t="str">
        <f t="shared" si="49"/>
        <v>Não</v>
      </c>
      <c r="AV251" s="1">
        <f t="shared" si="50"/>
        <v>12</v>
      </c>
      <c r="AW251" s="4">
        <f t="shared" si="55"/>
        <v>45631</v>
      </c>
      <c r="AX251" s="1" t="str">
        <f t="shared" si="51"/>
        <v>Não</v>
      </c>
    </row>
    <row r="252" spans="34:50" hidden="1" x14ac:dyDescent="0.25">
      <c r="AH252" s="1">
        <f t="shared" si="44"/>
        <v>7</v>
      </c>
      <c r="AI252" s="5">
        <f t="shared" si="52"/>
        <v>45846</v>
      </c>
      <c r="AJ252" s="1" t="str">
        <f t="shared" si="45"/>
        <v>Não</v>
      </c>
      <c r="AK252" s="1"/>
      <c r="AL252" s="1">
        <f t="shared" si="46"/>
        <v>4</v>
      </c>
      <c r="AM252" s="4">
        <f t="shared" si="53"/>
        <v>46126</v>
      </c>
      <c r="AN252" s="1" t="str">
        <f t="shared" si="47"/>
        <v>Não</v>
      </c>
      <c r="AR252" s="1">
        <f t="shared" si="48"/>
        <v>11</v>
      </c>
      <c r="AS252" s="4">
        <f t="shared" si="54"/>
        <v>46336</v>
      </c>
      <c r="AT252" s="1" t="str">
        <f t="shared" si="49"/>
        <v>Não</v>
      </c>
      <c r="AV252" s="1">
        <f t="shared" si="50"/>
        <v>12</v>
      </c>
      <c r="AW252" s="4">
        <f t="shared" si="55"/>
        <v>45632</v>
      </c>
      <c r="AX252" s="1" t="str">
        <f t="shared" si="51"/>
        <v>Não</v>
      </c>
    </row>
    <row r="253" spans="34:50" hidden="1" x14ac:dyDescent="0.25">
      <c r="AH253" s="1">
        <f t="shared" si="44"/>
        <v>7</v>
      </c>
      <c r="AI253" s="5">
        <f t="shared" si="52"/>
        <v>45847</v>
      </c>
      <c r="AJ253" s="1" t="str">
        <f t="shared" si="45"/>
        <v>Não</v>
      </c>
      <c r="AK253" s="1"/>
      <c r="AL253" s="1">
        <f t="shared" si="46"/>
        <v>4</v>
      </c>
      <c r="AM253" s="4">
        <f t="shared" si="53"/>
        <v>46127</v>
      </c>
      <c r="AN253" s="1" t="str">
        <f t="shared" si="47"/>
        <v>Não</v>
      </c>
      <c r="AR253" s="1">
        <f t="shared" si="48"/>
        <v>11</v>
      </c>
      <c r="AS253" s="4">
        <f t="shared" si="54"/>
        <v>46337</v>
      </c>
      <c r="AT253" s="1" t="str">
        <f t="shared" si="49"/>
        <v>Não</v>
      </c>
      <c r="AV253" s="1">
        <f t="shared" si="50"/>
        <v>12</v>
      </c>
      <c r="AW253" s="4">
        <f t="shared" si="55"/>
        <v>45633</v>
      </c>
      <c r="AX253" s="1" t="str">
        <f t="shared" si="51"/>
        <v>Não</v>
      </c>
    </row>
    <row r="254" spans="34:50" hidden="1" x14ac:dyDescent="0.25">
      <c r="AH254" s="1">
        <f t="shared" si="44"/>
        <v>7</v>
      </c>
      <c r="AI254" s="5">
        <f t="shared" si="52"/>
        <v>45848</v>
      </c>
      <c r="AJ254" s="1" t="str">
        <f t="shared" si="45"/>
        <v>Não</v>
      </c>
      <c r="AK254" s="1"/>
      <c r="AL254" s="1">
        <f t="shared" si="46"/>
        <v>4</v>
      </c>
      <c r="AM254" s="4">
        <f t="shared" si="53"/>
        <v>46128</v>
      </c>
      <c r="AN254" s="1" t="str">
        <f t="shared" si="47"/>
        <v>Não</v>
      </c>
      <c r="AR254" s="1">
        <f t="shared" si="48"/>
        <v>11</v>
      </c>
      <c r="AS254" s="4">
        <f t="shared" si="54"/>
        <v>46338</v>
      </c>
      <c r="AT254" s="1" t="str">
        <f t="shared" si="49"/>
        <v>Não</v>
      </c>
      <c r="AV254" s="1">
        <f t="shared" si="50"/>
        <v>12</v>
      </c>
      <c r="AW254" s="4">
        <f t="shared" si="55"/>
        <v>45634</v>
      </c>
      <c r="AX254" s="1" t="str">
        <f t="shared" si="51"/>
        <v>Não</v>
      </c>
    </row>
    <row r="255" spans="34:50" hidden="1" x14ac:dyDescent="0.25">
      <c r="AH255" s="1">
        <f t="shared" si="44"/>
        <v>7</v>
      </c>
      <c r="AI255" s="5">
        <f t="shared" si="52"/>
        <v>45849</v>
      </c>
      <c r="AJ255" s="1" t="str">
        <f t="shared" si="45"/>
        <v>Não</v>
      </c>
      <c r="AK255" s="1"/>
      <c r="AL255" s="1">
        <f t="shared" si="46"/>
        <v>4</v>
      </c>
      <c r="AM255" s="4">
        <f t="shared" si="53"/>
        <v>46129</v>
      </c>
      <c r="AN255" s="1" t="str">
        <f t="shared" si="47"/>
        <v>Não</v>
      </c>
      <c r="AR255" s="1">
        <f t="shared" si="48"/>
        <v>11</v>
      </c>
      <c r="AS255" s="4">
        <f t="shared" si="54"/>
        <v>46339</v>
      </c>
      <c r="AT255" s="1" t="str">
        <f t="shared" si="49"/>
        <v>Não</v>
      </c>
      <c r="AV255" s="1">
        <f t="shared" si="50"/>
        <v>12</v>
      </c>
      <c r="AW255" s="4">
        <f t="shared" si="55"/>
        <v>45635</v>
      </c>
      <c r="AX255" s="1" t="str">
        <f t="shared" si="51"/>
        <v>Não</v>
      </c>
    </row>
    <row r="256" spans="34:50" hidden="1" x14ac:dyDescent="0.25">
      <c r="AH256" s="1">
        <f t="shared" si="44"/>
        <v>7</v>
      </c>
      <c r="AI256" s="5">
        <f t="shared" si="52"/>
        <v>45850</v>
      </c>
      <c r="AJ256" s="1" t="str">
        <f t="shared" si="45"/>
        <v>Não</v>
      </c>
      <c r="AK256" s="1"/>
      <c r="AL256" s="1">
        <f t="shared" si="46"/>
        <v>4</v>
      </c>
      <c r="AM256" s="4">
        <f t="shared" si="53"/>
        <v>46130</v>
      </c>
      <c r="AN256" s="1" t="str">
        <f t="shared" si="47"/>
        <v>Não</v>
      </c>
      <c r="AR256" s="1">
        <f t="shared" si="48"/>
        <v>11</v>
      </c>
      <c r="AS256" s="4">
        <f t="shared" si="54"/>
        <v>46340</v>
      </c>
      <c r="AT256" s="1" t="str">
        <f t="shared" si="49"/>
        <v>Não</v>
      </c>
      <c r="AV256" s="1">
        <f t="shared" si="50"/>
        <v>12</v>
      </c>
      <c r="AW256" s="4">
        <f t="shared" si="55"/>
        <v>45636</v>
      </c>
      <c r="AX256" s="1" t="str">
        <f t="shared" si="51"/>
        <v>Não</v>
      </c>
    </row>
    <row r="257" spans="34:50" hidden="1" x14ac:dyDescent="0.25">
      <c r="AH257" s="1">
        <f t="shared" si="44"/>
        <v>7</v>
      </c>
      <c r="AI257" s="5">
        <f t="shared" si="52"/>
        <v>45851</v>
      </c>
      <c r="AJ257" s="1" t="str">
        <f t="shared" si="45"/>
        <v>Não</v>
      </c>
      <c r="AK257" s="1"/>
      <c r="AL257" s="1">
        <f t="shared" si="46"/>
        <v>4</v>
      </c>
      <c r="AM257" s="4">
        <f t="shared" si="53"/>
        <v>46131</v>
      </c>
      <c r="AN257" s="1" t="str">
        <f t="shared" si="47"/>
        <v>Não</v>
      </c>
      <c r="AR257" s="1">
        <f t="shared" si="48"/>
        <v>11</v>
      </c>
      <c r="AS257" s="4">
        <f t="shared" si="54"/>
        <v>46341</v>
      </c>
      <c r="AT257" s="1" t="str">
        <f t="shared" si="49"/>
        <v>Não</v>
      </c>
      <c r="AV257" s="1">
        <f t="shared" si="50"/>
        <v>12</v>
      </c>
      <c r="AW257" s="4">
        <f t="shared" si="55"/>
        <v>45637</v>
      </c>
      <c r="AX257" s="1" t="str">
        <f t="shared" si="51"/>
        <v>Não</v>
      </c>
    </row>
    <row r="258" spans="34:50" hidden="1" x14ac:dyDescent="0.25">
      <c r="AH258" s="1">
        <f t="shared" si="44"/>
        <v>7</v>
      </c>
      <c r="AI258" s="5">
        <f t="shared" si="52"/>
        <v>45852</v>
      </c>
      <c r="AJ258" s="1" t="str">
        <f t="shared" si="45"/>
        <v>Não</v>
      </c>
      <c r="AK258" s="1"/>
      <c r="AL258" s="1">
        <f t="shared" si="46"/>
        <v>4</v>
      </c>
      <c r="AM258" s="4">
        <f t="shared" si="53"/>
        <v>46132</v>
      </c>
      <c r="AN258" s="1" t="str">
        <f t="shared" si="47"/>
        <v>Não</v>
      </c>
      <c r="AR258" s="1">
        <f t="shared" si="48"/>
        <v>11</v>
      </c>
      <c r="AS258" s="4">
        <f t="shared" si="54"/>
        <v>46342</v>
      </c>
      <c r="AT258" s="1" t="str">
        <f t="shared" si="49"/>
        <v>Não</v>
      </c>
      <c r="AV258" s="1">
        <f t="shared" si="50"/>
        <v>12</v>
      </c>
      <c r="AW258" s="4">
        <f t="shared" si="55"/>
        <v>45638</v>
      </c>
      <c r="AX258" s="1" t="str">
        <f t="shared" si="51"/>
        <v>Não</v>
      </c>
    </row>
    <row r="259" spans="34:50" hidden="1" x14ac:dyDescent="0.25">
      <c r="AH259" s="1">
        <f t="shared" ref="AH259:AH322" si="56">MONTH(AI259)</f>
        <v>7</v>
      </c>
      <c r="AI259" s="5">
        <f t="shared" si="52"/>
        <v>45853</v>
      </c>
      <c r="AJ259" s="1" t="str">
        <f t="shared" ref="AJ259:AJ322" si="57">IF(AND(AI259&gt;=$C$6,AI259&lt;=$C$8),"Ok","Não")</f>
        <v>Não</v>
      </c>
      <c r="AK259" s="1"/>
      <c r="AL259" s="1">
        <f t="shared" ref="AL259:AL322" si="58">MONTH(AM259)</f>
        <v>4</v>
      </c>
      <c r="AM259" s="4">
        <f t="shared" si="53"/>
        <v>46133</v>
      </c>
      <c r="AN259" s="1" t="str">
        <f t="shared" ref="AN259:AN322" si="59">IF(AND(AM259&gt;=$C$9,AM259&lt;=$C$10),"Ok","Não")</f>
        <v>Não</v>
      </c>
      <c r="AR259" s="1">
        <f t="shared" ref="AR259:AR322" si="60">MONTH(AS259)</f>
        <v>11</v>
      </c>
      <c r="AS259" s="4">
        <f t="shared" si="54"/>
        <v>46343</v>
      </c>
      <c r="AT259" s="1" t="str">
        <f t="shared" ref="AT259:AT322" si="61">IF(AND(AS259&gt;=$C$11,AS259&lt;=$C$12),"Ok","Não")</f>
        <v>Não</v>
      </c>
      <c r="AV259" s="1">
        <f t="shared" ref="AV259:AV322" si="62">MONTH(AW259)</f>
        <v>12</v>
      </c>
      <c r="AW259" s="4">
        <f t="shared" si="55"/>
        <v>45639</v>
      </c>
      <c r="AX259" s="1" t="str">
        <f t="shared" ref="AX259:AX322" si="63">IF(AND(AW259&gt;=$C$4,AW259&lt;=$C$5),"Ok","Não")</f>
        <v>Não</v>
      </c>
    </row>
    <row r="260" spans="34:50" hidden="1" x14ac:dyDescent="0.25">
      <c r="AH260" s="1">
        <f t="shared" si="56"/>
        <v>7</v>
      </c>
      <c r="AI260" s="5">
        <f t="shared" si="52"/>
        <v>45854</v>
      </c>
      <c r="AJ260" s="1" t="str">
        <f t="shared" si="57"/>
        <v>Não</v>
      </c>
      <c r="AK260" s="1"/>
      <c r="AL260" s="1">
        <f t="shared" si="58"/>
        <v>4</v>
      </c>
      <c r="AM260" s="4">
        <f t="shared" si="53"/>
        <v>46134</v>
      </c>
      <c r="AN260" s="1" t="str">
        <f t="shared" si="59"/>
        <v>Não</v>
      </c>
      <c r="AR260" s="1">
        <f t="shared" si="60"/>
        <v>11</v>
      </c>
      <c r="AS260" s="4">
        <f t="shared" si="54"/>
        <v>46344</v>
      </c>
      <c r="AT260" s="1" t="str">
        <f t="shared" si="61"/>
        <v>Não</v>
      </c>
      <c r="AV260" s="1">
        <f t="shared" si="62"/>
        <v>12</v>
      </c>
      <c r="AW260" s="4">
        <f t="shared" si="55"/>
        <v>45640</v>
      </c>
      <c r="AX260" s="1" t="str">
        <f t="shared" si="63"/>
        <v>Não</v>
      </c>
    </row>
    <row r="261" spans="34:50" hidden="1" x14ac:dyDescent="0.25">
      <c r="AH261" s="1">
        <f t="shared" si="56"/>
        <v>7</v>
      </c>
      <c r="AI261" s="5">
        <f t="shared" ref="AI261:AI324" si="64">AI260+1</f>
        <v>45855</v>
      </c>
      <c r="AJ261" s="1" t="str">
        <f t="shared" si="57"/>
        <v>Não</v>
      </c>
      <c r="AK261" s="1"/>
      <c r="AL261" s="1">
        <f t="shared" si="58"/>
        <v>4</v>
      </c>
      <c r="AM261" s="4">
        <f t="shared" ref="AM261:AM324" si="65">AM260+1</f>
        <v>46135</v>
      </c>
      <c r="AN261" s="1" t="str">
        <f t="shared" si="59"/>
        <v>Não</v>
      </c>
      <c r="AR261" s="1">
        <f t="shared" si="60"/>
        <v>11</v>
      </c>
      <c r="AS261" s="4">
        <f t="shared" ref="AS261:AS324" si="66">AS260+1</f>
        <v>46345</v>
      </c>
      <c r="AT261" s="1" t="str">
        <f t="shared" si="61"/>
        <v>Não</v>
      </c>
      <c r="AV261" s="1">
        <f t="shared" si="62"/>
        <v>12</v>
      </c>
      <c r="AW261" s="4">
        <f t="shared" ref="AW261:AW324" si="67">AW260+1</f>
        <v>45641</v>
      </c>
      <c r="AX261" s="1" t="str">
        <f t="shared" si="63"/>
        <v>Não</v>
      </c>
    </row>
    <row r="262" spans="34:50" hidden="1" x14ac:dyDescent="0.25">
      <c r="AH262" s="1">
        <f t="shared" si="56"/>
        <v>7</v>
      </c>
      <c r="AI262" s="5">
        <f t="shared" si="64"/>
        <v>45856</v>
      </c>
      <c r="AJ262" s="1" t="str">
        <f t="shared" si="57"/>
        <v>Não</v>
      </c>
      <c r="AK262" s="1"/>
      <c r="AL262" s="1">
        <f t="shared" si="58"/>
        <v>4</v>
      </c>
      <c r="AM262" s="4">
        <f t="shared" si="65"/>
        <v>46136</v>
      </c>
      <c r="AN262" s="1" t="str">
        <f t="shared" si="59"/>
        <v>Não</v>
      </c>
      <c r="AR262" s="1">
        <f t="shared" si="60"/>
        <v>11</v>
      </c>
      <c r="AS262" s="4">
        <f t="shared" si="66"/>
        <v>46346</v>
      </c>
      <c r="AT262" s="1" t="str">
        <f t="shared" si="61"/>
        <v>Não</v>
      </c>
      <c r="AV262" s="1">
        <f t="shared" si="62"/>
        <v>12</v>
      </c>
      <c r="AW262" s="4">
        <f t="shared" si="67"/>
        <v>45642</v>
      </c>
      <c r="AX262" s="1" t="str">
        <f t="shared" si="63"/>
        <v>Não</v>
      </c>
    </row>
    <row r="263" spans="34:50" hidden="1" x14ac:dyDescent="0.25">
      <c r="AH263" s="1">
        <f t="shared" si="56"/>
        <v>7</v>
      </c>
      <c r="AI263" s="5">
        <f t="shared" si="64"/>
        <v>45857</v>
      </c>
      <c r="AJ263" s="1" t="str">
        <f t="shared" si="57"/>
        <v>Não</v>
      </c>
      <c r="AK263" s="1"/>
      <c r="AL263" s="1">
        <f t="shared" si="58"/>
        <v>4</v>
      </c>
      <c r="AM263" s="4">
        <f t="shared" si="65"/>
        <v>46137</v>
      </c>
      <c r="AN263" s="1" t="str">
        <f t="shared" si="59"/>
        <v>Não</v>
      </c>
      <c r="AR263" s="1">
        <f t="shared" si="60"/>
        <v>11</v>
      </c>
      <c r="AS263" s="4">
        <f t="shared" si="66"/>
        <v>46347</v>
      </c>
      <c r="AT263" s="1" t="str">
        <f t="shared" si="61"/>
        <v>Não</v>
      </c>
      <c r="AV263" s="1">
        <f t="shared" si="62"/>
        <v>12</v>
      </c>
      <c r="AW263" s="4">
        <f t="shared" si="67"/>
        <v>45643</v>
      </c>
      <c r="AX263" s="1" t="str">
        <f t="shared" si="63"/>
        <v>Não</v>
      </c>
    </row>
    <row r="264" spans="34:50" hidden="1" x14ac:dyDescent="0.25">
      <c r="AH264" s="1">
        <f t="shared" si="56"/>
        <v>7</v>
      </c>
      <c r="AI264" s="5">
        <f t="shared" si="64"/>
        <v>45858</v>
      </c>
      <c r="AJ264" s="1" t="str">
        <f t="shared" si="57"/>
        <v>Não</v>
      </c>
      <c r="AK264" s="1"/>
      <c r="AL264" s="1">
        <f t="shared" si="58"/>
        <v>4</v>
      </c>
      <c r="AM264" s="4">
        <f t="shared" si="65"/>
        <v>46138</v>
      </c>
      <c r="AN264" s="1" t="str">
        <f t="shared" si="59"/>
        <v>Não</v>
      </c>
      <c r="AR264" s="1">
        <f t="shared" si="60"/>
        <v>11</v>
      </c>
      <c r="AS264" s="4">
        <f t="shared" si="66"/>
        <v>46348</v>
      </c>
      <c r="AT264" s="1" t="str">
        <f t="shared" si="61"/>
        <v>Não</v>
      </c>
      <c r="AV264" s="1">
        <f t="shared" si="62"/>
        <v>12</v>
      </c>
      <c r="AW264" s="4">
        <f t="shared" si="67"/>
        <v>45644</v>
      </c>
      <c r="AX264" s="1" t="str">
        <f t="shared" si="63"/>
        <v>Não</v>
      </c>
    </row>
    <row r="265" spans="34:50" hidden="1" x14ac:dyDescent="0.25">
      <c r="AH265" s="1">
        <f t="shared" si="56"/>
        <v>7</v>
      </c>
      <c r="AI265" s="5">
        <f t="shared" si="64"/>
        <v>45859</v>
      </c>
      <c r="AJ265" s="1" t="str">
        <f t="shared" si="57"/>
        <v>Não</v>
      </c>
      <c r="AK265" s="1"/>
      <c r="AL265" s="1">
        <f t="shared" si="58"/>
        <v>4</v>
      </c>
      <c r="AM265" s="4">
        <f t="shared" si="65"/>
        <v>46139</v>
      </c>
      <c r="AN265" s="1" t="str">
        <f t="shared" si="59"/>
        <v>Não</v>
      </c>
      <c r="AR265" s="1">
        <f t="shared" si="60"/>
        <v>11</v>
      </c>
      <c r="AS265" s="4">
        <f t="shared" si="66"/>
        <v>46349</v>
      </c>
      <c r="AT265" s="1" t="str">
        <f t="shared" si="61"/>
        <v>Não</v>
      </c>
      <c r="AV265" s="1">
        <f t="shared" si="62"/>
        <v>12</v>
      </c>
      <c r="AW265" s="4">
        <f t="shared" si="67"/>
        <v>45645</v>
      </c>
      <c r="AX265" s="1" t="str">
        <f t="shared" si="63"/>
        <v>Não</v>
      </c>
    </row>
    <row r="266" spans="34:50" hidden="1" x14ac:dyDescent="0.25">
      <c r="AH266" s="1">
        <f t="shared" si="56"/>
        <v>7</v>
      </c>
      <c r="AI266" s="5">
        <f t="shared" si="64"/>
        <v>45860</v>
      </c>
      <c r="AJ266" s="1" t="str">
        <f t="shared" si="57"/>
        <v>Não</v>
      </c>
      <c r="AK266" s="1"/>
      <c r="AL266" s="1">
        <f t="shared" si="58"/>
        <v>4</v>
      </c>
      <c r="AM266" s="4">
        <f t="shared" si="65"/>
        <v>46140</v>
      </c>
      <c r="AN266" s="1" t="str">
        <f t="shared" si="59"/>
        <v>Não</v>
      </c>
      <c r="AR266" s="1">
        <f t="shared" si="60"/>
        <v>11</v>
      </c>
      <c r="AS266" s="4">
        <f t="shared" si="66"/>
        <v>46350</v>
      </c>
      <c r="AT266" s="1" t="str">
        <f t="shared" si="61"/>
        <v>Não</v>
      </c>
      <c r="AV266" s="1">
        <f t="shared" si="62"/>
        <v>12</v>
      </c>
      <c r="AW266" s="4">
        <f t="shared" si="67"/>
        <v>45646</v>
      </c>
      <c r="AX266" s="1" t="str">
        <f t="shared" si="63"/>
        <v>Não</v>
      </c>
    </row>
    <row r="267" spans="34:50" hidden="1" x14ac:dyDescent="0.25">
      <c r="AH267" s="1">
        <f t="shared" si="56"/>
        <v>7</v>
      </c>
      <c r="AI267" s="5">
        <f t="shared" si="64"/>
        <v>45861</v>
      </c>
      <c r="AJ267" s="1" t="str">
        <f t="shared" si="57"/>
        <v>Não</v>
      </c>
      <c r="AK267" s="1"/>
      <c r="AL267" s="1">
        <f t="shared" si="58"/>
        <v>4</v>
      </c>
      <c r="AM267" s="4">
        <f t="shared" si="65"/>
        <v>46141</v>
      </c>
      <c r="AN267" s="1" t="str">
        <f t="shared" si="59"/>
        <v>Não</v>
      </c>
      <c r="AR267" s="1">
        <f t="shared" si="60"/>
        <v>11</v>
      </c>
      <c r="AS267" s="4">
        <f t="shared" si="66"/>
        <v>46351</v>
      </c>
      <c r="AT267" s="1" t="str">
        <f t="shared" si="61"/>
        <v>Não</v>
      </c>
      <c r="AV267" s="1">
        <f t="shared" si="62"/>
        <v>12</v>
      </c>
      <c r="AW267" s="4">
        <f t="shared" si="67"/>
        <v>45647</v>
      </c>
      <c r="AX267" s="1" t="str">
        <f t="shared" si="63"/>
        <v>Não</v>
      </c>
    </row>
    <row r="268" spans="34:50" hidden="1" x14ac:dyDescent="0.25">
      <c r="AH268" s="1">
        <f t="shared" si="56"/>
        <v>7</v>
      </c>
      <c r="AI268" s="5">
        <f t="shared" si="64"/>
        <v>45862</v>
      </c>
      <c r="AJ268" s="1" t="str">
        <f t="shared" si="57"/>
        <v>Não</v>
      </c>
      <c r="AK268" s="1"/>
      <c r="AL268" s="1">
        <f t="shared" si="58"/>
        <v>4</v>
      </c>
      <c r="AM268" s="4">
        <f t="shared" si="65"/>
        <v>46142</v>
      </c>
      <c r="AN268" s="1" t="str">
        <f t="shared" si="59"/>
        <v>Não</v>
      </c>
      <c r="AR268" s="1">
        <f t="shared" si="60"/>
        <v>11</v>
      </c>
      <c r="AS268" s="4">
        <f t="shared" si="66"/>
        <v>46352</v>
      </c>
      <c r="AT268" s="1" t="str">
        <f t="shared" si="61"/>
        <v>Não</v>
      </c>
      <c r="AV268" s="1">
        <f t="shared" si="62"/>
        <v>12</v>
      </c>
      <c r="AW268" s="4">
        <f t="shared" si="67"/>
        <v>45648</v>
      </c>
      <c r="AX268" s="1" t="str">
        <f t="shared" si="63"/>
        <v>Não</v>
      </c>
    </row>
    <row r="269" spans="34:50" hidden="1" x14ac:dyDescent="0.25">
      <c r="AH269" s="1">
        <f t="shared" si="56"/>
        <v>7</v>
      </c>
      <c r="AI269" s="5">
        <f t="shared" si="64"/>
        <v>45863</v>
      </c>
      <c r="AJ269" s="1" t="str">
        <f t="shared" si="57"/>
        <v>Não</v>
      </c>
      <c r="AK269" s="1"/>
      <c r="AL269" s="1">
        <f t="shared" si="58"/>
        <v>5</v>
      </c>
      <c r="AM269" s="4">
        <f t="shared" si="65"/>
        <v>46143</v>
      </c>
      <c r="AN269" s="1" t="str">
        <f t="shared" si="59"/>
        <v>Não</v>
      </c>
      <c r="AR269" s="1">
        <f t="shared" si="60"/>
        <v>11</v>
      </c>
      <c r="AS269" s="4">
        <f t="shared" si="66"/>
        <v>46353</v>
      </c>
      <c r="AT269" s="1" t="str">
        <f t="shared" si="61"/>
        <v>Não</v>
      </c>
      <c r="AV269" s="1">
        <f t="shared" si="62"/>
        <v>12</v>
      </c>
      <c r="AW269" s="4">
        <f t="shared" si="67"/>
        <v>45649</v>
      </c>
      <c r="AX269" s="1" t="str">
        <f t="shared" si="63"/>
        <v>Não</v>
      </c>
    </row>
    <row r="270" spans="34:50" hidden="1" x14ac:dyDescent="0.25">
      <c r="AH270" s="1">
        <f t="shared" si="56"/>
        <v>7</v>
      </c>
      <c r="AI270" s="5">
        <f t="shared" si="64"/>
        <v>45864</v>
      </c>
      <c r="AJ270" s="1" t="str">
        <f t="shared" si="57"/>
        <v>Não</v>
      </c>
      <c r="AK270" s="1"/>
      <c r="AL270" s="1">
        <f t="shared" si="58"/>
        <v>5</v>
      </c>
      <c r="AM270" s="4">
        <f t="shared" si="65"/>
        <v>46144</v>
      </c>
      <c r="AN270" s="1" t="str">
        <f t="shared" si="59"/>
        <v>Não</v>
      </c>
      <c r="AR270" s="1">
        <f t="shared" si="60"/>
        <v>11</v>
      </c>
      <c r="AS270" s="4">
        <f t="shared" si="66"/>
        <v>46354</v>
      </c>
      <c r="AT270" s="1" t="str">
        <f t="shared" si="61"/>
        <v>Não</v>
      </c>
      <c r="AV270" s="1">
        <f t="shared" si="62"/>
        <v>12</v>
      </c>
      <c r="AW270" s="4">
        <f t="shared" si="67"/>
        <v>45650</v>
      </c>
      <c r="AX270" s="1" t="str">
        <f t="shared" si="63"/>
        <v>Não</v>
      </c>
    </row>
    <row r="271" spans="34:50" hidden="1" x14ac:dyDescent="0.25">
      <c r="AH271" s="1">
        <f t="shared" si="56"/>
        <v>7</v>
      </c>
      <c r="AI271" s="5">
        <f t="shared" si="64"/>
        <v>45865</v>
      </c>
      <c r="AJ271" s="1" t="str">
        <f t="shared" si="57"/>
        <v>Não</v>
      </c>
      <c r="AK271" s="1"/>
      <c r="AL271" s="1">
        <f t="shared" si="58"/>
        <v>5</v>
      </c>
      <c r="AM271" s="4">
        <f t="shared" si="65"/>
        <v>46145</v>
      </c>
      <c r="AN271" s="1" t="str">
        <f t="shared" si="59"/>
        <v>Não</v>
      </c>
      <c r="AR271" s="1">
        <f t="shared" si="60"/>
        <v>11</v>
      </c>
      <c r="AS271" s="4">
        <f t="shared" si="66"/>
        <v>46355</v>
      </c>
      <c r="AT271" s="1" t="str">
        <f t="shared" si="61"/>
        <v>Não</v>
      </c>
      <c r="AV271" s="1">
        <f t="shared" si="62"/>
        <v>12</v>
      </c>
      <c r="AW271" s="4">
        <f t="shared" si="67"/>
        <v>45651</v>
      </c>
      <c r="AX271" s="1" t="str">
        <f t="shared" si="63"/>
        <v>Não</v>
      </c>
    </row>
    <row r="272" spans="34:50" hidden="1" x14ac:dyDescent="0.25">
      <c r="AH272" s="1">
        <f t="shared" si="56"/>
        <v>7</v>
      </c>
      <c r="AI272" s="5">
        <f t="shared" si="64"/>
        <v>45866</v>
      </c>
      <c r="AJ272" s="1" t="str">
        <f t="shared" si="57"/>
        <v>Não</v>
      </c>
      <c r="AK272" s="1"/>
      <c r="AL272" s="1">
        <f t="shared" si="58"/>
        <v>5</v>
      </c>
      <c r="AM272" s="4">
        <f t="shared" si="65"/>
        <v>46146</v>
      </c>
      <c r="AN272" s="1" t="str">
        <f t="shared" si="59"/>
        <v>Não</v>
      </c>
      <c r="AR272" s="1">
        <f t="shared" si="60"/>
        <v>11</v>
      </c>
      <c r="AS272" s="4">
        <f t="shared" si="66"/>
        <v>46356</v>
      </c>
      <c r="AT272" s="1" t="str">
        <f t="shared" si="61"/>
        <v>Não</v>
      </c>
      <c r="AV272" s="1">
        <f t="shared" si="62"/>
        <v>12</v>
      </c>
      <c r="AW272" s="4">
        <f t="shared" si="67"/>
        <v>45652</v>
      </c>
      <c r="AX272" s="1" t="str">
        <f t="shared" si="63"/>
        <v>Não</v>
      </c>
    </row>
    <row r="273" spans="34:50" hidden="1" x14ac:dyDescent="0.25">
      <c r="AH273" s="1">
        <f t="shared" si="56"/>
        <v>7</v>
      </c>
      <c r="AI273" s="5">
        <f t="shared" si="64"/>
        <v>45867</v>
      </c>
      <c r="AJ273" s="1" t="str">
        <f t="shared" si="57"/>
        <v>Não</v>
      </c>
      <c r="AK273" s="1"/>
      <c r="AL273" s="1">
        <f t="shared" si="58"/>
        <v>5</v>
      </c>
      <c r="AM273" s="4">
        <f t="shared" si="65"/>
        <v>46147</v>
      </c>
      <c r="AN273" s="1" t="str">
        <f t="shared" si="59"/>
        <v>Não</v>
      </c>
      <c r="AR273" s="1">
        <f t="shared" si="60"/>
        <v>12</v>
      </c>
      <c r="AS273" s="4">
        <f t="shared" si="66"/>
        <v>46357</v>
      </c>
      <c r="AT273" s="1" t="str">
        <f t="shared" si="61"/>
        <v>Não</v>
      </c>
      <c r="AV273" s="1">
        <f t="shared" si="62"/>
        <v>12</v>
      </c>
      <c r="AW273" s="4">
        <f t="shared" si="67"/>
        <v>45653</v>
      </c>
      <c r="AX273" s="1" t="str">
        <f t="shared" si="63"/>
        <v>Não</v>
      </c>
    </row>
    <row r="274" spans="34:50" hidden="1" x14ac:dyDescent="0.25">
      <c r="AH274" s="1">
        <f t="shared" si="56"/>
        <v>7</v>
      </c>
      <c r="AI274" s="5">
        <f t="shared" si="64"/>
        <v>45868</v>
      </c>
      <c r="AJ274" s="1" t="str">
        <f t="shared" si="57"/>
        <v>Não</v>
      </c>
      <c r="AK274" s="1"/>
      <c r="AL274" s="1">
        <f t="shared" si="58"/>
        <v>5</v>
      </c>
      <c r="AM274" s="4">
        <f t="shared" si="65"/>
        <v>46148</v>
      </c>
      <c r="AN274" s="1" t="str">
        <f t="shared" si="59"/>
        <v>Não</v>
      </c>
      <c r="AR274" s="1">
        <f t="shared" si="60"/>
        <v>12</v>
      </c>
      <c r="AS274" s="4">
        <f t="shared" si="66"/>
        <v>46358</v>
      </c>
      <c r="AT274" s="1" t="str">
        <f t="shared" si="61"/>
        <v>Não</v>
      </c>
      <c r="AV274" s="1">
        <f t="shared" si="62"/>
        <v>12</v>
      </c>
      <c r="AW274" s="4">
        <f t="shared" si="67"/>
        <v>45654</v>
      </c>
      <c r="AX274" s="1" t="str">
        <f t="shared" si="63"/>
        <v>Não</v>
      </c>
    </row>
    <row r="275" spans="34:50" hidden="1" x14ac:dyDescent="0.25">
      <c r="AH275" s="1">
        <f t="shared" si="56"/>
        <v>7</v>
      </c>
      <c r="AI275" s="5">
        <f t="shared" si="64"/>
        <v>45869</v>
      </c>
      <c r="AJ275" s="1" t="str">
        <f t="shared" si="57"/>
        <v>Não</v>
      </c>
      <c r="AK275" s="1"/>
      <c r="AL275" s="1">
        <f t="shared" si="58"/>
        <v>5</v>
      </c>
      <c r="AM275" s="4">
        <f t="shared" si="65"/>
        <v>46149</v>
      </c>
      <c r="AN275" s="1" t="str">
        <f t="shared" si="59"/>
        <v>Não</v>
      </c>
      <c r="AR275" s="1">
        <f t="shared" si="60"/>
        <v>12</v>
      </c>
      <c r="AS275" s="4">
        <f t="shared" si="66"/>
        <v>46359</v>
      </c>
      <c r="AT275" s="1" t="str">
        <f t="shared" si="61"/>
        <v>Não</v>
      </c>
      <c r="AV275" s="1">
        <f t="shared" si="62"/>
        <v>12</v>
      </c>
      <c r="AW275" s="4">
        <f t="shared" si="67"/>
        <v>45655</v>
      </c>
      <c r="AX275" s="1" t="str">
        <f t="shared" si="63"/>
        <v>Não</v>
      </c>
    </row>
    <row r="276" spans="34:50" hidden="1" x14ac:dyDescent="0.25">
      <c r="AH276" s="1">
        <f t="shared" si="56"/>
        <v>8</v>
      </c>
      <c r="AI276" s="5">
        <f t="shared" si="64"/>
        <v>45870</v>
      </c>
      <c r="AJ276" s="1" t="str">
        <f t="shared" si="57"/>
        <v>Não</v>
      </c>
      <c r="AK276" s="1"/>
      <c r="AL276" s="1">
        <f t="shared" si="58"/>
        <v>5</v>
      </c>
      <c r="AM276" s="4">
        <f t="shared" si="65"/>
        <v>46150</v>
      </c>
      <c r="AN276" s="1" t="str">
        <f t="shared" si="59"/>
        <v>Não</v>
      </c>
      <c r="AR276" s="1">
        <f t="shared" si="60"/>
        <v>12</v>
      </c>
      <c r="AS276" s="4">
        <f t="shared" si="66"/>
        <v>46360</v>
      </c>
      <c r="AT276" s="1" t="str">
        <f t="shared" si="61"/>
        <v>Não</v>
      </c>
      <c r="AV276" s="1">
        <f t="shared" si="62"/>
        <v>12</v>
      </c>
      <c r="AW276" s="4">
        <f t="shared" si="67"/>
        <v>45656</v>
      </c>
      <c r="AX276" s="1" t="str">
        <f t="shared" si="63"/>
        <v>Não</v>
      </c>
    </row>
    <row r="277" spans="34:50" hidden="1" x14ac:dyDescent="0.25">
      <c r="AH277" s="1">
        <f t="shared" si="56"/>
        <v>8</v>
      </c>
      <c r="AI277" s="5">
        <f t="shared" si="64"/>
        <v>45871</v>
      </c>
      <c r="AJ277" s="1" t="str">
        <f t="shared" si="57"/>
        <v>Não</v>
      </c>
      <c r="AK277" s="1"/>
      <c r="AL277" s="1">
        <f t="shared" si="58"/>
        <v>5</v>
      </c>
      <c r="AM277" s="4">
        <f t="shared" si="65"/>
        <v>46151</v>
      </c>
      <c r="AN277" s="1" t="str">
        <f t="shared" si="59"/>
        <v>Não</v>
      </c>
      <c r="AR277" s="1">
        <f t="shared" si="60"/>
        <v>12</v>
      </c>
      <c r="AS277" s="4">
        <f t="shared" si="66"/>
        <v>46361</v>
      </c>
      <c r="AT277" s="1" t="str">
        <f t="shared" si="61"/>
        <v>Não</v>
      </c>
      <c r="AV277" s="1">
        <f t="shared" si="62"/>
        <v>12</v>
      </c>
      <c r="AW277" s="4">
        <f t="shared" si="67"/>
        <v>45657</v>
      </c>
      <c r="AX277" s="1" t="str">
        <f t="shared" si="63"/>
        <v>Não</v>
      </c>
    </row>
    <row r="278" spans="34:50" hidden="1" x14ac:dyDescent="0.25">
      <c r="AH278" s="1">
        <f t="shared" si="56"/>
        <v>8</v>
      </c>
      <c r="AI278" s="5">
        <f t="shared" si="64"/>
        <v>45872</v>
      </c>
      <c r="AJ278" s="1" t="str">
        <f t="shared" si="57"/>
        <v>Não</v>
      </c>
      <c r="AK278" s="1"/>
      <c r="AL278" s="1">
        <f t="shared" si="58"/>
        <v>5</v>
      </c>
      <c r="AM278" s="4">
        <f t="shared" si="65"/>
        <v>46152</v>
      </c>
      <c r="AN278" s="1" t="str">
        <f t="shared" si="59"/>
        <v>Não</v>
      </c>
      <c r="AR278" s="1">
        <f t="shared" si="60"/>
        <v>12</v>
      </c>
      <c r="AS278" s="4">
        <f t="shared" si="66"/>
        <v>46362</v>
      </c>
      <c r="AT278" s="1" t="str">
        <f t="shared" si="61"/>
        <v>Não</v>
      </c>
      <c r="AV278" s="1">
        <f t="shared" si="62"/>
        <v>1</v>
      </c>
      <c r="AW278" s="4">
        <f t="shared" si="67"/>
        <v>45658</v>
      </c>
      <c r="AX278" s="1" t="str">
        <f t="shared" si="63"/>
        <v>Não</v>
      </c>
    </row>
    <row r="279" spans="34:50" hidden="1" x14ac:dyDescent="0.25">
      <c r="AH279" s="1">
        <f t="shared" si="56"/>
        <v>8</v>
      </c>
      <c r="AI279" s="5">
        <f t="shared" si="64"/>
        <v>45873</v>
      </c>
      <c r="AJ279" s="1" t="str">
        <f t="shared" si="57"/>
        <v>Não</v>
      </c>
      <c r="AK279" s="1"/>
      <c r="AL279" s="1">
        <f t="shared" si="58"/>
        <v>5</v>
      </c>
      <c r="AM279" s="4">
        <f t="shared" si="65"/>
        <v>46153</v>
      </c>
      <c r="AN279" s="1" t="str">
        <f t="shared" si="59"/>
        <v>Não</v>
      </c>
      <c r="AR279" s="1">
        <f t="shared" si="60"/>
        <v>12</v>
      </c>
      <c r="AS279" s="4">
        <f t="shared" si="66"/>
        <v>46363</v>
      </c>
      <c r="AT279" s="1" t="str">
        <f t="shared" si="61"/>
        <v>Não</v>
      </c>
      <c r="AV279" s="1">
        <f t="shared" si="62"/>
        <v>1</v>
      </c>
      <c r="AW279" s="4">
        <f t="shared" si="67"/>
        <v>45659</v>
      </c>
      <c r="AX279" s="1" t="str">
        <f t="shared" si="63"/>
        <v>Não</v>
      </c>
    </row>
    <row r="280" spans="34:50" hidden="1" x14ac:dyDescent="0.25">
      <c r="AH280" s="1">
        <f t="shared" si="56"/>
        <v>8</v>
      </c>
      <c r="AI280" s="5">
        <f t="shared" si="64"/>
        <v>45874</v>
      </c>
      <c r="AJ280" s="1" t="str">
        <f t="shared" si="57"/>
        <v>Não</v>
      </c>
      <c r="AK280" s="1"/>
      <c r="AL280" s="1">
        <f t="shared" si="58"/>
        <v>5</v>
      </c>
      <c r="AM280" s="4">
        <f t="shared" si="65"/>
        <v>46154</v>
      </c>
      <c r="AN280" s="1" t="str">
        <f t="shared" si="59"/>
        <v>Não</v>
      </c>
      <c r="AR280" s="1">
        <f t="shared" si="60"/>
        <v>12</v>
      </c>
      <c r="AS280" s="4">
        <f t="shared" si="66"/>
        <v>46364</v>
      </c>
      <c r="AT280" s="1" t="str">
        <f t="shared" si="61"/>
        <v>Não</v>
      </c>
      <c r="AV280" s="1">
        <f t="shared" si="62"/>
        <v>1</v>
      </c>
      <c r="AW280" s="4">
        <f t="shared" si="67"/>
        <v>45660</v>
      </c>
      <c r="AX280" s="1" t="str">
        <f t="shared" si="63"/>
        <v>Não</v>
      </c>
    </row>
    <row r="281" spans="34:50" hidden="1" x14ac:dyDescent="0.25">
      <c r="AH281" s="1">
        <f t="shared" si="56"/>
        <v>8</v>
      </c>
      <c r="AI281" s="5">
        <f t="shared" si="64"/>
        <v>45875</v>
      </c>
      <c r="AJ281" s="1" t="str">
        <f t="shared" si="57"/>
        <v>Não</v>
      </c>
      <c r="AK281" s="1"/>
      <c r="AL281" s="1">
        <f t="shared" si="58"/>
        <v>5</v>
      </c>
      <c r="AM281" s="4">
        <f t="shared" si="65"/>
        <v>46155</v>
      </c>
      <c r="AN281" s="1" t="str">
        <f t="shared" si="59"/>
        <v>Não</v>
      </c>
      <c r="AR281" s="1">
        <f t="shared" si="60"/>
        <v>12</v>
      </c>
      <c r="AS281" s="4">
        <f t="shared" si="66"/>
        <v>46365</v>
      </c>
      <c r="AT281" s="1" t="str">
        <f t="shared" si="61"/>
        <v>Não</v>
      </c>
      <c r="AV281" s="1">
        <f t="shared" si="62"/>
        <v>1</v>
      </c>
      <c r="AW281" s="4">
        <f t="shared" si="67"/>
        <v>45661</v>
      </c>
      <c r="AX281" s="1" t="str">
        <f t="shared" si="63"/>
        <v>Não</v>
      </c>
    </row>
    <row r="282" spans="34:50" hidden="1" x14ac:dyDescent="0.25">
      <c r="AH282" s="1">
        <f t="shared" si="56"/>
        <v>8</v>
      </c>
      <c r="AI282" s="5">
        <f t="shared" si="64"/>
        <v>45876</v>
      </c>
      <c r="AJ282" s="1" t="str">
        <f t="shared" si="57"/>
        <v>Não</v>
      </c>
      <c r="AK282" s="1"/>
      <c r="AL282" s="1">
        <f t="shared" si="58"/>
        <v>5</v>
      </c>
      <c r="AM282" s="4">
        <f t="shared" si="65"/>
        <v>46156</v>
      </c>
      <c r="AN282" s="1" t="str">
        <f t="shared" si="59"/>
        <v>Não</v>
      </c>
      <c r="AR282" s="1">
        <f t="shared" si="60"/>
        <v>12</v>
      </c>
      <c r="AS282" s="4">
        <f t="shared" si="66"/>
        <v>46366</v>
      </c>
      <c r="AT282" s="1" t="str">
        <f t="shared" si="61"/>
        <v>Não</v>
      </c>
      <c r="AV282" s="1">
        <f t="shared" si="62"/>
        <v>1</v>
      </c>
      <c r="AW282" s="4">
        <f t="shared" si="67"/>
        <v>45662</v>
      </c>
      <c r="AX282" s="1" t="str">
        <f t="shared" si="63"/>
        <v>Não</v>
      </c>
    </row>
    <row r="283" spans="34:50" hidden="1" x14ac:dyDescent="0.25">
      <c r="AH283" s="1">
        <f t="shared" si="56"/>
        <v>8</v>
      </c>
      <c r="AI283" s="5">
        <f t="shared" si="64"/>
        <v>45877</v>
      </c>
      <c r="AJ283" s="1" t="str">
        <f t="shared" si="57"/>
        <v>Não</v>
      </c>
      <c r="AK283" s="1"/>
      <c r="AL283" s="1">
        <f t="shared" si="58"/>
        <v>5</v>
      </c>
      <c r="AM283" s="4">
        <f t="shared" si="65"/>
        <v>46157</v>
      </c>
      <c r="AN283" s="1" t="str">
        <f t="shared" si="59"/>
        <v>Não</v>
      </c>
      <c r="AR283" s="1">
        <f t="shared" si="60"/>
        <v>12</v>
      </c>
      <c r="AS283" s="4">
        <f t="shared" si="66"/>
        <v>46367</v>
      </c>
      <c r="AT283" s="1" t="str">
        <f t="shared" si="61"/>
        <v>Não</v>
      </c>
      <c r="AV283" s="1">
        <f t="shared" si="62"/>
        <v>1</v>
      </c>
      <c r="AW283" s="4">
        <f t="shared" si="67"/>
        <v>45663</v>
      </c>
      <c r="AX283" s="1" t="str">
        <f t="shared" si="63"/>
        <v>Não</v>
      </c>
    </row>
    <row r="284" spans="34:50" hidden="1" x14ac:dyDescent="0.25">
      <c r="AH284" s="1">
        <f t="shared" si="56"/>
        <v>8</v>
      </c>
      <c r="AI284" s="5">
        <f t="shared" si="64"/>
        <v>45878</v>
      </c>
      <c r="AJ284" s="1" t="str">
        <f t="shared" si="57"/>
        <v>Não</v>
      </c>
      <c r="AK284" s="1"/>
      <c r="AL284" s="1">
        <f t="shared" si="58"/>
        <v>5</v>
      </c>
      <c r="AM284" s="4">
        <f t="shared" si="65"/>
        <v>46158</v>
      </c>
      <c r="AN284" s="1" t="str">
        <f t="shared" si="59"/>
        <v>Não</v>
      </c>
      <c r="AR284" s="1">
        <f t="shared" si="60"/>
        <v>12</v>
      </c>
      <c r="AS284" s="4">
        <f t="shared" si="66"/>
        <v>46368</v>
      </c>
      <c r="AT284" s="1" t="str">
        <f t="shared" si="61"/>
        <v>Não</v>
      </c>
      <c r="AV284" s="1">
        <f t="shared" si="62"/>
        <v>1</v>
      </c>
      <c r="AW284" s="4">
        <f t="shared" si="67"/>
        <v>45664</v>
      </c>
      <c r="AX284" s="1" t="str">
        <f t="shared" si="63"/>
        <v>Não</v>
      </c>
    </row>
    <row r="285" spans="34:50" hidden="1" x14ac:dyDescent="0.25">
      <c r="AH285" s="1">
        <f t="shared" si="56"/>
        <v>8</v>
      </c>
      <c r="AI285" s="5">
        <f t="shared" si="64"/>
        <v>45879</v>
      </c>
      <c r="AJ285" s="1" t="str">
        <f t="shared" si="57"/>
        <v>Não</v>
      </c>
      <c r="AK285" s="1"/>
      <c r="AL285" s="1">
        <f t="shared" si="58"/>
        <v>5</v>
      </c>
      <c r="AM285" s="4">
        <f t="shared" si="65"/>
        <v>46159</v>
      </c>
      <c r="AN285" s="1" t="str">
        <f t="shared" si="59"/>
        <v>Não</v>
      </c>
      <c r="AR285" s="1">
        <f t="shared" si="60"/>
        <v>12</v>
      </c>
      <c r="AS285" s="4">
        <f t="shared" si="66"/>
        <v>46369</v>
      </c>
      <c r="AT285" s="1" t="str">
        <f t="shared" si="61"/>
        <v>Não</v>
      </c>
      <c r="AV285" s="1">
        <f t="shared" si="62"/>
        <v>1</v>
      </c>
      <c r="AW285" s="4">
        <f t="shared" si="67"/>
        <v>45665</v>
      </c>
      <c r="AX285" s="1" t="str">
        <f t="shared" si="63"/>
        <v>Não</v>
      </c>
    </row>
    <row r="286" spans="34:50" hidden="1" x14ac:dyDescent="0.25">
      <c r="AH286" s="1">
        <f t="shared" si="56"/>
        <v>8</v>
      </c>
      <c r="AI286" s="5">
        <f t="shared" si="64"/>
        <v>45880</v>
      </c>
      <c r="AJ286" s="1" t="str">
        <f t="shared" si="57"/>
        <v>Não</v>
      </c>
      <c r="AK286" s="1"/>
      <c r="AL286" s="1">
        <f t="shared" si="58"/>
        <v>5</v>
      </c>
      <c r="AM286" s="4">
        <f t="shared" si="65"/>
        <v>46160</v>
      </c>
      <c r="AN286" s="1" t="str">
        <f t="shared" si="59"/>
        <v>Não</v>
      </c>
      <c r="AR286" s="1">
        <f t="shared" si="60"/>
        <v>12</v>
      </c>
      <c r="AS286" s="4">
        <f t="shared" si="66"/>
        <v>46370</v>
      </c>
      <c r="AT286" s="1" t="str">
        <f t="shared" si="61"/>
        <v>Não</v>
      </c>
      <c r="AV286" s="1">
        <f t="shared" si="62"/>
        <v>1</v>
      </c>
      <c r="AW286" s="4">
        <f t="shared" si="67"/>
        <v>45666</v>
      </c>
      <c r="AX286" s="1" t="str">
        <f t="shared" si="63"/>
        <v>Não</v>
      </c>
    </row>
    <row r="287" spans="34:50" hidden="1" x14ac:dyDescent="0.25">
      <c r="AH287" s="1">
        <f t="shared" si="56"/>
        <v>8</v>
      </c>
      <c r="AI287" s="5">
        <f t="shared" si="64"/>
        <v>45881</v>
      </c>
      <c r="AJ287" s="1" t="str">
        <f t="shared" si="57"/>
        <v>Não</v>
      </c>
      <c r="AK287" s="1"/>
      <c r="AL287" s="1">
        <f t="shared" si="58"/>
        <v>5</v>
      </c>
      <c r="AM287" s="4">
        <f t="shared" si="65"/>
        <v>46161</v>
      </c>
      <c r="AN287" s="1" t="str">
        <f t="shared" si="59"/>
        <v>Não</v>
      </c>
      <c r="AR287" s="1">
        <f t="shared" si="60"/>
        <v>12</v>
      </c>
      <c r="AS287" s="4">
        <f t="shared" si="66"/>
        <v>46371</v>
      </c>
      <c r="AT287" s="1" t="str">
        <f t="shared" si="61"/>
        <v>Não</v>
      </c>
      <c r="AV287" s="1">
        <f t="shared" si="62"/>
        <v>1</v>
      </c>
      <c r="AW287" s="4">
        <f t="shared" si="67"/>
        <v>45667</v>
      </c>
      <c r="AX287" s="1" t="str">
        <f t="shared" si="63"/>
        <v>Não</v>
      </c>
    </row>
    <row r="288" spans="34:50" hidden="1" x14ac:dyDescent="0.25">
      <c r="AH288" s="1">
        <f t="shared" si="56"/>
        <v>8</v>
      </c>
      <c r="AI288" s="5">
        <f t="shared" si="64"/>
        <v>45882</v>
      </c>
      <c r="AJ288" s="1" t="str">
        <f t="shared" si="57"/>
        <v>Não</v>
      </c>
      <c r="AK288" s="1"/>
      <c r="AL288" s="1">
        <f t="shared" si="58"/>
        <v>5</v>
      </c>
      <c r="AM288" s="4">
        <f t="shared" si="65"/>
        <v>46162</v>
      </c>
      <c r="AN288" s="1" t="str">
        <f t="shared" si="59"/>
        <v>Não</v>
      </c>
      <c r="AR288" s="1">
        <f t="shared" si="60"/>
        <v>12</v>
      </c>
      <c r="AS288" s="4">
        <f t="shared" si="66"/>
        <v>46372</v>
      </c>
      <c r="AT288" s="1" t="str">
        <f t="shared" si="61"/>
        <v>Não</v>
      </c>
      <c r="AV288" s="1">
        <f t="shared" si="62"/>
        <v>1</v>
      </c>
      <c r="AW288" s="4">
        <f t="shared" si="67"/>
        <v>45668</v>
      </c>
      <c r="AX288" s="1" t="str">
        <f t="shared" si="63"/>
        <v>Não</v>
      </c>
    </row>
    <row r="289" spans="34:50" hidden="1" x14ac:dyDescent="0.25">
      <c r="AH289" s="1">
        <f t="shared" si="56"/>
        <v>8</v>
      </c>
      <c r="AI289" s="5">
        <f t="shared" si="64"/>
        <v>45883</v>
      </c>
      <c r="AJ289" s="1" t="str">
        <f t="shared" si="57"/>
        <v>Não</v>
      </c>
      <c r="AK289" s="1"/>
      <c r="AL289" s="1">
        <f t="shared" si="58"/>
        <v>5</v>
      </c>
      <c r="AM289" s="4">
        <f t="shared" si="65"/>
        <v>46163</v>
      </c>
      <c r="AN289" s="1" t="str">
        <f t="shared" si="59"/>
        <v>Não</v>
      </c>
      <c r="AR289" s="1">
        <f t="shared" si="60"/>
        <v>12</v>
      </c>
      <c r="AS289" s="4">
        <f t="shared" si="66"/>
        <v>46373</v>
      </c>
      <c r="AT289" s="1" t="str">
        <f t="shared" si="61"/>
        <v>Não</v>
      </c>
      <c r="AV289" s="1">
        <f t="shared" si="62"/>
        <v>1</v>
      </c>
      <c r="AW289" s="4">
        <f t="shared" si="67"/>
        <v>45669</v>
      </c>
      <c r="AX289" s="1" t="str">
        <f t="shared" si="63"/>
        <v>Não</v>
      </c>
    </row>
    <row r="290" spans="34:50" hidden="1" x14ac:dyDescent="0.25">
      <c r="AH290" s="1">
        <f t="shared" si="56"/>
        <v>8</v>
      </c>
      <c r="AI290" s="5">
        <f t="shared" si="64"/>
        <v>45884</v>
      </c>
      <c r="AJ290" s="1" t="str">
        <f t="shared" si="57"/>
        <v>Não</v>
      </c>
      <c r="AK290" s="1"/>
      <c r="AL290" s="1">
        <f t="shared" si="58"/>
        <v>5</v>
      </c>
      <c r="AM290" s="4">
        <f t="shared" si="65"/>
        <v>46164</v>
      </c>
      <c r="AN290" s="1" t="str">
        <f t="shared" si="59"/>
        <v>Não</v>
      </c>
      <c r="AR290" s="1">
        <f t="shared" si="60"/>
        <v>12</v>
      </c>
      <c r="AS290" s="4">
        <f t="shared" si="66"/>
        <v>46374</v>
      </c>
      <c r="AT290" s="1" t="str">
        <f t="shared" si="61"/>
        <v>Não</v>
      </c>
      <c r="AV290" s="1">
        <f t="shared" si="62"/>
        <v>1</v>
      </c>
      <c r="AW290" s="4">
        <f t="shared" si="67"/>
        <v>45670</v>
      </c>
      <c r="AX290" s="1" t="str">
        <f t="shared" si="63"/>
        <v>Não</v>
      </c>
    </row>
    <row r="291" spans="34:50" hidden="1" x14ac:dyDescent="0.25">
      <c r="AH291" s="1">
        <f t="shared" si="56"/>
        <v>8</v>
      </c>
      <c r="AI291" s="5">
        <f t="shared" si="64"/>
        <v>45885</v>
      </c>
      <c r="AJ291" s="1" t="str">
        <f t="shared" si="57"/>
        <v>Não</v>
      </c>
      <c r="AK291" s="1"/>
      <c r="AL291" s="1">
        <f t="shared" si="58"/>
        <v>5</v>
      </c>
      <c r="AM291" s="4">
        <f t="shared" si="65"/>
        <v>46165</v>
      </c>
      <c r="AN291" s="1" t="str">
        <f t="shared" si="59"/>
        <v>Não</v>
      </c>
      <c r="AR291" s="1">
        <f t="shared" si="60"/>
        <v>12</v>
      </c>
      <c r="AS291" s="4">
        <f t="shared" si="66"/>
        <v>46375</v>
      </c>
      <c r="AT291" s="1" t="str">
        <f t="shared" si="61"/>
        <v>Não</v>
      </c>
      <c r="AV291" s="1">
        <f t="shared" si="62"/>
        <v>1</v>
      </c>
      <c r="AW291" s="4">
        <f t="shared" si="67"/>
        <v>45671</v>
      </c>
      <c r="AX291" s="1" t="str">
        <f t="shared" si="63"/>
        <v>Não</v>
      </c>
    </row>
    <row r="292" spans="34:50" hidden="1" x14ac:dyDescent="0.25">
      <c r="AH292" s="1">
        <f t="shared" si="56"/>
        <v>8</v>
      </c>
      <c r="AI292" s="5">
        <f t="shared" si="64"/>
        <v>45886</v>
      </c>
      <c r="AJ292" s="1" t="str">
        <f t="shared" si="57"/>
        <v>Não</v>
      </c>
      <c r="AK292" s="1"/>
      <c r="AL292" s="1">
        <f t="shared" si="58"/>
        <v>5</v>
      </c>
      <c r="AM292" s="4">
        <f t="shared" si="65"/>
        <v>46166</v>
      </c>
      <c r="AN292" s="1" t="str">
        <f t="shared" si="59"/>
        <v>Não</v>
      </c>
      <c r="AR292" s="1">
        <f t="shared" si="60"/>
        <v>12</v>
      </c>
      <c r="AS292" s="4">
        <f t="shared" si="66"/>
        <v>46376</v>
      </c>
      <c r="AT292" s="1" t="str">
        <f t="shared" si="61"/>
        <v>Não</v>
      </c>
      <c r="AV292" s="1">
        <f t="shared" si="62"/>
        <v>1</v>
      </c>
      <c r="AW292" s="4">
        <f t="shared" si="67"/>
        <v>45672</v>
      </c>
      <c r="AX292" s="1" t="str">
        <f t="shared" si="63"/>
        <v>Não</v>
      </c>
    </row>
    <row r="293" spans="34:50" hidden="1" x14ac:dyDescent="0.25">
      <c r="AH293" s="1">
        <f t="shared" si="56"/>
        <v>8</v>
      </c>
      <c r="AI293" s="5">
        <f t="shared" si="64"/>
        <v>45887</v>
      </c>
      <c r="AJ293" s="1" t="str">
        <f t="shared" si="57"/>
        <v>Não</v>
      </c>
      <c r="AK293" s="1"/>
      <c r="AL293" s="1">
        <f t="shared" si="58"/>
        <v>5</v>
      </c>
      <c r="AM293" s="4">
        <f t="shared" si="65"/>
        <v>46167</v>
      </c>
      <c r="AN293" s="1" t="str">
        <f t="shared" si="59"/>
        <v>Não</v>
      </c>
      <c r="AR293" s="1">
        <f t="shared" si="60"/>
        <v>12</v>
      </c>
      <c r="AS293" s="4">
        <f t="shared" si="66"/>
        <v>46377</v>
      </c>
      <c r="AT293" s="1" t="str">
        <f t="shared" si="61"/>
        <v>Não</v>
      </c>
      <c r="AV293" s="1">
        <f t="shared" si="62"/>
        <v>1</v>
      </c>
      <c r="AW293" s="4">
        <f t="shared" si="67"/>
        <v>45673</v>
      </c>
      <c r="AX293" s="1" t="str">
        <f t="shared" si="63"/>
        <v>Não</v>
      </c>
    </row>
    <row r="294" spans="34:50" hidden="1" x14ac:dyDescent="0.25">
      <c r="AH294" s="1">
        <f t="shared" si="56"/>
        <v>8</v>
      </c>
      <c r="AI294" s="5">
        <f t="shared" si="64"/>
        <v>45888</v>
      </c>
      <c r="AJ294" s="1" t="str">
        <f t="shared" si="57"/>
        <v>Não</v>
      </c>
      <c r="AK294" s="1"/>
      <c r="AL294" s="1">
        <f t="shared" si="58"/>
        <v>5</v>
      </c>
      <c r="AM294" s="4">
        <f t="shared" si="65"/>
        <v>46168</v>
      </c>
      <c r="AN294" s="1" t="str">
        <f t="shared" si="59"/>
        <v>Não</v>
      </c>
      <c r="AR294" s="1">
        <f t="shared" si="60"/>
        <v>12</v>
      </c>
      <c r="AS294" s="4">
        <f t="shared" si="66"/>
        <v>46378</v>
      </c>
      <c r="AT294" s="1" t="str">
        <f t="shared" si="61"/>
        <v>Não</v>
      </c>
      <c r="AV294" s="1">
        <f t="shared" si="62"/>
        <v>1</v>
      </c>
      <c r="AW294" s="4">
        <f t="shared" si="67"/>
        <v>45674</v>
      </c>
      <c r="AX294" s="1" t="str">
        <f t="shared" si="63"/>
        <v>Não</v>
      </c>
    </row>
    <row r="295" spans="34:50" hidden="1" x14ac:dyDescent="0.25">
      <c r="AH295" s="1">
        <f t="shared" si="56"/>
        <v>8</v>
      </c>
      <c r="AI295" s="5">
        <f t="shared" si="64"/>
        <v>45889</v>
      </c>
      <c r="AJ295" s="1" t="str">
        <f t="shared" si="57"/>
        <v>Não</v>
      </c>
      <c r="AK295" s="1"/>
      <c r="AL295" s="1">
        <f t="shared" si="58"/>
        <v>5</v>
      </c>
      <c r="AM295" s="4">
        <f t="shared" si="65"/>
        <v>46169</v>
      </c>
      <c r="AN295" s="1" t="str">
        <f t="shared" si="59"/>
        <v>Não</v>
      </c>
      <c r="AR295" s="1">
        <f t="shared" si="60"/>
        <v>12</v>
      </c>
      <c r="AS295" s="4">
        <f t="shared" si="66"/>
        <v>46379</v>
      </c>
      <c r="AT295" s="1" t="str">
        <f t="shared" si="61"/>
        <v>Não</v>
      </c>
      <c r="AV295" s="1">
        <f t="shared" si="62"/>
        <v>1</v>
      </c>
      <c r="AW295" s="4">
        <f t="shared" si="67"/>
        <v>45675</v>
      </c>
      <c r="AX295" s="1" t="str">
        <f t="shared" si="63"/>
        <v>Não</v>
      </c>
    </row>
    <row r="296" spans="34:50" hidden="1" x14ac:dyDescent="0.25">
      <c r="AH296" s="1">
        <f t="shared" si="56"/>
        <v>8</v>
      </c>
      <c r="AI296" s="5">
        <f t="shared" si="64"/>
        <v>45890</v>
      </c>
      <c r="AJ296" s="1" t="str">
        <f t="shared" si="57"/>
        <v>Não</v>
      </c>
      <c r="AK296" s="1"/>
      <c r="AL296" s="1">
        <f t="shared" si="58"/>
        <v>5</v>
      </c>
      <c r="AM296" s="4">
        <f t="shared" si="65"/>
        <v>46170</v>
      </c>
      <c r="AN296" s="1" t="str">
        <f t="shared" si="59"/>
        <v>Não</v>
      </c>
      <c r="AR296" s="1">
        <f t="shared" si="60"/>
        <v>12</v>
      </c>
      <c r="AS296" s="4">
        <f t="shared" si="66"/>
        <v>46380</v>
      </c>
      <c r="AT296" s="1" t="str">
        <f t="shared" si="61"/>
        <v>Não</v>
      </c>
      <c r="AV296" s="1">
        <f t="shared" si="62"/>
        <v>1</v>
      </c>
      <c r="AW296" s="4">
        <f t="shared" si="67"/>
        <v>45676</v>
      </c>
      <c r="AX296" s="1" t="str">
        <f t="shared" si="63"/>
        <v>Não</v>
      </c>
    </row>
    <row r="297" spans="34:50" hidden="1" x14ac:dyDescent="0.25">
      <c r="AH297" s="1">
        <f t="shared" si="56"/>
        <v>8</v>
      </c>
      <c r="AI297" s="5">
        <f t="shared" si="64"/>
        <v>45891</v>
      </c>
      <c r="AJ297" s="1" t="str">
        <f t="shared" si="57"/>
        <v>Não</v>
      </c>
      <c r="AK297" s="1"/>
      <c r="AL297" s="1">
        <f t="shared" si="58"/>
        <v>5</v>
      </c>
      <c r="AM297" s="4">
        <f t="shared" si="65"/>
        <v>46171</v>
      </c>
      <c r="AN297" s="1" t="str">
        <f t="shared" si="59"/>
        <v>Não</v>
      </c>
      <c r="AR297" s="1">
        <f t="shared" si="60"/>
        <v>12</v>
      </c>
      <c r="AS297" s="4">
        <f t="shared" si="66"/>
        <v>46381</v>
      </c>
      <c r="AT297" s="1" t="str">
        <f t="shared" si="61"/>
        <v>Não</v>
      </c>
      <c r="AV297" s="1">
        <f t="shared" si="62"/>
        <v>1</v>
      </c>
      <c r="AW297" s="4">
        <f t="shared" si="67"/>
        <v>45677</v>
      </c>
      <c r="AX297" s="1" t="str">
        <f t="shared" si="63"/>
        <v>Não</v>
      </c>
    </row>
    <row r="298" spans="34:50" hidden="1" x14ac:dyDescent="0.25">
      <c r="AH298" s="1">
        <f t="shared" si="56"/>
        <v>8</v>
      </c>
      <c r="AI298" s="5">
        <f t="shared" si="64"/>
        <v>45892</v>
      </c>
      <c r="AJ298" s="1" t="str">
        <f t="shared" si="57"/>
        <v>Não</v>
      </c>
      <c r="AK298" s="1"/>
      <c r="AL298" s="1">
        <f t="shared" si="58"/>
        <v>5</v>
      </c>
      <c r="AM298" s="4">
        <f t="shared" si="65"/>
        <v>46172</v>
      </c>
      <c r="AN298" s="1" t="str">
        <f t="shared" si="59"/>
        <v>Não</v>
      </c>
      <c r="AR298" s="1">
        <f t="shared" si="60"/>
        <v>12</v>
      </c>
      <c r="AS298" s="4">
        <f t="shared" si="66"/>
        <v>46382</v>
      </c>
      <c r="AT298" s="1" t="str">
        <f t="shared" si="61"/>
        <v>Não</v>
      </c>
      <c r="AV298" s="1">
        <f t="shared" si="62"/>
        <v>1</v>
      </c>
      <c r="AW298" s="4">
        <f t="shared" si="67"/>
        <v>45678</v>
      </c>
      <c r="AX298" s="1" t="str">
        <f t="shared" si="63"/>
        <v>Não</v>
      </c>
    </row>
    <row r="299" spans="34:50" hidden="1" x14ac:dyDescent="0.25">
      <c r="AH299" s="1">
        <f t="shared" si="56"/>
        <v>8</v>
      </c>
      <c r="AI299" s="5">
        <f t="shared" si="64"/>
        <v>45893</v>
      </c>
      <c r="AJ299" s="1" t="str">
        <f t="shared" si="57"/>
        <v>Não</v>
      </c>
      <c r="AK299" s="1"/>
      <c r="AL299" s="1">
        <f t="shared" si="58"/>
        <v>5</v>
      </c>
      <c r="AM299" s="4">
        <f t="shared" si="65"/>
        <v>46173</v>
      </c>
      <c r="AN299" s="1" t="str">
        <f t="shared" si="59"/>
        <v>Não</v>
      </c>
      <c r="AR299" s="1">
        <f t="shared" si="60"/>
        <v>12</v>
      </c>
      <c r="AS299" s="4">
        <f t="shared" si="66"/>
        <v>46383</v>
      </c>
      <c r="AT299" s="1" t="str">
        <f t="shared" si="61"/>
        <v>Não</v>
      </c>
      <c r="AV299" s="1">
        <f t="shared" si="62"/>
        <v>1</v>
      </c>
      <c r="AW299" s="4">
        <f t="shared" si="67"/>
        <v>45679</v>
      </c>
      <c r="AX299" s="1" t="str">
        <f t="shared" si="63"/>
        <v>Não</v>
      </c>
    </row>
    <row r="300" spans="34:50" hidden="1" x14ac:dyDescent="0.25">
      <c r="AH300" s="1">
        <f t="shared" si="56"/>
        <v>8</v>
      </c>
      <c r="AI300" s="5">
        <f t="shared" si="64"/>
        <v>45894</v>
      </c>
      <c r="AJ300" s="1" t="str">
        <f t="shared" si="57"/>
        <v>Não</v>
      </c>
      <c r="AK300" s="1"/>
      <c r="AL300" s="1">
        <f t="shared" si="58"/>
        <v>6</v>
      </c>
      <c r="AM300" s="4">
        <f t="shared" si="65"/>
        <v>46174</v>
      </c>
      <c r="AN300" s="1" t="str">
        <f t="shared" si="59"/>
        <v>Não</v>
      </c>
      <c r="AR300" s="1">
        <f t="shared" si="60"/>
        <v>12</v>
      </c>
      <c r="AS300" s="4">
        <f t="shared" si="66"/>
        <v>46384</v>
      </c>
      <c r="AT300" s="1" t="str">
        <f t="shared" si="61"/>
        <v>Não</v>
      </c>
      <c r="AV300" s="1">
        <f t="shared" si="62"/>
        <v>1</v>
      </c>
      <c r="AW300" s="4">
        <f t="shared" si="67"/>
        <v>45680</v>
      </c>
      <c r="AX300" s="1" t="str">
        <f t="shared" si="63"/>
        <v>Não</v>
      </c>
    </row>
    <row r="301" spans="34:50" hidden="1" x14ac:dyDescent="0.25">
      <c r="AH301" s="1">
        <f t="shared" si="56"/>
        <v>8</v>
      </c>
      <c r="AI301" s="5">
        <f t="shared" si="64"/>
        <v>45895</v>
      </c>
      <c r="AJ301" s="1" t="str">
        <f t="shared" si="57"/>
        <v>Não</v>
      </c>
      <c r="AK301" s="1"/>
      <c r="AL301" s="1">
        <f t="shared" si="58"/>
        <v>6</v>
      </c>
      <c r="AM301" s="4">
        <f t="shared" si="65"/>
        <v>46175</v>
      </c>
      <c r="AN301" s="1" t="str">
        <f t="shared" si="59"/>
        <v>Não</v>
      </c>
      <c r="AR301" s="1">
        <f t="shared" si="60"/>
        <v>12</v>
      </c>
      <c r="AS301" s="4">
        <f t="shared" si="66"/>
        <v>46385</v>
      </c>
      <c r="AT301" s="1" t="str">
        <f t="shared" si="61"/>
        <v>Não</v>
      </c>
      <c r="AV301" s="1">
        <f t="shared" si="62"/>
        <v>1</v>
      </c>
      <c r="AW301" s="4">
        <f t="shared" si="67"/>
        <v>45681</v>
      </c>
      <c r="AX301" s="1" t="str">
        <f t="shared" si="63"/>
        <v>Não</v>
      </c>
    </row>
    <row r="302" spans="34:50" hidden="1" x14ac:dyDescent="0.25">
      <c r="AH302" s="1">
        <f t="shared" si="56"/>
        <v>8</v>
      </c>
      <c r="AI302" s="5">
        <f t="shared" si="64"/>
        <v>45896</v>
      </c>
      <c r="AJ302" s="1" t="str">
        <f t="shared" si="57"/>
        <v>Não</v>
      </c>
      <c r="AK302" s="1"/>
      <c r="AL302" s="1">
        <f t="shared" si="58"/>
        <v>6</v>
      </c>
      <c r="AM302" s="4">
        <f t="shared" si="65"/>
        <v>46176</v>
      </c>
      <c r="AN302" s="1" t="str">
        <f t="shared" si="59"/>
        <v>Não</v>
      </c>
      <c r="AR302" s="1">
        <f t="shared" si="60"/>
        <v>12</v>
      </c>
      <c r="AS302" s="4">
        <f t="shared" si="66"/>
        <v>46386</v>
      </c>
      <c r="AT302" s="1" t="str">
        <f t="shared" si="61"/>
        <v>Não</v>
      </c>
      <c r="AV302" s="1">
        <f t="shared" si="62"/>
        <v>1</v>
      </c>
      <c r="AW302" s="4">
        <f t="shared" si="67"/>
        <v>45682</v>
      </c>
      <c r="AX302" s="1" t="str">
        <f t="shared" si="63"/>
        <v>Não</v>
      </c>
    </row>
    <row r="303" spans="34:50" hidden="1" x14ac:dyDescent="0.25">
      <c r="AH303" s="1">
        <f t="shared" si="56"/>
        <v>8</v>
      </c>
      <c r="AI303" s="5">
        <f t="shared" si="64"/>
        <v>45897</v>
      </c>
      <c r="AJ303" s="1" t="str">
        <f t="shared" si="57"/>
        <v>Não</v>
      </c>
      <c r="AK303" s="1"/>
      <c r="AL303" s="1">
        <f t="shared" si="58"/>
        <v>6</v>
      </c>
      <c r="AM303" s="4">
        <f t="shared" si="65"/>
        <v>46177</v>
      </c>
      <c r="AN303" s="1" t="str">
        <f t="shared" si="59"/>
        <v>Não</v>
      </c>
      <c r="AR303" s="1">
        <f t="shared" si="60"/>
        <v>12</v>
      </c>
      <c r="AS303" s="4">
        <f t="shared" si="66"/>
        <v>46387</v>
      </c>
      <c r="AT303" s="1" t="str">
        <f t="shared" si="61"/>
        <v>Não</v>
      </c>
      <c r="AV303" s="1">
        <f t="shared" si="62"/>
        <v>1</v>
      </c>
      <c r="AW303" s="4">
        <f t="shared" si="67"/>
        <v>45683</v>
      </c>
      <c r="AX303" s="1" t="str">
        <f t="shared" si="63"/>
        <v>Não</v>
      </c>
    </row>
    <row r="304" spans="34:50" hidden="1" x14ac:dyDescent="0.25">
      <c r="AH304" s="1">
        <f t="shared" si="56"/>
        <v>8</v>
      </c>
      <c r="AI304" s="5">
        <f t="shared" si="64"/>
        <v>45898</v>
      </c>
      <c r="AJ304" s="1" t="str">
        <f t="shared" si="57"/>
        <v>Não</v>
      </c>
      <c r="AK304" s="1"/>
      <c r="AL304" s="1">
        <f t="shared" si="58"/>
        <v>6</v>
      </c>
      <c r="AM304" s="4">
        <f t="shared" si="65"/>
        <v>46178</v>
      </c>
      <c r="AN304" s="1" t="str">
        <f t="shared" si="59"/>
        <v>Não</v>
      </c>
      <c r="AR304" s="1">
        <f t="shared" si="60"/>
        <v>1</v>
      </c>
      <c r="AS304" s="4">
        <f t="shared" si="66"/>
        <v>46388</v>
      </c>
      <c r="AT304" s="1" t="str">
        <f t="shared" si="61"/>
        <v>Não</v>
      </c>
      <c r="AV304" s="1">
        <f t="shared" si="62"/>
        <v>1</v>
      </c>
      <c r="AW304" s="4">
        <f t="shared" si="67"/>
        <v>45684</v>
      </c>
      <c r="AX304" s="1" t="str">
        <f t="shared" si="63"/>
        <v>Não</v>
      </c>
    </row>
    <row r="305" spans="34:50" hidden="1" x14ac:dyDescent="0.25">
      <c r="AH305" s="1">
        <f t="shared" si="56"/>
        <v>8</v>
      </c>
      <c r="AI305" s="5">
        <f t="shared" si="64"/>
        <v>45899</v>
      </c>
      <c r="AJ305" s="1" t="str">
        <f t="shared" si="57"/>
        <v>Não</v>
      </c>
      <c r="AK305" s="1"/>
      <c r="AL305" s="1">
        <f t="shared" si="58"/>
        <v>6</v>
      </c>
      <c r="AM305" s="4">
        <f t="shared" si="65"/>
        <v>46179</v>
      </c>
      <c r="AN305" s="1" t="str">
        <f t="shared" si="59"/>
        <v>Não</v>
      </c>
      <c r="AR305" s="1">
        <f t="shared" si="60"/>
        <v>1</v>
      </c>
      <c r="AS305" s="4">
        <f t="shared" si="66"/>
        <v>46389</v>
      </c>
      <c r="AT305" s="1" t="str">
        <f t="shared" si="61"/>
        <v>Não</v>
      </c>
      <c r="AV305" s="1">
        <f t="shared" si="62"/>
        <v>1</v>
      </c>
      <c r="AW305" s="4">
        <f t="shared" si="67"/>
        <v>45685</v>
      </c>
      <c r="AX305" s="1" t="str">
        <f t="shared" si="63"/>
        <v>Não</v>
      </c>
    </row>
    <row r="306" spans="34:50" hidden="1" x14ac:dyDescent="0.25">
      <c r="AH306" s="1">
        <f t="shared" si="56"/>
        <v>8</v>
      </c>
      <c r="AI306" s="5">
        <f t="shared" si="64"/>
        <v>45900</v>
      </c>
      <c r="AJ306" s="1" t="str">
        <f t="shared" si="57"/>
        <v>Não</v>
      </c>
      <c r="AK306" s="1"/>
      <c r="AL306" s="1">
        <f t="shared" si="58"/>
        <v>6</v>
      </c>
      <c r="AM306" s="4">
        <f t="shared" si="65"/>
        <v>46180</v>
      </c>
      <c r="AN306" s="1" t="str">
        <f t="shared" si="59"/>
        <v>Não</v>
      </c>
      <c r="AR306" s="1">
        <f t="shared" si="60"/>
        <v>1</v>
      </c>
      <c r="AS306" s="4">
        <f t="shared" si="66"/>
        <v>46390</v>
      </c>
      <c r="AT306" s="1" t="str">
        <f t="shared" si="61"/>
        <v>Não</v>
      </c>
      <c r="AV306" s="1">
        <f t="shared" si="62"/>
        <v>1</v>
      </c>
      <c r="AW306" s="4">
        <f t="shared" si="67"/>
        <v>45686</v>
      </c>
      <c r="AX306" s="1" t="str">
        <f t="shared" si="63"/>
        <v>Não</v>
      </c>
    </row>
    <row r="307" spans="34:50" hidden="1" x14ac:dyDescent="0.25">
      <c r="AH307" s="1">
        <f t="shared" si="56"/>
        <v>9</v>
      </c>
      <c r="AI307" s="5">
        <f t="shared" si="64"/>
        <v>45901</v>
      </c>
      <c r="AJ307" s="1" t="str">
        <f t="shared" si="57"/>
        <v>Não</v>
      </c>
      <c r="AK307" s="1"/>
      <c r="AL307" s="1">
        <f t="shared" si="58"/>
        <v>6</v>
      </c>
      <c r="AM307" s="4">
        <f t="shared" si="65"/>
        <v>46181</v>
      </c>
      <c r="AN307" s="1" t="str">
        <f t="shared" si="59"/>
        <v>Não</v>
      </c>
      <c r="AR307" s="1">
        <f t="shared" si="60"/>
        <v>1</v>
      </c>
      <c r="AS307" s="4">
        <f t="shared" si="66"/>
        <v>46391</v>
      </c>
      <c r="AT307" s="1" t="str">
        <f t="shared" si="61"/>
        <v>Não</v>
      </c>
      <c r="AV307" s="1">
        <f t="shared" si="62"/>
        <v>1</v>
      </c>
      <c r="AW307" s="4">
        <f t="shared" si="67"/>
        <v>45687</v>
      </c>
      <c r="AX307" s="1" t="str">
        <f t="shared" si="63"/>
        <v>Não</v>
      </c>
    </row>
    <row r="308" spans="34:50" hidden="1" x14ac:dyDescent="0.25">
      <c r="AH308" s="1">
        <f t="shared" si="56"/>
        <v>9</v>
      </c>
      <c r="AI308" s="5">
        <f t="shared" si="64"/>
        <v>45902</v>
      </c>
      <c r="AJ308" s="1" t="str">
        <f t="shared" si="57"/>
        <v>Não</v>
      </c>
      <c r="AK308" s="1"/>
      <c r="AL308" s="1">
        <f t="shared" si="58"/>
        <v>6</v>
      </c>
      <c r="AM308" s="4">
        <f t="shared" si="65"/>
        <v>46182</v>
      </c>
      <c r="AN308" s="1" t="str">
        <f t="shared" si="59"/>
        <v>Não</v>
      </c>
      <c r="AR308" s="1">
        <f t="shared" si="60"/>
        <v>1</v>
      </c>
      <c r="AS308" s="4">
        <f t="shared" si="66"/>
        <v>46392</v>
      </c>
      <c r="AT308" s="1" t="str">
        <f t="shared" si="61"/>
        <v>Não</v>
      </c>
      <c r="AV308" s="1">
        <f t="shared" si="62"/>
        <v>1</v>
      </c>
      <c r="AW308" s="4">
        <f t="shared" si="67"/>
        <v>45688</v>
      </c>
      <c r="AX308" s="1" t="str">
        <f t="shared" si="63"/>
        <v>Não</v>
      </c>
    </row>
    <row r="309" spans="34:50" hidden="1" x14ac:dyDescent="0.25">
      <c r="AH309" s="1">
        <f t="shared" si="56"/>
        <v>9</v>
      </c>
      <c r="AI309" s="5">
        <f t="shared" si="64"/>
        <v>45903</v>
      </c>
      <c r="AJ309" s="1" t="str">
        <f t="shared" si="57"/>
        <v>Não</v>
      </c>
      <c r="AK309" s="1"/>
      <c r="AL309" s="1">
        <f t="shared" si="58"/>
        <v>6</v>
      </c>
      <c r="AM309" s="4">
        <f t="shared" si="65"/>
        <v>46183</v>
      </c>
      <c r="AN309" s="1" t="str">
        <f t="shared" si="59"/>
        <v>Não</v>
      </c>
      <c r="AR309" s="1">
        <f t="shared" si="60"/>
        <v>1</v>
      </c>
      <c r="AS309" s="4">
        <f t="shared" si="66"/>
        <v>46393</v>
      </c>
      <c r="AT309" s="1" t="str">
        <f t="shared" si="61"/>
        <v>Não</v>
      </c>
      <c r="AV309" s="1">
        <f t="shared" si="62"/>
        <v>2</v>
      </c>
      <c r="AW309" s="4">
        <f t="shared" si="67"/>
        <v>45689</v>
      </c>
      <c r="AX309" s="1" t="str">
        <f t="shared" si="63"/>
        <v>Não</v>
      </c>
    </row>
    <row r="310" spans="34:50" hidden="1" x14ac:dyDescent="0.25">
      <c r="AH310" s="1">
        <f t="shared" si="56"/>
        <v>9</v>
      </c>
      <c r="AI310" s="5">
        <f t="shared" si="64"/>
        <v>45904</v>
      </c>
      <c r="AJ310" s="1" t="str">
        <f t="shared" si="57"/>
        <v>Não</v>
      </c>
      <c r="AK310" s="1"/>
      <c r="AL310" s="1">
        <f t="shared" si="58"/>
        <v>6</v>
      </c>
      <c r="AM310" s="4">
        <f t="shared" si="65"/>
        <v>46184</v>
      </c>
      <c r="AN310" s="1" t="str">
        <f t="shared" si="59"/>
        <v>Não</v>
      </c>
      <c r="AR310" s="1">
        <f t="shared" si="60"/>
        <v>1</v>
      </c>
      <c r="AS310" s="4">
        <f t="shared" si="66"/>
        <v>46394</v>
      </c>
      <c r="AT310" s="1" t="str">
        <f t="shared" si="61"/>
        <v>Não</v>
      </c>
      <c r="AV310" s="1">
        <f t="shared" si="62"/>
        <v>2</v>
      </c>
      <c r="AW310" s="4">
        <f t="shared" si="67"/>
        <v>45690</v>
      </c>
      <c r="AX310" s="1" t="str">
        <f t="shared" si="63"/>
        <v>Não</v>
      </c>
    </row>
    <row r="311" spans="34:50" hidden="1" x14ac:dyDescent="0.25">
      <c r="AH311" s="1">
        <f t="shared" si="56"/>
        <v>9</v>
      </c>
      <c r="AI311" s="5">
        <f t="shared" si="64"/>
        <v>45905</v>
      </c>
      <c r="AJ311" s="1" t="str">
        <f t="shared" si="57"/>
        <v>Não</v>
      </c>
      <c r="AK311" s="1"/>
      <c r="AL311" s="1">
        <f t="shared" si="58"/>
        <v>6</v>
      </c>
      <c r="AM311" s="4">
        <f t="shared" si="65"/>
        <v>46185</v>
      </c>
      <c r="AN311" s="1" t="str">
        <f t="shared" si="59"/>
        <v>Não</v>
      </c>
      <c r="AR311" s="1">
        <f t="shared" si="60"/>
        <v>1</v>
      </c>
      <c r="AS311" s="4">
        <f t="shared" si="66"/>
        <v>46395</v>
      </c>
      <c r="AT311" s="1" t="str">
        <f t="shared" si="61"/>
        <v>Não</v>
      </c>
      <c r="AV311" s="1">
        <f t="shared" si="62"/>
        <v>2</v>
      </c>
      <c r="AW311" s="4">
        <f t="shared" si="67"/>
        <v>45691</v>
      </c>
      <c r="AX311" s="1" t="str">
        <f t="shared" si="63"/>
        <v>Não</v>
      </c>
    </row>
    <row r="312" spans="34:50" hidden="1" x14ac:dyDescent="0.25">
      <c r="AH312" s="1">
        <f t="shared" si="56"/>
        <v>9</v>
      </c>
      <c r="AI312" s="5">
        <f t="shared" si="64"/>
        <v>45906</v>
      </c>
      <c r="AJ312" s="1" t="str">
        <f t="shared" si="57"/>
        <v>Não</v>
      </c>
      <c r="AK312" s="1"/>
      <c r="AL312" s="1">
        <f t="shared" si="58"/>
        <v>6</v>
      </c>
      <c r="AM312" s="4">
        <f t="shared" si="65"/>
        <v>46186</v>
      </c>
      <c r="AN312" s="1" t="str">
        <f t="shared" si="59"/>
        <v>Não</v>
      </c>
      <c r="AR312" s="1">
        <f t="shared" si="60"/>
        <v>1</v>
      </c>
      <c r="AS312" s="4">
        <f t="shared" si="66"/>
        <v>46396</v>
      </c>
      <c r="AT312" s="1" t="str">
        <f t="shared" si="61"/>
        <v>Não</v>
      </c>
      <c r="AV312" s="1">
        <f t="shared" si="62"/>
        <v>2</v>
      </c>
      <c r="AW312" s="4">
        <f t="shared" si="67"/>
        <v>45692</v>
      </c>
      <c r="AX312" s="1" t="str">
        <f t="shared" si="63"/>
        <v>Não</v>
      </c>
    </row>
    <row r="313" spans="34:50" hidden="1" x14ac:dyDescent="0.25">
      <c r="AH313" s="1">
        <f t="shared" si="56"/>
        <v>9</v>
      </c>
      <c r="AI313" s="5">
        <f t="shared" si="64"/>
        <v>45907</v>
      </c>
      <c r="AJ313" s="1" t="str">
        <f t="shared" si="57"/>
        <v>Não</v>
      </c>
      <c r="AK313" s="1"/>
      <c r="AL313" s="1">
        <f t="shared" si="58"/>
        <v>6</v>
      </c>
      <c r="AM313" s="4">
        <f t="shared" si="65"/>
        <v>46187</v>
      </c>
      <c r="AN313" s="1" t="str">
        <f t="shared" si="59"/>
        <v>Não</v>
      </c>
      <c r="AR313" s="1">
        <f t="shared" si="60"/>
        <v>1</v>
      </c>
      <c r="AS313" s="4">
        <f t="shared" si="66"/>
        <v>46397</v>
      </c>
      <c r="AT313" s="1" t="str">
        <f t="shared" si="61"/>
        <v>Não</v>
      </c>
      <c r="AV313" s="1">
        <f t="shared" si="62"/>
        <v>2</v>
      </c>
      <c r="AW313" s="4">
        <f t="shared" si="67"/>
        <v>45693</v>
      </c>
      <c r="AX313" s="1" t="str">
        <f t="shared" si="63"/>
        <v>Não</v>
      </c>
    </row>
    <row r="314" spans="34:50" hidden="1" x14ac:dyDescent="0.25">
      <c r="AH314" s="1">
        <f t="shared" si="56"/>
        <v>9</v>
      </c>
      <c r="AI314" s="5">
        <f t="shared" si="64"/>
        <v>45908</v>
      </c>
      <c r="AJ314" s="1" t="str">
        <f t="shared" si="57"/>
        <v>Não</v>
      </c>
      <c r="AK314" s="1"/>
      <c r="AL314" s="1">
        <f t="shared" si="58"/>
        <v>6</v>
      </c>
      <c r="AM314" s="4">
        <f t="shared" si="65"/>
        <v>46188</v>
      </c>
      <c r="AN314" s="1" t="str">
        <f t="shared" si="59"/>
        <v>Não</v>
      </c>
      <c r="AR314" s="1">
        <f t="shared" si="60"/>
        <v>1</v>
      </c>
      <c r="AS314" s="4">
        <f t="shared" si="66"/>
        <v>46398</v>
      </c>
      <c r="AT314" s="1" t="str">
        <f t="shared" si="61"/>
        <v>Não</v>
      </c>
      <c r="AV314" s="1">
        <f t="shared" si="62"/>
        <v>2</v>
      </c>
      <c r="AW314" s="4">
        <f t="shared" si="67"/>
        <v>45694</v>
      </c>
      <c r="AX314" s="1" t="str">
        <f t="shared" si="63"/>
        <v>Não</v>
      </c>
    </row>
    <row r="315" spans="34:50" hidden="1" x14ac:dyDescent="0.25">
      <c r="AH315" s="1">
        <f t="shared" si="56"/>
        <v>9</v>
      </c>
      <c r="AI315" s="5">
        <f t="shared" si="64"/>
        <v>45909</v>
      </c>
      <c r="AJ315" s="1" t="str">
        <f t="shared" si="57"/>
        <v>Não</v>
      </c>
      <c r="AK315" s="1"/>
      <c r="AL315" s="1">
        <f t="shared" si="58"/>
        <v>6</v>
      </c>
      <c r="AM315" s="4">
        <f t="shared" si="65"/>
        <v>46189</v>
      </c>
      <c r="AN315" s="1" t="str">
        <f t="shared" si="59"/>
        <v>Não</v>
      </c>
      <c r="AR315" s="1">
        <f t="shared" si="60"/>
        <v>1</v>
      </c>
      <c r="AS315" s="4">
        <f t="shared" si="66"/>
        <v>46399</v>
      </c>
      <c r="AT315" s="1" t="str">
        <f t="shared" si="61"/>
        <v>Não</v>
      </c>
      <c r="AV315" s="1">
        <f t="shared" si="62"/>
        <v>2</v>
      </c>
      <c r="AW315" s="4">
        <f t="shared" si="67"/>
        <v>45695</v>
      </c>
      <c r="AX315" s="1" t="str">
        <f t="shared" si="63"/>
        <v>Não</v>
      </c>
    </row>
    <row r="316" spans="34:50" hidden="1" x14ac:dyDescent="0.25">
      <c r="AH316" s="1">
        <f t="shared" si="56"/>
        <v>9</v>
      </c>
      <c r="AI316" s="5">
        <f t="shared" si="64"/>
        <v>45910</v>
      </c>
      <c r="AJ316" s="1" t="str">
        <f t="shared" si="57"/>
        <v>Não</v>
      </c>
      <c r="AK316" s="1"/>
      <c r="AL316" s="1">
        <f t="shared" si="58"/>
        <v>6</v>
      </c>
      <c r="AM316" s="4">
        <f t="shared" si="65"/>
        <v>46190</v>
      </c>
      <c r="AN316" s="1" t="str">
        <f t="shared" si="59"/>
        <v>Não</v>
      </c>
      <c r="AR316" s="1">
        <f t="shared" si="60"/>
        <v>1</v>
      </c>
      <c r="AS316" s="4">
        <f t="shared" si="66"/>
        <v>46400</v>
      </c>
      <c r="AT316" s="1" t="str">
        <f t="shared" si="61"/>
        <v>Não</v>
      </c>
      <c r="AV316" s="1">
        <f t="shared" si="62"/>
        <v>2</v>
      </c>
      <c r="AW316" s="4">
        <f t="shared" si="67"/>
        <v>45696</v>
      </c>
      <c r="AX316" s="1" t="str">
        <f t="shared" si="63"/>
        <v>Não</v>
      </c>
    </row>
    <row r="317" spans="34:50" hidden="1" x14ac:dyDescent="0.25">
      <c r="AH317" s="1">
        <f t="shared" si="56"/>
        <v>9</v>
      </c>
      <c r="AI317" s="5">
        <f t="shared" si="64"/>
        <v>45911</v>
      </c>
      <c r="AJ317" s="1" t="str">
        <f t="shared" si="57"/>
        <v>Não</v>
      </c>
      <c r="AK317" s="1"/>
      <c r="AL317" s="1">
        <f t="shared" si="58"/>
        <v>6</v>
      </c>
      <c r="AM317" s="4">
        <f t="shared" si="65"/>
        <v>46191</v>
      </c>
      <c r="AN317" s="1" t="str">
        <f t="shared" si="59"/>
        <v>Não</v>
      </c>
      <c r="AR317" s="1">
        <f t="shared" si="60"/>
        <v>1</v>
      </c>
      <c r="AS317" s="4">
        <f t="shared" si="66"/>
        <v>46401</v>
      </c>
      <c r="AT317" s="1" t="str">
        <f t="shared" si="61"/>
        <v>Não</v>
      </c>
      <c r="AV317" s="1">
        <f t="shared" si="62"/>
        <v>2</v>
      </c>
      <c r="AW317" s="4">
        <f t="shared" si="67"/>
        <v>45697</v>
      </c>
      <c r="AX317" s="1" t="str">
        <f t="shared" si="63"/>
        <v>Não</v>
      </c>
    </row>
    <row r="318" spans="34:50" hidden="1" x14ac:dyDescent="0.25">
      <c r="AH318" s="1">
        <f t="shared" si="56"/>
        <v>9</v>
      </c>
      <c r="AI318" s="5">
        <f t="shared" si="64"/>
        <v>45912</v>
      </c>
      <c r="AJ318" s="1" t="str">
        <f t="shared" si="57"/>
        <v>Não</v>
      </c>
      <c r="AK318" s="1"/>
      <c r="AL318" s="1">
        <f t="shared" si="58"/>
        <v>6</v>
      </c>
      <c r="AM318" s="4">
        <f t="shared" si="65"/>
        <v>46192</v>
      </c>
      <c r="AN318" s="1" t="str">
        <f t="shared" si="59"/>
        <v>Não</v>
      </c>
      <c r="AR318" s="1">
        <f t="shared" si="60"/>
        <v>1</v>
      </c>
      <c r="AS318" s="4">
        <f t="shared" si="66"/>
        <v>46402</v>
      </c>
      <c r="AT318" s="1" t="str">
        <f t="shared" si="61"/>
        <v>Não</v>
      </c>
      <c r="AV318" s="1">
        <f t="shared" si="62"/>
        <v>2</v>
      </c>
      <c r="AW318" s="4">
        <f t="shared" si="67"/>
        <v>45698</v>
      </c>
      <c r="AX318" s="1" t="str">
        <f t="shared" si="63"/>
        <v>Não</v>
      </c>
    </row>
    <row r="319" spans="34:50" hidden="1" x14ac:dyDescent="0.25">
      <c r="AH319" s="1">
        <f t="shared" si="56"/>
        <v>9</v>
      </c>
      <c r="AI319" s="5">
        <f t="shared" si="64"/>
        <v>45913</v>
      </c>
      <c r="AJ319" s="1" t="str">
        <f t="shared" si="57"/>
        <v>Não</v>
      </c>
      <c r="AK319" s="1"/>
      <c r="AL319" s="1">
        <f t="shared" si="58"/>
        <v>6</v>
      </c>
      <c r="AM319" s="4">
        <f t="shared" si="65"/>
        <v>46193</v>
      </c>
      <c r="AN319" s="1" t="str">
        <f t="shared" si="59"/>
        <v>Não</v>
      </c>
      <c r="AR319" s="1">
        <f t="shared" si="60"/>
        <v>1</v>
      </c>
      <c r="AS319" s="4">
        <f t="shared" si="66"/>
        <v>46403</v>
      </c>
      <c r="AT319" s="1" t="str">
        <f t="shared" si="61"/>
        <v>Não</v>
      </c>
      <c r="AV319" s="1">
        <f t="shared" si="62"/>
        <v>2</v>
      </c>
      <c r="AW319" s="4">
        <f t="shared" si="67"/>
        <v>45699</v>
      </c>
      <c r="AX319" s="1" t="str">
        <f t="shared" si="63"/>
        <v>Não</v>
      </c>
    </row>
    <row r="320" spans="34:50" hidden="1" x14ac:dyDescent="0.25">
      <c r="AH320" s="1">
        <f t="shared" si="56"/>
        <v>9</v>
      </c>
      <c r="AI320" s="5">
        <f t="shared" si="64"/>
        <v>45914</v>
      </c>
      <c r="AJ320" s="1" t="str">
        <f t="shared" si="57"/>
        <v>Não</v>
      </c>
      <c r="AK320" s="1"/>
      <c r="AL320" s="1">
        <f t="shared" si="58"/>
        <v>6</v>
      </c>
      <c r="AM320" s="4">
        <f t="shared" si="65"/>
        <v>46194</v>
      </c>
      <c r="AN320" s="1" t="str">
        <f t="shared" si="59"/>
        <v>Não</v>
      </c>
      <c r="AR320" s="1">
        <f t="shared" si="60"/>
        <v>1</v>
      </c>
      <c r="AS320" s="4">
        <f t="shared" si="66"/>
        <v>46404</v>
      </c>
      <c r="AT320" s="1" t="str">
        <f t="shared" si="61"/>
        <v>Não</v>
      </c>
      <c r="AV320" s="1">
        <f t="shared" si="62"/>
        <v>2</v>
      </c>
      <c r="AW320" s="4">
        <f t="shared" si="67"/>
        <v>45700</v>
      </c>
      <c r="AX320" s="1" t="str">
        <f t="shared" si="63"/>
        <v>Não</v>
      </c>
    </row>
    <row r="321" spans="34:50" hidden="1" x14ac:dyDescent="0.25">
      <c r="AH321" s="1">
        <f t="shared" si="56"/>
        <v>9</v>
      </c>
      <c r="AI321" s="5">
        <f t="shared" si="64"/>
        <v>45915</v>
      </c>
      <c r="AJ321" s="1" t="str">
        <f t="shared" si="57"/>
        <v>Não</v>
      </c>
      <c r="AK321" s="1"/>
      <c r="AL321" s="1">
        <f t="shared" si="58"/>
        <v>6</v>
      </c>
      <c r="AM321" s="4">
        <f t="shared" si="65"/>
        <v>46195</v>
      </c>
      <c r="AN321" s="1" t="str">
        <f t="shared" si="59"/>
        <v>Não</v>
      </c>
      <c r="AR321" s="1">
        <f t="shared" si="60"/>
        <v>1</v>
      </c>
      <c r="AS321" s="4">
        <f t="shared" si="66"/>
        <v>46405</v>
      </c>
      <c r="AT321" s="1" t="str">
        <f t="shared" si="61"/>
        <v>Não</v>
      </c>
      <c r="AV321" s="1">
        <f t="shared" si="62"/>
        <v>2</v>
      </c>
      <c r="AW321" s="4">
        <f t="shared" si="67"/>
        <v>45701</v>
      </c>
      <c r="AX321" s="1" t="str">
        <f t="shared" si="63"/>
        <v>Não</v>
      </c>
    </row>
    <row r="322" spans="34:50" hidden="1" x14ac:dyDescent="0.25">
      <c r="AH322" s="1">
        <f t="shared" si="56"/>
        <v>9</v>
      </c>
      <c r="AI322" s="5">
        <f t="shared" si="64"/>
        <v>45916</v>
      </c>
      <c r="AJ322" s="1" t="str">
        <f t="shared" si="57"/>
        <v>Não</v>
      </c>
      <c r="AK322" s="1"/>
      <c r="AL322" s="1">
        <f t="shared" si="58"/>
        <v>6</v>
      </c>
      <c r="AM322" s="4">
        <f t="shared" si="65"/>
        <v>46196</v>
      </c>
      <c r="AN322" s="1" t="str">
        <f t="shared" si="59"/>
        <v>Não</v>
      </c>
      <c r="AR322" s="1">
        <f t="shared" si="60"/>
        <v>1</v>
      </c>
      <c r="AS322" s="4">
        <f t="shared" si="66"/>
        <v>46406</v>
      </c>
      <c r="AT322" s="1" t="str">
        <f t="shared" si="61"/>
        <v>Não</v>
      </c>
      <c r="AV322" s="1">
        <f t="shared" si="62"/>
        <v>2</v>
      </c>
      <c r="AW322" s="4">
        <f t="shared" si="67"/>
        <v>45702</v>
      </c>
      <c r="AX322" s="1" t="str">
        <f t="shared" si="63"/>
        <v>Não</v>
      </c>
    </row>
    <row r="323" spans="34:50" hidden="1" x14ac:dyDescent="0.25">
      <c r="AH323" s="1">
        <f t="shared" ref="AH323:AH386" si="68">MONTH(AI323)</f>
        <v>9</v>
      </c>
      <c r="AI323" s="5">
        <f t="shared" si="64"/>
        <v>45917</v>
      </c>
      <c r="AJ323" s="1" t="str">
        <f t="shared" ref="AJ323:AJ386" si="69">IF(AND(AI323&gt;=$C$6,AI323&lt;=$C$8),"Ok","Não")</f>
        <v>Não</v>
      </c>
      <c r="AK323" s="1"/>
      <c r="AL323" s="1">
        <f t="shared" ref="AL323:AL386" si="70">MONTH(AM323)</f>
        <v>6</v>
      </c>
      <c r="AM323" s="4">
        <f t="shared" si="65"/>
        <v>46197</v>
      </c>
      <c r="AN323" s="1" t="str">
        <f t="shared" ref="AN323:AN386" si="71">IF(AND(AM323&gt;=$C$9,AM323&lt;=$C$10),"Ok","Não")</f>
        <v>Não</v>
      </c>
      <c r="AR323" s="1">
        <f t="shared" ref="AR323:AR386" si="72">MONTH(AS323)</f>
        <v>1</v>
      </c>
      <c r="AS323" s="4">
        <f t="shared" si="66"/>
        <v>46407</v>
      </c>
      <c r="AT323" s="1" t="str">
        <f t="shared" ref="AT323:AT386" si="73">IF(AND(AS323&gt;=$C$11,AS323&lt;=$C$12),"Ok","Não")</f>
        <v>Não</v>
      </c>
      <c r="AV323" s="1">
        <f t="shared" ref="AV323:AV386" si="74">MONTH(AW323)</f>
        <v>2</v>
      </c>
      <c r="AW323" s="4">
        <f t="shared" si="67"/>
        <v>45703</v>
      </c>
      <c r="AX323" s="1" t="str">
        <f t="shared" ref="AX323:AX386" si="75">IF(AND(AW323&gt;=$C$4,AW323&lt;=$C$5),"Ok","Não")</f>
        <v>Não</v>
      </c>
    </row>
    <row r="324" spans="34:50" hidden="1" x14ac:dyDescent="0.25">
      <c r="AH324" s="1">
        <f t="shared" si="68"/>
        <v>9</v>
      </c>
      <c r="AI324" s="5">
        <f t="shared" si="64"/>
        <v>45918</v>
      </c>
      <c r="AJ324" s="1" t="str">
        <f t="shared" si="69"/>
        <v>Não</v>
      </c>
      <c r="AK324" s="1"/>
      <c r="AL324" s="1">
        <f t="shared" si="70"/>
        <v>6</v>
      </c>
      <c r="AM324" s="4">
        <f t="shared" si="65"/>
        <v>46198</v>
      </c>
      <c r="AN324" s="1" t="str">
        <f t="shared" si="71"/>
        <v>Não</v>
      </c>
      <c r="AR324" s="1">
        <f t="shared" si="72"/>
        <v>1</v>
      </c>
      <c r="AS324" s="4">
        <f t="shared" si="66"/>
        <v>46408</v>
      </c>
      <c r="AT324" s="1" t="str">
        <f t="shared" si="73"/>
        <v>Não</v>
      </c>
      <c r="AV324" s="1">
        <f t="shared" si="74"/>
        <v>2</v>
      </c>
      <c r="AW324" s="4">
        <f t="shared" si="67"/>
        <v>45704</v>
      </c>
      <c r="AX324" s="1" t="str">
        <f t="shared" si="75"/>
        <v>Não</v>
      </c>
    </row>
    <row r="325" spans="34:50" hidden="1" x14ac:dyDescent="0.25">
      <c r="AH325" s="1">
        <f t="shared" si="68"/>
        <v>9</v>
      </c>
      <c r="AI325" s="5">
        <f t="shared" ref="AI325:AI388" si="76">AI324+1</f>
        <v>45919</v>
      </c>
      <c r="AJ325" s="1" t="str">
        <f t="shared" si="69"/>
        <v>Não</v>
      </c>
      <c r="AK325" s="1"/>
      <c r="AL325" s="1">
        <f t="shared" si="70"/>
        <v>6</v>
      </c>
      <c r="AM325" s="4">
        <f t="shared" ref="AM325:AM388" si="77">AM324+1</f>
        <v>46199</v>
      </c>
      <c r="AN325" s="1" t="str">
        <f t="shared" si="71"/>
        <v>Não</v>
      </c>
      <c r="AR325" s="1">
        <f t="shared" si="72"/>
        <v>1</v>
      </c>
      <c r="AS325" s="4">
        <f t="shared" ref="AS325:AS388" si="78">AS324+1</f>
        <v>46409</v>
      </c>
      <c r="AT325" s="1" t="str">
        <f t="shared" si="73"/>
        <v>Não</v>
      </c>
      <c r="AV325" s="1">
        <f t="shared" si="74"/>
        <v>2</v>
      </c>
      <c r="AW325" s="4">
        <f t="shared" ref="AW325:AW388" si="79">AW324+1</f>
        <v>45705</v>
      </c>
      <c r="AX325" s="1" t="str">
        <f t="shared" si="75"/>
        <v>Não</v>
      </c>
    </row>
    <row r="326" spans="34:50" hidden="1" x14ac:dyDescent="0.25">
      <c r="AH326" s="1">
        <f t="shared" si="68"/>
        <v>9</v>
      </c>
      <c r="AI326" s="5">
        <f t="shared" si="76"/>
        <v>45920</v>
      </c>
      <c r="AJ326" s="1" t="str">
        <f t="shared" si="69"/>
        <v>Não</v>
      </c>
      <c r="AK326" s="1"/>
      <c r="AL326" s="1">
        <f t="shared" si="70"/>
        <v>6</v>
      </c>
      <c r="AM326" s="4">
        <f t="shared" si="77"/>
        <v>46200</v>
      </c>
      <c r="AN326" s="1" t="str">
        <f t="shared" si="71"/>
        <v>Não</v>
      </c>
      <c r="AR326" s="1">
        <f t="shared" si="72"/>
        <v>1</v>
      </c>
      <c r="AS326" s="4">
        <f t="shared" si="78"/>
        <v>46410</v>
      </c>
      <c r="AT326" s="1" t="str">
        <f t="shared" si="73"/>
        <v>Não</v>
      </c>
      <c r="AV326" s="1">
        <f t="shared" si="74"/>
        <v>2</v>
      </c>
      <c r="AW326" s="4">
        <f t="shared" si="79"/>
        <v>45706</v>
      </c>
      <c r="AX326" s="1" t="str">
        <f t="shared" si="75"/>
        <v>Não</v>
      </c>
    </row>
    <row r="327" spans="34:50" hidden="1" x14ac:dyDescent="0.25">
      <c r="AH327" s="1">
        <f t="shared" si="68"/>
        <v>9</v>
      </c>
      <c r="AI327" s="5">
        <f t="shared" si="76"/>
        <v>45921</v>
      </c>
      <c r="AJ327" s="1" t="str">
        <f t="shared" si="69"/>
        <v>Não</v>
      </c>
      <c r="AK327" s="1"/>
      <c r="AL327" s="1">
        <f t="shared" si="70"/>
        <v>6</v>
      </c>
      <c r="AM327" s="4">
        <f t="shared" si="77"/>
        <v>46201</v>
      </c>
      <c r="AN327" s="1" t="str">
        <f t="shared" si="71"/>
        <v>Não</v>
      </c>
      <c r="AR327" s="1">
        <f t="shared" si="72"/>
        <v>1</v>
      </c>
      <c r="AS327" s="4">
        <f t="shared" si="78"/>
        <v>46411</v>
      </c>
      <c r="AT327" s="1" t="str">
        <f t="shared" si="73"/>
        <v>Não</v>
      </c>
      <c r="AV327" s="1">
        <f t="shared" si="74"/>
        <v>2</v>
      </c>
      <c r="AW327" s="4">
        <f t="shared" si="79"/>
        <v>45707</v>
      </c>
      <c r="AX327" s="1" t="str">
        <f t="shared" si="75"/>
        <v>Não</v>
      </c>
    </row>
    <row r="328" spans="34:50" hidden="1" x14ac:dyDescent="0.25">
      <c r="AH328" s="1">
        <f t="shared" si="68"/>
        <v>9</v>
      </c>
      <c r="AI328" s="5">
        <f t="shared" si="76"/>
        <v>45922</v>
      </c>
      <c r="AJ328" s="1" t="str">
        <f t="shared" si="69"/>
        <v>Não</v>
      </c>
      <c r="AK328" s="1"/>
      <c r="AL328" s="1">
        <f t="shared" si="70"/>
        <v>6</v>
      </c>
      <c r="AM328" s="4">
        <f t="shared" si="77"/>
        <v>46202</v>
      </c>
      <c r="AN328" s="1" t="str">
        <f t="shared" si="71"/>
        <v>Não</v>
      </c>
      <c r="AR328" s="1">
        <f t="shared" si="72"/>
        <v>1</v>
      </c>
      <c r="AS328" s="4">
        <f t="shared" si="78"/>
        <v>46412</v>
      </c>
      <c r="AT328" s="1" t="str">
        <f t="shared" si="73"/>
        <v>Não</v>
      </c>
      <c r="AV328" s="1">
        <f t="shared" si="74"/>
        <v>2</v>
      </c>
      <c r="AW328" s="4">
        <f t="shared" si="79"/>
        <v>45708</v>
      </c>
      <c r="AX328" s="1" t="str">
        <f t="shared" si="75"/>
        <v>Não</v>
      </c>
    </row>
    <row r="329" spans="34:50" hidden="1" x14ac:dyDescent="0.25">
      <c r="AH329" s="1">
        <f t="shared" si="68"/>
        <v>9</v>
      </c>
      <c r="AI329" s="5">
        <f t="shared" si="76"/>
        <v>45923</v>
      </c>
      <c r="AJ329" s="1" t="str">
        <f t="shared" si="69"/>
        <v>Não</v>
      </c>
      <c r="AK329" s="1"/>
      <c r="AL329" s="1">
        <f t="shared" si="70"/>
        <v>6</v>
      </c>
      <c r="AM329" s="4">
        <f t="shared" si="77"/>
        <v>46203</v>
      </c>
      <c r="AN329" s="1" t="str">
        <f t="shared" si="71"/>
        <v>Não</v>
      </c>
      <c r="AR329" s="1">
        <f t="shared" si="72"/>
        <v>1</v>
      </c>
      <c r="AS329" s="4">
        <f t="shared" si="78"/>
        <v>46413</v>
      </c>
      <c r="AT329" s="1" t="str">
        <f t="shared" si="73"/>
        <v>Não</v>
      </c>
      <c r="AV329" s="1">
        <f t="shared" si="74"/>
        <v>2</v>
      </c>
      <c r="AW329" s="4">
        <f t="shared" si="79"/>
        <v>45709</v>
      </c>
      <c r="AX329" s="1" t="str">
        <f t="shared" si="75"/>
        <v>Não</v>
      </c>
    </row>
    <row r="330" spans="34:50" hidden="1" x14ac:dyDescent="0.25">
      <c r="AH330" s="1">
        <f t="shared" si="68"/>
        <v>9</v>
      </c>
      <c r="AI330" s="5">
        <f t="shared" si="76"/>
        <v>45924</v>
      </c>
      <c r="AJ330" s="1" t="str">
        <f t="shared" si="69"/>
        <v>Não</v>
      </c>
      <c r="AK330" s="1"/>
      <c r="AL330" s="1">
        <f t="shared" si="70"/>
        <v>7</v>
      </c>
      <c r="AM330" s="4">
        <f t="shared" si="77"/>
        <v>46204</v>
      </c>
      <c r="AN330" s="1" t="str">
        <f t="shared" si="71"/>
        <v>Não</v>
      </c>
      <c r="AR330" s="1">
        <f t="shared" si="72"/>
        <v>1</v>
      </c>
      <c r="AS330" s="4">
        <f t="shared" si="78"/>
        <v>46414</v>
      </c>
      <c r="AT330" s="1" t="str">
        <f t="shared" si="73"/>
        <v>Não</v>
      </c>
      <c r="AV330" s="1">
        <f t="shared" si="74"/>
        <v>2</v>
      </c>
      <c r="AW330" s="4">
        <f t="shared" si="79"/>
        <v>45710</v>
      </c>
      <c r="AX330" s="1" t="str">
        <f t="shared" si="75"/>
        <v>Não</v>
      </c>
    </row>
    <row r="331" spans="34:50" hidden="1" x14ac:dyDescent="0.25">
      <c r="AH331" s="1">
        <f t="shared" si="68"/>
        <v>9</v>
      </c>
      <c r="AI331" s="5">
        <f t="shared" si="76"/>
        <v>45925</v>
      </c>
      <c r="AJ331" s="1" t="str">
        <f t="shared" si="69"/>
        <v>Não</v>
      </c>
      <c r="AK331" s="1"/>
      <c r="AL331" s="1">
        <f t="shared" si="70"/>
        <v>7</v>
      </c>
      <c r="AM331" s="4">
        <f t="shared" si="77"/>
        <v>46205</v>
      </c>
      <c r="AN331" s="1" t="str">
        <f t="shared" si="71"/>
        <v>Não</v>
      </c>
      <c r="AR331" s="1">
        <f t="shared" si="72"/>
        <v>1</v>
      </c>
      <c r="AS331" s="4">
        <f t="shared" si="78"/>
        <v>46415</v>
      </c>
      <c r="AT331" s="1" t="str">
        <f t="shared" si="73"/>
        <v>Não</v>
      </c>
      <c r="AV331" s="1">
        <f t="shared" si="74"/>
        <v>2</v>
      </c>
      <c r="AW331" s="4">
        <f t="shared" si="79"/>
        <v>45711</v>
      </c>
      <c r="AX331" s="1" t="str">
        <f t="shared" si="75"/>
        <v>Não</v>
      </c>
    </row>
    <row r="332" spans="34:50" hidden="1" x14ac:dyDescent="0.25">
      <c r="AH332" s="1">
        <f t="shared" si="68"/>
        <v>9</v>
      </c>
      <c r="AI332" s="5">
        <f t="shared" si="76"/>
        <v>45926</v>
      </c>
      <c r="AJ332" s="1" t="str">
        <f t="shared" si="69"/>
        <v>Não</v>
      </c>
      <c r="AK332" s="1"/>
      <c r="AL332" s="1">
        <f t="shared" si="70"/>
        <v>7</v>
      </c>
      <c r="AM332" s="4">
        <f t="shared" si="77"/>
        <v>46206</v>
      </c>
      <c r="AN332" s="1" t="str">
        <f t="shared" si="71"/>
        <v>Não</v>
      </c>
      <c r="AR332" s="1">
        <f t="shared" si="72"/>
        <v>1</v>
      </c>
      <c r="AS332" s="4">
        <f t="shared" si="78"/>
        <v>46416</v>
      </c>
      <c r="AT332" s="1" t="str">
        <f t="shared" si="73"/>
        <v>Não</v>
      </c>
      <c r="AV332" s="1">
        <f t="shared" si="74"/>
        <v>2</v>
      </c>
      <c r="AW332" s="4">
        <f t="shared" si="79"/>
        <v>45712</v>
      </c>
      <c r="AX332" s="1" t="str">
        <f t="shared" si="75"/>
        <v>Não</v>
      </c>
    </row>
    <row r="333" spans="34:50" hidden="1" x14ac:dyDescent="0.25">
      <c r="AH333" s="1">
        <f t="shared" si="68"/>
        <v>9</v>
      </c>
      <c r="AI333" s="5">
        <f t="shared" si="76"/>
        <v>45927</v>
      </c>
      <c r="AJ333" s="1" t="str">
        <f t="shared" si="69"/>
        <v>Não</v>
      </c>
      <c r="AK333" s="1"/>
      <c r="AL333" s="1">
        <f t="shared" si="70"/>
        <v>7</v>
      </c>
      <c r="AM333" s="4">
        <f t="shared" si="77"/>
        <v>46207</v>
      </c>
      <c r="AN333" s="1" t="str">
        <f t="shared" si="71"/>
        <v>Não</v>
      </c>
      <c r="AR333" s="1">
        <f t="shared" si="72"/>
        <v>1</v>
      </c>
      <c r="AS333" s="4">
        <f t="shared" si="78"/>
        <v>46417</v>
      </c>
      <c r="AT333" s="1" t="str">
        <f t="shared" si="73"/>
        <v>Não</v>
      </c>
      <c r="AV333" s="1">
        <f t="shared" si="74"/>
        <v>2</v>
      </c>
      <c r="AW333" s="4">
        <f t="shared" si="79"/>
        <v>45713</v>
      </c>
      <c r="AX333" s="1" t="str">
        <f t="shared" si="75"/>
        <v>Não</v>
      </c>
    </row>
    <row r="334" spans="34:50" hidden="1" x14ac:dyDescent="0.25">
      <c r="AH334" s="1">
        <f t="shared" si="68"/>
        <v>9</v>
      </c>
      <c r="AI334" s="5">
        <f t="shared" si="76"/>
        <v>45928</v>
      </c>
      <c r="AJ334" s="1" t="str">
        <f t="shared" si="69"/>
        <v>Não</v>
      </c>
      <c r="AK334" s="1"/>
      <c r="AL334" s="1">
        <f t="shared" si="70"/>
        <v>7</v>
      </c>
      <c r="AM334" s="4">
        <f t="shared" si="77"/>
        <v>46208</v>
      </c>
      <c r="AN334" s="1" t="str">
        <f t="shared" si="71"/>
        <v>Não</v>
      </c>
      <c r="AR334" s="1">
        <f t="shared" si="72"/>
        <v>1</v>
      </c>
      <c r="AS334" s="4">
        <f t="shared" si="78"/>
        <v>46418</v>
      </c>
      <c r="AT334" s="1" t="str">
        <f t="shared" si="73"/>
        <v>Não</v>
      </c>
      <c r="AV334" s="1">
        <f t="shared" si="74"/>
        <v>2</v>
      </c>
      <c r="AW334" s="4">
        <f t="shared" si="79"/>
        <v>45714</v>
      </c>
      <c r="AX334" s="1" t="str">
        <f t="shared" si="75"/>
        <v>Não</v>
      </c>
    </row>
    <row r="335" spans="34:50" hidden="1" x14ac:dyDescent="0.25">
      <c r="AH335" s="1">
        <f t="shared" si="68"/>
        <v>9</v>
      </c>
      <c r="AI335" s="5">
        <f t="shared" si="76"/>
        <v>45929</v>
      </c>
      <c r="AJ335" s="1" t="str">
        <f t="shared" si="69"/>
        <v>Não</v>
      </c>
      <c r="AK335" s="1"/>
      <c r="AL335" s="1">
        <f t="shared" si="70"/>
        <v>7</v>
      </c>
      <c r="AM335" s="4">
        <f t="shared" si="77"/>
        <v>46209</v>
      </c>
      <c r="AN335" s="1" t="str">
        <f t="shared" si="71"/>
        <v>Não</v>
      </c>
      <c r="AR335" s="1">
        <f t="shared" si="72"/>
        <v>2</v>
      </c>
      <c r="AS335" s="4">
        <f t="shared" si="78"/>
        <v>46419</v>
      </c>
      <c r="AT335" s="1" t="str">
        <f t="shared" si="73"/>
        <v>Não</v>
      </c>
      <c r="AV335" s="1">
        <f t="shared" si="74"/>
        <v>2</v>
      </c>
      <c r="AW335" s="4">
        <f t="shared" si="79"/>
        <v>45715</v>
      </c>
      <c r="AX335" s="1" t="str">
        <f t="shared" si="75"/>
        <v>Não</v>
      </c>
    </row>
    <row r="336" spans="34:50" hidden="1" x14ac:dyDescent="0.25">
      <c r="AH336" s="1">
        <f t="shared" si="68"/>
        <v>9</v>
      </c>
      <c r="AI336" s="5">
        <f t="shared" si="76"/>
        <v>45930</v>
      </c>
      <c r="AJ336" s="1" t="str">
        <f t="shared" si="69"/>
        <v>Não</v>
      </c>
      <c r="AK336" s="1"/>
      <c r="AL336" s="1">
        <f t="shared" si="70"/>
        <v>7</v>
      </c>
      <c r="AM336" s="4">
        <f t="shared" si="77"/>
        <v>46210</v>
      </c>
      <c r="AN336" s="1" t="str">
        <f t="shared" si="71"/>
        <v>Não</v>
      </c>
      <c r="AR336" s="1">
        <f t="shared" si="72"/>
        <v>2</v>
      </c>
      <c r="AS336" s="4">
        <f t="shared" si="78"/>
        <v>46420</v>
      </c>
      <c r="AT336" s="1" t="str">
        <f t="shared" si="73"/>
        <v>Não</v>
      </c>
      <c r="AV336" s="1">
        <f t="shared" si="74"/>
        <v>2</v>
      </c>
      <c r="AW336" s="4">
        <f t="shared" si="79"/>
        <v>45716</v>
      </c>
      <c r="AX336" s="1" t="str">
        <f t="shared" si="75"/>
        <v>Não</v>
      </c>
    </row>
    <row r="337" spans="34:50" hidden="1" x14ac:dyDescent="0.25">
      <c r="AH337" s="1">
        <f t="shared" si="68"/>
        <v>10</v>
      </c>
      <c r="AI337" s="5">
        <f t="shared" si="76"/>
        <v>45931</v>
      </c>
      <c r="AJ337" s="1" t="str">
        <f t="shared" si="69"/>
        <v>Não</v>
      </c>
      <c r="AK337" s="1"/>
      <c r="AL337" s="1">
        <f t="shared" si="70"/>
        <v>7</v>
      </c>
      <c r="AM337" s="4">
        <f t="shared" si="77"/>
        <v>46211</v>
      </c>
      <c r="AN337" s="1" t="str">
        <f t="shared" si="71"/>
        <v>Não</v>
      </c>
      <c r="AR337" s="1">
        <f t="shared" si="72"/>
        <v>2</v>
      </c>
      <c r="AS337" s="4">
        <f t="shared" si="78"/>
        <v>46421</v>
      </c>
      <c r="AT337" s="1" t="str">
        <f t="shared" si="73"/>
        <v>Não</v>
      </c>
      <c r="AV337" s="1">
        <f t="shared" si="74"/>
        <v>3</v>
      </c>
      <c r="AW337" s="4">
        <f t="shared" si="79"/>
        <v>45717</v>
      </c>
      <c r="AX337" s="1" t="str">
        <f t="shared" si="75"/>
        <v>Não</v>
      </c>
    </row>
    <row r="338" spans="34:50" hidden="1" x14ac:dyDescent="0.25">
      <c r="AH338" s="1">
        <f t="shared" si="68"/>
        <v>10</v>
      </c>
      <c r="AI338" s="5">
        <f t="shared" si="76"/>
        <v>45932</v>
      </c>
      <c r="AJ338" s="1" t="str">
        <f t="shared" si="69"/>
        <v>Não</v>
      </c>
      <c r="AK338" s="1"/>
      <c r="AL338" s="1">
        <f t="shared" si="70"/>
        <v>7</v>
      </c>
      <c r="AM338" s="4">
        <f t="shared" si="77"/>
        <v>46212</v>
      </c>
      <c r="AN338" s="1" t="str">
        <f t="shared" si="71"/>
        <v>Não</v>
      </c>
      <c r="AR338" s="1">
        <f t="shared" si="72"/>
        <v>2</v>
      </c>
      <c r="AS338" s="4">
        <f t="shared" si="78"/>
        <v>46422</v>
      </c>
      <c r="AT338" s="1" t="str">
        <f t="shared" si="73"/>
        <v>Não</v>
      </c>
      <c r="AV338" s="1">
        <f t="shared" si="74"/>
        <v>3</v>
      </c>
      <c r="AW338" s="4">
        <f t="shared" si="79"/>
        <v>45718</v>
      </c>
      <c r="AX338" s="1" t="str">
        <f t="shared" si="75"/>
        <v>Não</v>
      </c>
    </row>
    <row r="339" spans="34:50" hidden="1" x14ac:dyDescent="0.25">
      <c r="AH339" s="1">
        <f t="shared" si="68"/>
        <v>10</v>
      </c>
      <c r="AI339" s="5">
        <f t="shared" si="76"/>
        <v>45933</v>
      </c>
      <c r="AJ339" s="1" t="str">
        <f t="shared" si="69"/>
        <v>Não</v>
      </c>
      <c r="AK339" s="1"/>
      <c r="AL339" s="1">
        <f t="shared" si="70"/>
        <v>7</v>
      </c>
      <c r="AM339" s="4">
        <f t="shared" si="77"/>
        <v>46213</v>
      </c>
      <c r="AN339" s="1" t="str">
        <f t="shared" si="71"/>
        <v>Não</v>
      </c>
      <c r="AR339" s="1">
        <f t="shared" si="72"/>
        <v>2</v>
      </c>
      <c r="AS339" s="4">
        <f t="shared" si="78"/>
        <v>46423</v>
      </c>
      <c r="AT339" s="1" t="str">
        <f t="shared" si="73"/>
        <v>Não</v>
      </c>
      <c r="AV339" s="1">
        <f t="shared" si="74"/>
        <v>3</v>
      </c>
      <c r="AW339" s="4">
        <f t="shared" si="79"/>
        <v>45719</v>
      </c>
      <c r="AX339" s="1" t="str">
        <f t="shared" si="75"/>
        <v>Não</v>
      </c>
    </row>
    <row r="340" spans="34:50" hidden="1" x14ac:dyDescent="0.25">
      <c r="AH340" s="1">
        <f t="shared" si="68"/>
        <v>10</v>
      </c>
      <c r="AI340" s="5">
        <f t="shared" si="76"/>
        <v>45934</v>
      </c>
      <c r="AJ340" s="1" t="str">
        <f t="shared" si="69"/>
        <v>Não</v>
      </c>
      <c r="AK340" s="1"/>
      <c r="AL340" s="1">
        <f t="shared" si="70"/>
        <v>7</v>
      </c>
      <c r="AM340" s="4">
        <f t="shared" si="77"/>
        <v>46214</v>
      </c>
      <c r="AN340" s="1" t="str">
        <f t="shared" si="71"/>
        <v>Não</v>
      </c>
      <c r="AR340" s="1">
        <f t="shared" si="72"/>
        <v>2</v>
      </c>
      <c r="AS340" s="4">
        <f t="shared" si="78"/>
        <v>46424</v>
      </c>
      <c r="AT340" s="1" t="str">
        <f t="shared" si="73"/>
        <v>Não</v>
      </c>
      <c r="AV340" s="1">
        <f t="shared" si="74"/>
        <v>3</v>
      </c>
      <c r="AW340" s="4">
        <f t="shared" si="79"/>
        <v>45720</v>
      </c>
      <c r="AX340" s="1" t="str">
        <f t="shared" si="75"/>
        <v>Não</v>
      </c>
    </row>
    <row r="341" spans="34:50" hidden="1" x14ac:dyDescent="0.25">
      <c r="AH341" s="1">
        <f t="shared" si="68"/>
        <v>10</v>
      </c>
      <c r="AI341" s="5">
        <f t="shared" si="76"/>
        <v>45935</v>
      </c>
      <c r="AJ341" s="1" t="str">
        <f t="shared" si="69"/>
        <v>Não</v>
      </c>
      <c r="AK341" s="1"/>
      <c r="AL341" s="1">
        <f t="shared" si="70"/>
        <v>7</v>
      </c>
      <c r="AM341" s="4">
        <f t="shared" si="77"/>
        <v>46215</v>
      </c>
      <c r="AN341" s="1" t="str">
        <f t="shared" si="71"/>
        <v>Não</v>
      </c>
      <c r="AR341" s="1">
        <f t="shared" si="72"/>
        <v>2</v>
      </c>
      <c r="AS341" s="4">
        <f t="shared" si="78"/>
        <v>46425</v>
      </c>
      <c r="AT341" s="1" t="str">
        <f t="shared" si="73"/>
        <v>Não</v>
      </c>
      <c r="AV341" s="1">
        <f t="shared" si="74"/>
        <v>3</v>
      </c>
      <c r="AW341" s="4">
        <f t="shared" si="79"/>
        <v>45721</v>
      </c>
      <c r="AX341" s="1" t="str">
        <f t="shared" si="75"/>
        <v>Não</v>
      </c>
    </row>
    <row r="342" spans="34:50" hidden="1" x14ac:dyDescent="0.25">
      <c r="AH342" s="1">
        <f t="shared" si="68"/>
        <v>10</v>
      </c>
      <c r="AI342" s="5">
        <f t="shared" si="76"/>
        <v>45936</v>
      </c>
      <c r="AJ342" s="1" t="str">
        <f t="shared" si="69"/>
        <v>Não</v>
      </c>
      <c r="AK342" s="1"/>
      <c r="AL342" s="1">
        <f t="shared" si="70"/>
        <v>7</v>
      </c>
      <c r="AM342" s="4">
        <f t="shared" si="77"/>
        <v>46216</v>
      </c>
      <c r="AN342" s="1" t="str">
        <f t="shared" si="71"/>
        <v>Não</v>
      </c>
      <c r="AR342" s="1">
        <f t="shared" si="72"/>
        <v>2</v>
      </c>
      <c r="AS342" s="4">
        <f t="shared" si="78"/>
        <v>46426</v>
      </c>
      <c r="AT342" s="1" t="str">
        <f t="shared" si="73"/>
        <v>Não</v>
      </c>
      <c r="AV342" s="1">
        <f t="shared" si="74"/>
        <v>3</v>
      </c>
      <c r="AW342" s="4">
        <f t="shared" si="79"/>
        <v>45722</v>
      </c>
      <c r="AX342" s="1" t="str">
        <f t="shared" si="75"/>
        <v>Não</v>
      </c>
    </row>
    <row r="343" spans="34:50" hidden="1" x14ac:dyDescent="0.25">
      <c r="AH343" s="1">
        <f t="shared" si="68"/>
        <v>10</v>
      </c>
      <c r="AI343" s="5">
        <f t="shared" si="76"/>
        <v>45937</v>
      </c>
      <c r="AJ343" s="1" t="str">
        <f t="shared" si="69"/>
        <v>Não</v>
      </c>
      <c r="AK343" s="1"/>
      <c r="AL343" s="1">
        <f t="shared" si="70"/>
        <v>7</v>
      </c>
      <c r="AM343" s="4">
        <f t="shared" si="77"/>
        <v>46217</v>
      </c>
      <c r="AN343" s="1" t="str">
        <f t="shared" si="71"/>
        <v>Não</v>
      </c>
      <c r="AR343" s="1">
        <f t="shared" si="72"/>
        <v>2</v>
      </c>
      <c r="AS343" s="4">
        <f t="shared" si="78"/>
        <v>46427</v>
      </c>
      <c r="AT343" s="1" t="str">
        <f t="shared" si="73"/>
        <v>Não</v>
      </c>
      <c r="AV343" s="1">
        <f t="shared" si="74"/>
        <v>3</v>
      </c>
      <c r="AW343" s="4">
        <f t="shared" si="79"/>
        <v>45723</v>
      </c>
      <c r="AX343" s="1" t="str">
        <f t="shared" si="75"/>
        <v>Não</v>
      </c>
    </row>
    <row r="344" spans="34:50" hidden="1" x14ac:dyDescent="0.25">
      <c r="AH344" s="1">
        <f t="shared" si="68"/>
        <v>10</v>
      </c>
      <c r="AI344" s="5">
        <f t="shared" si="76"/>
        <v>45938</v>
      </c>
      <c r="AJ344" s="1" t="str">
        <f t="shared" si="69"/>
        <v>Não</v>
      </c>
      <c r="AK344" s="1"/>
      <c r="AL344" s="1">
        <f t="shared" si="70"/>
        <v>7</v>
      </c>
      <c r="AM344" s="4">
        <f t="shared" si="77"/>
        <v>46218</v>
      </c>
      <c r="AN344" s="1" t="str">
        <f t="shared" si="71"/>
        <v>Não</v>
      </c>
      <c r="AR344" s="1">
        <f t="shared" si="72"/>
        <v>2</v>
      </c>
      <c r="AS344" s="4">
        <f t="shared" si="78"/>
        <v>46428</v>
      </c>
      <c r="AT344" s="1" t="str">
        <f t="shared" si="73"/>
        <v>Não</v>
      </c>
      <c r="AV344" s="1">
        <f t="shared" si="74"/>
        <v>3</v>
      </c>
      <c r="AW344" s="4">
        <f t="shared" si="79"/>
        <v>45724</v>
      </c>
      <c r="AX344" s="1" t="str">
        <f t="shared" si="75"/>
        <v>Não</v>
      </c>
    </row>
    <row r="345" spans="34:50" hidden="1" x14ac:dyDescent="0.25">
      <c r="AH345" s="1">
        <f t="shared" si="68"/>
        <v>10</v>
      </c>
      <c r="AI345" s="5">
        <f t="shared" si="76"/>
        <v>45939</v>
      </c>
      <c r="AJ345" s="1" t="str">
        <f t="shared" si="69"/>
        <v>Não</v>
      </c>
      <c r="AK345" s="1"/>
      <c r="AL345" s="1">
        <f t="shared" si="70"/>
        <v>7</v>
      </c>
      <c r="AM345" s="4">
        <f t="shared" si="77"/>
        <v>46219</v>
      </c>
      <c r="AN345" s="1" t="str">
        <f t="shared" si="71"/>
        <v>Não</v>
      </c>
      <c r="AR345" s="1">
        <f t="shared" si="72"/>
        <v>2</v>
      </c>
      <c r="AS345" s="4">
        <f t="shared" si="78"/>
        <v>46429</v>
      </c>
      <c r="AT345" s="1" t="str">
        <f t="shared" si="73"/>
        <v>Não</v>
      </c>
      <c r="AV345" s="1">
        <f t="shared" si="74"/>
        <v>3</v>
      </c>
      <c r="AW345" s="4">
        <f t="shared" si="79"/>
        <v>45725</v>
      </c>
      <c r="AX345" s="1" t="str">
        <f t="shared" si="75"/>
        <v>Não</v>
      </c>
    </row>
    <row r="346" spans="34:50" hidden="1" x14ac:dyDescent="0.25">
      <c r="AH346" s="1">
        <f t="shared" si="68"/>
        <v>10</v>
      </c>
      <c r="AI346" s="5">
        <f t="shared" si="76"/>
        <v>45940</v>
      </c>
      <c r="AJ346" s="1" t="str">
        <f t="shared" si="69"/>
        <v>Não</v>
      </c>
      <c r="AK346" s="1"/>
      <c r="AL346" s="1">
        <f t="shared" si="70"/>
        <v>7</v>
      </c>
      <c r="AM346" s="4">
        <f t="shared" si="77"/>
        <v>46220</v>
      </c>
      <c r="AN346" s="1" t="str">
        <f t="shared" si="71"/>
        <v>Não</v>
      </c>
      <c r="AR346" s="1">
        <f t="shared" si="72"/>
        <v>2</v>
      </c>
      <c r="AS346" s="4">
        <f t="shared" si="78"/>
        <v>46430</v>
      </c>
      <c r="AT346" s="1" t="str">
        <f t="shared" si="73"/>
        <v>Não</v>
      </c>
      <c r="AV346" s="1">
        <f t="shared" si="74"/>
        <v>3</v>
      </c>
      <c r="AW346" s="4">
        <f t="shared" si="79"/>
        <v>45726</v>
      </c>
      <c r="AX346" s="1" t="str">
        <f t="shared" si="75"/>
        <v>Não</v>
      </c>
    </row>
    <row r="347" spans="34:50" hidden="1" x14ac:dyDescent="0.25">
      <c r="AH347" s="1">
        <f t="shared" si="68"/>
        <v>10</v>
      </c>
      <c r="AI347" s="5">
        <f t="shared" si="76"/>
        <v>45941</v>
      </c>
      <c r="AJ347" s="1" t="str">
        <f t="shared" si="69"/>
        <v>Não</v>
      </c>
      <c r="AK347" s="1"/>
      <c r="AL347" s="1">
        <f t="shared" si="70"/>
        <v>7</v>
      </c>
      <c r="AM347" s="4">
        <f t="shared" si="77"/>
        <v>46221</v>
      </c>
      <c r="AN347" s="1" t="str">
        <f t="shared" si="71"/>
        <v>Não</v>
      </c>
      <c r="AR347" s="1">
        <f t="shared" si="72"/>
        <v>2</v>
      </c>
      <c r="AS347" s="4">
        <f t="shared" si="78"/>
        <v>46431</v>
      </c>
      <c r="AT347" s="1" t="str">
        <f t="shared" si="73"/>
        <v>Não</v>
      </c>
      <c r="AV347" s="1">
        <f t="shared" si="74"/>
        <v>3</v>
      </c>
      <c r="AW347" s="4">
        <f t="shared" si="79"/>
        <v>45727</v>
      </c>
      <c r="AX347" s="1" t="str">
        <f t="shared" si="75"/>
        <v>Não</v>
      </c>
    </row>
    <row r="348" spans="34:50" hidden="1" x14ac:dyDescent="0.25">
      <c r="AH348" s="1">
        <f t="shared" si="68"/>
        <v>10</v>
      </c>
      <c r="AI348" s="5">
        <f t="shared" si="76"/>
        <v>45942</v>
      </c>
      <c r="AJ348" s="1" t="str">
        <f t="shared" si="69"/>
        <v>Não</v>
      </c>
      <c r="AK348" s="1"/>
      <c r="AL348" s="1">
        <f t="shared" si="70"/>
        <v>7</v>
      </c>
      <c r="AM348" s="4">
        <f t="shared" si="77"/>
        <v>46222</v>
      </c>
      <c r="AN348" s="1" t="str">
        <f t="shared" si="71"/>
        <v>Não</v>
      </c>
      <c r="AR348" s="1">
        <f t="shared" si="72"/>
        <v>2</v>
      </c>
      <c r="AS348" s="4">
        <f t="shared" si="78"/>
        <v>46432</v>
      </c>
      <c r="AT348" s="1" t="str">
        <f t="shared" si="73"/>
        <v>Não</v>
      </c>
      <c r="AV348" s="1">
        <f t="shared" si="74"/>
        <v>3</v>
      </c>
      <c r="AW348" s="4">
        <f t="shared" si="79"/>
        <v>45728</v>
      </c>
      <c r="AX348" s="1" t="str">
        <f t="shared" si="75"/>
        <v>Não</v>
      </c>
    </row>
    <row r="349" spans="34:50" hidden="1" x14ac:dyDescent="0.25">
      <c r="AH349" s="1">
        <f t="shared" si="68"/>
        <v>10</v>
      </c>
      <c r="AI349" s="5">
        <f t="shared" si="76"/>
        <v>45943</v>
      </c>
      <c r="AJ349" s="1" t="str">
        <f t="shared" si="69"/>
        <v>Não</v>
      </c>
      <c r="AK349" s="1"/>
      <c r="AL349" s="1">
        <f t="shared" si="70"/>
        <v>7</v>
      </c>
      <c r="AM349" s="4">
        <f t="shared" si="77"/>
        <v>46223</v>
      </c>
      <c r="AN349" s="1" t="str">
        <f t="shared" si="71"/>
        <v>Não</v>
      </c>
      <c r="AR349" s="1">
        <f t="shared" si="72"/>
        <v>2</v>
      </c>
      <c r="AS349" s="4">
        <f t="shared" si="78"/>
        <v>46433</v>
      </c>
      <c r="AT349" s="1" t="str">
        <f t="shared" si="73"/>
        <v>Não</v>
      </c>
      <c r="AV349" s="1">
        <f t="shared" si="74"/>
        <v>3</v>
      </c>
      <c r="AW349" s="4">
        <f t="shared" si="79"/>
        <v>45729</v>
      </c>
      <c r="AX349" s="1" t="str">
        <f t="shared" si="75"/>
        <v>Não</v>
      </c>
    </row>
    <row r="350" spans="34:50" hidden="1" x14ac:dyDescent="0.25">
      <c r="AH350" s="1">
        <f t="shared" si="68"/>
        <v>10</v>
      </c>
      <c r="AI350" s="5">
        <f t="shared" si="76"/>
        <v>45944</v>
      </c>
      <c r="AJ350" s="1" t="str">
        <f t="shared" si="69"/>
        <v>Não</v>
      </c>
      <c r="AK350" s="1"/>
      <c r="AL350" s="1">
        <f t="shared" si="70"/>
        <v>7</v>
      </c>
      <c r="AM350" s="4">
        <f t="shared" si="77"/>
        <v>46224</v>
      </c>
      <c r="AN350" s="1" t="str">
        <f t="shared" si="71"/>
        <v>Não</v>
      </c>
      <c r="AR350" s="1">
        <f t="shared" si="72"/>
        <v>2</v>
      </c>
      <c r="AS350" s="4">
        <f t="shared" si="78"/>
        <v>46434</v>
      </c>
      <c r="AT350" s="1" t="str">
        <f t="shared" si="73"/>
        <v>Não</v>
      </c>
      <c r="AV350" s="1">
        <f t="shared" si="74"/>
        <v>3</v>
      </c>
      <c r="AW350" s="4">
        <f t="shared" si="79"/>
        <v>45730</v>
      </c>
      <c r="AX350" s="1" t="str">
        <f t="shared" si="75"/>
        <v>Não</v>
      </c>
    </row>
    <row r="351" spans="34:50" hidden="1" x14ac:dyDescent="0.25">
      <c r="AH351" s="1">
        <f t="shared" si="68"/>
        <v>10</v>
      </c>
      <c r="AI351" s="5">
        <f t="shared" si="76"/>
        <v>45945</v>
      </c>
      <c r="AJ351" s="1" t="str">
        <f t="shared" si="69"/>
        <v>Não</v>
      </c>
      <c r="AK351" s="1"/>
      <c r="AL351" s="1">
        <f t="shared" si="70"/>
        <v>7</v>
      </c>
      <c r="AM351" s="4">
        <f t="shared" si="77"/>
        <v>46225</v>
      </c>
      <c r="AN351" s="1" t="str">
        <f t="shared" si="71"/>
        <v>Não</v>
      </c>
      <c r="AR351" s="1">
        <f t="shared" si="72"/>
        <v>2</v>
      </c>
      <c r="AS351" s="4">
        <f t="shared" si="78"/>
        <v>46435</v>
      </c>
      <c r="AT351" s="1" t="str">
        <f t="shared" si="73"/>
        <v>Não</v>
      </c>
      <c r="AV351" s="1">
        <f t="shared" si="74"/>
        <v>3</v>
      </c>
      <c r="AW351" s="4">
        <f t="shared" si="79"/>
        <v>45731</v>
      </c>
      <c r="AX351" s="1" t="str">
        <f t="shared" si="75"/>
        <v>Não</v>
      </c>
    </row>
    <row r="352" spans="34:50" hidden="1" x14ac:dyDescent="0.25">
      <c r="AH352" s="1">
        <f t="shared" si="68"/>
        <v>10</v>
      </c>
      <c r="AI352" s="5">
        <f t="shared" si="76"/>
        <v>45946</v>
      </c>
      <c r="AJ352" s="1" t="str">
        <f t="shared" si="69"/>
        <v>Não</v>
      </c>
      <c r="AK352" s="1"/>
      <c r="AL352" s="1">
        <f t="shared" si="70"/>
        <v>7</v>
      </c>
      <c r="AM352" s="4">
        <f t="shared" si="77"/>
        <v>46226</v>
      </c>
      <c r="AN352" s="1" t="str">
        <f t="shared" si="71"/>
        <v>Não</v>
      </c>
      <c r="AR352" s="1">
        <f t="shared" si="72"/>
        <v>2</v>
      </c>
      <c r="AS352" s="4">
        <f t="shared" si="78"/>
        <v>46436</v>
      </c>
      <c r="AT352" s="1" t="str">
        <f t="shared" si="73"/>
        <v>Não</v>
      </c>
      <c r="AV352" s="1">
        <f t="shared" si="74"/>
        <v>3</v>
      </c>
      <c r="AW352" s="4">
        <f t="shared" si="79"/>
        <v>45732</v>
      </c>
      <c r="AX352" s="1" t="str">
        <f t="shared" si="75"/>
        <v>Não</v>
      </c>
    </row>
    <row r="353" spans="34:50" hidden="1" x14ac:dyDescent="0.25">
      <c r="AH353" s="1">
        <f t="shared" si="68"/>
        <v>10</v>
      </c>
      <c r="AI353" s="5">
        <f t="shared" si="76"/>
        <v>45947</v>
      </c>
      <c r="AJ353" s="1" t="str">
        <f t="shared" si="69"/>
        <v>Não</v>
      </c>
      <c r="AK353" s="1"/>
      <c r="AL353" s="1">
        <f t="shared" si="70"/>
        <v>7</v>
      </c>
      <c r="AM353" s="4">
        <f t="shared" si="77"/>
        <v>46227</v>
      </c>
      <c r="AN353" s="1" t="str">
        <f t="shared" si="71"/>
        <v>Não</v>
      </c>
      <c r="AR353" s="1">
        <f t="shared" si="72"/>
        <v>2</v>
      </c>
      <c r="AS353" s="4">
        <f t="shared" si="78"/>
        <v>46437</v>
      </c>
      <c r="AT353" s="1" t="str">
        <f t="shared" si="73"/>
        <v>Não</v>
      </c>
      <c r="AV353" s="1">
        <f t="shared" si="74"/>
        <v>3</v>
      </c>
      <c r="AW353" s="4">
        <f t="shared" si="79"/>
        <v>45733</v>
      </c>
      <c r="AX353" s="1" t="str">
        <f t="shared" si="75"/>
        <v>Não</v>
      </c>
    </row>
    <row r="354" spans="34:50" hidden="1" x14ac:dyDescent="0.25">
      <c r="AH354" s="1">
        <f t="shared" si="68"/>
        <v>10</v>
      </c>
      <c r="AI354" s="5">
        <f t="shared" si="76"/>
        <v>45948</v>
      </c>
      <c r="AJ354" s="1" t="str">
        <f t="shared" si="69"/>
        <v>Não</v>
      </c>
      <c r="AK354" s="1"/>
      <c r="AL354" s="1">
        <f t="shared" si="70"/>
        <v>7</v>
      </c>
      <c r="AM354" s="4">
        <f t="shared" si="77"/>
        <v>46228</v>
      </c>
      <c r="AN354" s="1" t="str">
        <f t="shared" si="71"/>
        <v>Não</v>
      </c>
      <c r="AR354" s="1">
        <f t="shared" si="72"/>
        <v>2</v>
      </c>
      <c r="AS354" s="4">
        <f t="shared" si="78"/>
        <v>46438</v>
      </c>
      <c r="AT354" s="1" t="str">
        <f t="shared" si="73"/>
        <v>Não</v>
      </c>
      <c r="AV354" s="1">
        <f t="shared" si="74"/>
        <v>3</v>
      </c>
      <c r="AW354" s="4">
        <f t="shared" si="79"/>
        <v>45734</v>
      </c>
      <c r="AX354" s="1" t="str">
        <f t="shared" si="75"/>
        <v>Não</v>
      </c>
    </row>
    <row r="355" spans="34:50" hidden="1" x14ac:dyDescent="0.25">
      <c r="AH355" s="1">
        <f t="shared" si="68"/>
        <v>10</v>
      </c>
      <c r="AI355" s="5">
        <f t="shared" si="76"/>
        <v>45949</v>
      </c>
      <c r="AJ355" s="1" t="str">
        <f t="shared" si="69"/>
        <v>Não</v>
      </c>
      <c r="AK355" s="1"/>
      <c r="AL355" s="1">
        <f t="shared" si="70"/>
        <v>7</v>
      </c>
      <c r="AM355" s="4">
        <f t="shared" si="77"/>
        <v>46229</v>
      </c>
      <c r="AN355" s="1" t="str">
        <f t="shared" si="71"/>
        <v>Não</v>
      </c>
      <c r="AR355" s="1">
        <f t="shared" si="72"/>
        <v>2</v>
      </c>
      <c r="AS355" s="4">
        <f t="shared" si="78"/>
        <v>46439</v>
      </c>
      <c r="AT355" s="1" t="str">
        <f t="shared" si="73"/>
        <v>Não</v>
      </c>
      <c r="AV355" s="1">
        <f t="shared" si="74"/>
        <v>3</v>
      </c>
      <c r="AW355" s="4">
        <f t="shared" si="79"/>
        <v>45735</v>
      </c>
      <c r="AX355" s="1" t="str">
        <f t="shared" si="75"/>
        <v>Não</v>
      </c>
    </row>
    <row r="356" spans="34:50" hidden="1" x14ac:dyDescent="0.25">
      <c r="AH356" s="1">
        <f t="shared" si="68"/>
        <v>10</v>
      </c>
      <c r="AI356" s="5">
        <f t="shared" si="76"/>
        <v>45950</v>
      </c>
      <c r="AJ356" s="1" t="str">
        <f t="shared" si="69"/>
        <v>Não</v>
      </c>
      <c r="AK356" s="1"/>
      <c r="AL356" s="1">
        <f t="shared" si="70"/>
        <v>7</v>
      </c>
      <c r="AM356" s="4">
        <f t="shared" si="77"/>
        <v>46230</v>
      </c>
      <c r="AN356" s="1" t="str">
        <f t="shared" si="71"/>
        <v>Não</v>
      </c>
      <c r="AR356" s="1">
        <f t="shared" si="72"/>
        <v>2</v>
      </c>
      <c r="AS356" s="4">
        <f t="shared" si="78"/>
        <v>46440</v>
      </c>
      <c r="AT356" s="1" t="str">
        <f t="shared" si="73"/>
        <v>Não</v>
      </c>
      <c r="AV356" s="1">
        <f t="shared" si="74"/>
        <v>3</v>
      </c>
      <c r="AW356" s="4">
        <f t="shared" si="79"/>
        <v>45736</v>
      </c>
      <c r="AX356" s="1" t="str">
        <f t="shared" si="75"/>
        <v>Não</v>
      </c>
    </row>
    <row r="357" spans="34:50" hidden="1" x14ac:dyDescent="0.25">
      <c r="AH357" s="1">
        <f t="shared" si="68"/>
        <v>10</v>
      </c>
      <c r="AI357" s="5">
        <f t="shared" si="76"/>
        <v>45951</v>
      </c>
      <c r="AJ357" s="1" t="str">
        <f t="shared" si="69"/>
        <v>Não</v>
      </c>
      <c r="AK357" s="1"/>
      <c r="AL357" s="1">
        <f t="shared" si="70"/>
        <v>7</v>
      </c>
      <c r="AM357" s="4">
        <f t="shared" si="77"/>
        <v>46231</v>
      </c>
      <c r="AN357" s="1" t="str">
        <f t="shared" si="71"/>
        <v>Não</v>
      </c>
      <c r="AR357" s="1">
        <f t="shared" si="72"/>
        <v>2</v>
      </c>
      <c r="AS357" s="4">
        <f t="shared" si="78"/>
        <v>46441</v>
      </c>
      <c r="AT357" s="1" t="str">
        <f t="shared" si="73"/>
        <v>Não</v>
      </c>
      <c r="AV357" s="1">
        <f t="shared" si="74"/>
        <v>3</v>
      </c>
      <c r="AW357" s="4">
        <f t="shared" si="79"/>
        <v>45737</v>
      </c>
      <c r="AX357" s="1" t="str">
        <f t="shared" si="75"/>
        <v>Não</v>
      </c>
    </row>
    <row r="358" spans="34:50" hidden="1" x14ac:dyDescent="0.25">
      <c r="AH358" s="1">
        <f t="shared" si="68"/>
        <v>10</v>
      </c>
      <c r="AI358" s="5">
        <f t="shared" si="76"/>
        <v>45952</v>
      </c>
      <c r="AJ358" s="1" t="str">
        <f t="shared" si="69"/>
        <v>Não</v>
      </c>
      <c r="AK358" s="1"/>
      <c r="AL358" s="1">
        <f t="shared" si="70"/>
        <v>7</v>
      </c>
      <c r="AM358" s="4">
        <f t="shared" si="77"/>
        <v>46232</v>
      </c>
      <c r="AN358" s="1" t="str">
        <f t="shared" si="71"/>
        <v>Não</v>
      </c>
      <c r="AR358" s="1">
        <f t="shared" si="72"/>
        <v>2</v>
      </c>
      <c r="AS358" s="4">
        <f t="shared" si="78"/>
        <v>46442</v>
      </c>
      <c r="AT358" s="1" t="str">
        <f t="shared" si="73"/>
        <v>Não</v>
      </c>
      <c r="AV358" s="1">
        <f t="shared" si="74"/>
        <v>3</v>
      </c>
      <c r="AW358" s="4">
        <f t="shared" si="79"/>
        <v>45738</v>
      </c>
      <c r="AX358" s="1" t="str">
        <f t="shared" si="75"/>
        <v>Não</v>
      </c>
    </row>
    <row r="359" spans="34:50" hidden="1" x14ac:dyDescent="0.25">
      <c r="AH359" s="1">
        <f t="shared" si="68"/>
        <v>10</v>
      </c>
      <c r="AI359" s="5">
        <f t="shared" si="76"/>
        <v>45953</v>
      </c>
      <c r="AJ359" s="1" t="str">
        <f t="shared" si="69"/>
        <v>Não</v>
      </c>
      <c r="AK359" s="1"/>
      <c r="AL359" s="1">
        <f t="shared" si="70"/>
        <v>7</v>
      </c>
      <c r="AM359" s="4">
        <f t="shared" si="77"/>
        <v>46233</v>
      </c>
      <c r="AN359" s="1" t="str">
        <f t="shared" si="71"/>
        <v>Não</v>
      </c>
      <c r="AR359" s="1">
        <f t="shared" si="72"/>
        <v>2</v>
      </c>
      <c r="AS359" s="4">
        <f t="shared" si="78"/>
        <v>46443</v>
      </c>
      <c r="AT359" s="1" t="str">
        <f t="shared" si="73"/>
        <v>Não</v>
      </c>
      <c r="AV359" s="1">
        <f t="shared" si="74"/>
        <v>3</v>
      </c>
      <c r="AW359" s="4">
        <f t="shared" si="79"/>
        <v>45739</v>
      </c>
      <c r="AX359" s="1" t="str">
        <f t="shared" si="75"/>
        <v>Não</v>
      </c>
    </row>
    <row r="360" spans="34:50" hidden="1" x14ac:dyDescent="0.25">
      <c r="AH360" s="1">
        <f t="shared" si="68"/>
        <v>10</v>
      </c>
      <c r="AI360" s="5">
        <f t="shared" si="76"/>
        <v>45954</v>
      </c>
      <c r="AJ360" s="1" t="str">
        <f t="shared" si="69"/>
        <v>Não</v>
      </c>
      <c r="AK360" s="1"/>
      <c r="AL360" s="1">
        <f t="shared" si="70"/>
        <v>7</v>
      </c>
      <c r="AM360" s="4">
        <f t="shared" si="77"/>
        <v>46234</v>
      </c>
      <c r="AN360" s="1" t="str">
        <f t="shared" si="71"/>
        <v>Não</v>
      </c>
      <c r="AR360" s="1">
        <f t="shared" si="72"/>
        <v>2</v>
      </c>
      <c r="AS360" s="4">
        <f t="shared" si="78"/>
        <v>46444</v>
      </c>
      <c r="AT360" s="1" t="str">
        <f t="shared" si="73"/>
        <v>Não</v>
      </c>
      <c r="AV360" s="1">
        <f t="shared" si="74"/>
        <v>3</v>
      </c>
      <c r="AW360" s="4">
        <f t="shared" si="79"/>
        <v>45740</v>
      </c>
      <c r="AX360" s="1" t="str">
        <f t="shared" si="75"/>
        <v>Não</v>
      </c>
    </row>
    <row r="361" spans="34:50" hidden="1" x14ac:dyDescent="0.25">
      <c r="AH361" s="1">
        <f t="shared" si="68"/>
        <v>10</v>
      </c>
      <c r="AI361" s="5">
        <f t="shared" si="76"/>
        <v>45955</v>
      </c>
      <c r="AJ361" s="1" t="str">
        <f t="shared" si="69"/>
        <v>Não</v>
      </c>
      <c r="AK361" s="1"/>
      <c r="AL361" s="1">
        <f t="shared" si="70"/>
        <v>8</v>
      </c>
      <c r="AM361" s="4">
        <f t="shared" si="77"/>
        <v>46235</v>
      </c>
      <c r="AN361" s="1" t="str">
        <f t="shared" si="71"/>
        <v>Não</v>
      </c>
      <c r="AR361" s="1">
        <f t="shared" si="72"/>
        <v>2</v>
      </c>
      <c r="AS361" s="4">
        <f t="shared" si="78"/>
        <v>46445</v>
      </c>
      <c r="AT361" s="1" t="str">
        <f t="shared" si="73"/>
        <v>Não</v>
      </c>
      <c r="AV361" s="1">
        <f t="shared" si="74"/>
        <v>3</v>
      </c>
      <c r="AW361" s="4">
        <f t="shared" si="79"/>
        <v>45741</v>
      </c>
      <c r="AX361" s="1" t="str">
        <f t="shared" si="75"/>
        <v>Não</v>
      </c>
    </row>
    <row r="362" spans="34:50" hidden="1" x14ac:dyDescent="0.25">
      <c r="AH362" s="1">
        <f t="shared" si="68"/>
        <v>10</v>
      </c>
      <c r="AI362" s="5">
        <f t="shared" si="76"/>
        <v>45956</v>
      </c>
      <c r="AJ362" s="1" t="str">
        <f t="shared" si="69"/>
        <v>Não</v>
      </c>
      <c r="AK362" s="1"/>
      <c r="AL362" s="1">
        <f t="shared" si="70"/>
        <v>8</v>
      </c>
      <c r="AM362" s="4">
        <f t="shared" si="77"/>
        <v>46236</v>
      </c>
      <c r="AN362" s="1" t="str">
        <f t="shared" si="71"/>
        <v>Não</v>
      </c>
      <c r="AR362" s="1">
        <f t="shared" si="72"/>
        <v>2</v>
      </c>
      <c r="AS362" s="4">
        <f t="shared" si="78"/>
        <v>46446</v>
      </c>
      <c r="AT362" s="1" t="str">
        <f t="shared" si="73"/>
        <v>Não</v>
      </c>
      <c r="AV362" s="1">
        <f t="shared" si="74"/>
        <v>3</v>
      </c>
      <c r="AW362" s="4">
        <f t="shared" si="79"/>
        <v>45742</v>
      </c>
      <c r="AX362" s="1" t="str">
        <f t="shared" si="75"/>
        <v>Não</v>
      </c>
    </row>
    <row r="363" spans="34:50" hidden="1" x14ac:dyDescent="0.25">
      <c r="AH363" s="1">
        <f t="shared" si="68"/>
        <v>10</v>
      </c>
      <c r="AI363" s="5">
        <f t="shared" si="76"/>
        <v>45957</v>
      </c>
      <c r="AJ363" s="1" t="str">
        <f t="shared" si="69"/>
        <v>Não</v>
      </c>
      <c r="AK363" s="1"/>
      <c r="AL363" s="1">
        <f t="shared" si="70"/>
        <v>8</v>
      </c>
      <c r="AM363" s="4">
        <f t="shared" si="77"/>
        <v>46237</v>
      </c>
      <c r="AN363" s="1" t="str">
        <f t="shared" si="71"/>
        <v>Não</v>
      </c>
      <c r="AR363" s="1">
        <f t="shared" si="72"/>
        <v>3</v>
      </c>
      <c r="AS363" s="4">
        <f t="shared" si="78"/>
        <v>46447</v>
      </c>
      <c r="AT363" s="1" t="str">
        <f t="shared" si="73"/>
        <v>Não</v>
      </c>
      <c r="AV363" s="1">
        <f t="shared" si="74"/>
        <v>3</v>
      </c>
      <c r="AW363" s="4">
        <f t="shared" si="79"/>
        <v>45743</v>
      </c>
      <c r="AX363" s="1" t="str">
        <f t="shared" si="75"/>
        <v>Não</v>
      </c>
    </row>
    <row r="364" spans="34:50" hidden="1" x14ac:dyDescent="0.25">
      <c r="AH364" s="1">
        <f t="shared" si="68"/>
        <v>10</v>
      </c>
      <c r="AI364" s="5">
        <f t="shared" si="76"/>
        <v>45958</v>
      </c>
      <c r="AJ364" s="1" t="str">
        <f t="shared" si="69"/>
        <v>Não</v>
      </c>
      <c r="AK364" s="1"/>
      <c r="AL364" s="1">
        <f t="shared" si="70"/>
        <v>8</v>
      </c>
      <c r="AM364" s="4">
        <f t="shared" si="77"/>
        <v>46238</v>
      </c>
      <c r="AN364" s="1" t="str">
        <f t="shared" si="71"/>
        <v>Não</v>
      </c>
      <c r="AR364" s="1">
        <f t="shared" si="72"/>
        <v>3</v>
      </c>
      <c r="AS364" s="4">
        <f t="shared" si="78"/>
        <v>46448</v>
      </c>
      <c r="AT364" s="1" t="str">
        <f t="shared" si="73"/>
        <v>Não</v>
      </c>
      <c r="AV364" s="1">
        <f t="shared" si="74"/>
        <v>3</v>
      </c>
      <c r="AW364" s="4">
        <f t="shared" si="79"/>
        <v>45744</v>
      </c>
      <c r="AX364" s="1" t="str">
        <f t="shared" si="75"/>
        <v>Não</v>
      </c>
    </row>
    <row r="365" spans="34:50" hidden="1" x14ac:dyDescent="0.25">
      <c r="AH365" s="1">
        <f t="shared" si="68"/>
        <v>10</v>
      </c>
      <c r="AI365" s="5">
        <f t="shared" si="76"/>
        <v>45959</v>
      </c>
      <c r="AJ365" s="1" t="str">
        <f t="shared" si="69"/>
        <v>Não</v>
      </c>
      <c r="AK365" s="1"/>
      <c r="AL365" s="1">
        <f t="shared" si="70"/>
        <v>8</v>
      </c>
      <c r="AM365" s="4">
        <f t="shared" si="77"/>
        <v>46239</v>
      </c>
      <c r="AN365" s="1" t="str">
        <f t="shared" si="71"/>
        <v>Não</v>
      </c>
      <c r="AR365" s="1">
        <f t="shared" si="72"/>
        <v>3</v>
      </c>
      <c r="AS365" s="4">
        <f t="shared" si="78"/>
        <v>46449</v>
      </c>
      <c r="AT365" s="1" t="str">
        <f t="shared" si="73"/>
        <v>Não</v>
      </c>
      <c r="AV365" s="1">
        <f t="shared" si="74"/>
        <v>3</v>
      </c>
      <c r="AW365" s="4">
        <f t="shared" si="79"/>
        <v>45745</v>
      </c>
      <c r="AX365" s="1" t="str">
        <f t="shared" si="75"/>
        <v>Não</v>
      </c>
    </row>
    <row r="366" spans="34:50" hidden="1" x14ac:dyDescent="0.25">
      <c r="AH366" s="1">
        <f t="shared" si="68"/>
        <v>10</v>
      </c>
      <c r="AI366" s="5">
        <f t="shared" si="76"/>
        <v>45960</v>
      </c>
      <c r="AJ366" s="1" t="str">
        <f t="shared" si="69"/>
        <v>Não</v>
      </c>
      <c r="AK366" s="1"/>
      <c r="AL366" s="1">
        <f t="shared" si="70"/>
        <v>8</v>
      </c>
      <c r="AM366" s="4">
        <f t="shared" si="77"/>
        <v>46240</v>
      </c>
      <c r="AN366" s="1" t="str">
        <f t="shared" si="71"/>
        <v>Não</v>
      </c>
      <c r="AR366" s="1">
        <f t="shared" si="72"/>
        <v>3</v>
      </c>
      <c r="AS366" s="4">
        <f t="shared" si="78"/>
        <v>46450</v>
      </c>
      <c r="AT366" s="1" t="str">
        <f t="shared" si="73"/>
        <v>Não</v>
      </c>
      <c r="AV366" s="1">
        <f t="shared" si="74"/>
        <v>3</v>
      </c>
      <c r="AW366" s="4">
        <f t="shared" si="79"/>
        <v>45746</v>
      </c>
      <c r="AX366" s="1" t="str">
        <f t="shared" si="75"/>
        <v>Não</v>
      </c>
    </row>
    <row r="367" spans="34:50" hidden="1" x14ac:dyDescent="0.25">
      <c r="AH367" s="1">
        <f t="shared" si="68"/>
        <v>10</v>
      </c>
      <c r="AI367" s="5">
        <f t="shared" si="76"/>
        <v>45961</v>
      </c>
      <c r="AJ367" s="1" t="str">
        <f t="shared" si="69"/>
        <v>Não</v>
      </c>
      <c r="AK367" s="1"/>
      <c r="AL367" s="1">
        <f t="shared" si="70"/>
        <v>8</v>
      </c>
      <c r="AM367" s="4">
        <f t="shared" si="77"/>
        <v>46241</v>
      </c>
      <c r="AN367" s="1" t="str">
        <f t="shared" si="71"/>
        <v>Não</v>
      </c>
      <c r="AR367" s="1">
        <f t="shared" si="72"/>
        <v>3</v>
      </c>
      <c r="AS367" s="4">
        <f t="shared" si="78"/>
        <v>46451</v>
      </c>
      <c r="AT367" s="1" t="str">
        <f t="shared" si="73"/>
        <v>Não</v>
      </c>
      <c r="AV367" s="1">
        <f t="shared" si="74"/>
        <v>3</v>
      </c>
      <c r="AW367" s="4">
        <f t="shared" si="79"/>
        <v>45747</v>
      </c>
      <c r="AX367" s="1" t="str">
        <f t="shared" si="75"/>
        <v>Não</v>
      </c>
    </row>
    <row r="368" spans="34:50" hidden="1" x14ac:dyDescent="0.25">
      <c r="AH368" s="1">
        <f t="shared" si="68"/>
        <v>11</v>
      </c>
      <c r="AI368" s="5">
        <f t="shared" si="76"/>
        <v>45962</v>
      </c>
      <c r="AJ368" s="1" t="str">
        <f t="shared" si="69"/>
        <v>Não</v>
      </c>
      <c r="AK368" s="1"/>
      <c r="AL368" s="1">
        <f t="shared" si="70"/>
        <v>8</v>
      </c>
      <c r="AM368" s="4">
        <f t="shared" si="77"/>
        <v>46242</v>
      </c>
      <c r="AN368" s="1" t="str">
        <f t="shared" si="71"/>
        <v>Não</v>
      </c>
      <c r="AR368" s="1">
        <f t="shared" si="72"/>
        <v>3</v>
      </c>
      <c r="AS368" s="4">
        <f t="shared" si="78"/>
        <v>46452</v>
      </c>
      <c r="AT368" s="1" t="str">
        <f t="shared" si="73"/>
        <v>Não</v>
      </c>
      <c r="AV368" s="1">
        <f t="shared" si="74"/>
        <v>4</v>
      </c>
      <c r="AW368" s="4">
        <f t="shared" si="79"/>
        <v>45748</v>
      </c>
      <c r="AX368" s="1" t="str">
        <f t="shared" si="75"/>
        <v>Não</v>
      </c>
    </row>
    <row r="369" spans="34:50" hidden="1" x14ac:dyDescent="0.25">
      <c r="AH369" s="1">
        <f t="shared" si="68"/>
        <v>11</v>
      </c>
      <c r="AI369" s="5">
        <f t="shared" si="76"/>
        <v>45963</v>
      </c>
      <c r="AJ369" s="1" t="str">
        <f t="shared" si="69"/>
        <v>Não</v>
      </c>
      <c r="AK369" s="1"/>
      <c r="AL369" s="1">
        <f t="shared" si="70"/>
        <v>8</v>
      </c>
      <c r="AM369" s="4">
        <f t="shared" si="77"/>
        <v>46243</v>
      </c>
      <c r="AN369" s="1" t="str">
        <f t="shared" si="71"/>
        <v>Não</v>
      </c>
      <c r="AR369" s="1">
        <f t="shared" si="72"/>
        <v>3</v>
      </c>
      <c r="AS369" s="4">
        <f t="shared" si="78"/>
        <v>46453</v>
      </c>
      <c r="AT369" s="1" t="str">
        <f t="shared" si="73"/>
        <v>Não</v>
      </c>
      <c r="AV369" s="1">
        <f t="shared" si="74"/>
        <v>4</v>
      </c>
      <c r="AW369" s="4">
        <f t="shared" si="79"/>
        <v>45749</v>
      </c>
      <c r="AX369" s="1" t="str">
        <f t="shared" si="75"/>
        <v>Não</v>
      </c>
    </row>
    <row r="370" spans="34:50" hidden="1" x14ac:dyDescent="0.25">
      <c r="AH370" s="1">
        <f t="shared" si="68"/>
        <v>11</v>
      </c>
      <c r="AI370" s="5">
        <f t="shared" si="76"/>
        <v>45964</v>
      </c>
      <c r="AJ370" s="1" t="str">
        <f t="shared" si="69"/>
        <v>Não</v>
      </c>
      <c r="AK370" s="1"/>
      <c r="AL370" s="1">
        <f t="shared" si="70"/>
        <v>8</v>
      </c>
      <c r="AM370" s="4">
        <f t="shared" si="77"/>
        <v>46244</v>
      </c>
      <c r="AN370" s="1" t="str">
        <f t="shared" si="71"/>
        <v>Não</v>
      </c>
      <c r="AR370" s="1">
        <f t="shared" si="72"/>
        <v>3</v>
      </c>
      <c r="AS370" s="4">
        <f t="shared" si="78"/>
        <v>46454</v>
      </c>
      <c r="AT370" s="1" t="str">
        <f t="shared" si="73"/>
        <v>Não</v>
      </c>
      <c r="AV370" s="1">
        <f t="shared" si="74"/>
        <v>4</v>
      </c>
      <c r="AW370" s="4">
        <f t="shared" si="79"/>
        <v>45750</v>
      </c>
      <c r="AX370" s="1" t="str">
        <f t="shared" si="75"/>
        <v>Não</v>
      </c>
    </row>
    <row r="371" spans="34:50" hidden="1" x14ac:dyDescent="0.25">
      <c r="AH371" s="1">
        <f t="shared" si="68"/>
        <v>11</v>
      </c>
      <c r="AI371" s="5">
        <f t="shared" si="76"/>
        <v>45965</v>
      </c>
      <c r="AJ371" s="1" t="str">
        <f t="shared" si="69"/>
        <v>Não</v>
      </c>
      <c r="AK371" s="1"/>
      <c r="AL371" s="1">
        <f t="shared" si="70"/>
        <v>8</v>
      </c>
      <c r="AM371" s="4">
        <f t="shared" si="77"/>
        <v>46245</v>
      </c>
      <c r="AN371" s="1" t="str">
        <f t="shared" si="71"/>
        <v>Não</v>
      </c>
      <c r="AR371" s="1">
        <f t="shared" si="72"/>
        <v>3</v>
      </c>
      <c r="AS371" s="4">
        <f t="shared" si="78"/>
        <v>46455</v>
      </c>
      <c r="AT371" s="1" t="str">
        <f t="shared" si="73"/>
        <v>Não</v>
      </c>
      <c r="AV371" s="1">
        <f t="shared" si="74"/>
        <v>4</v>
      </c>
      <c r="AW371" s="4">
        <f t="shared" si="79"/>
        <v>45751</v>
      </c>
      <c r="AX371" s="1" t="str">
        <f t="shared" si="75"/>
        <v>Não</v>
      </c>
    </row>
    <row r="372" spans="34:50" hidden="1" x14ac:dyDescent="0.25">
      <c r="AH372" s="1">
        <f t="shared" si="68"/>
        <v>11</v>
      </c>
      <c r="AI372" s="5">
        <f t="shared" si="76"/>
        <v>45966</v>
      </c>
      <c r="AJ372" s="1" t="str">
        <f t="shared" si="69"/>
        <v>Não</v>
      </c>
      <c r="AK372" s="1"/>
      <c r="AL372" s="1">
        <f t="shared" si="70"/>
        <v>8</v>
      </c>
      <c r="AM372" s="4">
        <f t="shared" si="77"/>
        <v>46246</v>
      </c>
      <c r="AN372" s="1" t="str">
        <f t="shared" si="71"/>
        <v>Não</v>
      </c>
      <c r="AR372" s="1">
        <f t="shared" si="72"/>
        <v>3</v>
      </c>
      <c r="AS372" s="4">
        <f t="shared" si="78"/>
        <v>46456</v>
      </c>
      <c r="AT372" s="1" t="str">
        <f t="shared" si="73"/>
        <v>Não</v>
      </c>
      <c r="AV372" s="1">
        <f t="shared" si="74"/>
        <v>4</v>
      </c>
      <c r="AW372" s="4">
        <f t="shared" si="79"/>
        <v>45752</v>
      </c>
      <c r="AX372" s="1" t="str">
        <f t="shared" si="75"/>
        <v>Não</v>
      </c>
    </row>
    <row r="373" spans="34:50" hidden="1" x14ac:dyDescent="0.25">
      <c r="AH373" s="1">
        <f t="shared" si="68"/>
        <v>11</v>
      </c>
      <c r="AI373" s="5">
        <f t="shared" si="76"/>
        <v>45967</v>
      </c>
      <c r="AJ373" s="1" t="str">
        <f t="shared" si="69"/>
        <v>Não</v>
      </c>
      <c r="AK373" s="1"/>
      <c r="AL373" s="1">
        <f t="shared" si="70"/>
        <v>8</v>
      </c>
      <c r="AM373" s="4">
        <f t="shared" si="77"/>
        <v>46247</v>
      </c>
      <c r="AN373" s="1" t="str">
        <f t="shared" si="71"/>
        <v>Não</v>
      </c>
      <c r="AR373" s="1">
        <f t="shared" si="72"/>
        <v>3</v>
      </c>
      <c r="AS373" s="4">
        <f t="shared" si="78"/>
        <v>46457</v>
      </c>
      <c r="AT373" s="1" t="str">
        <f t="shared" si="73"/>
        <v>Não</v>
      </c>
      <c r="AV373" s="1">
        <f t="shared" si="74"/>
        <v>4</v>
      </c>
      <c r="AW373" s="4">
        <f t="shared" si="79"/>
        <v>45753</v>
      </c>
      <c r="AX373" s="1" t="str">
        <f t="shared" si="75"/>
        <v>Não</v>
      </c>
    </row>
    <row r="374" spans="34:50" hidden="1" x14ac:dyDescent="0.25">
      <c r="AH374" s="1">
        <f t="shared" si="68"/>
        <v>11</v>
      </c>
      <c r="AI374" s="5">
        <f t="shared" si="76"/>
        <v>45968</v>
      </c>
      <c r="AJ374" s="1" t="str">
        <f t="shared" si="69"/>
        <v>Não</v>
      </c>
      <c r="AK374" s="1"/>
      <c r="AL374" s="1">
        <f t="shared" si="70"/>
        <v>8</v>
      </c>
      <c r="AM374" s="4">
        <f t="shared" si="77"/>
        <v>46248</v>
      </c>
      <c r="AN374" s="1" t="str">
        <f t="shared" si="71"/>
        <v>Não</v>
      </c>
      <c r="AR374" s="1">
        <f t="shared" si="72"/>
        <v>3</v>
      </c>
      <c r="AS374" s="4">
        <f t="shared" si="78"/>
        <v>46458</v>
      </c>
      <c r="AT374" s="1" t="str">
        <f t="shared" si="73"/>
        <v>Não</v>
      </c>
      <c r="AV374" s="1">
        <f t="shared" si="74"/>
        <v>4</v>
      </c>
      <c r="AW374" s="4">
        <f t="shared" si="79"/>
        <v>45754</v>
      </c>
      <c r="AX374" s="1" t="str">
        <f t="shared" si="75"/>
        <v>Não</v>
      </c>
    </row>
    <row r="375" spans="34:50" hidden="1" x14ac:dyDescent="0.25">
      <c r="AH375" s="1">
        <f t="shared" si="68"/>
        <v>11</v>
      </c>
      <c r="AI375" s="5">
        <f t="shared" si="76"/>
        <v>45969</v>
      </c>
      <c r="AJ375" s="1" t="str">
        <f t="shared" si="69"/>
        <v>Não</v>
      </c>
      <c r="AK375" s="1"/>
      <c r="AL375" s="1">
        <f t="shared" si="70"/>
        <v>8</v>
      </c>
      <c r="AM375" s="4">
        <f t="shared" si="77"/>
        <v>46249</v>
      </c>
      <c r="AN375" s="1" t="str">
        <f t="shared" si="71"/>
        <v>Não</v>
      </c>
      <c r="AR375" s="1">
        <f t="shared" si="72"/>
        <v>3</v>
      </c>
      <c r="AS375" s="4">
        <f t="shared" si="78"/>
        <v>46459</v>
      </c>
      <c r="AT375" s="1" t="str">
        <f t="shared" si="73"/>
        <v>Não</v>
      </c>
      <c r="AV375" s="1">
        <f t="shared" si="74"/>
        <v>4</v>
      </c>
      <c r="AW375" s="4">
        <f t="shared" si="79"/>
        <v>45755</v>
      </c>
      <c r="AX375" s="1" t="str">
        <f t="shared" si="75"/>
        <v>Não</v>
      </c>
    </row>
    <row r="376" spans="34:50" hidden="1" x14ac:dyDescent="0.25">
      <c r="AH376" s="1">
        <f t="shared" si="68"/>
        <v>11</v>
      </c>
      <c r="AI376" s="5">
        <f t="shared" si="76"/>
        <v>45970</v>
      </c>
      <c r="AJ376" s="1" t="str">
        <f t="shared" si="69"/>
        <v>Não</v>
      </c>
      <c r="AK376" s="1"/>
      <c r="AL376" s="1">
        <f t="shared" si="70"/>
        <v>8</v>
      </c>
      <c r="AM376" s="4">
        <f t="shared" si="77"/>
        <v>46250</v>
      </c>
      <c r="AN376" s="1" t="str">
        <f t="shared" si="71"/>
        <v>Não</v>
      </c>
      <c r="AR376" s="1">
        <f t="shared" si="72"/>
        <v>3</v>
      </c>
      <c r="AS376" s="4">
        <f t="shared" si="78"/>
        <v>46460</v>
      </c>
      <c r="AT376" s="1" t="str">
        <f t="shared" si="73"/>
        <v>Não</v>
      </c>
      <c r="AV376" s="1">
        <f t="shared" si="74"/>
        <v>4</v>
      </c>
      <c r="AW376" s="4">
        <f t="shared" si="79"/>
        <v>45756</v>
      </c>
      <c r="AX376" s="1" t="str">
        <f t="shared" si="75"/>
        <v>Não</v>
      </c>
    </row>
    <row r="377" spans="34:50" hidden="1" x14ac:dyDescent="0.25">
      <c r="AH377" s="1">
        <f t="shared" si="68"/>
        <v>11</v>
      </c>
      <c r="AI377" s="5">
        <f t="shared" si="76"/>
        <v>45971</v>
      </c>
      <c r="AJ377" s="1" t="str">
        <f t="shared" si="69"/>
        <v>Não</v>
      </c>
      <c r="AK377" s="1"/>
      <c r="AL377" s="1">
        <f t="shared" si="70"/>
        <v>8</v>
      </c>
      <c r="AM377" s="4">
        <f t="shared" si="77"/>
        <v>46251</v>
      </c>
      <c r="AN377" s="1" t="str">
        <f t="shared" si="71"/>
        <v>Não</v>
      </c>
      <c r="AR377" s="1">
        <f t="shared" si="72"/>
        <v>3</v>
      </c>
      <c r="AS377" s="4">
        <f t="shared" si="78"/>
        <v>46461</v>
      </c>
      <c r="AT377" s="1" t="str">
        <f t="shared" si="73"/>
        <v>Não</v>
      </c>
      <c r="AV377" s="1">
        <f t="shared" si="74"/>
        <v>4</v>
      </c>
      <c r="AW377" s="4">
        <f t="shared" si="79"/>
        <v>45757</v>
      </c>
      <c r="AX377" s="1" t="str">
        <f t="shared" si="75"/>
        <v>Não</v>
      </c>
    </row>
    <row r="378" spans="34:50" hidden="1" x14ac:dyDescent="0.25">
      <c r="AH378" s="1">
        <f t="shared" si="68"/>
        <v>11</v>
      </c>
      <c r="AI378" s="5">
        <f t="shared" si="76"/>
        <v>45972</v>
      </c>
      <c r="AJ378" s="1" t="str">
        <f t="shared" si="69"/>
        <v>Não</v>
      </c>
      <c r="AK378" s="1"/>
      <c r="AL378" s="1">
        <f t="shared" si="70"/>
        <v>8</v>
      </c>
      <c r="AM378" s="4">
        <f t="shared" si="77"/>
        <v>46252</v>
      </c>
      <c r="AN378" s="1" t="str">
        <f t="shared" si="71"/>
        <v>Não</v>
      </c>
      <c r="AR378" s="1">
        <f t="shared" si="72"/>
        <v>3</v>
      </c>
      <c r="AS378" s="4">
        <f t="shared" si="78"/>
        <v>46462</v>
      </c>
      <c r="AT378" s="1" t="str">
        <f t="shared" si="73"/>
        <v>Não</v>
      </c>
      <c r="AV378" s="1">
        <f t="shared" si="74"/>
        <v>4</v>
      </c>
      <c r="AW378" s="4">
        <f t="shared" si="79"/>
        <v>45758</v>
      </c>
      <c r="AX378" s="1" t="str">
        <f t="shared" si="75"/>
        <v>Não</v>
      </c>
    </row>
    <row r="379" spans="34:50" hidden="1" x14ac:dyDescent="0.25">
      <c r="AH379" s="1">
        <f t="shared" si="68"/>
        <v>11</v>
      </c>
      <c r="AI379" s="5">
        <f t="shared" si="76"/>
        <v>45973</v>
      </c>
      <c r="AJ379" s="1" t="str">
        <f t="shared" si="69"/>
        <v>Não</v>
      </c>
      <c r="AK379" s="1"/>
      <c r="AL379" s="1">
        <f t="shared" si="70"/>
        <v>8</v>
      </c>
      <c r="AM379" s="4">
        <f t="shared" si="77"/>
        <v>46253</v>
      </c>
      <c r="AN379" s="1" t="str">
        <f t="shared" si="71"/>
        <v>Não</v>
      </c>
      <c r="AR379" s="1">
        <f t="shared" si="72"/>
        <v>3</v>
      </c>
      <c r="AS379" s="4">
        <f t="shared" si="78"/>
        <v>46463</v>
      </c>
      <c r="AT379" s="1" t="str">
        <f t="shared" si="73"/>
        <v>Não</v>
      </c>
      <c r="AV379" s="1">
        <f t="shared" si="74"/>
        <v>4</v>
      </c>
      <c r="AW379" s="4">
        <f t="shared" si="79"/>
        <v>45759</v>
      </c>
      <c r="AX379" s="1" t="str">
        <f t="shared" si="75"/>
        <v>Não</v>
      </c>
    </row>
    <row r="380" spans="34:50" hidden="1" x14ac:dyDescent="0.25">
      <c r="AH380" s="1">
        <f t="shared" si="68"/>
        <v>11</v>
      </c>
      <c r="AI380" s="5">
        <f t="shared" si="76"/>
        <v>45974</v>
      </c>
      <c r="AJ380" s="1" t="str">
        <f t="shared" si="69"/>
        <v>Não</v>
      </c>
      <c r="AK380" s="1"/>
      <c r="AL380" s="1">
        <f t="shared" si="70"/>
        <v>8</v>
      </c>
      <c r="AM380" s="4">
        <f t="shared" si="77"/>
        <v>46254</v>
      </c>
      <c r="AN380" s="1" t="str">
        <f t="shared" si="71"/>
        <v>Não</v>
      </c>
      <c r="AR380" s="1">
        <f t="shared" si="72"/>
        <v>3</v>
      </c>
      <c r="AS380" s="4">
        <f t="shared" si="78"/>
        <v>46464</v>
      </c>
      <c r="AT380" s="1" t="str">
        <f t="shared" si="73"/>
        <v>Não</v>
      </c>
      <c r="AV380" s="1">
        <f t="shared" si="74"/>
        <v>4</v>
      </c>
      <c r="AW380" s="4">
        <f t="shared" si="79"/>
        <v>45760</v>
      </c>
      <c r="AX380" s="1" t="str">
        <f t="shared" si="75"/>
        <v>Não</v>
      </c>
    </row>
    <row r="381" spans="34:50" hidden="1" x14ac:dyDescent="0.25">
      <c r="AH381" s="1">
        <f t="shared" si="68"/>
        <v>11</v>
      </c>
      <c r="AI381" s="5">
        <f t="shared" si="76"/>
        <v>45975</v>
      </c>
      <c r="AJ381" s="1" t="str">
        <f t="shared" si="69"/>
        <v>Não</v>
      </c>
      <c r="AK381" s="1"/>
      <c r="AL381" s="1">
        <f t="shared" si="70"/>
        <v>8</v>
      </c>
      <c r="AM381" s="4">
        <f t="shared" si="77"/>
        <v>46255</v>
      </c>
      <c r="AN381" s="1" t="str">
        <f t="shared" si="71"/>
        <v>Não</v>
      </c>
      <c r="AR381" s="1">
        <f t="shared" si="72"/>
        <v>3</v>
      </c>
      <c r="AS381" s="4">
        <f t="shared" si="78"/>
        <v>46465</v>
      </c>
      <c r="AT381" s="1" t="str">
        <f t="shared" si="73"/>
        <v>Não</v>
      </c>
      <c r="AV381" s="1">
        <f t="shared" si="74"/>
        <v>4</v>
      </c>
      <c r="AW381" s="4">
        <f t="shared" si="79"/>
        <v>45761</v>
      </c>
      <c r="AX381" s="1" t="str">
        <f t="shared" si="75"/>
        <v>Não</v>
      </c>
    </row>
    <row r="382" spans="34:50" hidden="1" x14ac:dyDescent="0.25">
      <c r="AH382" s="1">
        <f t="shared" si="68"/>
        <v>11</v>
      </c>
      <c r="AI382" s="5">
        <f t="shared" si="76"/>
        <v>45976</v>
      </c>
      <c r="AJ382" s="1" t="str">
        <f t="shared" si="69"/>
        <v>Não</v>
      </c>
      <c r="AK382" s="1"/>
      <c r="AL382" s="1">
        <f t="shared" si="70"/>
        <v>8</v>
      </c>
      <c r="AM382" s="4">
        <f t="shared" si="77"/>
        <v>46256</v>
      </c>
      <c r="AN382" s="1" t="str">
        <f t="shared" si="71"/>
        <v>Não</v>
      </c>
      <c r="AR382" s="1">
        <f t="shared" si="72"/>
        <v>3</v>
      </c>
      <c r="AS382" s="4">
        <f t="shared" si="78"/>
        <v>46466</v>
      </c>
      <c r="AT382" s="1" t="str">
        <f t="shared" si="73"/>
        <v>Não</v>
      </c>
      <c r="AV382" s="1">
        <f t="shared" si="74"/>
        <v>4</v>
      </c>
      <c r="AW382" s="4">
        <f t="shared" si="79"/>
        <v>45762</v>
      </c>
      <c r="AX382" s="1" t="str">
        <f t="shared" si="75"/>
        <v>Não</v>
      </c>
    </row>
    <row r="383" spans="34:50" hidden="1" x14ac:dyDescent="0.25">
      <c r="AH383" s="1">
        <f t="shared" si="68"/>
        <v>11</v>
      </c>
      <c r="AI383" s="5">
        <f t="shared" si="76"/>
        <v>45977</v>
      </c>
      <c r="AJ383" s="1" t="str">
        <f t="shared" si="69"/>
        <v>Não</v>
      </c>
      <c r="AK383" s="1"/>
      <c r="AL383" s="1">
        <f t="shared" si="70"/>
        <v>8</v>
      </c>
      <c r="AM383" s="4">
        <f t="shared" si="77"/>
        <v>46257</v>
      </c>
      <c r="AN383" s="1" t="str">
        <f t="shared" si="71"/>
        <v>Não</v>
      </c>
      <c r="AR383" s="1">
        <f t="shared" si="72"/>
        <v>3</v>
      </c>
      <c r="AS383" s="4">
        <f t="shared" si="78"/>
        <v>46467</v>
      </c>
      <c r="AT383" s="1" t="str">
        <f t="shared" si="73"/>
        <v>Não</v>
      </c>
      <c r="AV383" s="1">
        <f t="shared" si="74"/>
        <v>4</v>
      </c>
      <c r="AW383" s="4">
        <f t="shared" si="79"/>
        <v>45763</v>
      </c>
      <c r="AX383" s="1" t="str">
        <f t="shared" si="75"/>
        <v>Não</v>
      </c>
    </row>
    <row r="384" spans="34:50" hidden="1" x14ac:dyDescent="0.25">
      <c r="AH384" s="1">
        <f t="shared" si="68"/>
        <v>11</v>
      </c>
      <c r="AI384" s="5">
        <f t="shared" si="76"/>
        <v>45978</v>
      </c>
      <c r="AJ384" s="1" t="str">
        <f t="shared" si="69"/>
        <v>Não</v>
      </c>
      <c r="AK384" s="1"/>
      <c r="AL384" s="1">
        <f t="shared" si="70"/>
        <v>8</v>
      </c>
      <c r="AM384" s="4">
        <f t="shared" si="77"/>
        <v>46258</v>
      </c>
      <c r="AN384" s="1" t="str">
        <f t="shared" si="71"/>
        <v>Não</v>
      </c>
      <c r="AR384" s="1">
        <f t="shared" si="72"/>
        <v>3</v>
      </c>
      <c r="AS384" s="4">
        <f t="shared" si="78"/>
        <v>46468</v>
      </c>
      <c r="AT384" s="1" t="str">
        <f t="shared" si="73"/>
        <v>Não</v>
      </c>
      <c r="AV384" s="1">
        <f t="shared" si="74"/>
        <v>4</v>
      </c>
      <c r="AW384" s="4">
        <f t="shared" si="79"/>
        <v>45764</v>
      </c>
      <c r="AX384" s="1" t="str">
        <f t="shared" si="75"/>
        <v>Não</v>
      </c>
    </row>
    <row r="385" spans="34:50" hidden="1" x14ac:dyDescent="0.25">
      <c r="AH385" s="1">
        <f t="shared" si="68"/>
        <v>11</v>
      </c>
      <c r="AI385" s="5">
        <f t="shared" si="76"/>
        <v>45979</v>
      </c>
      <c r="AJ385" s="1" t="str">
        <f t="shared" si="69"/>
        <v>Não</v>
      </c>
      <c r="AK385" s="1"/>
      <c r="AL385" s="1">
        <f t="shared" si="70"/>
        <v>8</v>
      </c>
      <c r="AM385" s="4">
        <f t="shared" si="77"/>
        <v>46259</v>
      </c>
      <c r="AN385" s="1" t="str">
        <f t="shared" si="71"/>
        <v>Não</v>
      </c>
      <c r="AR385" s="1">
        <f t="shared" si="72"/>
        <v>3</v>
      </c>
      <c r="AS385" s="4">
        <f t="shared" si="78"/>
        <v>46469</v>
      </c>
      <c r="AT385" s="1" t="str">
        <f t="shared" si="73"/>
        <v>Não</v>
      </c>
      <c r="AV385" s="1">
        <f t="shared" si="74"/>
        <v>4</v>
      </c>
      <c r="AW385" s="4">
        <f t="shared" si="79"/>
        <v>45765</v>
      </c>
      <c r="AX385" s="1" t="str">
        <f t="shared" si="75"/>
        <v>Não</v>
      </c>
    </row>
    <row r="386" spans="34:50" hidden="1" x14ac:dyDescent="0.25">
      <c r="AH386" s="1">
        <f t="shared" si="68"/>
        <v>11</v>
      </c>
      <c r="AI386" s="5">
        <f t="shared" si="76"/>
        <v>45980</v>
      </c>
      <c r="AJ386" s="1" t="str">
        <f t="shared" si="69"/>
        <v>Não</v>
      </c>
      <c r="AK386" s="1"/>
      <c r="AL386" s="1">
        <f t="shared" si="70"/>
        <v>8</v>
      </c>
      <c r="AM386" s="4">
        <f t="shared" si="77"/>
        <v>46260</v>
      </c>
      <c r="AN386" s="1" t="str">
        <f t="shared" si="71"/>
        <v>Não</v>
      </c>
      <c r="AR386" s="1">
        <f t="shared" si="72"/>
        <v>3</v>
      </c>
      <c r="AS386" s="4">
        <f t="shared" si="78"/>
        <v>46470</v>
      </c>
      <c r="AT386" s="1" t="str">
        <f t="shared" si="73"/>
        <v>Não</v>
      </c>
      <c r="AV386" s="1">
        <f t="shared" si="74"/>
        <v>4</v>
      </c>
      <c r="AW386" s="4">
        <f t="shared" si="79"/>
        <v>45766</v>
      </c>
      <c r="AX386" s="1" t="str">
        <f t="shared" si="75"/>
        <v>Não</v>
      </c>
    </row>
    <row r="387" spans="34:50" hidden="1" x14ac:dyDescent="0.25">
      <c r="AH387" s="1">
        <f t="shared" ref="AH387:AH450" si="80">MONTH(AI387)</f>
        <v>11</v>
      </c>
      <c r="AI387" s="5">
        <f t="shared" si="76"/>
        <v>45981</v>
      </c>
      <c r="AJ387" s="1" t="str">
        <f t="shared" ref="AJ387:AJ450" si="81">IF(AND(AI387&gt;=$C$6,AI387&lt;=$C$8),"Ok","Não")</f>
        <v>Não</v>
      </c>
      <c r="AK387" s="1"/>
      <c r="AL387" s="1">
        <f t="shared" ref="AL387:AL450" si="82">MONTH(AM387)</f>
        <v>8</v>
      </c>
      <c r="AM387" s="4">
        <f t="shared" si="77"/>
        <v>46261</v>
      </c>
      <c r="AN387" s="1" t="str">
        <f t="shared" ref="AN387:AN450" si="83">IF(AND(AM387&gt;=$C$9,AM387&lt;=$C$10),"Ok","Não")</f>
        <v>Não</v>
      </c>
      <c r="AR387" s="1">
        <f t="shared" ref="AR387:AR450" si="84">MONTH(AS387)</f>
        <v>3</v>
      </c>
      <c r="AS387" s="4">
        <f t="shared" si="78"/>
        <v>46471</v>
      </c>
      <c r="AT387" s="1" t="str">
        <f t="shared" ref="AT387:AT450" si="85">IF(AND(AS387&gt;=$C$11,AS387&lt;=$C$12),"Ok","Não")</f>
        <v>Não</v>
      </c>
      <c r="AV387" s="1">
        <f t="shared" ref="AV387:AV450" si="86">MONTH(AW387)</f>
        <v>4</v>
      </c>
      <c r="AW387" s="4">
        <f t="shared" si="79"/>
        <v>45767</v>
      </c>
      <c r="AX387" s="1" t="str">
        <f t="shared" ref="AX387:AX450" si="87">IF(AND(AW387&gt;=$C$4,AW387&lt;=$C$5),"Ok","Não")</f>
        <v>Não</v>
      </c>
    </row>
    <row r="388" spans="34:50" hidden="1" x14ac:dyDescent="0.25">
      <c r="AH388" s="1">
        <f t="shared" si="80"/>
        <v>11</v>
      </c>
      <c r="AI388" s="5">
        <f t="shared" si="76"/>
        <v>45982</v>
      </c>
      <c r="AJ388" s="1" t="str">
        <f t="shared" si="81"/>
        <v>Não</v>
      </c>
      <c r="AK388" s="1"/>
      <c r="AL388" s="1">
        <f t="shared" si="82"/>
        <v>8</v>
      </c>
      <c r="AM388" s="4">
        <f t="shared" si="77"/>
        <v>46262</v>
      </c>
      <c r="AN388" s="1" t="str">
        <f t="shared" si="83"/>
        <v>Não</v>
      </c>
      <c r="AR388" s="1">
        <f t="shared" si="84"/>
        <v>3</v>
      </c>
      <c r="AS388" s="4">
        <f t="shared" si="78"/>
        <v>46472</v>
      </c>
      <c r="AT388" s="1" t="str">
        <f t="shared" si="85"/>
        <v>Não</v>
      </c>
      <c r="AV388" s="1">
        <f t="shared" si="86"/>
        <v>4</v>
      </c>
      <c r="AW388" s="4">
        <f t="shared" si="79"/>
        <v>45768</v>
      </c>
      <c r="AX388" s="1" t="str">
        <f t="shared" si="87"/>
        <v>Não</v>
      </c>
    </row>
    <row r="389" spans="34:50" hidden="1" x14ac:dyDescent="0.25">
      <c r="AH389" s="1">
        <f t="shared" si="80"/>
        <v>11</v>
      </c>
      <c r="AI389" s="5">
        <f t="shared" ref="AI389:AI452" si="88">AI388+1</f>
        <v>45983</v>
      </c>
      <c r="AJ389" s="1" t="str">
        <f t="shared" si="81"/>
        <v>Não</v>
      </c>
      <c r="AK389" s="1"/>
      <c r="AL389" s="1">
        <f t="shared" si="82"/>
        <v>8</v>
      </c>
      <c r="AM389" s="4">
        <f t="shared" ref="AM389:AM452" si="89">AM388+1</f>
        <v>46263</v>
      </c>
      <c r="AN389" s="1" t="str">
        <f t="shared" si="83"/>
        <v>Não</v>
      </c>
      <c r="AR389" s="1">
        <f t="shared" si="84"/>
        <v>3</v>
      </c>
      <c r="AS389" s="4">
        <f t="shared" ref="AS389:AS452" si="90">AS388+1</f>
        <v>46473</v>
      </c>
      <c r="AT389" s="1" t="str">
        <f t="shared" si="85"/>
        <v>Não</v>
      </c>
      <c r="AV389" s="1">
        <f t="shared" si="86"/>
        <v>4</v>
      </c>
      <c r="AW389" s="4">
        <f t="shared" ref="AW389:AW452" si="91">AW388+1</f>
        <v>45769</v>
      </c>
      <c r="AX389" s="1" t="str">
        <f t="shared" si="87"/>
        <v>Não</v>
      </c>
    </row>
    <row r="390" spans="34:50" hidden="1" x14ac:dyDescent="0.25">
      <c r="AH390" s="1">
        <f t="shared" si="80"/>
        <v>11</v>
      </c>
      <c r="AI390" s="5">
        <f t="shared" si="88"/>
        <v>45984</v>
      </c>
      <c r="AJ390" s="1" t="str">
        <f t="shared" si="81"/>
        <v>Não</v>
      </c>
      <c r="AK390" s="1"/>
      <c r="AL390" s="1">
        <f t="shared" si="82"/>
        <v>8</v>
      </c>
      <c r="AM390" s="4">
        <f t="shared" si="89"/>
        <v>46264</v>
      </c>
      <c r="AN390" s="1" t="str">
        <f t="shared" si="83"/>
        <v>Não</v>
      </c>
      <c r="AR390" s="1">
        <f t="shared" si="84"/>
        <v>3</v>
      </c>
      <c r="AS390" s="4">
        <f t="shared" si="90"/>
        <v>46474</v>
      </c>
      <c r="AT390" s="1" t="str">
        <f t="shared" si="85"/>
        <v>Não</v>
      </c>
      <c r="AV390" s="1">
        <f t="shared" si="86"/>
        <v>4</v>
      </c>
      <c r="AW390" s="4">
        <f t="shared" si="91"/>
        <v>45770</v>
      </c>
      <c r="AX390" s="1" t="str">
        <f t="shared" si="87"/>
        <v>Não</v>
      </c>
    </row>
    <row r="391" spans="34:50" hidden="1" x14ac:dyDescent="0.25">
      <c r="AH391" s="1">
        <f t="shared" si="80"/>
        <v>11</v>
      </c>
      <c r="AI391" s="5">
        <f t="shared" si="88"/>
        <v>45985</v>
      </c>
      <c r="AJ391" s="1" t="str">
        <f t="shared" si="81"/>
        <v>Não</v>
      </c>
      <c r="AK391" s="1"/>
      <c r="AL391" s="1">
        <f t="shared" si="82"/>
        <v>8</v>
      </c>
      <c r="AM391" s="4">
        <f t="shared" si="89"/>
        <v>46265</v>
      </c>
      <c r="AN391" s="1" t="str">
        <f t="shared" si="83"/>
        <v>Não</v>
      </c>
      <c r="AR391" s="1">
        <f t="shared" si="84"/>
        <v>3</v>
      </c>
      <c r="AS391" s="4">
        <f t="shared" si="90"/>
        <v>46475</v>
      </c>
      <c r="AT391" s="1" t="str">
        <f t="shared" si="85"/>
        <v>Não</v>
      </c>
      <c r="AV391" s="1">
        <f t="shared" si="86"/>
        <v>4</v>
      </c>
      <c r="AW391" s="4">
        <f t="shared" si="91"/>
        <v>45771</v>
      </c>
      <c r="AX391" s="1" t="str">
        <f t="shared" si="87"/>
        <v>Não</v>
      </c>
    </row>
    <row r="392" spans="34:50" hidden="1" x14ac:dyDescent="0.25">
      <c r="AH392" s="1">
        <f t="shared" si="80"/>
        <v>11</v>
      </c>
      <c r="AI392" s="5">
        <f t="shared" si="88"/>
        <v>45986</v>
      </c>
      <c r="AJ392" s="1" t="str">
        <f t="shared" si="81"/>
        <v>Não</v>
      </c>
      <c r="AK392" s="1"/>
      <c r="AL392" s="1">
        <f t="shared" si="82"/>
        <v>9</v>
      </c>
      <c r="AM392" s="4">
        <f t="shared" si="89"/>
        <v>46266</v>
      </c>
      <c r="AN392" s="1" t="str">
        <f t="shared" si="83"/>
        <v>Não</v>
      </c>
      <c r="AR392" s="1">
        <f t="shared" si="84"/>
        <v>3</v>
      </c>
      <c r="AS392" s="4">
        <f t="shared" si="90"/>
        <v>46476</v>
      </c>
      <c r="AT392" s="1" t="str">
        <f t="shared" si="85"/>
        <v>Não</v>
      </c>
      <c r="AV392" s="1">
        <f t="shared" si="86"/>
        <v>4</v>
      </c>
      <c r="AW392" s="4">
        <f t="shared" si="91"/>
        <v>45772</v>
      </c>
      <c r="AX392" s="1" t="str">
        <f t="shared" si="87"/>
        <v>Não</v>
      </c>
    </row>
    <row r="393" spans="34:50" hidden="1" x14ac:dyDescent="0.25">
      <c r="AH393" s="1">
        <f t="shared" si="80"/>
        <v>11</v>
      </c>
      <c r="AI393" s="5">
        <f t="shared" si="88"/>
        <v>45987</v>
      </c>
      <c r="AJ393" s="1" t="str">
        <f t="shared" si="81"/>
        <v>Não</v>
      </c>
      <c r="AK393" s="1"/>
      <c r="AL393" s="1">
        <f t="shared" si="82"/>
        <v>9</v>
      </c>
      <c r="AM393" s="4">
        <f t="shared" si="89"/>
        <v>46267</v>
      </c>
      <c r="AN393" s="1" t="str">
        <f t="shared" si="83"/>
        <v>Não</v>
      </c>
      <c r="AR393" s="1">
        <f t="shared" si="84"/>
        <v>3</v>
      </c>
      <c r="AS393" s="4">
        <f t="shared" si="90"/>
        <v>46477</v>
      </c>
      <c r="AT393" s="1" t="str">
        <f t="shared" si="85"/>
        <v>Não</v>
      </c>
      <c r="AV393" s="1">
        <f t="shared" si="86"/>
        <v>4</v>
      </c>
      <c r="AW393" s="4">
        <f t="shared" si="91"/>
        <v>45773</v>
      </c>
      <c r="AX393" s="1" t="str">
        <f t="shared" si="87"/>
        <v>Não</v>
      </c>
    </row>
    <row r="394" spans="34:50" hidden="1" x14ac:dyDescent="0.25">
      <c r="AH394" s="1">
        <f t="shared" si="80"/>
        <v>11</v>
      </c>
      <c r="AI394" s="5">
        <f t="shared" si="88"/>
        <v>45988</v>
      </c>
      <c r="AJ394" s="1" t="str">
        <f t="shared" si="81"/>
        <v>Não</v>
      </c>
      <c r="AK394" s="1"/>
      <c r="AL394" s="1">
        <f t="shared" si="82"/>
        <v>9</v>
      </c>
      <c r="AM394" s="4">
        <f t="shared" si="89"/>
        <v>46268</v>
      </c>
      <c r="AN394" s="1" t="str">
        <f t="shared" si="83"/>
        <v>Não</v>
      </c>
      <c r="AR394" s="1">
        <f t="shared" si="84"/>
        <v>4</v>
      </c>
      <c r="AS394" s="4">
        <f t="shared" si="90"/>
        <v>46478</v>
      </c>
      <c r="AT394" s="1" t="str">
        <f t="shared" si="85"/>
        <v>Não</v>
      </c>
      <c r="AV394" s="1">
        <f t="shared" si="86"/>
        <v>4</v>
      </c>
      <c r="AW394" s="4">
        <f t="shared" si="91"/>
        <v>45774</v>
      </c>
      <c r="AX394" s="1" t="str">
        <f t="shared" si="87"/>
        <v>Não</v>
      </c>
    </row>
    <row r="395" spans="34:50" hidden="1" x14ac:dyDescent="0.25">
      <c r="AH395" s="1">
        <f t="shared" si="80"/>
        <v>11</v>
      </c>
      <c r="AI395" s="5">
        <f t="shared" si="88"/>
        <v>45989</v>
      </c>
      <c r="AJ395" s="1" t="str">
        <f t="shared" si="81"/>
        <v>Não</v>
      </c>
      <c r="AK395" s="1"/>
      <c r="AL395" s="1">
        <f t="shared" si="82"/>
        <v>9</v>
      </c>
      <c r="AM395" s="4">
        <f t="shared" si="89"/>
        <v>46269</v>
      </c>
      <c r="AN395" s="1" t="str">
        <f t="shared" si="83"/>
        <v>Não</v>
      </c>
      <c r="AR395" s="1">
        <f t="shared" si="84"/>
        <v>4</v>
      </c>
      <c r="AS395" s="4">
        <f t="shared" si="90"/>
        <v>46479</v>
      </c>
      <c r="AT395" s="1" t="str">
        <f t="shared" si="85"/>
        <v>Não</v>
      </c>
      <c r="AV395" s="1">
        <f t="shared" si="86"/>
        <v>4</v>
      </c>
      <c r="AW395" s="4">
        <f t="shared" si="91"/>
        <v>45775</v>
      </c>
      <c r="AX395" s="1" t="str">
        <f t="shared" si="87"/>
        <v>Não</v>
      </c>
    </row>
    <row r="396" spans="34:50" hidden="1" x14ac:dyDescent="0.25">
      <c r="AH396" s="1">
        <f t="shared" si="80"/>
        <v>11</v>
      </c>
      <c r="AI396" s="5">
        <f t="shared" si="88"/>
        <v>45990</v>
      </c>
      <c r="AJ396" s="1" t="str">
        <f t="shared" si="81"/>
        <v>Não</v>
      </c>
      <c r="AK396" s="1"/>
      <c r="AL396" s="1">
        <f t="shared" si="82"/>
        <v>9</v>
      </c>
      <c r="AM396" s="4">
        <f t="shared" si="89"/>
        <v>46270</v>
      </c>
      <c r="AN396" s="1" t="str">
        <f t="shared" si="83"/>
        <v>Não</v>
      </c>
      <c r="AR396" s="1">
        <f t="shared" si="84"/>
        <v>4</v>
      </c>
      <c r="AS396" s="4">
        <f t="shared" si="90"/>
        <v>46480</v>
      </c>
      <c r="AT396" s="1" t="str">
        <f t="shared" si="85"/>
        <v>Não</v>
      </c>
      <c r="AV396" s="1">
        <f t="shared" si="86"/>
        <v>4</v>
      </c>
      <c r="AW396" s="4">
        <f t="shared" si="91"/>
        <v>45776</v>
      </c>
      <c r="AX396" s="1" t="str">
        <f t="shared" si="87"/>
        <v>Não</v>
      </c>
    </row>
    <row r="397" spans="34:50" hidden="1" x14ac:dyDescent="0.25">
      <c r="AH397" s="1">
        <f t="shared" si="80"/>
        <v>11</v>
      </c>
      <c r="AI397" s="5">
        <f t="shared" si="88"/>
        <v>45991</v>
      </c>
      <c r="AJ397" s="1" t="str">
        <f t="shared" si="81"/>
        <v>Não</v>
      </c>
      <c r="AK397" s="1"/>
      <c r="AL397" s="1">
        <f t="shared" si="82"/>
        <v>9</v>
      </c>
      <c r="AM397" s="4">
        <f t="shared" si="89"/>
        <v>46271</v>
      </c>
      <c r="AN397" s="1" t="str">
        <f t="shared" si="83"/>
        <v>Não</v>
      </c>
      <c r="AR397" s="1">
        <f t="shared" si="84"/>
        <v>4</v>
      </c>
      <c r="AS397" s="4">
        <f t="shared" si="90"/>
        <v>46481</v>
      </c>
      <c r="AT397" s="1" t="str">
        <f t="shared" si="85"/>
        <v>Não</v>
      </c>
      <c r="AV397" s="1">
        <f t="shared" si="86"/>
        <v>4</v>
      </c>
      <c r="AW397" s="4">
        <f t="shared" si="91"/>
        <v>45777</v>
      </c>
      <c r="AX397" s="1" t="str">
        <f t="shared" si="87"/>
        <v>Não</v>
      </c>
    </row>
    <row r="398" spans="34:50" hidden="1" x14ac:dyDescent="0.25">
      <c r="AH398" s="1">
        <f t="shared" si="80"/>
        <v>12</v>
      </c>
      <c r="AI398" s="5">
        <f t="shared" si="88"/>
        <v>45992</v>
      </c>
      <c r="AJ398" s="1" t="str">
        <f t="shared" si="81"/>
        <v>Não</v>
      </c>
      <c r="AK398" s="1"/>
      <c r="AL398" s="1">
        <f t="shared" si="82"/>
        <v>9</v>
      </c>
      <c r="AM398" s="4">
        <f t="shared" si="89"/>
        <v>46272</v>
      </c>
      <c r="AN398" s="1" t="str">
        <f t="shared" si="83"/>
        <v>Não</v>
      </c>
      <c r="AR398" s="1">
        <f t="shared" si="84"/>
        <v>4</v>
      </c>
      <c r="AS398" s="4">
        <f t="shared" si="90"/>
        <v>46482</v>
      </c>
      <c r="AT398" s="1" t="str">
        <f t="shared" si="85"/>
        <v>Não</v>
      </c>
      <c r="AV398" s="1">
        <f t="shared" si="86"/>
        <v>5</v>
      </c>
      <c r="AW398" s="4">
        <f t="shared" si="91"/>
        <v>45778</v>
      </c>
      <c r="AX398" s="1" t="str">
        <f t="shared" si="87"/>
        <v>Não</v>
      </c>
    </row>
    <row r="399" spans="34:50" hidden="1" x14ac:dyDescent="0.25">
      <c r="AH399" s="1">
        <f t="shared" si="80"/>
        <v>12</v>
      </c>
      <c r="AI399" s="5">
        <f t="shared" si="88"/>
        <v>45993</v>
      </c>
      <c r="AJ399" s="1" t="str">
        <f t="shared" si="81"/>
        <v>Não</v>
      </c>
      <c r="AK399" s="1"/>
      <c r="AL399" s="1">
        <f t="shared" si="82"/>
        <v>9</v>
      </c>
      <c r="AM399" s="4">
        <f t="shared" si="89"/>
        <v>46273</v>
      </c>
      <c r="AN399" s="1" t="str">
        <f t="shared" si="83"/>
        <v>Não</v>
      </c>
      <c r="AR399" s="1">
        <f t="shared" si="84"/>
        <v>4</v>
      </c>
      <c r="AS399" s="4">
        <f t="shared" si="90"/>
        <v>46483</v>
      </c>
      <c r="AT399" s="1" t="str">
        <f t="shared" si="85"/>
        <v>Não</v>
      </c>
      <c r="AV399" s="1">
        <f t="shared" si="86"/>
        <v>5</v>
      </c>
      <c r="AW399" s="4">
        <f t="shared" si="91"/>
        <v>45779</v>
      </c>
      <c r="AX399" s="1" t="str">
        <f t="shared" si="87"/>
        <v>Não</v>
      </c>
    </row>
    <row r="400" spans="34:50" hidden="1" x14ac:dyDescent="0.25">
      <c r="AH400" s="1">
        <f t="shared" si="80"/>
        <v>12</v>
      </c>
      <c r="AI400" s="5">
        <f t="shared" si="88"/>
        <v>45994</v>
      </c>
      <c r="AJ400" s="1" t="str">
        <f t="shared" si="81"/>
        <v>Não</v>
      </c>
      <c r="AK400" s="1"/>
      <c r="AL400" s="1">
        <f t="shared" si="82"/>
        <v>9</v>
      </c>
      <c r="AM400" s="4">
        <f t="shared" si="89"/>
        <v>46274</v>
      </c>
      <c r="AN400" s="1" t="str">
        <f t="shared" si="83"/>
        <v>Não</v>
      </c>
      <c r="AR400" s="1">
        <f t="shared" si="84"/>
        <v>4</v>
      </c>
      <c r="AS400" s="4">
        <f t="shared" si="90"/>
        <v>46484</v>
      </c>
      <c r="AT400" s="1" t="str">
        <f t="shared" si="85"/>
        <v>Não</v>
      </c>
      <c r="AV400" s="1">
        <f t="shared" si="86"/>
        <v>5</v>
      </c>
      <c r="AW400" s="4">
        <f t="shared" si="91"/>
        <v>45780</v>
      </c>
      <c r="AX400" s="1" t="str">
        <f t="shared" si="87"/>
        <v>Não</v>
      </c>
    </row>
    <row r="401" spans="34:50" hidden="1" x14ac:dyDescent="0.25">
      <c r="AH401" s="1">
        <f t="shared" si="80"/>
        <v>12</v>
      </c>
      <c r="AI401" s="5">
        <f t="shared" si="88"/>
        <v>45995</v>
      </c>
      <c r="AJ401" s="1" t="str">
        <f t="shared" si="81"/>
        <v>Não</v>
      </c>
      <c r="AK401" s="1"/>
      <c r="AL401" s="1">
        <f t="shared" si="82"/>
        <v>9</v>
      </c>
      <c r="AM401" s="4">
        <f t="shared" si="89"/>
        <v>46275</v>
      </c>
      <c r="AN401" s="1" t="str">
        <f t="shared" si="83"/>
        <v>Não</v>
      </c>
      <c r="AR401" s="1">
        <f t="shared" si="84"/>
        <v>4</v>
      </c>
      <c r="AS401" s="4">
        <f t="shared" si="90"/>
        <v>46485</v>
      </c>
      <c r="AT401" s="1" t="str">
        <f t="shared" si="85"/>
        <v>Não</v>
      </c>
      <c r="AV401" s="1">
        <f t="shared" si="86"/>
        <v>5</v>
      </c>
      <c r="AW401" s="4">
        <f t="shared" si="91"/>
        <v>45781</v>
      </c>
      <c r="AX401" s="1" t="str">
        <f t="shared" si="87"/>
        <v>Não</v>
      </c>
    </row>
    <row r="402" spans="34:50" hidden="1" x14ac:dyDescent="0.25">
      <c r="AH402" s="1">
        <f t="shared" si="80"/>
        <v>12</v>
      </c>
      <c r="AI402" s="5">
        <f t="shared" si="88"/>
        <v>45996</v>
      </c>
      <c r="AJ402" s="1" t="str">
        <f t="shared" si="81"/>
        <v>Não</v>
      </c>
      <c r="AK402" s="1"/>
      <c r="AL402" s="1">
        <f t="shared" si="82"/>
        <v>9</v>
      </c>
      <c r="AM402" s="4">
        <f t="shared" si="89"/>
        <v>46276</v>
      </c>
      <c r="AN402" s="1" t="str">
        <f t="shared" si="83"/>
        <v>Não</v>
      </c>
      <c r="AR402" s="1">
        <f t="shared" si="84"/>
        <v>4</v>
      </c>
      <c r="AS402" s="4">
        <f t="shared" si="90"/>
        <v>46486</v>
      </c>
      <c r="AT402" s="1" t="str">
        <f t="shared" si="85"/>
        <v>Não</v>
      </c>
      <c r="AV402" s="1">
        <f t="shared" si="86"/>
        <v>5</v>
      </c>
      <c r="AW402" s="4">
        <f t="shared" si="91"/>
        <v>45782</v>
      </c>
      <c r="AX402" s="1" t="str">
        <f t="shared" si="87"/>
        <v>Não</v>
      </c>
    </row>
    <row r="403" spans="34:50" hidden="1" x14ac:dyDescent="0.25">
      <c r="AH403" s="1">
        <f t="shared" si="80"/>
        <v>12</v>
      </c>
      <c r="AI403" s="5">
        <f t="shared" si="88"/>
        <v>45997</v>
      </c>
      <c r="AJ403" s="1" t="str">
        <f t="shared" si="81"/>
        <v>Não</v>
      </c>
      <c r="AK403" s="1"/>
      <c r="AL403" s="1">
        <f t="shared" si="82"/>
        <v>9</v>
      </c>
      <c r="AM403" s="4">
        <f t="shared" si="89"/>
        <v>46277</v>
      </c>
      <c r="AN403" s="1" t="str">
        <f t="shared" si="83"/>
        <v>Não</v>
      </c>
      <c r="AR403" s="1">
        <f t="shared" si="84"/>
        <v>4</v>
      </c>
      <c r="AS403" s="4">
        <f t="shared" si="90"/>
        <v>46487</v>
      </c>
      <c r="AT403" s="1" t="str">
        <f t="shared" si="85"/>
        <v>Não</v>
      </c>
      <c r="AV403" s="1">
        <f t="shared" si="86"/>
        <v>5</v>
      </c>
      <c r="AW403" s="4">
        <f t="shared" si="91"/>
        <v>45783</v>
      </c>
      <c r="AX403" s="1" t="str">
        <f t="shared" si="87"/>
        <v>Não</v>
      </c>
    </row>
    <row r="404" spans="34:50" hidden="1" x14ac:dyDescent="0.25">
      <c r="AH404" s="1">
        <f t="shared" si="80"/>
        <v>12</v>
      </c>
      <c r="AI404" s="5">
        <f t="shared" si="88"/>
        <v>45998</v>
      </c>
      <c r="AJ404" s="1" t="str">
        <f t="shared" si="81"/>
        <v>Não</v>
      </c>
      <c r="AK404" s="1"/>
      <c r="AL404" s="1">
        <f t="shared" si="82"/>
        <v>9</v>
      </c>
      <c r="AM404" s="4">
        <f t="shared" si="89"/>
        <v>46278</v>
      </c>
      <c r="AN404" s="1" t="str">
        <f t="shared" si="83"/>
        <v>Não</v>
      </c>
      <c r="AR404" s="1">
        <f t="shared" si="84"/>
        <v>4</v>
      </c>
      <c r="AS404" s="4">
        <f t="shared" si="90"/>
        <v>46488</v>
      </c>
      <c r="AT404" s="1" t="str">
        <f t="shared" si="85"/>
        <v>Não</v>
      </c>
      <c r="AV404" s="1">
        <f t="shared" si="86"/>
        <v>5</v>
      </c>
      <c r="AW404" s="4">
        <f t="shared" si="91"/>
        <v>45784</v>
      </c>
      <c r="AX404" s="1" t="str">
        <f t="shared" si="87"/>
        <v>Não</v>
      </c>
    </row>
    <row r="405" spans="34:50" hidden="1" x14ac:dyDescent="0.25">
      <c r="AH405" s="1">
        <f t="shared" si="80"/>
        <v>12</v>
      </c>
      <c r="AI405" s="5">
        <f t="shared" si="88"/>
        <v>45999</v>
      </c>
      <c r="AJ405" s="1" t="str">
        <f t="shared" si="81"/>
        <v>Não</v>
      </c>
      <c r="AK405" s="1"/>
      <c r="AL405" s="1">
        <f t="shared" si="82"/>
        <v>9</v>
      </c>
      <c r="AM405" s="4">
        <f t="shared" si="89"/>
        <v>46279</v>
      </c>
      <c r="AN405" s="1" t="str">
        <f t="shared" si="83"/>
        <v>Não</v>
      </c>
      <c r="AR405" s="1">
        <f t="shared" si="84"/>
        <v>4</v>
      </c>
      <c r="AS405" s="4">
        <f t="shared" si="90"/>
        <v>46489</v>
      </c>
      <c r="AT405" s="1" t="str">
        <f t="shared" si="85"/>
        <v>Não</v>
      </c>
      <c r="AV405" s="1">
        <f t="shared" si="86"/>
        <v>5</v>
      </c>
      <c r="AW405" s="4">
        <f t="shared" si="91"/>
        <v>45785</v>
      </c>
      <c r="AX405" s="1" t="str">
        <f t="shared" si="87"/>
        <v>Não</v>
      </c>
    </row>
    <row r="406" spans="34:50" hidden="1" x14ac:dyDescent="0.25">
      <c r="AH406" s="1">
        <f t="shared" si="80"/>
        <v>12</v>
      </c>
      <c r="AI406" s="5">
        <f t="shared" si="88"/>
        <v>46000</v>
      </c>
      <c r="AJ406" s="1" t="str">
        <f t="shared" si="81"/>
        <v>Não</v>
      </c>
      <c r="AK406" s="1"/>
      <c r="AL406" s="1">
        <f t="shared" si="82"/>
        <v>9</v>
      </c>
      <c r="AM406" s="4">
        <f t="shared" si="89"/>
        <v>46280</v>
      </c>
      <c r="AN406" s="1" t="str">
        <f t="shared" si="83"/>
        <v>Não</v>
      </c>
      <c r="AR406" s="1">
        <f t="shared" si="84"/>
        <v>4</v>
      </c>
      <c r="AS406" s="4">
        <f t="shared" si="90"/>
        <v>46490</v>
      </c>
      <c r="AT406" s="1" t="str">
        <f t="shared" si="85"/>
        <v>Não</v>
      </c>
      <c r="AV406" s="1">
        <f t="shared" si="86"/>
        <v>5</v>
      </c>
      <c r="AW406" s="4">
        <f t="shared" si="91"/>
        <v>45786</v>
      </c>
      <c r="AX406" s="1" t="str">
        <f t="shared" si="87"/>
        <v>Não</v>
      </c>
    </row>
    <row r="407" spans="34:50" hidden="1" x14ac:dyDescent="0.25">
      <c r="AH407" s="1">
        <f t="shared" si="80"/>
        <v>12</v>
      </c>
      <c r="AI407" s="5">
        <f t="shared" si="88"/>
        <v>46001</v>
      </c>
      <c r="AJ407" s="1" t="str">
        <f t="shared" si="81"/>
        <v>Não</v>
      </c>
      <c r="AK407" s="1"/>
      <c r="AL407" s="1">
        <f t="shared" si="82"/>
        <v>9</v>
      </c>
      <c r="AM407" s="4">
        <f t="shared" si="89"/>
        <v>46281</v>
      </c>
      <c r="AN407" s="1" t="str">
        <f t="shared" si="83"/>
        <v>Não</v>
      </c>
      <c r="AR407" s="1">
        <f t="shared" si="84"/>
        <v>4</v>
      </c>
      <c r="AS407" s="4">
        <f t="shared" si="90"/>
        <v>46491</v>
      </c>
      <c r="AT407" s="1" t="str">
        <f t="shared" si="85"/>
        <v>Não</v>
      </c>
      <c r="AV407" s="1">
        <f t="shared" si="86"/>
        <v>5</v>
      </c>
      <c r="AW407" s="4">
        <f t="shared" si="91"/>
        <v>45787</v>
      </c>
      <c r="AX407" s="1" t="str">
        <f t="shared" si="87"/>
        <v>Não</v>
      </c>
    </row>
    <row r="408" spans="34:50" hidden="1" x14ac:dyDescent="0.25">
      <c r="AH408" s="1">
        <f t="shared" si="80"/>
        <v>12</v>
      </c>
      <c r="AI408" s="5">
        <f t="shared" si="88"/>
        <v>46002</v>
      </c>
      <c r="AJ408" s="1" t="str">
        <f t="shared" si="81"/>
        <v>Não</v>
      </c>
      <c r="AK408" s="1"/>
      <c r="AL408" s="1">
        <f t="shared" si="82"/>
        <v>9</v>
      </c>
      <c r="AM408" s="4">
        <f t="shared" si="89"/>
        <v>46282</v>
      </c>
      <c r="AN408" s="1" t="str">
        <f t="shared" si="83"/>
        <v>Não</v>
      </c>
      <c r="AR408" s="1">
        <f t="shared" si="84"/>
        <v>4</v>
      </c>
      <c r="AS408" s="4">
        <f t="shared" si="90"/>
        <v>46492</v>
      </c>
      <c r="AT408" s="1" t="str">
        <f t="shared" si="85"/>
        <v>Não</v>
      </c>
      <c r="AV408" s="1">
        <f t="shared" si="86"/>
        <v>5</v>
      </c>
      <c r="AW408" s="4">
        <f t="shared" si="91"/>
        <v>45788</v>
      </c>
      <c r="AX408" s="1" t="str">
        <f t="shared" si="87"/>
        <v>Não</v>
      </c>
    </row>
    <row r="409" spans="34:50" hidden="1" x14ac:dyDescent="0.25">
      <c r="AH409" s="1">
        <f t="shared" si="80"/>
        <v>12</v>
      </c>
      <c r="AI409" s="5">
        <f t="shared" si="88"/>
        <v>46003</v>
      </c>
      <c r="AJ409" s="1" t="str">
        <f t="shared" si="81"/>
        <v>Não</v>
      </c>
      <c r="AK409" s="1"/>
      <c r="AL409" s="1">
        <f t="shared" si="82"/>
        <v>9</v>
      </c>
      <c r="AM409" s="4">
        <f t="shared" si="89"/>
        <v>46283</v>
      </c>
      <c r="AN409" s="1" t="str">
        <f t="shared" si="83"/>
        <v>Não</v>
      </c>
      <c r="AR409" s="1">
        <f t="shared" si="84"/>
        <v>4</v>
      </c>
      <c r="AS409" s="4">
        <f t="shared" si="90"/>
        <v>46493</v>
      </c>
      <c r="AT409" s="1" t="str">
        <f t="shared" si="85"/>
        <v>Não</v>
      </c>
      <c r="AV409" s="1">
        <f t="shared" si="86"/>
        <v>5</v>
      </c>
      <c r="AW409" s="4">
        <f t="shared" si="91"/>
        <v>45789</v>
      </c>
      <c r="AX409" s="1" t="str">
        <f t="shared" si="87"/>
        <v>Não</v>
      </c>
    </row>
    <row r="410" spans="34:50" hidden="1" x14ac:dyDescent="0.25">
      <c r="AH410" s="1">
        <f t="shared" si="80"/>
        <v>12</v>
      </c>
      <c r="AI410" s="5">
        <f t="shared" si="88"/>
        <v>46004</v>
      </c>
      <c r="AJ410" s="1" t="str">
        <f t="shared" si="81"/>
        <v>Não</v>
      </c>
      <c r="AK410" s="1"/>
      <c r="AL410" s="1">
        <f t="shared" si="82"/>
        <v>9</v>
      </c>
      <c r="AM410" s="4">
        <f t="shared" si="89"/>
        <v>46284</v>
      </c>
      <c r="AN410" s="1" t="str">
        <f t="shared" si="83"/>
        <v>Não</v>
      </c>
      <c r="AR410" s="1">
        <f t="shared" si="84"/>
        <v>4</v>
      </c>
      <c r="AS410" s="4">
        <f t="shared" si="90"/>
        <v>46494</v>
      </c>
      <c r="AT410" s="1" t="str">
        <f t="shared" si="85"/>
        <v>Não</v>
      </c>
      <c r="AV410" s="1">
        <f t="shared" si="86"/>
        <v>5</v>
      </c>
      <c r="AW410" s="4">
        <f t="shared" si="91"/>
        <v>45790</v>
      </c>
      <c r="AX410" s="1" t="str">
        <f t="shared" si="87"/>
        <v>Não</v>
      </c>
    </row>
    <row r="411" spans="34:50" hidden="1" x14ac:dyDescent="0.25">
      <c r="AH411" s="1">
        <f t="shared" si="80"/>
        <v>12</v>
      </c>
      <c r="AI411" s="5">
        <f t="shared" si="88"/>
        <v>46005</v>
      </c>
      <c r="AJ411" s="1" t="str">
        <f t="shared" si="81"/>
        <v>Não</v>
      </c>
      <c r="AK411" s="1"/>
      <c r="AL411" s="1">
        <f t="shared" si="82"/>
        <v>9</v>
      </c>
      <c r="AM411" s="4">
        <f t="shared" si="89"/>
        <v>46285</v>
      </c>
      <c r="AN411" s="1" t="str">
        <f t="shared" si="83"/>
        <v>Não</v>
      </c>
      <c r="AR411" s="1">
        <f t="shared" si="84"/>
        <v>4</v>
      </c>
      <c r="AS411" s="4">
        <f t="shared" si="90"/>
        <v>46495</v>
      </c>
      <c r="AT411" s="1" t="str">
        <f t="shared" si="85"/>
        <v>Não</v>
      </c>
      <c r="AV411" s="1">
        <f t="shared" si="86"/>
        <v>5</v>
      </c>
      <c r="AW411" s="4">
        <f t="shared" si="91"/>
        <v>45791</v>
      </c>
      <c r="AX411" s="1" t="str">
        <f t="shared" si="87"/>
        <v>Não</v>
      </c>
    </row>
    <row r="412" spans="34:50" hidden="1" x14ac:dyDescent="0.25">
      <c r="AH412" s="1">
        <f t="shared" si="80"/>
        <v>12</v>
      </c>
      <c r="AI412" s="5">
        <f t="shared" si="88"/>
        <v>46006</v>
      </c>
      <c r="AJ412" s="1" t="str">
        <f t="shared" si="81"/>
        <v>Não</v>
      </c>
      <c r="AK412" s="1"/>
      <c r="AL412" s="1">
        <f t="shared" si="82"/>
        <v>9</v>
      </c>
      <c r="AM412" s="4">
        <f t="shared" si="89"/>
        <v>46286</v>
      </c>
      <c r="AN412" s="1" t="str">
        <f t="shared" si="83"/>
        <v>Não</v>
      </c>
      <c r="AR412" s="1">
        <f t="shared" si="84"/>
        <v>4</v>
      </c>
      <c r="AS412" s="4">
        <f t="shared" si="90"/>
        <v>46496</v>
      </c>
      <c r="AT412" s="1" t="str">
        <f t="shared" si="85"/>
        <v>Não</v>
      </c>
      <c r="AV412" s="1">
        <f t="shared" si="86"/>
        <v>5</v>
      </c>
      <c r="AW412" s="4">
        <f t="shared" si="91"/>
        <v>45792</v>
      </c>
      <c r="AX412" s="1" t="str">
        <f t="shared" si="87"/>
        <v>Não</v>
      </c>
    </row>
    <row r="413" spans="34:50" hidden="1" x14ac:dyDescent="0.25">
      <c r="AH413" s="1">
        <f t="shared" si="80"/>
        <v>12</v>
      </c>
      <c r="AI413" s="5">
        <f t="shared" si="88"/>
        <v>46007</v>
      </c>
      <c r="AJ413" s="1" t="str">
        <f t="shared" si="81"/>
        <v>Não</v>
      </c>
      <c r="AK413" s="1"/>
      <c r="AL413" s="1">
        <f t="shared" si="82"/>
        <v>9</v>
      </c>
      <c r="AM413" s="4">
        <f t="shared" si="89"/>
        <v>46287</v>
      </c>
      <c r="AN413" s="1" t="str">
        <f t="shared" si="83"/>
        <v>Não</v>
      </c>
      <c r="AR413" s="1">
        <f t="shared" si="84"/>
        <v>4</v>
      </c>
      <c r="AS413" s="4">
        <f t="shared" si="90"/>
        <v>46497</v>
      </c>
      <c r="AT413" s="1" t="str">
        <f t="shared" si="85"/>
        <v>Não</v>
      </c>
      <c r="AV413" s="1">
        <f t="shared" si="86"/>
        <v>5</v>
      </c>
      <c r="AW413" s="4">
        <f t="shared" si="91"/>
        <v>45793</v>
      </c>
      <c r="AX413" s="1" t="str">
        <f t="shared" si="87"/>
        <v>Não</v>
      </c>
    </row>
    <row r="414" spans="34:50" hidden="1" x14ac:dyDescent="0.25">
      <c r="AH414" s="1">
        <f t="shared" si="80"/>
        <v>12</v>
      </c>
      <c r="AI414" s="5">
        <f t="shared" si="88"/>
        <v>46008</v>
      </c>
      <c r="AJ414" s="1" t="str">
        <f t="shared" si="81"/>
        <v>Não</v>
      </c>
      <c r="AK414" s="1"/>
      <c r="AL414" s="1">
        <f t="shared" si="82"/>
        <v>9</v>
      </c>
      <c r="AM414" s="4">
        <f t="shared" si="89"/>
        <v>46288</v>
      </c>
      <c r="AN414" s="1" t="str">
        <f t="shared" si="83"/>
        <v>Não</v>
      </c>
      <c r="AR414" s="1">
        <f t="shared" si="84"/>
        <v>4</v>
      </c>
      <c r="AS414" s="4">
        <f t="shared" si="90"/>
        <v>46498</v>
      </c>
      <c r="AT414" s="1" t="str">
        <f t="shared" si="85"/>
        <v>Não</v>
      </c>
      <c r="AV414" s="1">
        <f t="shared" si="86"/>
        <v>5</v>
      </c>
      <c r="AW414" s="4">
        <f t="shared" si="91"/>
        <v>45794</v>
      </c>
      <c r="AX414" s="1" t="str">
        <f t="shared" si="87"/>
        <v>Não</v>
      </c>
    </row>
    <row r="415" spans="34:50" hidden="1" x14ac:dyDescent="0.25">
      <c r="AH415" s="1">
        <f t="shared" si="80"/>
        <v>12</v>
      </c>
      <c r="AI415" s="5">
        <f t="shared" si="88"/>
        <v>46009</v>
      </c>
      <c r="AJ415" s="1" t="str">
        <f t="shared" si="81"/>
        <v>Não</v>
      </c>
      <c r="AK415" s="1"/>
      <c r="AL415" s="1">
        <f t="shared" si="82"/>
        <v>9</v>
      </c>
      <c r="AM415" s="4">
        <f t="shared" si="89"/>
        <v>46289</v>
      </c>
      <c r="AN415" s="1" t="str">
        <f t="shared" si="83"/>
        <v>Não</v>
      </c>
      <c r="AR415" s="1">
        <f t="shared" si="84"/>
        <v>4</v>
      </c>
      <c r="AS415" s="4">
        <f t="shared" si="90"/>
        <v>46499</v>
      </c>
      <c r="AT415" s="1" t="str">
        <f t="shared" si="85"/>
        <v>Não</v>
      </c>
      <c r="AV415" s="1">
        <f t="shared" si="86"/>
        <v>5</v>
      </c>
      <c r="AW415" s="4">
        <f t="shared" si="91"/>
        <v>45795</v>
      </c>
      <c r="AX415" s="1" t="str">
        <f t="shared" si="87"/>
        <v>Não</v>
      </c>
    </row>
    <row r="416" spans="34:50" hidden="1" x14ac:dyDescent="0.25">
      <c r="AH416" s="1">
        <f t="shared" si="80"/>
        <v>12</v>
      </c>
      <c r="AI416" s="5">
        <f t="shared" si="88"/>
        <v>46010</v>
      </c>
      <c r="AJ416" s="1" t="str">
        <f t="shared" si="81"/>
        <v>Não</v>
      </c>
      <c r="AK416" s="1"/>
      <c r="AL416" s="1">
        <f t="shared" si="82"/>
        <v>9</v>
      </c>
      <c r="AM416" s="4">
        <f t="shared" si="89"/>
        <v>46290</v>
      </c>
      <c r="AN416" s="1" t="str">
        <f t="shared" si="83"/>
        <v>Não</v>
      </c>
      <c r="AR416" s="1">
        <f t="shared" si="84"/>
        <v>4</v>
      </c>
      <c r="AS416" s="4">
        <f t="shared" si="90"/>
        <v>46500</v>
      </c>
      <c r="AT416" s="1" t="str">
        <f t="shared" si="85"/>
        <v>Não</v>
      </c>
      <c r="AV416" s="1">
        <f t="shared" si="86"/>
        <v>5</v>
      </c>
      <c r="AW416" s="4">
        <f t="shared" si="91"/>
        <v>45796</v>
      </c>
      <c r="AX416" s="1" t="str">
        <f t="shared" si="87"/>
        <v>Não</v>
      </c>
    </row>
    <row r="417" spans="34:50" hidden="1" x14ac:dyDescent="0.25">
      <c r="AH417" s="1">
        <f t="shared" si="80"/>
        <v>12</v>
      </c>
      <c r="AI417" s="5">
        <f t="shared" si="88"/>
        <v>46011</v>
      </c>
      <c r="AJ417" s="1" t="str">
        <f t="shared" si="81"/>
        <v>Não</v>
      </c>
      <c r="AK417" s="1"/>
      <c r="AL417" s="1">
        <f t="shared" si="82"/>
        <v>9</v>
      </c>
      <c r="AM417" s="4">
        <f t="shared" si="89"/>
        <v>46291</v>
      </c>
      <c r="AN417" s="1" t="str">
        <f t="shared" si="83"/>
        <v>Não</v>
      </c>
      <c r="AR417" s="1">
        <f t="shared" si="84"/>
        <v>4</v>
      </c>
      <c r="AS417" s="4">
        <f t="shared" si="90"/>
        <v>46501</v>
      </c>
      <c r="AT417" s="1" t="str">
        <f t="shared" si="85"/>
        <v>Não</v>
      </c>
      <c r="AV417" s="1">
        <f t="shared" si="86"/>
        <v>5</v>
      </c>
      <c r="AW417" s="4">
        <f t="shared" si="91"/>
        <v>45797</v>
      </c>
      <c r="AX417" s="1" t="str">
        <f t="shared" si="87"/>
        <v>Não</v>
      </c>
    </row>
    <row r="418" spans="34:50" hidden="1" x14ac:dyDescent="0.25">
      <c r="AH418" s="1">
        <f t="shared" si="80"/>
        <v>12</v>
      </c>
      <c r="AI418" s="5">
        <f t="shared" si="88"/>
        <v>46012</v>
      </c>
      <c r="AJ418" s="1" t="str">
        <f t="shared" si="81"/>
        <v>Não</v>
      </c>
      <c r="AK418" s="1"/>
      <c r="AL418" s="1">
        <f t="shared" si="82"/>
        <v>9</v>
      </c>
      <c r="AM418" s="4">
        <f t="shared" si="89"/>
        <v>46292</v>
      </c>
      <c r="AN418" s="1" t="str">
        <f t="shared" si="83"/>
        <v>Não</v>
      </c>
      <c r="AR418" s="1">
        <f t="shared" si="84"/>
        <v>4</v>
      </c>
      <c r="AS418" s="4">
        <f t="shared" si="90"/>
        <v>46502</v>
      </c>
      <c r="AT418" s="1" t="str">
        <f t="shared" si="85"/>
        <v>Não</v>
      </c>
      <c r="AV418" s="1">
        <f t="shared" si="86"/>
        <v>5</v>
      </c>
      <c r="AW418" s="4">
        <f t="shared" si="91"/>
        <v>45798</v>
      </c>
      <c r="AX418" s="1" t="str">
        <f t="shared" si="87"/>
        <v>Não</v>
      </c>
    </row>
    <row r="419" spans="34:50" hidden="1" x14ac:dyDescent="0.25">
      <c r="AH419" s="1">
        <f t="shared" si="80"/>
        <v>12</v>
      </c>
      <c r="AI419" s="5">
        <f t="shared" si="88"/>
        <v>46013</v>
      </c>
      <c r="AJ419" s="1" t="str">
        <f t="shared" si="81"/>
        <v>Não</v>
      </c>
      <c r="AK419" s="1"/>
      <c r="AL419" s="1">
        <f t="shared" si="82"/>
        <v>9</v>
      </c>
      <c r="AM419" s="4">
        <f t="shared" si="89"/>
        <v>46293</v>
      </c>
      <c r="AN419" s="1" t="str">
        <f t="shared" si="83"/>
        <v>Não</v>
      </c>
      <c r="AR419" s="1">
        <f t="shared" si="84"/>
        <v>4</v>
      </c>
      <c r="AS419" s="4">
        <f t="shared" si="90"/>
        <v>46503</v>
      </c>
      <c r="AT419" s="1" t="str">
        <f t="shared" si="85"/>
        <v>Não</v>
      </c>
      <c r="AV419" s="1">
        <f t="shared" si="86"/>
        <v>5</v>
      </c>
      <c r="AW419" s="4">
        <f t="shared" si="91"/>
        <v>45799</v>
      </c>
      <c r="AX419" s="1" t="str">
        <f t="shared" si="87"/>
        <v>Não</v>
      </c>
    </row>
    <row r="420" spans="34:50" hidden="1" x14ac:dyDescent="0.25">
      <c r="AH420" s="1">
        <f t="shared" si="80"/>
        <v>12</v>
      </c>
      <c r="AI420" s="5">
        <f t="shared" si="88"/>
        <v>46014</v>
      </c>
      <c r="AJ420" s="1" t="str">
        <f t="shared" si="81"/>
        <v>Não</v>
      </c>
      <c r="AK420" s="1"/>
      <c r="AL420" s="1">
        <f t="shared" si="82"/>
        <v>9</v>
      </c>
      <c r="AM420" s="4">
        <f t="shared" si="89"/>
        <v>46294</v>
      </c>
      <c r="AN420" s="1" t="str">
        <f t="shared" si="83"/>
        <v>Não</v>
      </c>
      <c r="AR420" s="1">
        <f t="shared" si="84"/>
        <v>4</v>
      </c>
      <c r="AS420" s="4">
        <f t="shared" si="90"/>
        <v>46504</v>
      </c>
      <c r="AT420" s="1" t="str">
        <f t="shared" si="85"/>
        <v>Não</v>
      </c>
      <c r="AV420" s="1">
        <f t="shared" si="86"/>
        <v>5</v>
      </c>
      <c r="AW420" s="4">
        <f t="shared" si="91"/>
        <v>45800</v>
      </c>
      <c r="AX420" s="1" t="str">
        <f t="shared" si="87"/>
        <v>Não</v>
      </c>
    </row>
    <row r="421" spans="34:50" hidden="1" x14ac:dyDescent="0.25">
      <c r="AH421" s="1">
        <f t="shared" si="80"/>
        <v>12</v>
      </c>
      <c r="AI421" s="5">
        <f t="shared" si="88"/>
        <v>46015</v>
      </c>
      <c r="AJ421" s="1" t="str">
        <f t="shared" si="81"/>
        <v>Não</v>
      </c>
      <c r="AK421" s="1"/>
      <c r="AL421" s="1">
        <f t="shared" si="82"/>
        <v>9</v>
      </c>
      <c r="AM421" s="4">
        <f t="shared" si="89"/>
        <v>46295</v>
      </c>
      <c r="AN421" s="1" t="str">
        <f t="shared" si="83"/>
        <v>Não</v>
      </c>
      <c r="AR421" s="1">
        <f t="shared" si="84"/>
        <v>4</v>
      </c>
      <c r="AS421" s="4">
        <f t="shared" si="90"/>
        <v>46505</v>
      </c>
      <c r="AT421" s="1" t="str">
        <f t="shared" si="85"/>
        <v>Não</v>
      </c>
      <c r="AV421" s="1">
        <f t="shared" si="86"/>
        <v>5</v>
      </c>
      <c r="AW421" s="4">
        <f t="shared" si="91"/>
        <v>45801</v>
      </c>
      <c r="AX421" s="1" t="str">
        <f t="shared" si="87"/>
        <v>Não</v>
      </c>
    </row>
    <row r="422" spans="34:50" hidden="1" x14ac:dyDescent="0.25">
      <c r="AH422" s="1">
        <f t="shared" si="80"/>
        <v>12</v>
      </c>
      <c r="AI422" s="5">
        <f t="shared" si="88"/>
        <v>46016</v>
      </c>
      <c r="AJ422" s="1" t="str">
        <f t="shared" si="81"/>
        <v>Não</v>
      </c>
      <c r="AK422" s="1"/>
      <c r="AL422" s="1">
        <f t="shared" si="82"/>
        <v>10</v>
      </c>
      <c r="AM422" s="4">
        <f t="shared" si="89"/>
        <v>46296</v>
      </c>
      <c r="AN422" s="1" t="str">
        <f t="shared" si="83"/>
        <v>Não</v>
      </c>
      <c r="AR422" s="1">
        <f t="shared" si="84"/>
        <v>4</v>
      </c>
      <c r="AS422" s="4">
        <f t="shared" si="90"/>
        <v>46506</v>
      </c>
      <c r="AT422" s="1" t="str">
        <f t="shared" si="85"/>
        <v>Não</v>
      </c>
      <c r="AV422" s="1">
        <f t="shared" si="86"/>
        <v>5</v>
      </c>
      <c r="AW422" s="4">
        <f t="shared" si="91"/>
        <v>45802</v>
      </c>
      <c r="AX422" s="1" t="str">
        <f t="shared" si="87"/>
        <v>Não</v>
      </c>
    </row>
    <row r="423" spans="34:50" hidden="1" x14ac:dyDescent="0.25">
      <c r="AH423" s="1">
        <f t="shared" si="80"/>
        <v>12</v>
      </c>
      <c r="AI423" s="5">
        <f t="shared" si="88"/>
        <v>46017</v>
      </c>
      <c r="AJ423" s="1" t="str">
        <f t="shared" si="81"/>
        <v>Não</v>
      </c>
      <c r="AK423" s="1"/>
      <c r="AL423" s="1">
        <f t="shared" si="82"/>
        <v>10</v>
      </c>
      <c r="AM423" s="4">
        <f t="shared" si="89"/>
        <v>46297</v>
      </c>
      <c r="AN423" s="1" t="str">
        <f t="shared" si="83"/>
        <v>Não</v>
      </c>
      <c r="AR423" s="1">
        <f t="shared" si="84"/>
        <v>4</v>
      </c>
      <c r="AS423" s="4">
        <f t="shared" si="90"/>
        <v>46507</v>
      </c>
      <c r="AT423" s="1" t="str">
        <f t="shared" si="85"/>
        <v>Não</v>
      </c>
      <c r="AV423" s="1">
        <f t="shared" si="86"/>
        <v>5</v>
      </c>
      <c r="AW423" s="4">
        <f t="shared" si="91"/>
        <v>45803</v>
      </c>
      <c r="AX423" s="1" t="str">
        <f t="shared" si="87"/>
        <v>Não</v>
      </c>
    </row>
    <row r="424" spans="34:50" hidden="1" x14ac:dyDescent="0.25">
      <c r="AH424" s="1">
        <f t="shared" si="80"/>
        <v>12</v>
      </c>
      <c r="AI424" s="5">
        <f t="shared" si="88"/>
        <v>46018</v>
      </c>
      <c r="AJ424" s="1" t="str">
        <f t="shared" si="81"/>
        <v>Não</v>
      </c>
      <c r="AK424" s="1"/>
      <c r="AL424" s="1">
        <f t="shared" si="82"/>
        <v>10</v>
      </c>
      <c r="AM424" s="4">
        <f t="shared" si="89"/>
        <v>46298</v>
      </c>
      <c r="AN424" s="1" t="str">
        <f t="shared" si="83"/>
        <v>Não</v>
      </c>
      <c r="AR424" s="1">
        <f t="shared" si="84"/>
        <v>5</v>
      </c>
      <c r="AS424" s="4">
        <f t="shared" si="90"/>
        <v>46508</v>
      </c>
      <c r="AT424" s="1" t="str">
        <f t="shared" si="85"/>
        <v>Não</v>
      </c>
      <c r="AV424" s="1">
        <f t="shared" si="86"/>
        <v>5</v>
      </c>
      <c r="AW424" s="4">
        <f t="shared" si="91"/>
        <v>45804</v>
      </c>
      <c r="AX424" s="1" t="str">
        <f t="shared" si="87"/>
        <v>Não</v>
      </c>
    </row>
    <row r="425" spans="34:50" hidden="1" x14ac:dyDescent="0.25">
      <c r="AH425" s="1">
        <f t="shared" si="80"/>
        <v>12</v>
      </c>
      <c r="AI425" s="5">
        <f t="shared" si="88"/>
        <v>46019</v>
      </c>
      <c r="AJ425" s="1" t="str">
        <f t="shared" si="81"/>
        <v>Não</v>
      </c>
      <c r="AK425" s="1"/>
      <c r="AL425" s="1">
        <f t="shared" si="82"/>
        <v>10</v>
      </c>
      <c r="AM425" s="4">
        <f t="shared" si="89"/>
        <v>46299</v>
      </c>
      <c r="AN425" s="1" t="str">
        <f t="shared" si="83"/>
        <v>Não</v>
      </c>
      <c r="AR425" s="1">
        <f t="shared" si="84"/>
        <v>5</v>
      </c>
      <c r="AS425" s="4">
        <f t="shared" si="90"/>
        <v>46509</v>
      </c>
      <c r="AT425" s="1" t="str">
        <f t="shared" si="85"/>
        <v>Não</v>
      </c>
      <c r="AV425" s="1">
        <f t="shared" si="86"/>
        <v>5</v>
      </c>
      <c r="AW425" s="4">
        <f t="shared" si="91"/>
        <v>45805</v>
      </c>
      <c r="AX425" s="1" t="str">
        <f t="shared" si="87"/>
        <v>Não</v>
      </c>
    </row>
    <row r="426" spans="34:50" hidden="1" x14ac:dyDescent="0.25">
      <c r="AH426" s="1">
        <f t="shared" si="80"/>
        <v>12</v>
      </c>
      <c r="AI426" s="5">
        <f t="shared" si="88"/>
        <v>46020</v>
      </c>
      <c r="AJ426" s="1" t="str">
        <f t="shared" si="81"/>
        <v>Não</v>
      </c>
      <c r="AK426" s="1"/>
      <c r="AL426" s="1">
        <f t="shared" si="82"/>
        <v>10</v>
      </c>
      <c r="AM426" s="4">
        <f t="shared" si="89"/>
        <v>46300</v>
      </c>
      <c r="AN426" s="1" t="str">
        <f t="shared" si="83"/>
        <v>Não</v>
      </c>
      <c r="AR426" s="1">
        <f t="shared" si="84"/>
        <v>5</v>
      </c>
      <c r="AS426" s="4">
        <f t="shared" si="90"/>
        <v>46510</v>
      </c>
      <c r="AT426" s="1" t="str">
        <f t="shared" si="85"/>
        <v>Não</v>
      </c>
      <c r="AV426" s="1">
        <f t="shared" si="86"/>
        <v>5</v>
      </c>
      <c r="AW426" s="4">
        <f t="shared" si="91"/>
        <v>45806</v>
      </c>
      <c r="AX426" s="1" t="str">
        <f t="shared" si="87"/>
        <v>Não</v>
      </c>
    </row>
    <row r="427" spans="34:50" hidden="1" x14ac:dyDescent="0.25">
      <c r="AH427" s="1">
        <f t="shared" si="80"/>
        <v>12</v>
      </c>
      <c r="AI427" s="5">
        <f t="shared" si="88"/>
        <v>46021</v>
      </c>
      <c r="AJ427" s="1" t="str">
        <f t="shared" si="81"/>
        <v>Não</v>
      </c>
      <c r="AK427" s="1"/>
      <c r="AL427" s="1">
        <f t="shared" si="82"/>
        <v>10</v>
      </c>
      <c r="AM427" s="4">
        <f t="shared" si="89"/>
        <v>46301</v>
      </c>
      <c r="AN427" s="1" t="str">
        <f t="shared" si="83"/>
        <v>Não</v>
      </c>
      <c r="AR427" s="1">
        <f t="shared" si="84"/>
        <v>5</v>
      </c>
      <c r="AS427" s="4">
        <f t="shared" si="90"/>
        <v>46511</v>
      </c>
      <c r="AT427" s="1" t="str">
        <f t="shared" si="85"/>
        <v>Não</v>
      </c>
      <c r="AV427" s="1">
        <f t="shared" si="86"/>
        <v>5</v>
      </c>
      <c r="AW427" s="4">
        <f t="shared" si="91"/>
        <v>45807</v>
      </c>
      <c r="AX427" s="1" t="str">
        <f t="shared" si="87"/>
        <v>Não</v>
      </c>
    </row>
    <row r="428" spans="34:50" hidden="1" x14ac:dyDescent="0.25">
      <c r="AH428" s="1">
        <f t="shared" si="80"/>
        <v>12</v>
      </c>
      <c r="AI428" s="5">
        <f t="shared" si="88"/>
        <v>46022</v>
      </c>
      <c r="AJ428" s="1" t="str">
        <f t="shared" si="81"/>
        <v>Não</v>
      </c>
      <c r="AK428" s="1"/>
      <c r="AL428" s="1">
        <f t="shared" si="82"/>
        <v>10</v>
      </c>
      <c r="AM428" s="4">
        <f t="shared" si="89"/>
        <v>46302</v>
      </c>
      <c r="AN428" s="1" t="str">
        <f t="shared" si="83"/>
        <v>Não</v>
      </c>
      <c r="AR428" s="1">
        <f t="shared" si="84"/>
        <v>5</v>
      </c>
      <c r="AS428" s="4">
        <f t="shared" si="90"/>
        <v>46512</v>
      </c>
      <c r="AT428" s="1" t="str">
        <f t="shared" si="85"/>
        <v>Não</v>
      </c>
      <c r="AV428" s="1">
        <f t="shared" si="86"/>
        <v>5</v>
      </c>
      <c r="AW428" s="4">
        <f t="shared" si="91"/>
        <v>45808</v>
      </c>
      <c r="AX428" s="1" t="str">
        <f t="shared" si="87"/>
        <v>Não</v>
      </c>
    </row>
    <row r="429" spans="34:50" hidden="1" x14ac:dyDescent="0.25">
      <c r="AH429" s="1">
        <f t="shared" si="80"/>
        <v>1</v>
      </c>
      <c r="AI429" s="5">
        <f t="shared" si="88"/>
        <v>46023</v>
      </c>
      <c r="AJ429" s="1" t="str">
        <f t="shared" si="81"/>
        <v>Não</v>
      </c>
      <c r="AK429" s="1"/>
      <c r="AL429" s="1">
        <f t="shared" si="82"/>
        <v>10</v>
      </c>
      <c r="AM429" s="4">
        <f t="shared" si="89"/>
        <v>46303</v>
      </c>
      <c r="AN429" s="1" t="str">
        <f t="shared" si="83"/>
        <v>Não</v>
      </c>
      <c r="AR429" s="1">
        <f t="shared" si="84"/>
        <v>5</v>
      </c>
      <c r="AS429" s="4">
        <f t="shared" si="90"/>
        <v>46513</v>
      </c>
      <c r="AT429" s="1" t="str">
        <f t="shared" si="85"/>
        <v>Não</v>
      </c>
      <c r="AV429" s="1">
        <f t="shared" si="86"/>
        <v>6</v>
      </c>
      <c r="AW429" s="4">
        <f t="shared" si="91"/>
        <v>45809</v>
      </c>
      <c r="AX429" s="1" t="str">
        <f t="shared" si="87"/>
        <v>Não</v>
      </c>
    </row>
    <row r="430" spans="34:50" hidden="1" x14ac:dyDescent="0.25">
      <c r="AH430" s="1">
        <f t="shared" si="80"/>
        <v>1</v>
      </c>
      <c r="AI430" s="5">
        <f t="shared" si="88"/>
        <v>46024</v>
      </c>
      <c r="AJ430" s="1" t="str">
        <f t="shared" si="81"/>
        <v>Não</v>
      </c>
      <c r="AK430" s="1"/>
      <c r="AL430" s="1">
        <f t="shared" si="82"/>
        <v>10</v>
      </c>
      <c r="AM430" s="4">
        <f t="shared" si="89"/>
        <v>46304</v>
      </c>
      <c r="AN430" s="1" t="str">
        <f t="shared" si="83"/>
        <v>Não</v>
      </c>
      <c r="AR430" s="1">
        <f t="shared" si="84"/>
        <v>5</v>
      </c>
      <c r="AS430" s="4">
        <f t="shared" si="90"/>
        <v>46514</v>
      </c>
      <c r="AT430" s="1" t="str">
        <f t="shared" si="85"/>
        <v>Não</v>
      </c>
      <c r="AV430" s="1">
        <f t="shared" si="86"/>
        <v>6</v>
      </c>
      <c r="AW430" s="4">
        <f t="shared" si="91"/>
        <v>45810</v>
      </c>
      <c r="AX430" s="1" t="str">
        <f t="shared" si="87"/>
        <v>Não</v>
      </c>
    </row>
    <row r="431" spans="34:50" hidden="1" x14ac:dyDescent="0.25">
      <c r="AH431" s="1">
        <f t="shared" si="80"/>
        <v>1</v>
      </c>
      <c r="AI431" s="5">
        <f t="shared" si="88"/>
        <v>46025</v>
      </c>
      <c r="AJ431" s="1" t="str">
        <f t="shared" si="81"/>
        <v>Não</v>
      </c>
      <c r="AK431" s="1"/>
      <c r="AL431" s="1">
        <f t="shared" si="82"/>
        <v>10</v>
      </c>
      <c r="AM431" s="4">
        <f t="shared" si="89"/>
        <v>46305</v>
      </c>
      <c r="AN431" s="1" t="str">
        <f t="shared" si="83"/>
        <v>Não</v>
      </c>
      <c r="AR431" s="1">
        <f t="shared" si="84"/>
        <v>5</v>
      </c>
      <c r="AS431" s="4">
        <f t="shared" si="90"/>
        <v>46515</v>
      </c>
      <c r="AT431" s="1" t="str">
        <f t="shared" si="85"/>
        <v>Não</v>
      </c>
      <c r="AV431" s="1">
        <f t="shared" si="86"/>
        <v>6</v>
      </c>
      <c r="AW431" s="4">
        <f t="shared" si="91"/>
        <v>45811</v>
      </c>
      <c r="AX431" s="1" t="str">
        <f t="shared" si="87"/>
        <v>Não</v>
      </c>
    </row>
    <row r="432" spans="34:50" hidden="1" x14ac:dyDescent="0.25">
      <c r="AH432" s="1">
        <f t="shared" si="80"/>
        <v>1</v>
      </c>
      <c r="AI432" s="5">
        <f t="shared" si="88"/>
        <v>46026</v>
      </c>
      <c r="AJ432" s="1" t="str">
        <f t="shared" si="81"/>
        <v>Não</v>
      </c>
      <c r="AK432" s="1"/>
      <c r="AL432" s="1">
        <f t="shared" si="82"/>
        <v>10</v>
      </c>
      <c r="AM432" s="4">
        <f t="shared" si="89"/>
        <v>46306</v>
      </c>
      <c r="AN432" s="1" t="str">
        <f t="shared" si="83"/>
        <v>Não</v>
      </c>
      <c r="AR432" s="1">
        <f t="shared" si="84"/>
        <v>5</v>
      </c>
      <c r="AS432" s="4">
        <f t="shared" si="90"/>
        <v>46516</v>
      </c>
      <c r="AT432" s="1" t="str">
        <f t="shared" si="85"/>
        <v>Não</v>
      </c>
      <c r="AV432" s="1">
        <f t="shared" si="86"/>
        <v>6</v>
      </c>
      <c r="AW432" s="4">
        <f t="shared" si="91"/>
        <v>45812</v>
      </c>
      <c r="AX432" s="1" t="str">
        <f t="shared" si="87"/>
        <v>Não</v>
      </c>
    </row>
    <row r="433" spans="34:50" hidden="1" x14ac:dyDescent="0.25">
      <c r="AH433" s="1">
        <f t="shared" si="80"/>
        <v>1</v>
      </c>
      <c r="AI433" s="5">
        <f t="shared" si="88"/>
        <v>46027</v>
      </c>
      <c r="AJ433" s="1" t="str">
        <f t="shared" si="81"/>
        <v>Não</v>
      </c>
      <c r="AK433" s="1"/>
      <c r="AL433" s="1">
        <f t="shared" si="82"/>
        <v>10</v>
      </c>
      <c r="AM433" s="4">
        <f t="shared" si="89"/>
        <v>46307</v>
      </c>
      <c r="AN433" s="1" t="str">
        <f t="shared" si="83"/>
        <v>Não</v>
      </c>
      <c r="AR433" s="1">
        <f t="shared" si="84"/>
        <v>5</v>
      </c>
      <c r="AS433" s="4">
        <f t="shared" si="90"/>
        <v>46517</v>
      </c>
      <c r="AT433" s="1" t="str">
        <f t="shared" si="85"/>
        <v>Não</v>
      </c>
      <c r="AV433" s="1">
        <f t="shared" si="86"/>
        <v>6</v>
      </c>
      <c r="AW433" s="4">
        <f t="shared" si="91"/>
        <v>45813</v>
      </c>
      <c r="AX433" s="1" t="str">
        <f t="shared" si="87"/>
        <v>Não</v>
      </c>
    </row>
    <row r="434" spans="34:50" hidden="1" x14ac:dyDescent="0.25">
      <c r="AH434" s="1">
        <f t="shared" si="80"/>
        <v>1</v>
      </c>
      <c r="AI434" s="5">
        <f t="shared" si="88"/>
        <v>46028</v>
      </c>
      <c r="AJ434" s="1" t="str">
        <f t="shared" si="81"/>
        <v>Não</v>
      </c>
      <c r="AK434" s="1"/>
      <c r="AL434" s="1">
        <f t="shared" si="82"/>
        <v>10</v>
      </c>
      <c r="AM434" s="4">
        <f t="shared" si="89"/>
        <v>46308</v>
      </c>
      <c r="AN434" s="1" t="str">
        <f t="shared" si="83"/>
        <v>Não</v>
      </c>
      <c r="AR434" s="1">
        <f t="shared" si="84"/>
        <v>5</v>
      </c>
      <c r="AS434" s="4">
        <f t="shared" si="90"/>
        <v>46518</v>
      </c>
      <c r="AT434" s="1" t="str">
        <f t="shared" si="85"/>
        <v>Não</v>
      </c>
      <c r="AV434" s="1">
        <f t="shared" si="86"/>
        <v>6</v>
      </c>
      <c r="AW434" s="4">
        <f t="shared" si="91"/>
        <v>45814</v>
      </c>
      <c r="AX434" s="1" t="str">
        <f t="shared" si="87"/>
        <v>Não</v>
      </c>
    </row>
    <row r="435" spans="34:50" hidden="1" x14ac:dyDescent="0.25">
      <c r="AH435" s="1">
        <f t="shared" si="80"/>
        <v>1</v>
      </c>
      <c r="AI435" s="5">
        <f t="shared" si="88"/>
        <v>46029</v>
      </c>
      <c r="AJ435" s="1" t="str">
        <f t="shared" si="81"/>
        <v>Não</v>
      </c>
      <c r="AK435" s="1"/>
      <c r="AL435" s="1">
        <f t="shared" si="82"/>
        <v>10</v>
      </c>
      <c r="AM435" s="4">
        <f t="shared" si="89"/>
        <v>46309</v>
      </c>
      <c r="AN435" s="1" t="str">
        <f t="shared" si="83"/>
        <v>Não</v>
      </c>
      <c r="AR435" s="1">
        <f t="shared" si="84"/>
        <v>5</v>
      </c>
      <c r="AS435" s="4">
        <f t="shared" si="90"/>
        <v>46519</v>
      </c>
      <c r="AT435" s="1" t="str">
        <f t="shared" si="85"/>
        <v>Não</v>
      </c>
      <c r="AV435" s="1">
        <f t="shared" si="86"/>
        <v>6</v>
      </c>
      <c r="AW435" s="4">
        <f t="shared" si="91"/>
        <v>45815</v>
      </c>
      <c r="AX435" s="1" t="str">
        <f t="shared" si="87"/>
        <v>Não</v>
      </c>
    </row>
    <row r="436" spans="34:50" hidden="1" x14ac:dyDescent="0.25">
      <c r="AH436" s="1">
        <f t="shared" si="80"/>
        <v>1</v>
      </c>
      <c r="AI436" s="5">
        <f t="shared" si="88"/>
        <v>46030</v>
      </c>
      <c r="AJ436" s="1" t="str">
        <f t="shared" si="81"/>
        <v>Não</v>
      </c>
      <c r="AK436" s="1"/>
      <c r="AL436" s="1">
        <f t="shared" si="82"/>
        <v>10</v>
      </c>
      <c r="AM436" s="4">
        <f t="shared" si="89"/>
        <v>46310</v>
      </c>
      <c r="AN436" s="1" t="str">
        <f t="shared" si="83"/>
        <v>Não</v>
      </c>
      <c r="AR436" s="1">
        <f t="shared" si="84"/>
        <v>5</v>
      </c>
      <c r="AS436" s="4">
        <f t="shared" si="90"/>
        <v>46520</v>
      </c>
      <c r="AT436" s="1" t="str">
        <f t="shared" si="85"/>
        <v>Não</v>
      </c>
      <c r="AV436" s="1">
        <f t="shared" si="86"/>
        <v>6</v>
      </c>
      <c r="AW436" s="4">
        <f t="shared" si="91"/>
        <v>45816</v>
      </c>
      <c r="AX436" s="1" t="str">
        <f t="shared" si="87"/>
        <v>Não</v>
      </c>
    </row>
    <row r="437" spans="34:50" hidden="1" x14ac:dyDescent="0.25">
      <c r="AH437" s="1">
        <f t="shared" si="80"/>
        <v>1</v>
      </c>
      <c r="AI437" s="5">
        <f t="shared" si="88"/>
        <v>46031</v>
      </c>
      <c r="AJ437" s="1" t="str">
        <f t="shared" si="81"/>
        <v>Não</v>
      </c>
      <c r="AK437" s="1"/>
      <c r="AL437" s="1">
        <f t="shared" si="82"/>
        <v>10</v>
      </c>
      <c r="AM437" s="4">
        <f t="shared" si="89"/>
        <v>46311</v>
      </c>
      <c r="AN437" s="1" t="str">
        <f t="shared" si="83"/>
        <v>Não</v>
      </c>
      <c r="AR437" s="1">
        <f t="shared" si="84"/>
        <v>5</v>
      </c>
      <c r="AS437" s="4">
        <f t="shared" si="90"/>
        <v>46521</v>
      </c>
      <c r="AT437" s="1" t="str">
        <f t="shared" si="85"/>
        <v>Não</v>
      </c>
      <c r="AV437" s="1">
        <f t="shared" si="86"/>
        <v>6</v>
      </c>
      <c r="AW437" s="4">
        <f t="shared" si="91"/>
        <v>45817</v>
      </c>
      <c r="AX437" s="1" t="str">
        <f t="shared" si="87"/>
        <v>Não</v>
      </c>
    </row>
    <row r="438" spans="34:50" hidden="1" x14ac:dyDescent="0.25">
      <c r="AH438" s="1">
        <f t="shared" si="80"/>
        <v>1</v>
      </c>
      <c r="AI438" s="5">
        <f t="shared" si="88"/>
        <v>46032</v>
      </c>
      <c r="AJ438" s="1" t="str">
        <f t="shared" si="81"/>
        <v>Não</v>
      </c>
      <c r="AK438" s="1"/>
      <c r="AL438" s="1">
        <f t="shared" si="82"/>
        <v>10</v>
      </c>
      <c r="AM438" s="4">
        <f t="shared" si="89"/>
        <v>46312</v>
      </c>
      <c r="AN438" s="1" t="str">
        <f t="shared" si="83"/>
        <v>Não</v>
      </c>
      <c r="AR438" s="1">
        <f t="shared" si="84"/>
        <v>5</v>
      </c>
      <c r="AS438" s="4">
        <f t="shared" si="90"/>
        <v>46522</v>
      </c>
      <c r="AT438" s="1" t="str">
        <f t="shared" si="85"/>
        <v>Não</v>
      </c>
      <c r="AV438" s="1">
        <f t="shared" si="86"/>
        <v>6</v>
      </c>
      <c r="AW438" s="4">
        <f t="shared" si="91"/>
        <v>45818</v>
      </c>
      <c r="AX438" s="1" t="str">
        <f t="shared" si="87"/>
        <v>Não</v>
      </c>
    </row>
    <row r="439" spans="34:50" hidden="1" x14ac:dyDescent="0.25">
      <c r="AH439" s="1">
        <f t="shared" si="80"/>
        <v>1</v>
      </c>
      <c r="AI439" s="5">
        <f t="shared" si="88"/>
        <v>46033</v>
      </c>
      <c r="AJ439" s="1" t="str">
        <f t="shared" si="81"/>
        <v>Não</v>
      </c>
      <c r="AK439" s="1"/>
      <c r="AL439" s="1">
        <f t="shared" si="82"/>
        <v>10</v>
      </c>
      <c r="AM439" s="4">
        <f t="shared" si="89"/>
        <v>46313</v>
      </c>
      <c r="AN439" s="1" t="str">
        <f t="shared" si="83"/>
        <v>Não</v>
      </c>
      <c r="AR439" s="1">
        <f t="shared" si="84"/>
        <v>5</v>
      </c>
      <c r="AS439" s="4">
        <f t="shared" si="90"/>
        <v>46523</v>
      </c>
      <c r="AT439" s="1" t="str">
        <f t="shared" si="85"/>
        <v>Não</v>
      </c>
      <c r="AV439" s="1">
        <f t="shared" si="86"/>
        <v>6</v>
      </c>
      <c r="AW439" s="4">
        <f t="shared" si="91"/>
        <v>45819</v>
      </c>
      <c r="AX439" s="1" t="str">
        <f t="shared" si="87"/>
        <v>Não</v>
      </c>
    </row>
    <row r="440" spans="34:50" hidden="1" x14ac:dyDescent="0.25">
      <c r="AH440" s="1">
        <f t="shared" si="80"/>
        <v>1</v>
      </c>
      <c r="AI440" s="5">
        <f t="shared" si="88"/>
        <v>46034</v>
      </c>
      <c r="AJ440" s="1" t="str">
        <f t="shared" si="81"/>
        <v>Não</v>
      </c>
      <c r="AK440" s="1"/>
      <c r="AL440" s="1">
        <f t="shared" si="82"/>
        <v>10</v>
      </c>
      <c r="AM440" s="4">
        <f t="shared" si="89"/>
        <v>46314</v>
      </c>
      <c r="AN440" s="1" t="str">
        <f t="shared" si="83"/>
        <v>Não</v>
      </c>
      <c r="AR440" s="1">
        <f t="shared" si="84"/>
        <v>5</v>
      </c>
      <c r="AS440" s="4">
        <f t="shared" si="90"/>
        <v>46524</v>
      </c>
      <c r="AT440" s="1" t="str">
        <f t="shared" si="85"/>
        <v>Não</v>
      </c>
      <c r="AV440" s="1">
        <f t="shared" si="86"/>
        <v>6</v>
      </c>
      <c r="AW440" s="4">
        <f t="shared" si="91"/>
        <v>45820</v>
      </c>
      <c r="AX440" s="1" t="str">
        <f t="shared" si="87"/>
        <v>Não</v>
      </c>
    </row>
    <row r="441" spans="34:50" hidden="1" x14ac:dyDescent="0.25">
      <c r="AH441" s="1">
        <f t="shared" si="80"/>
        <v>1</v>
      </c>
      <c r="AI441" s="5">
        <f t="shared" si="88"/>
        <v>46035</v>
      </c>
      <c r="AJ441" s="1" t="str">
        <f t="shared" si="81"/>
        <v>Não</v>
      </c>
      <c r="AK441" s="1"/>
      <c r="AL441" s="1">
        <f t="shared" si="82"/>
        <v>10</v>
      </c>
      <c r="AM441" s="4">
        <f t="shared" si="89"/>
        <v>46315</v>
      </c>
      <c r="AN441" s="1" t="str">
        <f t="shared" si="83"/>
        <v>Não</v>
      </c>
      <c r="AR441" s="1">
        <f t="shared" si="84"/>
        <v>5</v>
      </c>
      <c r="AS441" s="4">
        <f t="shared" si="90"/>
        <v>46525</v>
      </c>
      <c r="AT441" s="1" t="str">
        <f t="shared" si="85"/>
        <v>Não</v>
      </c>
      <c r="AV441" s="1">
        <f t="shared" si="86"/>
        <v>6</v>
      </c>
      <c r="AW441" s="4">
        <f t="shared" si="91"/>
        <v>45821</v>
      </c>
      <c r="AX441" s="1" t="str">
        <f t="shared" si="87"/>
        <v>Não</v>
      </c>
    </row>
    <row r="442" spans="34:50" hidden="1" x14ac:dyDescent="0.25">
      <c r="AH442" s="1">
        <f t="shared" si="80"/>
        <v>1</v>
      </c>
      <c r="AI442" s="5">
        <f t="shared" si="88"/>
        <v>46036</v>
      </c>
      <c r="AJ442" s="1" t="str">
        <f t="shared" si="81"/>
        <v>Não</v>
      </c>
      <c r="AK442" s="1"/>
      <c r="AL442" s="1">
        <f t="shared" si="82"/>
        <v>10</v>
      </c>
      <c r="AM442" s="4">
        <f t="shared" si="89"/>
        <v>46316</v>
      </c>
      <c r="AN442" s="1" t="str">
        <f t="shared" si="83"/>
        <v>Não</v>
      </c>
      <c r="AR442" s="1">
        <f t="shared" si="84"/>
        <v>5</v>
      </c>
      <c r="AS442" s="4">
        <f t="shared" si="90"/>
        <v>46526</v>
      </c>
      <c r="AT442" s="1" t="str">
        <f t="shared" si="85"/>
        <v>Não</v>
      </c>
      <c r="AV442" s="1">
        <f t="shared" si="86"/>
        <v>6</v>
      </c>
      <c r="AW442" s="4">
        <f t="shared" si="91"/>
        <v>45822</v>
      </c>
      <c r="AX442" s="1" t="str">
        <f t="shared" si="87"/>
        <v>Não</v>
      </c>
    </row>
    <row r="443" spans="34:50" hidden="1" x14ac:dyDescent="0.25">
      <c r="AH443" s="1">
        <f t="shared" si="80"/>
        <v>1</v>
      </c>
      <c r="AI443" s="5">
        <f t="shared" si="88"/>
        <v>46037</v>
      </c>
      <c r="AJ443" s="1" t="str">
        <f t="shared" si="81"/>
        <v>Não</v>
      </c>
      <c r="AK443" s="1"/>
      <c r="AL443" s="1">
        <f t="shared" si="82"/>
        <v>10</v>
      </c>
      <c r="AM443" s="4">
        <f t="shared" si="89"/>
        <v>46317</v>
      </c>
      <c r="AN443" s="1" t="str">
        <f t="shared" si="83"/>
        <v>Não</v>
      </c>
      <c r="AR443" s="1">
        <f t="shared" si="84"/>
        <v>5</v>
      </c>
      <c r="AS443" s="4">
        <f t="shared" si="90"/>
        <v>46527</v>
      </c>
      <c r="AT443" s="1" t="str">
        <f t="shared" si="85"/>
        <v>Não</v>
      </c>
      <c r="AV443" s="1">
        <f t="shared" si="86"/>
        <v>6</v>
      </c>
      <c r="AW443" s="4">
        <f t="shared" si="91"/>
        <v>45823</v>
      </c>
      <c r="AX443" s="1" t="str">
        <f t="shared" si="87"/>
        <v>Não</v>
      </c>
    </row>
    <row r="444" spans="34:50" hidden="1" x14ac:dyDescent="0.25">
      <c r="AH444" s="1">
        <f t="shared" si="80"/>
        <v>1</v>
      </c>
      <c r="AI444" s="5">
        <f t="shared" si="88"/>
        <v>46038</v>
      </c>
      <c r="AJ444" s="1" t="str">
        <f t="shared" si="81"/>
        <v>Não</v>
      </c>
      <c r="AK444" s="1"/>
      <c r="AL444" s="1">
        <f t="shared" si="82"/>
        <v>10</v>
      </c>
      <c r="AM444" s="4">
        <f t="shared" si="89"/>
        <v>46318</v>
      </c>
      <c r="AN444" s="1" t="str">
        <f t="shared" si="83"/>
        <v>Não</v>
      </c>
      <c r="AR444" s="1">
        <f t="shared" si="84"/>
        <v>5</v>
      </c>
      <c r="AS444" s="4">
        <f t="shared" si="90"/>
        <v>46528</v>
      </c>
      <c r="AT444" s="1" t="str">
        <f t="shared" si="85"/>
        <v>Não</v>
      </c>
      <c r="AV444" s="1">
        <f t="shared" si="86"/>
        <v>6</v>
      </c>
      <c r="AW444" s="4">
        <f t="shared" si="91"/>
        <v>45824</v>
      </c>
      <c r="AX444" s="1" t="str">
        <f t="shared" si="87"/>
        <v>Não</v>
      </c>
    </row>
    <row r="445" spans="34:50" hidden="1" x14ac:dyDescent="0.25">
      <c r="AH445" s="1">
        <f t="shared" si="80"/>
        <v>1</v>
      </c>
      <c r="AI445" s="5">
        <f t="shared" si="88"/>
        <v>46039</v>
      </c>
      <c r="AJ445" s="1" t="str">
        <f t="shared" si="81"/>
        <v>Não</v>
      </c>
      <c r="AK445" s="1"/>
      <c r="AL445" s="1">
        <f t="shared" si="82"/>
        <v>10</v>
      </c>
      <c r="AM445" s="4">
        <f t="shared" si="89"/>
        <v>46319</v>
      </c>
      <c r="AN445" s="1" t="str">
        <f t="shared" si="83"/>
        <v>Não</v>
      </c>
      <c r="AR445" s="1">
        <f t="shared" si="84"/>
        <v>5</v>
      </c>
      <c r="AS445" s="4">
        <f t="shared" si="90"/>
        <v>46529</v>
      </c>
      <c r="AT445" s="1" t="str">
        <f t="shared" si="85"/>
        <v>Não</v>
      </c>
      <c r="AV445" s="1">
        <f t="shared" si="86"/>
        <v>6</v>
      </c>
      <c r="AW445" s="4">
        <f t="shared" si="91"/>
        <v>45825</v>
      </c>
      <c r="AX445" s="1" t="str">
        <f t="shared" si="87"/>
        <v>Não</v>
      </c>
    </row>
    <row r="446" spans="34:50" hidden="1" x14ac:dyDescent="0.25">
      <c r="AH446" s="1">
        <f t="shared" si="80"/>
        <v>1</v>
      </c>
      <c r="AI446" s="5">
        <f t="shared" si="88"/>
        <v>46040</v>
      </c>
      <c r="AJ446" s="1" t="str">
        <f t="shared" si="81"/>
        <v>Não</v>
      </c>
      <c r="AK446" s="1"/>
      <c r="AL446" s="1">
        <f t="shared" si="82"/>
        <v>10</v>
      </c>
      <c r="AM446" s="4">
        <f t="shared" si="89"/>
        <v>46320</v>
      </c>
      <c r="AN446" s="1" t="str">
        <f t="shared" si="83"/>
        <v>Não</v>
      </c>
      <c r="AR446" s="1">
        <f t="shared" si="84"/>
        <v>5</v>
      </c>
      <c r="AS446" s="4">
        <f t="shared" si="90"/>
        <v>46530</v>
      </c>
      <c r="AT446" s="1" t="str">
        <f t="shared" si="85"/>
        <v>Não</v>
      </c>
      <c r="AV446" s="1">
        <f t="shared" si="86"/>
        <v>6</v>
      </c>
      <c r="AW446" s="4">
        <f t="shared" si="91"/>
        <v>45826</v>
      </c>
      <c r="AX446" s="1" t="str">
        <f t="shared" si="87"/>
        <v>Não</v>
      </c>
    </row>
    <row r="447" spans="34:50" hidden="1" x14ac:dyDescent="0.25">
      <c r="AH447" s="1">
        <f t="shared" si="80"/>
        <v>1</v>
      </c>
      <c r="AI447" s="5">
        <f t="shared" si="88"/>
        <v>46041</v>
      </c>
      <c r="AJ447" s="1" t="str">
        <f t="shared" si="81"/>
        <v>Não</v>
      </c>
      <c r="AK447" s="1"/>
      <c r="AL447" s="1">
        <f t="shared" si="82"/>
        <v>10</v>
      </c>
      <c r="AM447" s="4">
        <f t="shared" si="89"/>
        <v>46321</v>
      </c>
      <c r="AN447" s="1" t="str">
        <f t="shared" si="83"/>
        <v>Não</v>
      </c>
      <c r="AR447" s="1">
        <f t="shared" si="84"/>
        <v>5</v>
      </c>
      <c r="AS447" s="4">
        <f t="shared" si="90"/>
        <v>46531</v>
      </c>
      <c r="AT447" s="1" t="str">
        <f t="shared" si="85"/>
        <v>Não</v>
      </c>
      <c r="AV447" s="1">
        <f t="shared" si="86"/>
        <v>6</v>
      </c>
      <c r="AW447" s="4">
        <f t="shared" si="91"/>
        <v>45827</v>
      </c>
      <c r="AX447" s="1" t="str">
        <f t="shared" si="87"/>
        <v>Não</v>
      </c>
    </row>
    <row r="448" spans="34:50" hidden="1" x14ac:dyDescent="0.25">
      <c r="AH448" s="1">
        <f t="shared" si="80"/>
        <v>1</v>
      </c>
      <c r="AI448" s="5">
        <f t="shared" si="88"/>
        <v>46042</v>
      </c>
      <c r="AJ448" s="1" t="str">
        <f t="shared" si="81"/>
        <v>Não</v>
      </c>
      <c r="AK448" s="1"/>
      <c r="AL448" s="1">
        <f t="shared" si="82"/>
        <v>10</v>
      </c>
      <c r="AM448" s="4">
        <f t="shared" si="89"/>
        <v>46322</v>
      </c>
      <c r="AN448" s="1" t="str">
        <f t="shared" si="83"/>
        <v>Não</v>
      </c>
      <c r="AR448" s="1">
        <f t="shared" si="84"/>
        <v>5</v>
      </c>
      <c r="AS448" s="4">
        <f t="shared" si="90"/>
        <v>46532</v>
      </c>
      <c r="AT448" s="1" t="str">
        <f t="shared" si="85"/>
        <v>Não</v>
      </c>
      <c r="AV448" s="1">
        <f t="shared" si="86"/>
        <v>6</v>
      </c>
      <c r="AW448" s="4">
        <f t="shared" si="91"/>
        <v>45828</v>
      </c>
      <c r="AX448" s="1" t="str">
        <f t="shared" si="87"/>
        <v>Não</v>
      </c>
    </row>
    <row r="449" spans="34:50" hidden="1" x14ac:dyDescent="0.25">
      <c r="AH449" s="1">
        <f t="shared" si="80"/>
        <v>1</v>
      </c>
      <c r="AI449" s="5">
        <f t="shared" si="88"/>
        <v>46043</v>
      </c>
      <c r="AJ449" s="1" t="str">
        <f t="shared" si="81"/>
        <v>Não</v>
      </c>
      <c r="AK449" s="1"/>
      <c r="AL449" s="1">
        <f t="shared" si="82"/>
        <v>10</v>
      </c>
      <c r="AM449" s="4">
        <f t="shared" si="89"/>
        <v>46323</v>
      </c>
      <c r="AN449" s="1" t="str">
        <f t="shared" si="83"/>
        <v>Não</v>
      </c>
      <c r="AR449" s="1">
        <f t="shared" si="84"/>
        <v>5</v>
      </c>
      <c r="AS449" s="4">
        <f t="shared" si="90"/>
        <v>46533</v>
      </c>
      <c r="AT449" s="1" t="str">
        <f t="shared" si="85"/>
        <v>Não</v>
      </c>
      <c r="AV449" s="1">
        <f t="shared" si="86"/>
        <v>6</v>
      </c>
      <c r="AW449" s="4">
        <f t="shared" si="91"/>
        <v>45829</v>
      </c>
      <c r="AX449" s="1" t="str">
        <f t="shared" si="87"/>
        <v>Não</v>
      </c>
    </row>
    <row r="450" spans="34:50" hidden="1" x14ac:dyDescent="0.25">
      <c r="AH450" s="1">
        <f t="shared" si="80"/>
        <v>1</v>
      </c>
      <c r="AI450" s="5">
        <f t="shared" si="88"/>
        <v>46044</v>
      </c>
      <c r="AJ450" s="1" t="str">
        <f t="shared" si="81"/>
        <v>Não</v>
      </c>
      <c r="AK450" s="1"/>
      <c r="AL450" s="1">
        <f t="shared" si="82"/>
        <v>10</v>
      </c>
      <c r="AM450" s="4">
        <f t="shared" si="89"/>
        <v>46324</v>
      </c>
      <c r="AN450" s="1" t="str">
        <f t="shared" si="83"/>
        <v>Não</v>
      </c>
      <c r="AR450" s="1">
        <f t="shared" si="84"/>
        <v>5</v>
      </c>
      <c r="AS450" s="4">
        <f t="shared" si="90"/>
        <v>46534</v>
      </c>
      <c r="AT450" s="1" t="str">
        <f t="shared" si="85"/>
        <v>Não</v>
      </c>
      <c r="AV450" s="1">
        <f t="shared" si="86"/>
        <v>6</v>
      </c>
      <c r="AW450" s="4">
        <f t="shared" si="91"/>
        <v>45830</v>
      </c>
      <c r="AX450" s="1" t="str">
        <f t="shared" si="87"/>
        <v>Não</v>
      </c>
    </row>
    <row r="451" spans="34:50" hidden="1" x14ac:dyDescent="0.25">
      <c r="AH451" s="1">
        <f t="shared" ref="AH451:AH514" si="92">MONTH(AI451)</f>
        <v>1</v>
      </c>
      <c r="AI451" s="5">
        <f t="shared" si="88"/>
        <v>46045</v>
      </c>
      <c r="AJ451" s="1" t="str">
        <f t="shared" ref="AJ451:AJ514" si="93">IF(AND(AI451&gt;=$C$6,AI451&lt;=$C$8),"Ok","Não")</f>
        <v>Não</v>
      </c>
      <c r="AK451" s="1"/>
      <c r="AL451" s="1">
        <f t="shared" ref="AL451:AL514" si="94">MONTH(AM451)</f>
        <v>10</v>
      </c>
      <c r="AM451" s="4">
        <f t="shared" si="89"/>
        <v>46325</v>
      </c>
      <c r="AN451" s="1" t="str">
        <f t="shared" ref="AN451:AN514" si="95">IF(AND(AM451&gt;=$C$9,AM451&lt;=$C$10),"Ok","Não")</f>
        <v>Não</v>
      </c>
      <c r="AR451" s="1">
        <f t="shared" ref="AR451:AR514" si="96">MONTH(AS451)</f>
        <v>5</v>
      </c>
      <c r="AS451" s="4">
        <f t="shared" si="90"/>
        <v>46535</v>
      </c>
      <c r="AT451" s="1" t="str">
        <f t="shared" ref="AT451:AT514" si="97">IF(AND(AS451&gt;=$C$11,AS451&lt;=$C$12),"Ok","Não")</f>
        <v>Não</v>
      </c>
      <c r="AV451" s="1">
        <f t="shared" ref="AV451:AV514" si="98">MONTH(AW451)</f>
        <v>6</v>
      </c>
      <c r="AW451" s="4">
        <f t="shared" si="91"/>
        <v>45831</v>
      </c>
      <c r="AX451" s="1" t="str">
        <f t="shared" ref="AX451:AX514" si="99">IF(AND(AW451&gt;=$C$4,AW451&lt;=$C$5),"Ok","Não")</f>
        <v>Não</v>
      </c>
    </row>
    <row r="452" spans="34:50" hidden="1" x14ac:dyDescent="0.25">
      <c r="AH452" s="1">
        <f t="shared" si="92"/>
        <v>1</v>
      </c>
      <c r="AI452" s="5">
        <f t="shared" si="88"/>
        <v>46046</v>
      </c>
      <c r="AJ452" s="1" t="str">
        <f t="shared" si="93"/>
        <v>Não</v>
      </c>
      <c r="AK452" s="1"/>
      <c r="AL452" s="1">
        <f t="shared" si="94"/>
        <v>10</v>
      </c>
      <c r="AM452" s="4">
        <f t="shared" si="89"/>
        <v>46326</v>
      </c>
      <c r="AN452" s="1" t="str">
        <f t="shared" si="95"/>
        <v>Não</v>
      </c>
      <c r="AR452" s="1">
        <f t="shared" si="96"/>
        <v>5</v>
      </c>
      <c r="AS452" s="4">
        <f t="shared" si="90"/>
        <v>46536</v>
      </c>
      <c r="AT452" s="1" t="str">
        <f t="shared" si="97"/>
        <v>Não</v>
      </c>
      <c r="AV452" s="1">
        <f t="shared" si="98"/>
        <v>6</v>
      </c>
      <c r="AW452" s="4">
        <f t="shared" si="91"/>
        <v>45832</v>
      </c>
      <c r="AX452" s="1" t="str">
        <f t="shared" si="99"/>
        <v>Não</v>
      </c>
    </row>
    <row r="453" spans="34:50" hidden="1" x14ac:dyDescent="0.25">
      <c r="AH453" s="1">
        <f t="shared" si="92"/>
        <v>1</v>
      </c>
      <c r="AI453" s="5">
        <f t="shared" ref="AI453:AI516" si="100">AI452+1</f>
        <v>46047</v>
      </c>
      <c r="AJ453" s="1" t="str">
        <f t="shared" si="93"/>
        <v>Não</v>
      </c>
      <c r="AK453" s="1"/>
      <c r="AL453" s="1">
        <f t="shared" si="94"/>
        <v>11</v>
      </c>
      <c r="AM453" s="4">
        <f t="shared" ref="AM453:AM516" si="101">AM452+1</f>
        <v>46327</v>
      </c>
      <c r="AN453" s="1" t="str">
        <f t="shared" si="95"/>
        <v>Não</v>
      </c>
      <c r="AR453" s="1">
        <f t="shared" si="96"/>
        <v>5</v>
      </c>
      <c r="AS453" s="4">
        <f t="shared" ref="AS453:AS516" si="102">AS452+1</f>
        <v>46537</v>
      </c>
      <c r="AT453" s="1" t="str">
        <f t="shared" si="97"/>
        <v>Não</v>
      </c>
      <c r="AV453" s="1">
        <f t="shared" si="98"/>
        <v>6</v>
      </c>
      <c r="AW453" s="4">
        <f t="shared" ref="AW453:AW516" si="103">AW452+1</f>
        <v>45833</v>
      </c>
      <c r="AX453" s="1" t="str">
        <f t="shared" si="99"/>
        <v>Não</v>
      </c>
    </row>
    <row r="454" spans="34:50" hidden="1" x14ac:dyDescent="0.25">
      <c r="AH454" s="1">
        <f t="shared" si="92"/>
        <v>1</v>
      </c>
      <c r="AI454" s="5">
        <f t="shared" si="100"/>
        <v>46048</v>
      </c>
      <c r="AJ454" s="1" t="str">
        <f t="shared" si="93"/>
        <v>Não</v>
      </c>
      <c r="AK454" s="1"/>
      <c r="AL454" s="1">
        <f t="shared" si="94"/>
        <v>11</v>
      </c>
      <c r="AM454" s="4">
        <f t="shared" si="101"/>
        <v>46328</v>
      </c>
      <c r="AN454" s="1" t="str">
        <f t="shared" si="95"/>
        <v>Não</v>
      </c>
      <c r="AR454" s="1">
        <f t="shared" si="96"/>
        <v>5</v>
      </c>
      <c r="AS454" s="4">
        <f t="shared" si="102"/>
        <v>46538</v>
      </c>
      <c r="AT454" s="1" t="str">
        <f t="shared" si="97"/>
        <v>Não</v>
      </c>
      <c r="AV454" s="1">
        <f t="shared" si="98"/>
        <v>6</v>
      </c>
      <c r="AW454" s="4">
        <f t="shared" si="103"/>
        <v>45834</v>
      </c>
      <c r="AX454" s="1" t="str">
        <f t="shared" si="99"/>
        <v>Não</v>
      </c>
    </row>
    <row r="455" spans="34:50" hidden="1" x14ac:dyDescent="0.25">
      <c r="AH455" s="1">
        <f t="shared" si="92"/>
        <v>1</v>
      </c>
      <c r="AI455" s="5">
        <f t="shared" si="100"/>
        <v>46049</v>
      </c>
      <c r="AJ455" s="1" t="str">
        <f t="shared" si="93"/>
        <v>Não</v>
      </c>
      <c r="AK455" s="1"/>
      <c r="AL455" s="1">
        <f t="shared" si="94"/>
        <v>11</v>
      </c>
      <c r="AM455" s="4">
        <f t="shared" si="101"/>
        <v>46329</v>
      </c>
      <c r="AN455" s="1" t="str">
        <f t="shared" si="95"/>
        <v>Não</v>
      </c>
      <c r="AR455" s="1">
        <f t="shared" si="96"/>
        <v>6</v>
      </c>
      <c r="AS455" s="4">
        <f t="shared" si="102"/>
        <v>46539</v>
      </c>
      <c r="AT455" s="1" t="str">
        <f t="shared" si="97"/>
        <v>Não</v>
      </c>
      <c r="AV455" s="1">
        <f t="shared" si="98"/>
        <v>6</v>
      </c>
      <c r="AW455" s="4">
        <f t="shared" si="103"/>
        <v>45835</v>
      </c>
      <c r="AX455" s="1" t="str">
        <f t="shared" si="99"/>
        <v>Não</v>
      </c>
    </row>
    <row r="456" spans="34:50" hidden="1" x14ac:dyDescent="0.25">
      <c r="AH456" s="1">
        <f t="shared" si="92"/>
        <v>1</v>
      </c>
      <c r="AI456" s="5">
        <f t="shared" si="100"/>
        <v>46050</v>
      </c>
      <c r="AJ456" s="1" t="str">
        <f t="shared" si="93"/>
        <v>Não</v>
      </c>
      <c r="AK456" s="1"/>
      <c r="AL456" s="1">
        <f t="shared" si="94"/>
        <v>11</v>
      </c>
      <c r="AM456" s="4">
        <f t="shared" si="101"/>
        <v>46330</v>
      </c>
      <c r="AN456" s="1" t="str">
        <f t="shared" si="95"/>
        <v>Não</v>
      </c>
      <c r="AR456" s="1">
        <f t="shared" si="96"/>
        <v>6</v>
      </c>
      <c r="AS456" s="4">
        <f t="shared" si="102"/>
        <v>46540</v>
      </c>
      <c r="AT456" s="1" t="str">
        <f t="shared" si="97"/>
        <v>Não</v>
      </c>
      <c r="AV456" s="1">
        <f t="shared" si="98"/>
        <v>6</v>
      </c>
      <c r="AW456" s="4">
        <f t="shared" si="103"/>
        <v>45836</v>
      </c>
      <c r="AX456" s="1" t="str">
        <f t="shared" si="99"/>
        <v>Não</v>
      </c>
    </row>
    <row r="457" spans="34:50" hidden="1" x14ac:dyDescent="0.25">
      <c r="AH457" s="1">
        <f t="shared" si="92"/>
        <v>1</v>
      </c>
      <c r="AI457" s="5">
        <f t="shared" si="100"/>
        <v>46051</v>
      </c>
      <c r="AJ457" s="1" t="str">
        <f t="shared" si="93"/>
        <v>Não</v>
      </c>
      <c r="AK457" s="1"/>
      <c r="AL457" s="1">
        <f t="shared" si="94"/>
        <v>11</v>
      </c>
      <c r="AM457" s="4">
        <f t="shared" si="101"/>
        <v>46331</v>
      </c>
      <c r="AN457" s="1" t="str">
        <f t="shared" si="95"/>
        <v>Não</v>
      </c>
      <c r="AR457" s="1">
        <f t="shared" si="96"/>
        <v>6</v>
      </c>
      <c r="AS457" s="4">
        <f t="shared" si="102"/>
        <v>46541</v>
      </c>
      <c r="AT457" s="1" t="str">
        <f t="shared" si="97"/>
        <v>Não</v>
      </c>
      <c r="AV457" s="1">
        <f t="shared" si="98"/>
        <v>6</v>
      </c>
      <c r="AW457" s="4">
        <f t="shared" si="103"/>
        <v>45837</v>
      </c>
      <c r="AX457" s="1" t="str">
        <f t="shared" si="99"/>
        <v>Não</v>
      </c>
    </row>
    <row r="458" spans="34:50" hidden="1" x14ac:dyDescent="0.25">
      <c r="AH458" s="1">
        <f t="shared" si="92"/>
        <v>1</v>
      </c>
      <c r="AI458" s="5">
        <f t="shared" si="100"/>
        <v>46052</v>
      </c>
      <c r="AJ458" s="1" t="str">
        <f t="shared" si="93"/>
        <v>Não</v>
      </c>
      <c r="AK458" s="1"/>
      <c r="AL458" s="1">
        <f t="shared" si="94"/>
        <v>11</v>
      </c>
      <c r="AM458" s="4">
        <f t="shared" si="101"/>
        <v>46332</v>
      </c>
      <c r="AN458" s="1" t="str">
        <f t="shared" si="95"/>
        <v>Não</v>
      </c>
      <c r="AR458" s="1">
        <f t="shared" si="96"/>
        <v>6</v>
      </c>
      <c r="AS458" s="4">
        <f t="shared" si="102"/>
        <v>46542</v>
      </c>
      <c r="AT458" s="1" t="str">
        <f t="shared" si="97"/>
        <v>Não</v>
      </c>
      <c r="AV458" s="1">
        <f t="shared" si="98"/>
        <v>6</v>
      </c>
      <c r="AW458" s="4">
        <f t="shared" si="103"/>
        <v>45838</v>
      </c>
      <c r="AX458" s="1" t="str">
        <f t="shared" si="99"/>
        <v>Não</v>
      </c>
    </row>
    <row r="459" spans="34:50" hidden="1" x14ac:dyDescent="0.25">
      <c r="AH459" s="1">
        <f t="shared" si="92"/>
        <v>1</v>
      </c>
      <c r="AI459" s="5">
        <f t="shared" si="100"/>
        <v>46053</v>
      </c>
      <c r="AJ459" s="1" t="str">
        <f t="shared" si="93"/>
        <v>Não</v>
      </c>
      <c r="AK459" s="1"/>
      <c r="AL459" s="1">
        <f t="shared" si="94"/>
        <v>11</v>
      </c>
      <c r="AM459" s="4">
        <f t="shared" si="101"/>
        <v>46333</v>
      </c>
      <c r="AN459" s="1" t="str">
        <f t="shared" si="95"/>
        <v>Não</v>
      </c>
      <c r="AR459" s="1">
        <f t="shared" si="96"/>
        <v>6</v>
      </c>
      <c r="AS459" s="4">
        <f t="shared" si="102"/>
        <v>46543</v>
      </c>
      <c r="AT459" s="1" t="str">
        <f t="shared" si="97"/>
        <v>Não</v>
      </c>
      <c r="AV459" s="1">
        <f t="shared" si="98"/>
        <v>7</v>
      </c>
      <c r="AW459" s="4">
        <f t="shared" si="103"/>
        <v>45839</v>
      </c>
      <c r="AX459" s="1" t="str">
        <f t="shared" si="99"/>
        <v>Não</v>
      </c>
    </row>
    <row r="460" spans="34:50" hidden="1" x14ac:dyDescent="0.25">
      <c r="AH460" s="1">
        <f t="shared" si="92"/>
        <v>2</v>
      </c>
      <c r="AI460" s="5">
        <f t="shared" si="100"/>
        <v>46054</v>
      </c>
      <c r="AJ460" s="1" t="str">
        <f t="shared" si="93"/>
        <v>Não</v>
      </c>
      <c r="AK460" s="1"/>
      <c r="AL460" s="1">
        <f t="shared" si="94"/>
        <v>11</v>
      </c>
      <c r="AM460" s="4">
        <f t="shared" si="101"/>
        <v>46334</v>
      </c>
      <c r="AN460" s="1" t="str">
        <f t="shared" si="95"/>
        <v>Não</v>
      </c>
      <c r="AR460" s="1">
        <f t="shared" si="96"/>
        <v>6</v>
      </c>
      <c r="AS460" s="4">
        <f t="shared" si="102"/>
        <v>46544</v>
      </c>
      <c r="AT460" s="1" t="str">
        <f t="shared" si="97"/>
        <v>Não</v>
      </c>
      <c r="AV460" s="1">
        <f t="shared" si="98"/>
        <v>7</v>
      </c>
      <c r="AW460" s="4">
        <f t="shared" si="103"/>
        <v>45840</v>
      </c>
      <c r="AX460" s="1" t="str">
        <f t="shared" si="99"/>
        <v>Não</v>
      </c>
    </row>
    <row r="461" spans="34:50" hidden="1" x14ac:dyDescent="0.25">
      <c r="AH461" s="1">
        <f t="shared" si="92"/>
        <v>2</v>
      </c>
      <c r="AI461" s="5">
        <f t="shared" si="100"/>
        <v>46055</v>
      </c>
      <c r="AJ461" s="1" t="str">
        <f t="shared" si="93"/>
        <v>Não</v>
      </c>
      <c r="AK461" s="1"/>
      <c r="AL461" s="1">
        <f t="shared" si="94"/>
        <v>11</v>
      </c>
      <c r="AM461" s="4">
        <f t="shared" si="101"/>
        <v>46335</v>
      </c>
      <c r="AN461" s="1" t="str">
        <f t="shared" si="95"/>
        <v>Não</v>
      </c>
      <c r="AR461" s="1">
        <f t="shared" si="96"/>
        <v>6</v>
      </c>
      <c r="AS461" s="4">
        <f t="shared" si="102"/>
        <v>46545</v>
      </c>
      <c r="AT461" s="1" t="str">
        <f t="shared" si="97"/>
        <v>Não</v>
      </c>
      <c r="AV461" s="1">
        <f t="shared" si="98"/>
        <v>7</v>
      </c>
      <c r="AW461" s="4">
        <f t="shared" si="103"/>
        <v>45841</v>
      </c>
      <c r="AX461" s="1" t="str">
        <f t="shared" si="99"/>
        <v>Não</v>
      </c>
    </row>
    <row r="462" spans="34:50" hidden="1" x14ac:dyDescent="0.25">
      <c r="AH462" s="1">
        <f t="shared" si="92"/>
        <v>2</v>
      </c>
      <c r="AI462" s="5">
        <f t="shared" si="100"/>
        <v>46056</v>
      </c>
      <c r="AJ462" s="1" t="str">
        <f t="shared" si="93"/>
        <v>Não</v>
      </c>
      <c r="AK462" s="1"/>
      <c r="AL462" s="1">
        <f t="shared" si="94"/>
        <v>11</v>
      </c>
      <c r="AM462" s="4">
        <f t="shared" si="101"/>
        <v>46336</v>
      </c>
      <c r="AN462" s="1" t="str">
        <f t="shared" si="95"/>
        <v>Não</v>
      </c>
      <c r="AR462" s="1">
        <f t="shared" si="96"/>
        <v>6</v>
      </c>
      <c r="AS462" s="4">
        <f t="shared" si="102"/>
        <v>46546</v>
      </c>
      <c r="AT462" s="1" t="str">
        <f t="shared" si="97"/>
        <v>Não</v>
      </c>
      <c r="AV462" s="1">
        <f t="shared" si="98"/>
        <v>7</v>
      </c>
      <c r="AW462" s="4">
        <f t="shared" si="103"/>
        <v>45842</v>
      </c>
      <c r="AX462" s="1" t="str">
        <f t="shared" si="99"/>
        <v>Não</v>
      </c>
    </row>
    <row r="463" spans="34:50" hidden="1" x14ac:dyDescent="0.25">
      <c r="AH463" s="1">
        <f t="shared" si="92"/>
        <v>2</v>
      </c>
      <c r="AI463" s="5">
        <f t="shared" si="100"/>
        <v>46057</v>
      </c>
      <c r="AJ463" s="1" t="str">
        <f t="shared" si="93"/>
        <v>Não</v>
      </c>
      <c r="AK463" s="1"/>
      <c r="AL463" s="1">
        <f t="shared" si="94"/>
        <v>11</v>
      </c>
      <c r="AM463" s="4">
        <f t="shared" si="101"/>
        <v>46337</v>
      </c>
      <c r="AN463" s="1" t="str">
        <f t="shared" si="95"/>
        <v>Não</v>
      </c>
      <c r="AR463" s="1">
        <f t="shared" si="96"/>
        <v>6</v>
      </c>
      <c r="AS463" s="4">
        <f t="shared" si="102"/>
        <v>46547</v>
      </c>
      <c r="AT463" s="1" t="str">
        <f t="shared" si="97"/>
        <v>Não</v>
      </c>
      <c r="AV463" s="1">
        <f t="shared" si="98"/>
        <v>7</v>
      </c>
      <c r="AW463" s="4">
        <f t="shared" si="103"/>
        <v>45843</v>
      </c>
      <c r="AX463" s="1" t="str">
        <f t="shared" si="99"/>
        <v>Não</v>
      </c>
    </row>
    <row r="464" spans="34:50" hidden="1" x14ac:dyDescent="0.25">
      <c r="AH464" s="1">
        <f t="shared" si="92"/>
        <v>2</v>
      </c>
      <c r="AI464" s="5">
        <f t="shared" si="100"/>
        <v>46058</v>
      </c>
      <c r="AJ464" s="1" t="str">
        <f t="shared" si="93"/>
        <v>Não</v>
      </c>
      <c r="AK464" s="1"/>
      <c r="AL464" s="1">
        <f t="shared" si="94"/>
        <v>11</v>
      </c>
      <c r="AM464" s="4">
        <f t="shared" si="101"/>
        <v>46338</v>
      </c>
      <c r="AN464" s="1" t="str">
        <f t="shared" si="95"/>
        <v>Não</v>
      </c>
      <c r="AR464" s="1">
        <f t="shared" si="96"/>
        <v>6</v>
      </c>
      <c r="AS464" s="4">
        <f t="shared" si="102"/>
        <v>46548</v>
      </c>
      <c r="AT464" s="1" t="str">
        <f t="shared" si="97"/>
        <v>Não</v>
      </c>
      <c r="AV464" s="1">
        <f t="shared" si="98"/>
        <v>7</v>
      </c>
      <c r="AW464" s="4">
        <f t="shared" si="103"/>
        <v>45844</v>
      </c>
      <c r="AX464" s="1" t="str">
        <f t="shared" si="99"/>
        <v>Não</v>
      </c>
    </row>
    <row r="465" spans="34:50" hidden="1" x14ac:dyDescent="0.25">
      <c r="AH465" s="1">
        <f t="shared" si="92"/>
        <v>2</v>
      </c>
      <c r="AI465" s="5">
        <f t="shared" si="100"/>
        <v>46059</v>
      </c>
      <c r="AJ465" s="1" t="str">
        <f t="shared" si="93"/>
        <v>Não</v>
      </c>
      <c r="AK465" s="1"/>
      <c r="AL465" s="1">
        <f t="shared" si="94"/>
        <v>11</v>
      </c>
      <c r="AM465" s="4">
        <f t="shared" si="101"/>
        <v>46339</v>
      </c>
      <c r="AN465" s="1" t="str">
        <f t="shared" si="95"/>
        <v>Não</v>
      </c>
      <c r="AR465" s="1">
        <f t="shared" si="96"/>
        <v>6</v>
      </c>
      <c r="AS465" s="4">
        <f t="shared" si="102"/>
        <v>46549</v>
      </c>
      <c r="AT465" s="1" t="str">
        <f t="shared" si="97"/>
        <v>Não</v>
      </c>
      <c r="AV465" s="1">
        <f t="shared" si="98"/>
        <v>7</v>
      </c>
      <c r="AW465" s="4">
        <f t="shared" si="103"/>
        <v>45845</v>
      </c>
      <c r="AX465" s="1" t="str">
        <f t="shared" si="99"/>
        <v>Não</v>
      </c>
    </row>
    <row r="466" spans="34:50" hidden="1" x14ac:dyDescent="0.25">
      <c r="AH466" s="1">
        <f t="shared" si="92"/>
        <v>2</v>
      </c>
      <c r="AI466" s="5">
        <f t="shared" si="100"/>
        <v>46060</v>
      </c>
      <c r="AJ466" s="1" t="str">
        <f t="shared" si="93"/>
        <v>Não</v>
      </c>
      <c r="AK466" s="1"/>
      <c r="AL466" s="1">
        <f t="shared" si="94"/>
        <v>11</v>
      </c>
      <c r="AM466" s="4">
        <f t="shared" si="101"/>
        <v>46340</v>
      </c>
      <c r="AN466" s="1" t="str">
        <f t="shared" si="95"/>
        <v>Não</v>
      </c>
      <c r="AR466" s="1">
        <f t="shared" si="96"/>
        <v>6</v>
      </c>
      <c r="AS466" s="4">
        <f t="shared" si="102"/>
        <v>46550</v>
      </c>
      <c r="AT466" s="1" t="str">
        <f t="shared" si="97"/>
        <v>Não</v>
      </c>
      <c r="AV466" s="1">
        <f t="shared" si="98"/>
        <v>7</v>
      </c>
      <c r="AW466" s="4">
        <f t="shared" si="103"/>
        <v>45846</v>
      </c>
      <c r="AX466" s="1" t="str">
        <f t="shared" si="99"/>
        <v>Não</v>
      </c>
    </row>
    <row r="467" spans="34:50" hidden="1" x14ac:dyDescent="0.25">
      <c r="AH467" s="1">
        <f t="shared" si="92"/>
        <v>2</v>
      </c>
      <c r="AI467" s="5">
        <f t="shared" si="100"/>
        <v>46061</v>
      </c>
      <c r="AJ467" s="1" t="str">
        <f t="shared" si="93"/>
        <v>Não</v>
      </c>
      <c r="AK467" s="1"/>
      <c r="AL467" s="1">
        <f t="shared" si="94"/>
        <v>11</v>
      </c>
      <c r="AM467" s="4">
        <f t="shared" si="101"/>
        <v>46341</v>
      </c>
      <c r="AN467" s="1" t="str">
        <f t="shared" si="95"/>
        <v>Não</v>
      </c>
      <c r="AR467" s="1">
        <f t="shared" si="96"/>
        <v>6</v>
      </c>
      <c r="AS467" s="4">
        <f t="shared" si="102"/>
        <v>46551</v>
      </c>
      <c r="AT467" s="1" t="str">
        <f t="shared" si="97"/>
        <v>Não</v>
      </c>
      <c r="AV467" s="1">
        <f t="shared" si="98"/>
        <v>7</v>
      </c>
      <c r="AW467" s="4">
        <f t="shared" si="103"/>
        <v>45847</v>
      </c>
      <c r="AX467" s="1" t="str">
        <f t="shared" si="99"/>
        <v>Não</v>
      </c>
    </row>
    <row r="468" spans="34:50" hidden="1" x14ac:dyDescent="0.25">
      <c r="AH468" s="1">
        <f t="shared" si="92"/>
        <v>2</v>
      </c>
      <c r="AI468" s="5">
        <f t="shared" si="100"/>
        <v>46062</v>
      </c>
      <c r="AJ468" s="1" t="str">
        <f t="shared" si="93"/>
        <v>Não</v>
      </c>
      <c r="AK468" s="1"/>
      <c r="AL468" s="1">
        <f t="shared" si="94"/>
        <v>11</v>
      </c>
      <c r="AM468" s="4">
        <f t="shared" si="101"/>
        <v>46342</v>
      </c>
      <c r="AN468" s="1" t="str">
        <f t="shared" si="95"/>
        <v>Não</v>
      </c>
      <c r="AR468" s="1">
        <f t="shared" si="96"/>
        <v>6</v>
      </c>
      <c r="AS468" s="4">
        <f t="shared" si="102"/>
        <v>46552</v>
      </c>
      <c r="AT468" s="1" t="str">
        <f t="shared" si="97"/>
        <v>Não</v>
      </c>
      <c r="AV468" s="1">
        <f t="shared" si="98"/>
        <v>7</v>
      </c>
      <c r="AW468" s="4">
        <f t="shared" si="103"/>
        <v>45848</v>
      </c>
      <c r="AX468" s="1" t="str">
        <f t="shared" si="99"/>
        <v>Não</v>
      </c>
    </row>
    <row r="469" spans="34:50" hidden="1" x14ac:dyDescent="0.25">
      <c r="AH469" s="1">
        <f t="shared" si="92"/>
        <v>2</v>
      </c>
      <c r="AI469" s="5">
        <f t="shared" si="100"/>
        <v>46063</v>
      </c>
      <c r="AJ469" s="1" t="str">
        <f t="shared" si="93"/>
        <v>Não</v>
      </c>
      <c r="AK469" s="1"/>
      <c r="AL469" s="1">
        <f t="shared" si="94"/>
        <v>11</v>
      </c>
      <c r="AM469" s="4">
        <f t="shared" si="101"/>
        <v>46343</v>
      </c>
      <c r="AN469" s="1" t="str">
        <f t="shared" si="95"/>
        <v>Não</v>
      </c>
      <c r="AR469" s="1">
        <f t="shared" si="96"/>
        <v>6</v>
      </c>
      <c r="AS469" s="4">
        <f t="shared" si="102"/>
        <v>46553</v>
      </c>
      <c r="AT469" s="1" t="str">
        <f t="shared" si="97"/>
        <v>Não</v>
      </c>
      <c r="AV469" s="1">
        <f t="shared" si="98"/>
        <v>7</v>
      </c>
      <c r="AW469" s="4">
        <f t="shared" si="103"/>
        <v>45849</v>
      </c>
      <c r="AX469" s="1" t="str">
        <f t="shared" si="99"/>
        <v>Não</v>
      </c>
    </row>
    <row r="470" spans="34:50" hidden="1" x14ac:dyDescent="0.25">
      <c r="AH470" s="1">
        <f t="shared" si="92"/>
        <v>2</v>
      </c>
      <c r="AI470" s="5">
        <f t="shared" si="100"/>
        <v>46064</v>
      </c>
      <c r="AJ470" s="1" t="str">
        <f t="shared" si="93"/>
        <v>Não</v>
      </c>
      <c r="AK470" s="1"/>
      <c r="AL470" s="1">
        <f t="shared" si="94"/>
        <v>11</v>
      </c>
      <c r="AM470" s="4">
        <f t="shared" si="101"/>
        <v>46344</v>
      </c>
      <c r="AN470" s="1" t="str">
        <f t="shared" si="95"/>
        <v>Não</v>
      </c>
      <c r="AR470" s="1">
        <f t="shared" si="96"/>
        <v>6</v>
      </c>
      <c r="AS470" s="4">
        <f t="shared" si="102"/>
        <v>46554</v>
      </c>
      <c r="AT470" s="1" t="str">
        <f t="shared" si="97"/>
        <v>Não</v>
      </c>
      <c r="AV470" s="1">
        <f t="shared" si="98"/>
        <v>7</v>
      </c>
      <c r="AW470" s="4">
        <f t="shared" si="103"/>
        <v>45850</v>
      </c>
      <c r="AX470" s="1" t="str">
        <f t="shared" si="99"/>
        <v>Não</v>
      </c>
    </row>
    <row r="471" spans="34:50" hidden="1" x14ac:dyDescent="0.25">
      <c r="AH471" s="1">
        <f t="shared" si="92"/>
        <v>2</v>
      </c>
      <c r="AI471" s="5">
        <f t="shared" si="100"/>
        <v>46065</v>
      </c>
      <c r="AJ471" s="1" t="str">
        <f t="shared" si="93"/>
        <v>Não</v>
      </c>
      <c r="AK471" s="1"/>
      <c r="AL471" s="1">
        <f t="shared" si="94"/>
        <v>11</v>
      </c>
      <c r="AM471" s="4">
        <f t="shared" si="101"/>
        <v>46345</v>
      </c>
      <c r="AN471" s="1" t="str">
        <f t="shared" si="95"/>
        <v>Não</v>
      </c>
      <c r="AR471" s="1">
        <f t="shared" si="96"/>
        <v>6</v>
      </c>
      <c r="AS471" s="4">
        <f t="shared" si="102"/>
        <v>46555</v>
      </c>
      <c r="AT471" s="1" t="str">
        <f t="shared" si="97"/>
        <v>Não</v>
      </c>
      <c r="AV471" s="1">
        <f t="shared" si="98"/>
        <v>7</v>
      </c>
      <c r="AW471" s="4">
        <f t="shared" si="103"/>
        <v>45851</v>
      </c>
      <c r="AX471" s="1" t="str">
        <f t="shared" si="99"/>
        <v>Não</v>
      </c>
    </row>
    <row r="472" spans="34:50" hidden="1" x14ac:dyDescent="0.25">
      <c r="AH472" s="1">
        <f t="shared" si="92"/>
        <v>2</v>
      </c>
      <c r="AI472" s="5">
        <f t="shared" si="100"/>
        <v>46066</v>
      </c>
      <c r="AJ472" s="1" t="str">
        <f t="shared" si="93"/>
        <v>Não</v>
      </c>
      <c r="AK472" s="1"/>
      <c r="AL472" s="1">
        <f t="shared" si="94"/>
        <v>11</v>
      </c>
      <c r="AM472" s="4">
        <f t="shared" si="101"/>
        <v>46346</v>
      </c>
      <c r="AN472" s="1" t="str">
        <f t="shared" si="95"/>
        <v>Não</v>
      </c>
      <c r="AR472" s="1">
        <f t="shared" si="96"/>
        <v>6</v>
      </c>
      <c r="AS472" s="4">
        <f t="shared" si="102"/>
        <v>46556</v>
      </c>
      <c r="AT472" s="1" t="str">
        <f t="shared" si="97"/>
        <v>Não</v>
      </c>
      <c r="AV472" s="1">
        <f t="shared" si="98"/>
        <v>7</v>
      </c>
      <c r="AW472" s="4">
        <f t="shared" si="103"/>
        <v>45852</v>
      </c>
      <c r="AX472" s="1" t="str">
        <f t="shared" si="99"/>
        <v>Não</v>
      </c>
    </row>
    <row r="473" spans="34:50" hidden="1" x14ac:dyDescent="0.25">
      <c r="AH473" s="1">
        <f t="shared" si="92"/>
        <v>2</v>
      </c>
      <c r="AI473" s="5">
        <f t="shared" si="100"/>
        <v>46067</v>
      </c>
      <c r="AJ473" s="1" t="str">
        <f t="shared" si="93"/>
        <v>Não</v>
      </c>
      <c r="AK473" s="1"/>
      <c r="AL473" s="1">
        <f t="shared" si="94"/>
        <v>11</v>
      </c>
      <c r="AM473" s="4">
        <f t="shared" si="101"/>
        <v>46347</v>
      </c>
      <c r="AN473" s="1" t="str">
        <f t="shared" si="95"/>
        <v>Não</v>
      </c>
      <c r="AR473" s="1">
        <f t="shared" si="96"/>
        <v>6</v>
      </c>
      <c r="AS473" s="4">
        <f t="shared" si="102"/>
        <v>46557</v>
      </c>
      <c r="AT473" s="1" t="str">
        <f t="shared" si="97"/>
        <v>Não</v>
      </c>
      <c r="AV473" s="1">
        <f t="shared" si="98"/>
        <v>7</v>
      </c>
      <c r="AW473" s="4">
        <f t="shared" si="103"/>
        <v>45853</v>
      </c>
      <c r="AX473" s="1" t="str">
        <f t="shared" si="99"/>
        <v>Não</v>
      </c>
    </row>
    <row r="474" spans="34:50" hidden="1" x14ac:dyDescent="0.25">
      <c r="AH474" s="1">
        <f t="shared" si="92"/>
        <v>2</v>
      </c>
      <c r="AI474" s="5">
        <f t="shared" si="100"/>
        <v>46068</v>
      </c>
      <c r="AJ474" s="1" t="str">
        <f t="shared" si="93"/>
        <v>Não</v>
      </c>
      <c r="AK474" s="1"/>
      <c r="AL474" s="1">
        <f t="shared" si="94"/>
        <v>11</v>
      </c>
      <c r="AM474" s="4">
        <f t="shared" si="101"/>
        <v>46348</v>
      </c>
      <c r="AN474" s="1" t="str">
        <f t="shared" si="95"/>
        <v>Não</v>
      </c>
      <c r="AR474" s="1">
        <f t="shared" si="96"/>
        <v>6</v>
      </c>
      <c r="AS474" s="4">
        <f t="shared" si="102"/>
        <v>46558</v>
      </c>
      <c r="AT474" s="1" t="str">
        <f t="shared" si="97"/>
        <v>Não</v>
      </c>
      <c r="AV474" s="1">
        <f t="shared" si="98"/>
        <v>7</v>
      </c>
      <c r="AW474" s="4">
        <f t="shared" si="103"/>
        <v>45854</v>
      </c>
      <c r="AX474" s="1" t="str">
        <f t="shared" si="99"/>
        <v>Não</v>
      </c>
    </row>
    <row r="475" spans="34:50" hidden="1" x14ac:dyDescent="0.25">
      <c r="AH475" s="1">
        <f t="shared" si="92"/>
        <v>2</v>
      </c>
      <c r="AI475" s="5">
        <f t="shared" si="100"/>
        <v>46069</v>
      </c>
      <c r="AJ475" s="1" t="str">
        <f t="shared" si="93"/>
        <v>Não</v>
      </c>
      <c r="AK475" s="1"/>
      <c r="AL475" s="1">
        <f t="shared" si="94"/>
        <v>11</v>
      </c>
      <c r="AM475" s="4">
        <f t="shared" si="101"/>
        <v>46349</v>
      </c>
      <c r="AN475" s="1" t="str">
        <f t="shared" si="95"/>
        <v>Não</v>
      </c>
      <c r="AR475" s="1">
        <f t="shared" si="96"/>
        <v>6</v>
      </c>
      <c r="AS475" s="4">
        <f t="shared" si="102"/>
        <v>46559</v>
      </c>
      <c r="AT475" s="1" t="str">
        <f t="shared" si="97"/>
        <v>Não</v>
      </c>
      <c r="AV475" s="1">
        <f t="shared" si="98"/>
        <v>7</v>
      </c>
      <c r="AW475" s="4">
        <f t="shared" si="103"/>
        <v>45855</v>
      </c>
      <c r="AX475" s="1" t="str">
        <f t="shared" si="99"/>
        <v>Não</v>
      </c>
    </row>
    <row r="476" spans="34:50" hidden="1" x14ac:dyDescent="0.25">
      <c r="AH476" s="1">
        <f t="shared" si="92"/>
        <v>2</v>
      </c>
      <c r="AI476" s="5">
        <f t="shared" si="100"/>
        <v>46070</v>
      </c>
      <c r="AJ476" s="1" t="str">
        <f t="shared" si="93"/>
        <v>Não</v>
      </c>
      <c r="AK476" s="1"/>
      <c r="AL476" s="1">
        <f t="shared" si="94"/>
        <v>11</v>
      </c>
      <c r="AM476" s="4">
        <f t="shared" si="101"/>
        <v>46350</v>
      </c>
      <c r="AN476" s="1" t="str">
        <f t="shared" si="95"/>
        <v>Não</v>
      </c>
      <c r="AR476" s="1">
        <f t="shared" si="96"/>
        <v>6</v>
      </c>
      <c r="AS476" s="4">
        <f t="shared" si="102"/>
        <v>46560</v>
      </c>
      <c r="AT476" s="1" t="str">
        <f t="shared" si="97"/>
        <v>Não</v>
      </c>
      <c r="AV476" s="1">
        <f t="shared" si="98"/>
        <v>7</v>
      </c>
      <c r="AW476" s="4">
        <f t="shared" si="103"/>
        <v>45856</v>
      </c>
      <c r="AX476" s="1" t="str">
        <f t="shared" si="99"/>
        <v>Não</v>
      </c>
    </row>
    <row r="477" spans="34:50" hidden="1" x14ac:dyDescent="0.25">
      <c r="AH477" s="1">
        <f t="shared" si="92"/>
        <v>2</v>
      </c>
      <c r="AI477" s="5">
        <f t="shared" si="100"/>
        <v>46071</v>
      </c>
      <c r="AJ477" s="1" t="str">
        <f t="shared" si="93"/>
        <v>Não</v>
      </c>
      <c r="AK477" s="1"/>
      <c r="AL477" s="1">
        <f t="shared" si="94"/>
        <v>11</v>
      </c>
      <c r="AM477" s="4">
        <f t="shared" si="101"/>
        <v>46351</v>
      </c>
      <c r="AN477" s="1" t="str">
        <f t="shared" si="95"/>
        <v>Não</v>
      </c>
      <c r="AR477" s="1">
        <f t="shared" si="96"/>
        <v>6</v>
      </c>
      <c r="AS477" s="4">
        <f t="shared" si="102"/>
        <v>46561</v>
      </c>
      <c r="AT477" s="1" t="str">
        <f t="shared" si="97"/>
        <v>Não</v>
      </c>
      <c r="AV477" s="1">
        <f t="shared" si="98"/>
        <v>7</v>
      </c>
      <c r="AW477" s="4">
        <f t="shared" si="103"/>
        <v>45857</v>
      </c>
      <c r="AX477" s="1" t="str">
        <f t="shared" si="99"/>
        <v>Não</v>
      </c>
    </row>
    <row r="478" spans="34:50" hidden="1" x14ac:dyDescent="0.25">
      <c r="AH478" s="1">
        <f t="shared" si="92"/>
        <v>2</v>
      </c>
      <c r="AI478" s="5">
        <f t="shared" si="100"/>
        <v>46072</v>
      </c>
      <c r="AJ478" s="1" t="str">
        <f t="shared" si="93"/>
        <v>Não</v>
      </c>
      <c r="AK478" s="1"/>
      <c r="AL478" s="1">
        <f t="shared" si="94"/>
        <v>11</v>
      </c>
      <c r="AM478" s="4">
        <f t="shared" si="101"/>
        <v>46352</v>
      </c>
      <c r="AN478" s="1" t="str">
        <f t="shared" si="95"/>
        <v>Não</v>
      </c>
      <c r="AR478" s="1">
        <f t="shared" si="96"/>
        <v>6</v>
      </c>
      <c r="AS478" s="4">
        <f t="shared" si="102"/>
        <v>46562</v>
      </c>
      <c r="AT478" s="1" t="str">
        <f t="shared" si="97"/>
        <v>Não</v>
      </c>
      <c r="AV478" s="1">
        <f t="shared" si="98"/>
        <v>7</v>
      </c>
      <c r="AW478" s="4">
        <f t="shared" si="103"/>
        <v>45858</v>
      </c>
      <c r="AX478" s="1" t="str">
        <f t="shared" si="99"/>
        <v>Não</v>
      </c>
    </row>
    <row r="479" spans="34:50" hidden="1" x14ac:dyDescent="0.25">
      <c r="AH479" s="1">
        <f t="shared" si="92"/>
        <v>2</v>
      </c>
      <c r="AI479" s="5">
        <f t="shared" si="100"/>
        <v>46073</v>
      </c>
      <c r="AJ479" s="1" t="str">
        <f t="shared" si="93"/>
        <v>Não</v>
      </c>
      <c r="AK479" s="1"/>
      <c r="AL479" s="1">
        <f t="shared" si="94"/>
        <v>11</v>
      </c>
      <c r="AM479" s="4">
        <f t="shared" si="101"/>
        <v>46353</v>
      </c>
      <c r="AN479" s="1" t="str">
        <f t="shared" si="95"/>
        <v>Não</v>
      </c>
      <c r="AR479" s="1">
        <f t="shared" si="96"/>
        <v>6</v>
      </c>
      <c r="AS479" s="4">
        <f t="shared" si="102"/>
        <v>46563</v>
      </c>
      <c r="AT479" s="1" t="str">
        <f t="shared" si="97"/>
        <v>Não</v>
      </c>
      <c r="AV479" s="1">
        <f t="shared" si="98"/>
        <v>7</v>
      </c>
      <c r="AW479" s="4">
        <f t="shared" si="103"/>
        <v>45859</v>
      </c>
      <c r="AX479" s="1" t="str">
        <f t="shared" si="99"/>
        <v>Não</v>
      </c>
    </row>
    <row r="480" spans="34:50" hidden="1" x14ac:dyDescent="0.25">
      <c r="AH480" s="1">
        <f t="shared" si="92"/>
        <v>2</v>
      </c>
      <c r="AI480" s="5">
        <f t="shared" si="100"/>
        <v>46074</v>
      </c>
      <c r="AJ480" s="1" t="str">
        <f t="shared" si="93"/>
        <v>Não</v>
      </c>
      <c r="AK480" s="1"/>
      <c r="AL480" s="1">
        <f t="shared" si="94"/>
        <v>11</v>
      </c>
      <c r="AM480" s="4">
        <f t="shared" si="101"/>
        <v>46354</v>
      </c>
      <c r="AN480" s="1" t="str">
        <f t="shared" si="95"/>
        <v>Não</v>
      </c>
      <c r="AR480" s="1">
        <f t="shared" si="96"/>
        <v>6</v>
      </c>
      <c r="AS480" s="4">
        <f t="shared" si="102"/>
        <v>46564</v>
      </c>
      <c r="AT480" s="1" t="str">
        <f t="shared" si="97"/>
        <v>Não</v>
      </c>
      <c r="AV480" s="1">
        <f t="shared" si="98"/>
        <v>7</v>
      </c>
      <c r="AW480" s="4">
        <f t="shared" si="103"/>
        <v>45860</v>
      </c>
      <c r="AX480" s="1" t="str">
        <f t="shared" si="99"/>
        <v>Não</v>
      </c>
    </row>
    <row r="481" spans="34:50" hidden="1" x14ac:dyDescent="0.25">
      <c r="AH481" s="1">
        <f t="shared" si="92"/>
        <v>2</v>
      </c>
      <c r="AI481" s="5">
        <f t="shared" si="100"/>
        <v>46075</v>
      </c>
      <c r="AJ481" s="1" t="str">
        <f t="shared" si="93"/>
        <v>Não</v>
      </c>
      <c r="AK481" s="1"/>
      <c r="AL481" s="1">
        <f t="shared" si="94"/>
        <v>11</v>
      </c>
      <c r="AM481" s="4">
        <f t="shared" si="101"/>
        <v>46355</v>
      </c>
      <c r="AN481" s="1" t="str">
        <f t="shared" si="95"/>
        <v>Não</v>
      </c>
      <c r="AR481" s="1">
        <f t="shared" si="96"/>
        <v>6</v>
      </c>
      <c r="AS481" s="4">
        <f t="shared" si="102"/>
        <v>46565</v>
      </c>
      <c r="AT481" s="1" t="str">
        <f t="shared" si="97"/>
        <v>Não</v>
      </c>
      <c r="AV481" s="1">
        <f t="shared" si="98"/>
        <v>7</v>
      </c>
      <c r="AW481" s="4">
        <f t="shared" si="103"/>
        <v>45861</v>
      </c>
      <c r="AX481" s="1" t="str">
        <f t="shared" si="99"/>
        <v>Não</v>
      </c>
    </row>
    <row r="482" spans="34:50" hidden="1" x14ac:dyDescent="0.25">
      <c r="AH482" s="1">
        <f t="shared" si="92"/>
        <v>2</v>
      </c>
      <c r="AI482" s="5">
        <f t="shared" si="100"/>
        <v>46076</v>
      </c>
      <c r="AJ482" s="1" t="str">
        <f t="shared" si="93"/>
        <v>Não</v>
      </c>
      <c r="AK482" s="1"/>
      <c r="AL482" s="1">
        <f t="shared" si="94"/>
        <v>11</v>
      </c>
      <c r="AM482" s="4">
        <f t="shared" si="101"/>
        <v>46356</v>
      </c>
      <c r="AN482" s="1" t="str">
        <f t="shared" si="95"/>
        <v>Não</v>
      </c>
      <c r="AR482" s="1">
        <f t="shared" si="96"/>
        <v>6</v>
      </c>
      <c r="AS482" s="4">
        <f t="shared" si="102"/>
        <v>46566</v>
      </c>
      <c r="AT482" s="1" t="str">
        <f t="shared" si="97"/>
        <v>Não</v>
      </c>
      <c r="AV482" s="1">
        <f t="shared" si="98"/>
        <v>7</v>
      </c>
      <c r="AW482" s="4">
        <f t="shared" si="103"/>
        <v>45862</v>
      </c>
      <c r="AX482" s="1" t="str">
        <f t="shared" si="99"/>
        <v>Não</v>
      </c>
    </row>
    <row r="483" spans="34:50" hidden="1" x14ac:dyDescent="0.25">
      <c r="AH483" s="1">
        <f t="shared" si="92"/>
        <v>2</v>
      </c>
      <c r="AI483" s="5">
        <f t="shared" si="100"/>
        <v>46077</v>
      </c>
      <c r="AJ483" s="1" t="str">
        <f t="shared" si="93"/>
        <v>Não</v>
      </c>
      <c r="AK483" s="1"/>
      <c r="AL483" s="1">
        <f t="shared" si="94"/>
        <v>12</v>
      </c>
      <c r="AM483" s="4">
        <f t="shared" si="101"/>
        <v>46357</v>
      </c>
      <c r="AN483" s="1" t="str">
        <f t="shared" si="95"/>
        <v>Não</v>
      </c>
      <c r="AR483" s="1">
        <f t="shared" si="96"/>
        <v>6</v>
      </c>
      <c r="AS483" s="4">
        <f t="shared" si="102"/>
        <v>46567</v>
      </c>
      <c r="AT483" s="1" t="str">
        <f t="shared" si="97"/>
        <v>Não</v>
      </c>
      <c r="AV483" s="1">
        <f t="shared" si="98"/>
        <v>7</v>
      </c>
      <c r="AW483" s="4">
        <f t="shared" si="103"/>
        <v>45863</v>
      </c>
      <c r="AX483" s="1" t="str">
        <f t="shared" si="99"/>
        <v>Não</v>
      </c>
    </row>
    <row r="484" spans="34:50" hidden="1" x14ac:dyDescent="0.25">
      <c r="AH484" s="1">
        <f t="shared" si="92"/>
        <v>2</v>
      </c>
      <c r="AI484" s="5">
        <f t="shared" si="100"/>
        <v>46078</v>
      </c>
      <c r="AJ484" s="1" t="str">
        <f t="shared" si="93"/>
        <v>Não</v>
      </c>
      <c r="AK484" s="1"/>
      <c r="AL484" s="1">
        <f t="shared" si="94"/>
        <v>12</v>
      </c>
      <c r="AM484" s="4">
        <f t="shared" si="101"/>
        <v>46358</v>
      </c>
      <c r="AN484" s="1" t="str">
        <f t="shared" si="95"/>
        <v>Não</v>
      </c>
      <c r="AR484" s="1">
        <f t="shared" si="96"/>
        <v>6</v>
      </c>
      <c r="AS484" s="4">
        <f t="shared" si="102"/>
        <v>46568</v>
      </c>
      <c r="AT484" s="1" t="str">
        <f t="shared" si="97"/>
        <v>Não</v>
      </c>
      <c r="AV484" s="1">
        <f t="shared" si="98"/>
        <v>7</v>
      </c>
      <c r="AW484" s="4">
        <f t="shared" si="103"/>
        <v>45864</v>
      </c>
      <c r="AX484" s="1" t="str">
        <f t="shared" si="99"/>
        <v>Não</v>
      </c>
    </row>
    <row r="485" spans="34:50" hidden="1" x14ac:dyDescent="0.25">
      <c r="AH485" s="1">
        <f t="shared" si="92"/>
        <v>2</v>
      </c>
      <c r="AI485" s="5">
        <f t="shared" si="100"/>
        <v>46079</v>
      </c>
      <c r="AJ485" s="1" t="str">
        <f t="shared" si="93"/>
        <v>Não</v>
      </c>
      <c r="AK485" s="1"/>
      <c r="AL485" s="1">
        <f t="shared" si="94"/>
        <v>12</v>
      </c>
      <c r="AM485" s="4">
        <f t="shared" si="101"/>
        <v>46359</v>
      </c>
      <c r="AN485" s="1" t="str">
        <f t="shared" si="95"/>
        <v>Não</v>
      </c>
      <c r="AR485" s="1">
        <f t="shared" si="96"/>
        <v>7</v>
      </c>
      <c r="AS485" s="4">
        <f t="shared" si="102"/>
        <v>46569</v>
      </c>
      <c r="AT485" s="1" t="str">
        <f t="shared" si="97"/>
        <v>Não</v>
      </c>
      <c r="AV485" s="1">
        <f t="shared" si="98"/>
        <v>7</v>
      </c>
      <c r="AW485" s="4">
        <f t="shared" si="103"/>
        <v>45865</v>
      </c>
      <c r="AX485" s="1" t="str">
        <f t="shared" si="99"/>
        <v>Não</v>
      </c>
    </row>
    <row r="486" spans="34:50" hidden="1" x14ac:dyDescent="0.25">
      <c r="AH486" s="1">
        <f t="shared" si="92"/>
        <v>2</v>
      </c>
      <c r="AI486" s="5">
        <f t="shared" si="100"/>
        <v>46080</v>
      </c>
      <c r="AJ486" s="1" t="str">
        <f t="shared" si="93"/>
        <v>Não</v>
      </c>
      <c r="AK486" s="1"/>
      <c r="AL486" s="1">
        <f t="shared" si="94"/>
        <v>12</v>
      </c>
      <c r="AM486" s="4">
        <f t="shared" si="101"/>
        <v>46360</v>
      </c>
      <c r="AN486" s="1" t="str">
        <f t="shared" si="95"/>
        <v>Não</v>
      </c>
      <c r="AR486" s="1">
        <f t="shared" si="96"/>
        <v>7</v>
      </c>
      <c r="AS486" s="4">
        <f t="shared" si="102"/>
        <v>46570</v>
      </c>
      <c r="AT486" s="1" t="str">
        <f t="shared" si="97"/>
        <v>Não</v>
      </c>
      <c r="AV486" s="1">
        <f t="shared" si="98"/>
        <v>7</v>
      </c>
      <c r="AW486" s="4">
        <f t="shared" si="103"/>
        <v>45866</v>
      </c>
      <c r="AX486" s="1" t="str">
        <f t="shared" si="99"/>
        <v>Não</v>
      </c>
    </row>
    <row r="487" spans="34:50" hidden="1" x14ac:dyDescent="0.25">
      <c r="AH487" s="1">
        <f t="shared" si="92"/>
        <v>2</v>
      </c>
      <c r="AI487" s="5">
        <f t="shared" si="100"/>
        <v>46081</v>
      </c>
      <c r="AJ487" s="1" t="str">
        <f t="shared" si="93"/>
        <v>Não</v>
      </c>
      <c r="AK487" s="1"/>
      <c r="AL487" s="1">
        <f t="shared" si="94"/>
        <v>12</v>
      </c>
      <c r="AM487" s="4">
        <f t="shared" si="101"/>
        <v>46361</v>
      </c>
      <c r="AN487" s="1" t="str">
        <f t="shared" si="95"/>
        <v>Não</v>
      </c>
      <c r="AR487" s="1">
        <f t="shared" si="96"/>
        <v>7</v>
      </c>
      <c r="AS487" s="4">
        <f t="shared" si="102"/>
        <v>46571</v>
      </c>
      <c r="AT487" s="1" t="str">
        <f t="shared" si="97"/>
        <v>Não</v>
      </c>
      <c r="AV487" s="1">
        <f t="shared" si="98"/>
        <v>7</v>
      </c>
      <c r="AW487" s="4">
        <f t="shared" si="103"/>
        <v>45867</v>
      </c>
      <c r="AX487" s="1" t="str">
        <f t="shared" si="99"/>
        <v>Não</v>
      </c>
    </row>
    <row r="488" spans="34:50" hidden="1" x14ac:dyDescent="0.25">
      <c r="AH488" s="1">
        <f t="shared" si="92"/>
        <v>3</v>
      </c>
      <c r="AI488" s="5">
        <f t="shared" si="100"/>
        <v>46082</v>
      </c>
      <c r="AJ488" s="1" t="str">
        <f t="shared" si="93"/>
        <v>Não</v>
      </c>
      <c r="AK488" s="1"/>
      <c r="AL488" s="1">
        <f t="shared" si="94"/>
        <v>12</v>
      </c>
      <c r="AM488" s="4">
        <f t="shared" si="101"/>
        <v>46362</v>
      </c>
      <c r="AN488" s="1" t="str">
        <f t="shared" si="95"/>
        <v>Não</v>
      </c>
      <c r="AR488" s="1">
        <f t="shared" si="96"/>
        <v>7</v>
      </c>
      <c r="AS488" s="4">
        <f t="shared" si="102"/>
        <v>46572</v>
      </c>
      <c r="AT488" s="1" t="str">
        <f t="shared" si="97"/>
        <v>Não</v>
      </c>
      <c r="AV488" s="1">
        <f t="shared" si="98"/>
        <v>7</v>
      </c>
      <c r="AW488" s="4">
        <f t="shared" si="103"/>
        <v>45868</v>
      </c>
      <c r="AX488" s="1" t="str">
        <f t="shared" si="99"/>
        <v>Não</v>
      </c>
    </row>
    <row r="489" spans="34:50" hidden="1" x14ac:dyDescent="0.25">
      <c r="AH489" s="1">
        <f t="shared" si="92"/>
        <v>3</v>
      </c>
      <c r="AI489" s="5">
        <f t="shared" si="100"/>
        <v>46083</v>
      </c>
      <c r="AJ489" s="1" t="str">
        <f t="shared" si="93"/>
        <v>Não</v>
      </c>
      <c r="AK489" s="1"/>
      <c r="AL489" s="1">
        <f t="shared" si="94"/>
        <v>12</v>
      </c>
      <c r="AM489" s="4">
        <f t="shared" si="101"/>
        <v>46363</v>
      </c>
      <c r="AN489" s="1" t="str">
        <f t="shared" si="95"/>
        <v>Não</v>
      </c>
      <c r="AR489" s="1">
        <f t="shared" si="96"/>
        <v>7</v>
      </c>
      <c r="AS489" s="4">
        <f t="shared" si="102"/>
        <v>46573</v>
      </c>
      <c r="AT489" s="1" t="str">
        <f t="shared" si="97"/>
        <v>Não</v>
      </c>
      <c r="AV489" s="1">
        <f t="shared" si="98"/>
        <v>7</v>
      </c>
      <c r="AW489" s="4">
        <f t="shared" si="103"/>
        <v>45869</v>
      </c>
      <c r="AX489" s="1" t="str">
        <f t="shared" si="99"/>
        <v>Não</v>
      </c>
    </row>
    <row r="490" spans="34:50" hidden="1" x14ac:dyDescent="0.25">
      <c r="AH490" s="1">
        <f t="shared" si="92"/>
        <v>3</v>
      </c>
      <c r="AI490" s="5">
        <f t="shared" si="100"/>
        <v>46084</v>
      </c>
      <c r="AJ490" s="1" t="str">
        <f t="shared" si="93"/>
        <v>Não</v>
      </c>
      <c r="AK490" s="1"/>
      <c r="AL490" s="1">
        <f t="shared" si="94"/>
        <v>12</v>
      </c>
      <c r="AM490" s="4">
        <f t="shared" si="101"/>
        <v>46364</v>
      </c>
      <c r="AN490" s="1" t="str">
        <f t="shared" si="95"/>
        <v>Não</v>
      </c>
      <c r="AR490" s="1">
        <f t="shared" si="96"/>
        <v>7</v>
      </c>
      <c r="AS490" s="4">
        <f t="shared" si="102"/>
        <v>46574</v>
      </c>
      <c r="AT490" s="1" t="str">
        <f t="shared" si="97"/>
        <v>Não</v>
      </c>
      <c r="AV490" s="1">
        <f t="shared" si="98"/>
        <v>8</v>
      </c>
      <c r="AW490" s="4">
        <f t="shared" si="103"/>
        <v>45870</v>
      </c>
      <c r="AX490" s="1" t="str">
        <f t="shared" si="99"/>
        <v>Não</v>
      </c>
    </row>
    <row r="491" spans="34:50" hidden="1" x14ac:dyDescent="0.25">
      <c r="AH491" s="1">
        <f t="shared" si="92"/>
        <v>3</v>
      </c>
      <c r="AI491" s="5">
        <f t="shared" si="100"/>
        <v>46085</v>
      </c>
      <c r="AJ491" s="1" t="str">
        <f t="shared" si="93"/>
        <v>Não</v>
      </c>
      <c r="AK491" s="1"/>
      <c r="AL491" s="1">
        <f t="shared" si="94"/>
        <v>12</v>
      </c>
      <c r="AM491" s="4">
        <f t="shared" si="101"/>
        <v>46365</v>
      </c>
      <c r="AN491" s="1" t="str">
        <f t="shared" si="95"/>
        <v>Não</v>
      </c>
      <c r="AR491" s="1">
        <f t="shared" si="96"/>
        <v>7</v>
      </c>
      <c r="AS491" s="4">
        <f t="shared" si="102"/>
        <v>46575</v>
      </c>
      <c r="AT491" s="1" t="str">
        <f t="shared" si="97"/>
        <v>Não</v>
      </c>
      <c r="AV491" s="1">
        <f t="shared" si="98"/>
        <v>8</v>
      </c>
      <c r="AW491" s="4">
        <f t="shared" si="103"/>
        <v>45871</v>
      </c>
      <c r="AX491" s="1" t="str">
        <f t="shared" si="99"/>
        <v>Não</v>
      </c>
    </row>
    <row r="492" spans="34:50" hidden="1" x14ac:dyDescent="0.25">
      <c r="AH492" s="1">
        <f t="shared" si="92"/>
        <v>3</v>
      </c>
      <c r="AI492" s="5">
        <f t="shared" si="100"/>
        <v>46086</v>
      </c>
      <c r="AJ492" s="1" t="str">
        <f t="shared" si="93"/>
        <v>Não</v>
      </c>
      <c r="AK492" s="1"/>
      <c r="AL492" s="1">
        <f t="shared" si="94"/>
        <v>12</v>
      </c>
      <c r="AM492" s="4">
        <f t="shared" si="101"/>
        <v>46366</v>
      </c>
      <c r="AN492" s="1" t="str">
        <f t="shared" si="95"/>
        <v>Não</v>
      </c>
      <c r="AR492" s="1">
        <f t="shared" si="96"/>
        <v>7</v>
      </c>
      <c r="AS492" s="4">
        <f t="shared" si="102"/>
        <v>46576</v>
      </c>
      <c r="AT492" s="1" t="str">
        <f t="shared" si="97"/>
        <v>Não</v>
      </c>
      <c r="AV492" s="1">
        <f t="shared" si="98"/>
        <v>8</v>
      </c>
      <c r="AW492" s="4">
        <f t="shared" si="103"/>
        <v>45872</v>
      </c>
      <c r="AX492" s="1" t="str">
        <f t="shared" si="99"/>
        <v>Não</v>
      </c>
    </row>
    <row r="493" spans="34:50" hidden="1" x14ac:dyDescent="0.25">
      <c r="AH493" s="1">
        <f t="shared" si="92"/>
        <v>3</v>
      </c>
      <c r="AI493" s="5">
        <f t="shared" si="100"/>
        <v>46087</v>
      </c>
      <c r="AJ493" s="1" t="str">
        <f t="shared" si="93"/>
        <v>Não</v>
      </c>
      <c r="AK493" s="1"/>
      <c r="AL493" s="1">
        <f t="shared" si="94"/>
        <v>12</v>
      </c>
      <c r="AM493" s="4">
        <f t="shared" si="101"/>
        <v>46367</v>
      </c>
      <c r="AN493" s="1" t="str">
        <f t="shared" si="95"/>
        <v>Não</v>
      </c>
      <c r="AR493" s="1">
        <f t="shared" si="96"/>
        <v>7</v>
      </c>
      <c r="AS493" s="4">
        <f t="shared" si="102"/>
        <v>46577</v>
      </c>
      <c r="AT493" s="1" t="str">
        <f t="shared" si="97"/>
        <v>Não</v>
      </c>
      <c r="AV493" s="1">
        <f t="shared" si="98"/>
        <v>8</v>
      </c>
      <c r="AW493" s="4">
        <f t="shared" si="103"/>
        <v>45873</v>
      </c>
      <c r="AX493" s="1" t="str">
        <f t="shared" si="99"/>
        <v>Não</v>
      </c>
    </row>
    <row r="494" spans="34:50" hidden="1" x14ac:dyDescent="0.25">
      <c r="AH494" s="1">
        <f t="shared" si="92"/>
        <v>3</v>
      </c>
      <c r="AI494" s="5">
        <f t="shared" si="100"/>
        <v>46088</v>
      </c>
      <c r="AJ494" s="1" t="str">
        <f t="shared" si="93"/>
        <v>Não</v>
      </c>
      <c r="AK494" s="1"/>
      <c r="AL494" s="1">
        <f t="shared" si="94"/>
        <v>12</v>
      </c>
      <c r="AM494" s="4">
        <f t="shared" si="101"/>
        <v>46368</v>
      </c>
      <c r="AN494" s="1" t="str">
        <f t="shared" si="95"/>
        <v>Não</v>
      </c>
      <c r="AR494" s="1">
        <f t="shared" si="96"/>
        <v>7</v>
      </c>
      <c r="AS494" s="4">
        <f t="shared" si="102"/>
        <v>46578</v>
      </c>
      <c r="AT494" s="1" t="str">
        <f t="shared" si="97"/>
        <v>Não</v>
      </c>
      <c r="AV494" s="1">
        <f t="shared" si="98"/>
        <v>8</v>
      </c>
      <c r="AW494" s="4">
        <f t="shared" si="103"/>
        <v>45874</v>
      </c>
      <c r="AX494" s="1" t="str">
        <f t="shared" si="99"/>
        <v>Não</v>
      </c>
    </row>
    <row r="495" spans="34:50" hidden="1" x14ac:dyDescent="0.25">
      <c r="AH495" s="1">
        <f t="shared" si="92"/>
        <v>3</v>
      </c>
      <c r="AI495" s="5">
        <f t="shared" si="100"/>
        <v>46089</v>
      </c>
      <c r="AJ495" s="1" t="str">
        <f t="shared" si="93"/>
        <v>Não</v>
      </c>
      <c r="AK495" s="1"/>
      <c r="AL495" s="1">
        <f t="shared" si="94"/>
        <v>12</v>
      </c>
      <c r="AM495" s="4">
        <f t="shared" si="101"/>
        <v>46369</v>
      </c>
      <c r="AN495" s="1" t="str">
        <f t="shared" si="95"/>
        <v>Não</v>
      </c>
      <c r="AR495" s="1">
        <f t="shared" si="96"/>
        <v>7</v>
      </c>
      <c r="AS495" s="4">
        <f t="shared" si="102"/>
        <v>46579</v>
      </c>
      <c r="AT495" s="1" t="str">
        <f t="shared" si="97"/>
        <v>Não</v>
      </c>
      <c r="AV495" s="1">
        <f t="shared" si="98"/>
        <v>8</v>
      </c>
      <c r="AW495" s="4">
        <f t="shared" si="103"/>
        <v>45875</v>
      </c>
      <c r="AX495" s="1" t="str">
        <f t="shared" si="99"/>
        <v>Não</v>
      </c>
    </row>
    <row r="496" spans="34:50" hidden="1" x14ac:dyDescent="0.25">
      <c r="AH496" s="1">
        <f t="shared" si="92"/>
        <v>3</v>
      </c>
      <c r="AI496" s="5">
        <f t="shared" si="100"/>
        <v>46090</v>
      </c>
      <c r="AJ496" s="1" t="str">
        <f t="shared" si="93"/>
        <v>Não</v>
      </c>
      <c r="AK496" s="1"/>
      <c r="AL496" s="1">
        <f t="shared" si="94"/>
        <v>12</v>
      </c>
      <c r="AM496" s="4">
        <f t="shared" si="101"/>
        <v>46370</v>
      </c>
      <c r="AN496" s="1" t="str">
        <f t="shared" si="95"/>
        <v>Não</v>
      </c>
      <c r="AR496" s="1">
        <f t="shared" si="96"/>
        <v>7</v>
      </c>
      <c r="AS496" s="4">
        <f t="shared" si="102"/>
        <v>46580</v>
      </c>
      <c r="AT496" s="1" t="str">
        <f t="shared" si="97"/>
        <v>Não</v>
      </c>
      <c r="AV496" s="1">
        <f t="shared" si="98"/>
        <v>8</v>
      </c>
      <c r="AW496" s="4">
        <f t="shared" si="103"/>
        <v>45876</v>
      </c>
      <c r="AX496" s="1" t="str">
        <f t="shared" si="99"/>
        <v>Não</v>
      </c>
    </row>
    <row r="497" spans="34:50" hidden="1" x14ac:dyDescent="0.25">
      <c r="AH497" s="1">
        <f t="shared" si="92"/>
        <v>3</v>
      </c>
      <c r="AI497" s="5">
        <f t="shared" si="100"/>
        <v>46091</v>
      </c>
      <c r="AJ497" s="1" t="str">
        <f t="shared" si="93"/>
        <v>Não</v>
      </c>
      <c r="AK497" s="1"/>
      <c r="AL497" s="1">
        <f t="shared" si="94"/>
        <v>12</v>
      </c>
      <c r="AM497" s="4">
        <f t="shared" si="101"/>
        <v>46371</v>
      </c>
      <c r="AN497" s="1" t="str">
        <f t="shared" si="95"/>
        <v>Não</v>
      </c>
      <c r="AR497" s="1">
        <f t="shared" si="96"/>
        <v>7</v>
      </c>
      <c r="AS497" s="4">
        <f t="shared" si="102"/>
        <v>46581</v>
      </c>
      <c r="AT497" s="1" t="str">
        <f t="shared" si="97"/>
        <v>Não</v>
      </c>
      <c r="AV497" s="1">
        <f t="shared" si="98"/>
        <v>8</v>
      </c>
      <c r="AW497" s="4">
        <f t="shared" si="103"/>
        <v>45877</v>
      </c>
      <c r="AX497" s="1" t="str">
        <f t="shared" si="99"/>
        <v>Não</v>
      </c>
    </row>
    <row r="498" spans="34:50" hidden="1" x14ac:dyDescent="0.25">
      <c r="AH498" s="1">
        <f t="shared" si="92"/>
        <v>3</v>
      </c>
      <c r="AI498" s="5">
        <f t="shared" si="100"/>
        <v>46092</v>
      </c>
      <c r="AJ498" s="1" t="str">
        <f t="shared" si="93"/>
        <v>Não</v>
      </c>
      <c r="AK498" s="1"/>
      <c r="AL498" s="1">
        <f t="shared" si="94"/>
        <v>12</v>
      </c>
      <c r="AM498" s="4">
        <f t="shared" si="101"/>
        <v>46372</v>
      </c>
      <c r="AN498" s="1" t="str">
        <f t="shared" si="95"/>
        <v>Não</v>
      </c>
      <c r="AR498" s="1">
        <f t="shared" si="96"/>
        <v>7</v>
      </c>
      <c r="AS498" s="4">
        <f t="shared" si="102"/>
        <v>46582</v>
      </c>
      <c r="AT498" s="1" t="str">
        <f t="shared" si="97"/>
        <v>Não</v>
      </c>
      <c r="AV498" s="1">
        <f t="shared" si="98"/>
        <v>8</v>
      </c>
      <c r="AW498" s="4">
        <f t="shared" si="103"/>
        <v>45878</v>
      </c>
      <c r="AX498" s="1" t="str">
        <f t="shared" si="99"/>
        <v>Não</v>
      </c>
    </row>
    <row r="499" spans="34:50" hidden="1" x14ac:dyDescent="0.25">
      <c r="AH499" s="1">
        <f t="shared" si="92"/>
        <v>3</v>
      </c>
      <c r="AI499" s="5">
        <f t="shared" si="100"/>
        <v>46093</v>
      </c>
      <c r="AJ499" s="1" t="str">
        <f t="shared" si="93"/>
        <v>Não</v>
      </c>
      <c r="AK499" s="1"/>
      <c r="AL499" s="1">
        <f t="shared" si="94"/>
        <v>12</v>
      </c>
      <c r="AM499" s="4">
        <f t="shared" si="101"/>
        <v>46373</v>
      </c>
      <c r="AN499" s="1" t="str">
        <f t="shared" si="95"/>
        <v>Não</v>
      </c>
      <c r="AR499" s="1">
        <f t="shared" si="96"/>
        <v>7</v>
      </c>
      <c r="AS499" s="4">
        <f t="shared" si="102"/>
        <v>46583</v>
      </c>
      <c r="AT499" s="1" t="str">
        <f t="shared" si="97"/>
        <v>Não</v>
      </c>
      <c r="AV499" s="1">
        <f t="shared" si="98"/>
        <v>8</v>
      </c>
      <c r="AW499" s="4">
        <f t="shared" si="103"/>
        <v>45879</v>
      </c>
      <c r="AX499" s="1" t="str">
        <f t="shared" si="99"/>
        <v>Não</v>
      </c>
    </row>
    <row r="500" spans="34:50" hidden="1" x14ac:dyDescent="0.25">
      <c r="AH500" s="1">
        <f t="shared" si="92"/>
        <v>3</v>
      </c>
      <c r="AI500" s="5">
        <f t="shared" si="100"/>
        <v>46094</v>
      </c>
      <c r="AJ500" s="1" t="str">
        <f t="shared" si="93"/>
        <v>Não</v>
      </c>
      <c r="AK500" s="1"/>
      <c r="AL500" s="1">
        <f t="shared" si="94"/>
        <v>12</v>
      </c>
      <c r="AM500" s="4">
        <f t="shared" si="101"/>
        <v>46374</v>
      </c>
      <c r="AN500" s="1" t="str">
        <f t="shared" si="95"/>
        <v>Não</v>
      </c>
      <c r="AR500" s="1">
        <f t="shared" si="96"/>
        <v>7</v>
      </c>
      <c r="AS500" s="4">
        <f t="shared" si="102"/>
        <v>46584</v>
      </c>
      <c r="AT500" s="1" t="str">
        <f t="shared" si="97"/>
        <v>Não</v>
      </c>
      <c r="AV500" s="1">
        <f t="shared" si="98"/>
        <v>8</v>
      </c>
      <c r="AW500" s="4">
        <f t="shared" si="103"/>
        <v>45880</v>
      </c>
      <c r="AX500" s="1" t="str">
        <f t="shared" si="99"/>
        <v>Não</v>
      </c>
    </row>
    <row r="501" spans="34:50" hidden="1" x14ac:dyDescent="0.25">
      <c r="AH501" s="1">
        <f t="shared" si="92"/>
        <v>3</v>
      </c>
      <c r="AI501" s="5">
        <f t="shared" si="100"/>
        <v>46095</v>
      </c>
      <c r="AJ501" s="1" t="str">
        <f t="shared" si="93"/>
        <v>Não</v>
      </c>
      <c r="AK501" s="1"/>
      <c r="AL501" s="1">
        <f t="shared" si="94"/>
        <v>12</v>
      </c>
      <c r="AM501" s="4">
        <f t="shared" si="101"/>
        <v>46375</v>
      </c>
      <c r="AN501" s="1" t="str">
        <f t="shared" si="95"/>
        <v>Não</v>
      </c>
      <c r="AR501" s="1">
        <f t="shared" si="96"/>
        <v>7</v>
      </c>
      <c r="AS501" s="4">
        <f t="shared" si="102"/>
        <v>46585</v>
      </c>
      <c r="AT501" s="1" t="str">
        <f t="shared" si="97"/>
        <v>Não</v>
      </c>
      <c r="AV501" s="1">
        <f t="shared" si="98"/>
        <v>8</v>
      </c>
      <c r="AW501" s="4">
        <f t="shared" si="103"/>
        <v>45881</v>
      </c>
      <c r="AX501" s="1" t="str">
        <f t="shared" si="99"/>
        <v>Não</v>
      </c>
    </row>
    <row r="502" spans="34:50" hidden="1" x14ac:dyDescent="0.25">
      <c r="AH502" s="1">
        <f t="shared" si="92"/>
        <v>3</v>
      </c>
      <c r="AI502" s="5">
        <f t="shared" si="100"/>
        <v>46096</v>
      </c>
      <c r="AJ502" s="1" t="str">
        <f t="shared" si="93"/>
        <v>Não</v>
      </c>
      <c r="AK502" s="1"/>
      <c r="AL502" s="1">
        <f t="shared" si="94"/>
        <v>12</v>
      </c>
      <c r="AM502" s="4">
        <f t="shared" si="101"/>
        <v>46376</v>
      </c>
      <c r="AN502" s="1" t="str">
        <f t="shared" si="95"/>
        <v>Não</v>
      </c>
      <c r="AR502" s="1">
        <f t="shared" si="96"/>
        <v>7</v>
      </c>
      <c r="AS502" s="4">
        <f t="shared" si="102"/>
        <v>46586</v>
      </c>
      <c r="AT502" s="1" t="str">
        <f t="shared" si="97"/>
        <v>Não</v>
      </c>
      <c r="AV502" s="1">
        <f t="shared" si="98"/>
        <v>8</v>
      </c>
      <c r="AW502" s="4">
        <f t="shared" si="103"/>
        <v>45882</v>
      </c>
      <c r="AX502" s="1" t="str">
        <f t="shared" si="99"/>
        <v>Não</v>
      </c>
    </row>
    <row r="503" spans="34:50" hidden="1" x14ac:dyDescent="0.25">
      <c r="AH503" s="1">
        <f t="shared" si="92"/>
        <v>3</v>
      </c>
      <c r="AI503" s="5">
        <f t="shared" si="100"/>
        <v>46097</v>
      </c>
      <c r="AJ503" s="1" t="str">
        <f t="shared" si="93"/>
        <v>Não</v>
      </c>
      <c r="AK503" s="1"/>
      <c r="AL503" s="1">
        <f t="shared" si="94"/>
        <v>12</v>
      </c>
      <c r="AM503" s="4">
        <f t="shared" si="101"/>
        <v>46377</v>
      </c>
      <c r="AN503" s="1" t="str">
        <f t="shared" si="95"/>
        <v>Não</v>
      </c>
      <c r="AR503" s="1">
        <f t="shared" si="96"/>
        <v>7</v>
      </c>
      <c r="AS503" s="4">
        <f t="shared" si="102"/>
        <v>46587</v>
      </c>
      <c r="AT503" s="1" t="str">
        <f t="shared" si="97"/>
        <v>Não</v>
      </c>
      <c r="AV503" s="1">
        <f t="shared" si="98"/>
        <v>8</v>
      </c>
      <c r="AW503" s="4">
        <f t="shared" si="103"/>
        <v>45883</v>
      </c>
      <c r="AX503" s="1" t="str">
        <f t="shared" si="99"/>
        <v>Não</v>
      </c>
    </row>
    <row r="504" spans="34:50" hidden="1" x14ac:dyDescent="0.25">
      <c r="AH504" s="1">
        <f t="shared" si="92"/>
        <v>3</v>
      </c>
      <c r="AI504" s="5">
        <f t="shared" si="100"/>
        <v>46098</v>
      </c>
      <c r="AJ504" s="1" t="str">
        <f t="shared" si="93"/>
        <v>Não</v>
      </c>
      <c r="AK504" s="1"/>
      <c r="AL504" s="1">
        <f t="shared" si="94"/>
        <v>12</v>
      </c>
      <c r="AM504" s="4">
        <f t="shared" si="101"/>
        <v>46378</v>
      </c>
      <c r="AN504" s="1" t="str">
        <f t="shared" si="95"/>
        <v>Não</v>
      </c>
      <c r="AR504" s="1">
        <f t="shared" si="96"/>
        <v>7</v>
      </c>
      <c r="AS504" s="4">
        <f t="shared" si="102"/>
        <v>46588</v>
      </c>
      <c r="AT504" s="1" t="str">
        <f t="shared" si="97"/>
        <v>Não</v>
      </c>
      <c r="AV504" s="1">
        <f t="shared" si="98"/>
        <v>8</v>
      </c>
      <c r="AW504" s="4">
        <f t="shared" si="103"/>
        <v>45884</v>
      </c>
      <c r="AX504" s="1" t="str">
        <f t="shared" si="99"/>
        <v>Não</v>
      </c>
    </row>
    <row r="505" spans="34:50" hidden="1" x14ac:dyDescent="0.25">
      <c r="AH505" s="1">
        <f t="shared" si="92"/>
        <v>3</v>
      </c>
      <c r="AI505" s="5">
        <f t="shared" si="100"/>
        <v>46099</v>
      </c>
      <c r="AJ505" s="1" t="str">
        <f t="shared" si="93"/>
        <v>Não</v>
      </c>
      <c r="AK505" s="1"/>
      <c r="AL505" s="1">
        <f t="shared" si="94"/>
        <v>12</v>
      </c>
      <c r="AM505" s="4">
        <f t="shared" si="101"/>
        <v>46379</v>
      </c>
      <c r="AN505" s="1" t="str">
        <f t="shared" si="95"/>
        <v>Não</v>
      </c>
      <c r="AR505" s="1">
        <f t="shared" si="96"/>
        <v>7</v>
      </c>
      <c r="AS505" s="4">
        <f t="shared" si="102"/>
        <v>46589</v>
      </c>
      <c r="AT505" s="1" t="str">
        <f t="shared" si="97"/>
        <v>Não</v>
      </c>
      <c r="AV505" s="1">
        <f t="shared" si="98"/>
        <v>8</v>
      </c>
      <c r="AW505" s="4">
        <f t="shared" si="103"/>
        <v>45885</v>
      </c>
      <c r="AX505" s="1" t="str">
        <f t="shared" si="99"/>
        <v>Não</v>
      </c>
    </row>
    <row r="506" spans="34:50" hidden="1" x14ac:dyDescent="0.25">
      <c r="AH506" s="1">
        <f t="shared" si="92"/>
        <v>3</v>
      </c>
      <c r="AI506" s="5">
        <f t="shared" si="100"/>
        <v>46100</v>
      </c>
      <c r="AJ506" s="1" t="str">
        <f t="shared" si="93"/>
        <v>Não</v>
      </c>
      <c r="AK506" s="1"/>
      <c r="AL506" s="1">
        <f t="shared" si="94"/>
        <v>12</v>
      </c>
      <c r="AM506" s="4">
        <f t="shared" si="101"/>
        <v>46380</v>
      </c>
      <c r="AN506" s="1" t="str">
        <f t="shared" si="95"/>
        <v>Não</v>
      </c>
      <c r="AR506" s="1">
        <f t="shared" si="96"/>
        <v>7</v>
      </c>
      <c r="AS506" s="4">
        <f t="shared" si="102"/>
        <v>46590</v>
      </c>
      <c r="AT506" s="1" t="str">
        <f t="shared" si="97"/>
        <v>Não</v>
      </c>
      <c r="AV506" s="1">
        <f t="shared" si="98"/>
        <v>8</v>
      </c>
      <c r="AW506" s="4">
        <f t="shared" si="103"/>
        <v>45886</v>
      </c>
      <c r="AX506" s="1" t="str">
        <f t="shared" si="99"/>
        <v>Não</v>
      </c>
    </row>
    <row r="507" spans="34:50" hidden="1" x14ac:dyDescent="0.25">
      <c r="AH507" s="1">
        <f t="shared" si="92"/>
        <v>3</v>
      </c>
      <c r="AI507" s="5">
        <f t="shared" si="100"/>
        <v>46101</v>
      </c>
      <c r="AJ507" s="1" t="str">
        <f t="shared" si="93"/>
        <v>Não</v>
      </c>
      <c r="AK507" s="1"/>
      <c r="AL507" s="1">
        <f t="shared" si="94"/>
        <v>12</v>
      </c>
      <c r="AM507" s="4">
        <f t="shared" si="101"/>
        <v>46381</v>
      </c>
      <c r="AN507" s="1" t="str">
        <f t="shared" si="95"/>
        <v>Não</v>
      </c>
      <c r="AR507" s="1">
        <f t="shared" si="96"/>
        <v>7</v>
      </c>
      <c r="AS507" s="4">
        <f t="shared" si="102"/>
        <v>46591</v>
      </c>
      <c r="AT507" s="1" t="str">
        <f t="shared" si="97"/>
        <v>Não</v>
      </c>
      <c r="AV507" s="1">
        <f t="shared" si="98"/>
        <v>8</v>
      </c>
      <c r="AW507" s="4">
        <f t="shared" si="103"/>
        <v>45887</v>
      </c>
      <c r="AX507" s="1" t="str">
        <f t="shared" si="99"/>
        <v>Não</v>
      </c>
    </row>
    <row r="508" spans="34:50" hidden="1" x14ac:dyDescent="0.25">
      <c r="AH508" s="1">
        <f t="shared" si="92"/>
        <v>3</v>
      </c>
      <c r="AI508" s="5">
        <f t="shared" si="100"/>
        <v>46102</v>
      </c>
      <c r="AJ508" s="1" t="str">
        <f t="shared" si="93"/>
        <v>Não</v>
      </c>
      <c r="AK508" s="1"/>
      <c r="AL508" s="1">
        <f t="shared" si="94"/>
        <v>12</v>
      </c>
      <c r="AM508" s="4">
        <f t="shared" si="101"/>
        <v>46382</v>
      </c>
      <c r="AN508" s="1" t="str">
        <f t="shared" si="95"/>
        <v>Não</v>
      </c>
      <c r="AR508" s="1">
        <f t="shared" si="96"/>
        <v>7</v>
      </c>
      <c r="AS508" s="4">
        <f t="shared" si="102"/>
        <v>46592</v>
      </c>
      <c r="AT508" s="1" t="str">
        <f t="shared" si="97"/>
        <v>Não</v>
      </c>
      <c r="AV508" s="1">
        <f t="shared" si="98"/>
        <v>8</v>
      </c>
      <c r="AW508" s="4">
        <f t="shared" si="103"/>
        <v>45888</v>
      </c>
      <c r="AX508" s="1" t="str">
        <f t="shared" si="99"/>
        <v>Não</v>
      </c>
    </row>
    <row r="509" spans="34:50" hidden="1" x14ac:dyDescent="0.25">
      <c r="AH509" s="1">
        <f t="shared" si="92"/>
        <v>3</v>
      </c>
      <c r="AI509" s="5">
        <f t="shared" si="100"/>
        <v>46103</v>
      </c>
      <c r="AJ509" s="1" t="str">
        <f t="shared" si="93"/>
        <v>Não</v>
      </c>
      <c r="AK509" s="1"/>
      <c r="AL509" s="1">
        <f t="shared" si="94"/>
        <v>12</v>
      </c>
      <c r="AM509" s="4">
        <f t="shared" si="101"/>
        <v>46383</v>
      </c>
      <c r="AN509" s="1" t="str">
        <f t="shared" si="95"/>
        <v>Não</v>
      </c>
      <c r="AR509" s="1">
        <f t="shared" si="96"/>
        <v>7</v>
      </c>
      <c r="AS509" s="4">
        <f t="shared" si="102"/>
        <v>46593</v>
      </c>
      <c r="AT509" s="1" t="str">
        <f t="shared" si="97"/>
        <v>Não</v>
      </c>
      <c r="AV509" s="1">
        <f t="shared" si="98"/>
        <v>8</v>
      </c>
      <c r="AW509" s="4">
        <f t="shared" si="103"/>
        <v>45889</v>
      </c>
      <c r="AX509" s="1" t="str">
        <f t="shared" si="99"/>
        <v>Não</v>
      </c>
    </row>
    <row r="510" spans="34:50" hidden="1" x14ac:dyDescent="0.25">
      <c r="AH510" s="1">
        <f t="shared" si="92"/>
        <v>3</v>
      </c>
      <c r="AI510" s="5">
        <f t="shared" si="100"/>
        <v>46104</v>
      </c>
      <c r="AJ510" s="1" t="str">
        <f t="shared" si="93"/>
        <v>Não</v>
      </c>
      <c r="AK510" s="1"/>
      <c r="AL510" s="1">
        <f t="shared" si="94"/>
        <v>12</v>
      </c>
      <c r="AM510" s="4">
        <f t="shared" si="101"/>
        <v>46384</v>
      </c>
      <c r="AN510" s="1" t="str">
        <f t="shared" si="95"/>
        <v>Não</v>
      </c>
      <c r="AR510" s="1">
        <f t="shared" si="96"/>
        <v>7</v>
      </c>
      <c r="AS510" s="4">
        <f t="shared" si="102"/>
        <v>46594</v>
      </c>
      <c r="AT510" s="1" t="str">
        <f t="shared" si="97"/>
        <v>Não</v>
      </c>
      <c r="AV510" s="1">
        <f t="shared" si="98"/>
        <v>8</v>
      </c>
      <c r="AW510" s="4">
        <f t="shared" si="103"/>
        <v>45890</v>
      </c>
      <c r="AX510" s="1" t="str">
        <f t="shared" si="99"/>
        <v>Não</v>
      </c>
    </row>
    <row r="511" spans="34:50" hidden="1" x14ac:dyDescent="0.25">
      <c r="AH511" s="1">
        <f t="shared" si="92"/>
        <v>3</v>
      </c>
      <c r="AI511" s="5">
        <f t="shared" si="100"/>
        <v>46105</v>
      </c>
      <c r="AJ511" s="1" t="str">
        <f t="shared" si="93"/>
        <v>Não</v>
      </c>
      <c r="AK511" s="1"/>
      <c r="AL511" s="1">
        <f t="shared" si="94"/>
        <v>12</v>
      </c>
      <c r="AM511" s="4">
        <f t="shared" si="101"/>
        <v>46385</v>
      </c>
      <c r="AN511" s="1" t="str">
        <f t="shared" si="95"/>
        <v>Não</v>
      </c>
      <c r="AR511" s="1">
        <f t="shared" si="96"/>
        <v>7</v>
      </c>
      <c r="AS511" s="4">
        <f t="shared" si="102"/>
        <v>46595</v>
      </c>
      <c r="AT511" s="1" t="str">
        <f t="shared" si="97"/>
        <v>Não</v>
      </c>
      <c r="AV511" s="1">
        <f t="shared" si="98"/>
        <v>8</v>
      </c>
      <c r="AW511" s="4">
        <f t="shared" si="103"/>
        <v>45891</v>
      </c>
      <c r="AX511" s="1" t="str">
        <f t="shared" si="99"/>
        <v>Não</v>
      </c>
    </row>
    <row r="512" spans="34:50" hidden="1" x14ac:dyDescent="0.25">
      <c r="AH512" s="1">
        <f t="shared" si="92"/>
        <v>3</v>
      </c>
      <c r="AI512" s="5">
        <f t="shared" si="100"/>
        <v>46106</v>
      </c>
      <c r="AJ512" s="1" t="str">
        <f t="shared" si="93"/>
        <v>Não</v>
      </c>
      <c r="AK512" s="1"/>
      <c r="AL512" s="1">
        <f t="shared" si="94"/>
        <v>12</v>
      </c>
      <c r="AM512" s="4">
        <f t="shared" si="101"/>
        <v>46386</v>
      </c>
      <c r="AN512" s="1" t="str">
        <f t="shared" si="95"/>
        <v>Não</v>
      </c>
      <c r="AR512" s="1">
        <f t="shared" si="96"/>
        <v>7</v>
      </c>
      <c r="AS512" s="4">
        <f t="shared" si="102"/>
        <v>46596</v>
      </c>
      <c r="AT512" s="1" t="str">
        <f t="shared" si="97"/>
        <v>Não</v>
      </c>
      <c r="AV512" s="1">
        <f t="shared" si="98"/>
        <v>8</v>
      </c>
      <c r="AW512" s="4">
        <f t="shared" si="103"/>
        <v>45892</v>
      </c>
      <c r="AX512" s="1" t="str">
        <f t="shared" si="99"/>
        <v>Não</v>
      </c>
    </row>
    <row r="513" spans="34:50" hidden="1" x14ac:dyDescent="0.25">
      <c r="AH513" s="1">
        <f t="shared" si="92"/>
        <v>3</v>
      </c>
      <c r="AI513" s="5">
        <f t="shared" si="100"/>
        <v>46107</v>
      </c>
      <c r="AJ513" s="1" t="str">
        <f t="shared" si="93"/>
        <v>Não</v>
      </c>
      <c r="AK513" s="1"/>
      <c r="AL513" s="1">
        <f t="shared" si="94"/>
        <v>12</v>
      </c>
      <c r="AM513" s="4">
        <f t="shared" si="101"/>
        <v>46387</v>
      </c>
      <c r="AN513" s="1" t="str">
        <f t="shared" si="95"/>
        <v>Não</v>
      </c>
      <c r="AR513" s="1">
        <f t="shared" si="96"/>
        <v>7</v>
      </c>
      <c r="AS513" s="4">
        <f t="shared" si="102"/>
        <v>46597</v>
      </c>
      <c r="AT513" s="1" t="str">
        <f t="shared" si="97"/>
        <v>Não</v>
      </c>
      <c r="AV513" s="1">
        <f t="shared" si="98"/>
        <v>8</v>
      </c>
      <c r="AW513" s="4">
        <f t="shared" si="103"/>
        <v>45893</v>
      </c>
      <c r="AX513" s="1" t="str">
        <f t="shared" si="99"/>
        <v>Não</v>
      </c>
    </row>
    <row r="514" spans="34:50" hidden="1" x14ac:dyDescent="0.25">
      <c r="AH514" s="1">
        <f t="shared" si="92"/>
        <v>3</v>
      </c>
      <c r="AI514" s="5">
        <f t="shared" si="100"/>
        <v>46108</v>
      </c>
      <c r="AJ514" s="1" t="str">
        <f t="shared" si="93"/>
        <v>Não</v>
      </c>
      <c r="AK514" s="1"/>
      <c r="AL514" s="1">
        <f t="shared" si="94"/>
        <v>1</v>
      </c>
      <c r="AM514" s="4">
        <f t="shared" si="101"/>
        <v>46388</v>
      </c>
      <c r="AN514" s="1" t="str">
        <f t="shared" si="95"/>
        <v>Não</v>
      </c>
      <c r="AR514" s="1">
        <f t="shared" si="96"/>
        <v>7</v>
      </c>
      <c r="AS514" s="4">
        <f t="shared" si="102"/>
        <v>46598</v>
      </c>
      <c r="AT514" s="1" t="str">
        <f t="shared" si="97"/>
        <v>Não</v>
      </c>
      <c r="AV514" s="1">
        <f t="shared" si="98"/>
        <v>8</v>
      </c>
      <c r="AW514" s="4">
        <f t="shared" si="103"/>
        <v>45894</v>
      </c>
      <c r="AX514" s="1" t="str">
        <f t="shared" si="99"/>
        <v>Não</v>
      </c>
    </row>
    <row r="515" spans="34:50" hidden="1" x14ac:dyDescent="0.25">
      <c r="AH515" s="1">
        <f t="shared" ref="AH515:AH578" si="104">MONTH(AI515)</f>
        <v>3</v>
      </c>
      <c r="AI515" s="5">
        <f t="shared" si="100"/>
        <v>46109</v>
      </c>
      <c r="AJ515" s="1" t="str">
        <f t="shared" ref="AJ515:AJ578" si="105">IF(AND(AI515&gt;=$C$6,AI515&lt;=$C$8),"Ok","Não")</f>
        <v>Não</v>
      </c>
      <c r="AK515" s="1"/>
      <c r="AL515" s="1">
        <f t="shared" ref="AL515:AL578" si="106">MONTH(AM515)</f>
        <v>1</v>
      </c>
      <c r="AM515" s="4">
        <f t="shared" si="101"/>
        <v>46389</v>
      </c>
      <c r="AN515" s="1" t="str">
        <f t="shared" ref="AN515:AN578" si="107">IF(AND(AM515&gt;=$C$9,AM515&lt;=$C$10),"Ok","Não")</f>
        <v>Não</v>
      </c>
      <c r="AR515" s="1">
        <f t="shared" ref="AR515:AR578" si="108">MONTH(AS515)</f>
        <v>7</v>
      </c>
      <c r="AS515" s="4">
        <f t="shared" si="102"/>
        <v>46599</v>
      </c>
      <c r="AT515" s="1" t="str">
        <f t="shared" ref="AT515:AT578" si="109">IF(AND(AS515&gt;=$C$11,AS515&lt;=$C$12),"Ok","Não")</f>
        <v>Não</v>
      </c>
      <c r="AV515" s="1">
        <f t="shared" ref="AV515:AV578" si="110">MONTH(AW515)</f>
        <v>8</v>
      </c>
      <c r="AW515" s="4">
        <f t="shared" si="103"/>
        <v>45895</v>
      </c>
      <c r="AX515" s="1" t="str">
        <f t="shared" ref="AX515:AX578" si="111">IF(AND(AW515&gt;=$C$4,AW515&lt;=$C$5),"Ok","Não")</f>
        <v>Não</v>
      </c>
    </row>
    <row r="516" spans="34:50" hidden="1" x14ac:dyDescent="0.25">
      <c r="AH516" s="1">
        <f t="shared" si="104"/>
        <v>3</v>
      </c>
      <c r="AI516" s="5">
        <f t="shared" si="100"/>
        <v>46110</v>
      </c>
      <c r="AJ516" s="1" t="str">
        <f t="shared" si="105"/>
        <v>Não</v>
      </c>
      <c r="AK516" s="1"/>
      <c r="AL516" s="1">
        <f t="shared" si="106"/>
        <v>1</v>
      </c>
      <c r="AM516" s="4">
        <f t="shared" si="101"/>
        <v>46390</v>
      </c>
      <c r="AN516" s="1" t="str">
        <f t="shared" si="107"/>
        <v>Não</v>
      </c>
      <c r="AR516" s="1">
        <f t="shared" si="108"/>
        <v>8</v>
      </c>
      <c r="AS516" s="4">
        <f t="shared" si="102"/>
        <v>46600</v>
      </c>
      <c r="AT516" s="1" t="str">
        <f t="shared" si="109"/>
        <v>Não</v>
      </c>
      <c r="AV516" s="1">
        <f t="shared" si="110"/>
        <v>8</v>
      </c>
      <c r="AW516" s="4">
        <f t="shared" si="103"/>
        <v>45896</v>
      </c>
      <c r="AX516" s="1" t="str">
        <f t="shared" si="111"/>
        <v>Não</v>
      </c>
    </row>
    <row r="517" spans="34:50" hidden="1" x14ac:dyDescent="0.25">
      <c r="AH517" s="1">
        <f t="shared" si="104"/>
        <v>3</v>
      </c>
      <c r="AI517" s="5">
        <f t="shared" ref="AI517:AI580" si="112">AI516+1</f>
        <v>46111</v>
      </c>
      <c r="AJ517" s="1" t="str">
        <f t="shared" si="105"/>
        <v>Não</v>
      </c>
      <c r="AK517" s="1"/>
      <c r="AL517" s="1">
        <f t="shared" si="106"/>
        <v>1</v>
      </c>
      <c r="AM517" s="4">
        <f t="shared" ref="AM517:AM580" si="113">AM516+1</f>
        <v>46391</v>
      </c>
      <c r="AN517" s="1" t="str">
        <f t="shared" si="107"/>
        <v>Não</v>
      </c>
      <c r="AR517" s="1">
        <f t="shared" si="108"/>
        <v>8</v>
      </c>
      <c r="AS517" s="4">
        <f t="shared" ref="AS517:AS580" si="114">AS516+1</f>
        <v>46601</v>
      </c>
      <c r="AT517" s="1" t="str">
        <f t="shared" si="109"/>
        <v>Não</v>
      </c>
      <c r="AV517" s="1">
        <f t="shared" si="110"/>
        <v>8</v>
      </c>
      <c r="AW517" s="4">
        <f t="shared" ref="AW517:AW580" si="115">AW516+1</f>
        <v>45897</v>
      </c>
      <c r="AX517" s="1" t="str">
        <f t="shared" si="111"/>
        <v>Não</v>
      </c>
    </row>
    <row r="518" spans="34:50" hidden="1" x14ac:dyDescent="0.25">
      <c r="AH518" s="1">
        <f t="shared" si="104"/>
        <v>3</v>
      </c>
      <c r="AI518" s="5">
        <f t="shared" si="112"/>
        <v>46112</v>
      </c>
      <c r="AJ518" s="1" t="str">
        <f t="shared" si="105"/>
        <v>Não</v>
      </c>
      <c r="AK518" s="1"/>
      <c r="AL518" s="1">
        <f t="shared" si="106"/>
        <v>1</v>
      </c>
      <c r="AM518" s="4">
        <f t="shared" si="113"/>
        <v>46392</v>
      </c>
      <c r="AN518" s="1" t="str">
        <f t="shared" si="107"/>
        <v>Não</v>
      </c>
      <c r="AR518" s="1">
        <f t="shared" si="108"/>
        <v>8</v>
      </c>
      <c r="AS518" s="4">
        <f t="shared" si="114"/>
        <v>46602</v>
      </c>
      <c r="AT518" s="1" t="str">
        <f t="shared" si="109"/>
        <v>Não</v>
      </c>
      <c r="AV518" s="1">
        <f t="shared" si="110"/>
        <v>8</v>
      </c>
      <c r="AW518" s="4">
        <f t="shared" si="115"/>
        <v>45898</v>
      </c>
      <c r="AX518" s="1" t="str">
        <f t="shared" si="111"/>
        <v>Não</v>
      </c>
    </row>
    <row r="519" spans="34:50" hidden="1" x14ac:dyDescent="0.25">
      <c r="AH519" s="1">
        <f t="shared" si="104"/>
        <v>4</v>
      </c>
      <c r="AI519" s="5">
        <f t="shared" si="112"/>
        <v>46113</v>
      </c>
      <c r="AJ519" s="1" t="str">
        <f t="shared" si="105"/>
        <v>Não</v>
      </c>
      <c r="AK519" s="1"/>
      <c r="AL519" s="1">
        <f t="shared" si="106"/>
        <v>1</v>
      </c>
      <c r="AM519" s="4">
        <f t="shared" si="113"/>
        <v>46393</v>
      </c>
      <c r="AN519" s="1" t="str">
        <f t="shared" si="107"/>
        <v>Não</v>
      </c>
      <c r="AR519" s="1">
        <f t="shared" si="108"/>
        <v>8</v>
      </c>
      <c r="AS519" s="4">
        <f t="shared" si="114"/>
        <v>46603</v>
      </c>
      <c r="AT519" s="1" t="str">
        <f t="shared" si="109"/>
        <v>Não</v>
      </c>
      <c r="AV519" s="1">
        <f t="shared" si="110"/>
        <v>8</v>
      </c>
      <c r="AW519" s="4">
        <f t="shared" si="115"/>
        <v>45899</v>
      </c>
      <c r="AX519" s="1" t="str">
        <f t="shared" si="111"/>
        <v>Não</v>
      </c>
    </row>
    <row r="520" spans="34:50" hidden="1" x14ac:dyDescent="0.25">
      <c r="AH520" s="1">
        <f t="shared" si="104"/>
        <v>4</v>
      </c>
      <c r="AI520" s="5">
        <f t="shared" si="112"/>
        <v>46114</v>
      </c>
      <c r="AJ520" s="1" t="str">
        <f t="shared" si="105"/>
        <v>Não</v>
      </c>
      <c r="AK520" s="1"/>
      <c r="AL520" s="1">
        <f t="shared" si="106"/>
        <v>1</v>
      </c>
      <c r="AM520" s="4">
        <f t="shared" si="113"/>
        <v>46394</v>
      </c>
      <c r="AN520" s="1" t="str">
        <f t="shared" si="107"/>
        <v>Não</v>
      </c>
      <c r="AR520" s="1">
        <f t="shared" si="108"/>
        <v>8</v>
      </c>
      <c r="AS520" s="4">
        <f t="shared" si="114"/>
        <v>46604</v>
      </c>
      <c r="AT520" s="1" t="str">
        <f t="shared" si="109"/>
        <v>Não</v>
      </c>
      <c r="AV520" s="1">
        <f t="shared" si="110"/>
        <v>8</v>
      </c>
      <c r="AW520" s="4">
        <f t="shared" si="115"/>
        <v>45900</v>
      </c>
      <c r="AX520" s="1" t="str">
        <f t="shared" si="111"/>
        <v>Não</v>
      </c>
    </row>
    <row r="521" spans="34:50" hidden="1" x14ac:dyDescent="0.25">
      <c r="AH521" s="1">
        <f t="shared" si="104"/>
        <v>4</v>
      </c>
      <c r="AI521" s="5">
        <f t="shared" si="112"/>
        <v>46115</v>
      </c>
      <c r="AJ521" s="1" t="str">
        <f t="shared" si="105"/>
        <v>Não</v>
      </c>
      <c r="AK521" s="1"/>
      <c r="AL521" s="1">
        <f t="shared" si="106"/>
        <v>1</v>
      </c>
      <c r="AM521" s="4">
        <f t="shared" si="113"/>
        <v>46395</v>
      </c>
      <c r="AN521" s="1" t="str">
        <f t="shared" si="107"/>
        <v>Não</v>
      </c>
      <c r="AR521" s="1">
        <f t="shared" si="108"/>
        <v>8</v>
      </c>
      <c r="AS521" s="4">
        <f t="shared" si="114"/>
        <v>46605</v>
      </c>
      <c r="AT521" s="1" t="str">
        <f t="shared" si="109"/>
        <v>Não</v>
      </c>
      <c r="AV521" s="1">
        <f t="shared" si="110"/>
        <v>9</v>
      </c>
      <c r="AW521" s="4">
        <f t="shared" si="115"/>
        <v>45901</v>
      </c>
      <c r="AX521" s="1" t="str">
        <f t="shared" si="111"/>
        <v>Não</v>
      </c>
    </row>
    <row r="522" spans="34:50" hidden="1" x14ac:dyDescent="0.25">
      <c r="AH522" s="1">
        <f t="shared" si="104"/>
        <v>4</v>
      </c>
      <c r="AI522" s="5">
        <f t="shared" si="112"/>
        <v>46116</v>
      </c>
      <c r="AJ522" s="1" t="str">
        <f t="shared" si="105"/>
        <v>Não</v>
      </c>
      <c r="AK522" s="1"/>
      <c r="AL522" s="1">
        <f t="shared" si="106"/>
        <v>1</v>
      </c>
      <c r="AM522" s="4">
        <f t="shared" si="113"/>
        <v>46396</v>
      </c>
      <c r="AN522" s="1" t="str">
        <f t="shared" si="107"/>
        <v>Não</v>
      </c>
      <c r="AR522" s="1">
        <f t="shared" si="108"/>
        <v>8</v>
      </c>
      <c r="AS522" s="4">
        <f t="shared" si="114"/>
        <v>46606</v>
      </c>
      <c r="AT522" s="1" t="str">
        <f t="shared" si="109"/>
        <v>Não</v>
      </c>
      <c r="AV522" s="1">
        <f t="shared" si="110"/>
        <v>9</v>
      </c>
      <c r="AW522" s="4">
        <f t="shared" si="115"/>
        <v>45902</v>
      </c>
      <c r="AX522" s="1" t="str">
        <f t="shared" si="111"/>
        <v>Não</v>
      </c>
    </row>
    <row r="523" spans="34:50" hidden="1" x14ac:dyDescent="0.25">
      <c r="AH523" s="1">
        <f t="shared" si="104"/>
        <v>4</v>
      </c>
      <c r="AI523" s="5">
        <f t="shared" si="112"/>
        <v>46117</v>
      </c>
      <c r="AJ523" s="1" t="str">
        <f t="shared" si="105"/>
        <v>Não</v>
      </c>
      <c r="AK523" s="1"/>
      <c r="AL523" s="1">
        <f t="shared" si="106"/>
        <v>1</v>
      </c>
      <c r="AM523" s="4">
        <f t="shared" si="113"/>
        <v>46397</v>
      </c>
      <c r="AN523" s="1" t="str">
        <f t="shared" si="107"/>
        <v>Não</v>
      </c>
      <c r="AR523" s="1">
        <f t="shared" si="108"/>
        <v>8</v>
      </c>
      <c r="AS523" s="4">
        <f t="shared" si="114"/>
        <v>46607</v>
      </c>
      <c r="AT523" s="1" t="str">
        <f t="shared" si="109"/>
        <v>Não</v>
      </c>
      <c r="AV523" s="1">
        <f t="shared" si="110"/>
        <v>9</v>
      </c>
      <c r="AW523" s="4">
        <f t="shared" si="115"/>
        <v>45903</v>
      </c>
      <c r="AX523" s="1" t="str">
        <f t="shared" si="111"/>
        <v>Não</v>
      </c>
    </row>
    <row r="524" spans="34:50" hidden="1" x14ac:dyDescent="0.25">
      <c r="AH524" s="1">
        <f t="shared" si="104"/>
        <v>4</v>
      </c>
      <c r="AI524" s="5">
        <f t="shared" si="112"/>
        <v>46118</v>
      </c>
      <c r="AJ524" s="1" t="str">
        <f t="shared" si="105"/>
        <v>Não</v>
      </c>
      <c r="AK524" s="1"/>
      <c r="AL524" s="1">
        <f t="shared" si="106"/>
        <v>1</v>
      </c>
      <c r="AM524" s="4">
        <f t="shared" si="113"/>
        <v>46398</v>
      </c>
      <c r="AN524" s="1" t="str">
        <f t="shared" si="107"/>
        <v>Não</v>
      </c>
      <c r="AR524" s="1">
        <f t="shared" si="108"/>
        <v>8</v>
      </c>
      <c r="AS524" s="4">
        <f t="shared" si="114"/>
        <v>46608</v>
      </c>
      <c r="AT524" s="1" t="str">
        <f t="shared" si="109"/>
        <v>Não</v>
      </c>
      <c r="AV524" s="1">
        <f t="shared" si="110"/>
        <v>9</v>
      </c>
      <c r="AW524" s="4">
        <f t="shared" si="115"/>
        <v>45904</v>
      </c>
      <c r="AX524" s="1" t="str">
        <f t="shared" si="111"/>
        <v>Não</v>
      </c>
    </row>
    <row r="525" spans="34:50" hidden="1" x14ac:dyDescent="0.25">
      <c r="AH525" s="1">
        <f t="shared" si="104"/>
        <v>4</v>
      </c>
      <c r="AI525" s="5">
        <f t="shared" si="112"/>
        <v>46119</v>
      </c>
      <c r="AJ525" s="1" t="str">
        <f t="shared" si="105"/>
        <v>Não</v>
      </c>
      <c r="AK525" s="1"/>
      <c r="AL525" s="1">
        <f t="shared" si="106"/>
        <v>1</v>
      </c>
      <c r="AM525" s="4">
        <f t="shared" si="113"/>
        <v>46399</v>
      </c>
      <c r="AN525" s="1" t="str">
        <f t="shared" si="107"/>
        <v>Não</v>
      </c>
      <c r="AR525" s="1">
        <f t="shared" si="108"/>
        <v>8</v>
      </c>
      <c r="AS525" s="4">
        <f t="shared" si="114"/>
        <v>46609</v>
      </c>
      <c r="AT525" s="1" t="str">
        <f t="shared" si="109"/>
        <v>Não</v>
      </c>
      <c r="AV525" s="1">
        <f t="shared" si="110"/>
        <v>9</v>
      </c>
      <c r="AW525" s="4">
        <f t="shared" si="115"/>
        <v>45905</v>
      </c>
      <c r="AX525" s="1" t="str">
        <f t="shared" si="111"/>
        <v>Não</v>
      </c>
    </row>
    <row r="526" spans="34:50" hidden="1" x14ac:dyDescent="0.25">
      <c r="AH526" s="1">
        <f t="shared" si="104"/>
        <v>4</v>
      </c>
      <c r="AI526" s="5">
        <f t="shared" si="112"/>
        <v>46120</v>
      </c>
      <c r="AJ526" s="1" t="str">
        <f t="shared" si="105"/>
        <v>Não</v>
      </c>
      <c r="AK526" s="1"/>
      <c r="AL526" s="1">
        <f t="shared" si="106"/>
        <v>1</v>
      </c>
      <c r="AM526" s="4">
        <f t="shared" si="113"/>
        <v>46400</v>
      </c>
      <c r="AN526" s="1" t="str">
        <f t="shared" si="107"/>
        <v>Não</v>
      </c>
      <c r="AR526" s="1">
        <f t="shared" si="108"/>
        <v>8</v>
      </c>
      <c r="AS526" s="4">
        <f t="shared" si="114"/>
        <v>46610</v>
      </c>
      <c r="AT526" s="1" t="str">
        <f t="shared" si="109"/>
        <v>Não</v>
      </c>
      <c r="AV526" s="1">
        <f t="shared" si="110"/>
        <v>9</v>
      </c>
      <c r="AW526" s="4">
        <f t="shared" si="115"/>
        <v>45906</v>
      </c>
      <c r="AX526" s="1" t="str">
        <f t="shared" si="111"/>
        <v>Não</v>
      </c>
    </row>
    <row r="527" spans="34:50" hidden="1" x14ac:dyDescent="0.25">
      <c r="AH527" s="1">
        <f t="shared" si="104"/>
        <v>4</v>
      </c>
      <c r="AI527" s="5">
        <f t="shared" si="112"/>
        <v>46121</v>
      </c>
      <c r="AJ527" s="1" t="str">
        <f t="shared" si="105"/>
        <v>Não</v>
      </c>
      <c r="AK527" s="1"/>
      <c r="AL527" s="1">
        <f t="shared" si="106"/>
        <v>1</v>
      </c>
      <c r="AM527" s="4">
        <f t="shared" si="113"/>
        <v>46401</v>
      </c>
      <c r="AN527" s="1" t="str">
        <f t="shared" si="107"/>
        <v>Não</v>
      </c>
      <c r="AR527" s="1">
        <f t="shared" si="108"/>
        <v>8</v>
      </c>
      <c r="AS527" s="4">
        <f t="shared" si="114"/>
        <v>46611</v>
      </c>
      <c r="AT527" s="1" t="str">
        <f t="shared" si="109"/>
        <v>Não</v>
      </c>
      <c r="AV527" s="1">
        <f t="shared" si="110"/>
        <v>9</v>
      </c>
      <c r="AW527" s="4">
        <f t="shared" si="115"/>
        <v>45907</v>
      </c>
      <c r="AX527" s="1" t="str">
        <f t="shared" si="111"/>
        <v>Não</v>
      </c>
    </row>
    <row r="528" spans="34:50" hidden="1" x14ac:dyDescent="0.25">
      <c r="AH528" s="1">
        <f t="shared" si="104"/>
        <v>4</v>
      </c>
      <c r="AI528" s="5">
        <f t="shared" si="112"/>
        <v>46122</v>
      </c>
      <c r="AJ528" s="1" t="str">
        <f t="shared" si="105"/>
        <v>Não</v>
      </c>
      <c r="AK528" s="1"/>
      <c r="AL528" s="1">
        <f t="shared" si="106"/>
        <v>1</v>
      </c>
      <c r="AM528" s="4">
        <f t="shared" si="113"/>
        <v>46402</v>
      </c>
      <c r="AN528" s="1" t="str">
        <f t="shared" si="107"/>
        <v>Não</v>
      </c>
      <c r="AR528" s="1">
        <f t="shared" si="108"/>
        <v>8</v>
      </c>
      <c r="AS528" s="4">
        <f t="shared" si="114"/>
        <v>46612</v>
      </c>
      <c r="AT528" s="1" t="str">
        <f t="shared" si="109"/>
        <v>Não</v>
      </c>
      <c r="AV528" s="1">
        <f t="shared" si="110"/>
        <v>9</v>
      </c>
      <c r="AW528" s="4">
        <f t="shared" si="115"/>
        <v>45908</v>
      </c>
      <c r="AX528" s="1" t="str">
        <f t="shared" si="111"/>
        <v>Não</v>
      </c>
    </row>
    <row r="529" spans="34:50" hidden="1" x14ac:dyDescent="0.25">
      <c r="AH529" s="1">
        <f t="shared" si="104"/>
        <v>4</v>
      </c>
      <c r="AI529" s="5">
        <f t="shared" si="112"/>
        <v>46123</v>
      </c>
      <c r="AJ529" s="1" t="str">
        <f t="shared" si="105"/>
        <v>Não</v>
      </c>
      <c r="AK529" s="1"/>
      <c r="AL529" s="1">
        <f t="shared" si="106"/>
        <v>1</v>
      </c>
      <c r="AM529" s="4">
        <f t="shared" si="113"/>
        <v>46403</v>
      </c>
      <c r="AN529" s="1" t="str">
        <f t="shared" si="107"/>
        <v>Não</v>
      </c>
      <c r="AR529" s="1">
        <f t="shared" si="108"/>
        <v>8</v>
      </c>
      <c r="AS529" s="4">
        <f t="shared" si="114"/>
        <v>46613</v>
      </c>
      <c r="AT529" s="1" t="str">
        <f t="shared" si="109"/>
        <v>Não</v>
      </c>
      <c r="AV529" s="1">
        <f t="shared" si="110"/>
        <v>9</v>
      </c>
      <c r="AW529" s="4">
        <f t="shared" si="115"/>
        <v>45909</v>
      </c>
      <c r="AX529" s="1" t="str">
        <f t="shared" si="111"/>
        <v>Não</v>
      </c>
    </row>
    <row r="530" spans="34:50" hidden="1" x14ac:dyDescent="0.25">
      <c r="AH530" s="1">
        <f t="shared" si="104"/>
        <v>4</v>
      </c>
      <c r="AI530" s="5">
        <f t="shared" si="112"/>
        <v>46124</v>
      </c>
      <c r="AJ530" s="1" t="str">
        <f t="shared" si="105"/>
        <v>Não</v>
      </c>
      <c r="AK530" s="1"/>
      <c r="AL530" s="1">
        <f t="shared" si="106"/>
        <v>1</v>
      </c>
      <c r="AM530" s="4">
        <f t="shared" si="113"/>
        <v>46404</v>
      </c>
      <c r="AN530" s="1" t="str">
        <f t="shared" si="107"/>
        <v>Não</v>
      </c>
      <c r="AR530" s="1">
        <f t="shared" si="108"/>
        <v>8</v>
      </c>
      <c r="AS530" s="4">
        <f t="shared" si="114"/>
        <v>46614</v>
      </c>
      <c r="AT530" s="1" t="str">
        <f t="shared" si="109"/>
        <v>Não</v>
      </c>
      <c r="AV530" s="1">
        <f t="shared" si="110"/>
        <v>9</v>
      </c>
      <c r="AW530" s="4">
        <f t="shared" si="115"/>
        <v>45910</v>
      </c>
      <c r="AX530" s="1" t="str">
        <f t="shared" si="111"/>
        <v>Não</v>
      </c>
    </row>
    <row r="531" spans="34:50" hidden="1" x14ac:dyDescent="0.25">
      <c r="AH531" s="1">
        <f t="shared" si="104"/>
        <v>4</v>
      </c>
      <c r="AI531" s="5">
        <f t="shared" si="112"/>
        <v>46125</v>
      </c>
      <c r="AJ531" s="1" t="str">
        <f t="shared" si="105"/>
        <v>Não</v>
      </c>
      <c r="AK531" s="1"/>
      <c r="AL531" s="1">
        <f t="shared" si="106"/>
        <v>1</v>
      </c>
      <c r="AM531" s="4">
        <f t="shared" si="113"/>
        <v>46405</v>
      </c>
      <c r="AN531" s="1" t="str">
        <f t="shared" si="107"/>
        <v>Não</v>
      </c>
      <c r="AR531" s="1">
        <f t="shared" si="108"/>
        <v>8</v>
      </c>
      <c r="AS531" s="4">
        <f t="shared" si="114"/>
        <v>46615</v>
      </c>
      <c r="AT531" s="1" t="str">
        <f t="shared" si="109"/>
        <v>Não</v>
      </c>
      <c r="AV531" s="1">
        <f t="shared" si="110"/>
        <v>9</v>
      </c>
      <c r="AW531" s="4">
        <f t="shared" si="115"/>
        <v>45911</v>
      </c>
      <c r="AX531" s="1" t="str">
        <f t="shared" si="111"/>
        <v>Não</v>
      </c>
    </row>
    <row r="532" spans="34:50" hidden="1" x14ac:dyDescent="0.25">
      <c r="AH532" s="1">
        <f t="shared" si="104"/>
        <v>4</v>
      </c>
      <c r="AI532" s="5">
        <f t="shared" si="112"/>
        <v>46126</v>
      </c>
      <c r="AJ532" s="1" t="str">
        <f t="shared" si="105"/>
        <v>Não</v>
      </c>
      <c r="AK532" s="1"/>
      <c r="AL532" s="1">
        <f t="shared" si="106"/>
        <v>1</v>
      </c>
      <c r="AM532" s="4">
        <f t="shared" si="113"/>
        <v>46406</v>
      </c>
      <c r="AN532" s="1" t="str">
        <f t="shared" si="107"/>
        <v>Não</v>
      </c>
      <c r="AR532" s="1">
        <f t="shared" si="108"/>
        <v>8</v>
      </c>
      <c r="AS532" s="4">
        <f t="shared" si="114"/>
        <v>46616</v>
      </c>
      <c r="AT532" s="1" t="str">
        <f t="shared" si="109"/>
        <v>Não</v>
      </c>
      <c r="AV532" s="1">
        <f t="shared" si="110"/>
        <v>9</v>
      </c>
      <c r="AW532" s="4">
        <f t="shared" si="115"/>
        <v>45912</v>
      </c>
      <c r="AX532" s="1" t="str">
        <f t="shared" si="111"/>
        <v>Não</v>
      </c>
    </row>
    <row r="533" spans="34:50" hidden="1" x14ac:dyDescent="0.25">
      <c r="AH533" s="1">
        <f t="shared" si="104"/>
        <v>4</v>
      </c>
      <c r="AI533" s="5">
        <f t="shared" si="112"/>
        <v>46127</v>
      </c>
      <c r="AJ533" s="1" t="str">
        <f t="shared" si="105"/>
        <v>Não</v>
      </c>
      <c r="AK533" s="1"/>
      <c r="AL533" s="1">
        <f t="shared" si="106"/>
        <v>1</v>
      </c>
      <c r="AM533" s="4">
        <f t="shared" si="113"/>
        <v>46407</v>
      </c>
      <c r="AN533" s="1" t="str">
        <f t="shared" si="107"/>
        <v>Não</v>
      </c>
      <c r="AR533" s="1">
        <f t="shared" si="108"/>
        <v>8</v>
      </c>
      <c r="AS533" s="4">
        <f t="shared" si="114"/>
        <v>46617</v>
      </c>
      <c r="AT533" s="1" t="str">
        <f t="shared" si="109"/>
        <v>Não</v>
      </c>
      <c r="AV533" s="1">
        <f t="shared" si="110"/>
        <v>9</v>
      </c>
      <c r="AW533" s="4">
        <f t="shared" si="115"/>
        <v>45913</v>
      </c>
      <c r="AX533" s="1" t="str">
        <f t="shared" si="111"/>
        <v>Não</v>
      </c>
    </row>
    <row r="534" spans="34:50" hidden="1" x14ac:dyDescent="0.25">
      <c r="AH534" s="1">
        <f t="shared" si="104"/>
        <v>4</v>
      </c>
      <c r="AI534" s="5">
        <f t="shared" si="112"/>
        <v>46128</v>
      </c>
      <c r="AJ534" s="1" t="str">
        <f t="shared" si="105"/>
        <v>Não</v>
      </c>
      <c r="AK534" s="1"/>
      <c r="AL534" s="1">
        <f t="shared" si="106"/>
        <v>1</v>
      </c>
      <c r="AM534" s="4">
        <f t="shared" si="113"/>
        <v>46408</v>
      </c>
      <c r="AN534" s="1" t="str">
        <f t="shared" si="107"/>
        <v>Não</v>
      </c>
      <c r="AR534" s="1">
        <f t="shared" si="108"/>
        <v>8</v>
      </c>
      <c r="AS534" s="4">
        <f t="shared" si="114"/>
        <v>46618</v>
      </c>
      <c r="AT534" s="1" t="str">
        <f t="shared" si="109"/>
        <v>Não</v>
      </c>
      <c r="AV534" s="1">
        <f t="shared" si="110"/>
        <v>9</v>
      </c>
      <c r="AW534" s="4">
        <f t="shared" si="115"/>
        <v>45914</v>
      </c>
      <c r="AX534" s="1" t="str">
        <f t="shared" si="111"/>
        <v>Não</v>
      </c>
    </row>
    <row r="535" spans="34:50" hidden="1" x14ac:dyDescent="0.25">
      <c r="AH535" s="1">
        <f t="shared" si="104"/>
        <v>4</v>
      </c>
      <c r="AI535" s="5">
        <f t="shared" si="112"/>
        <v>46129</v>
      </c>
      <c r="AJ535" s="1" t="str">
        <f t="shared" si="105"/>
        <v>Não</v>
      </c>
      <c r="AK535" s="1"/>
      <c r="AL535" s="1">
        <f t="shared" si="106"/>
        <v>1</v>
      </c>
      <c r="AM535" s="4">
        <f t="shared" si="113"/>
        <v>46409</v>
      </c>
      <c r="AN535" s="1" t="str">
        <f t="shared" si="107"/>
        <v>Não</v>
      </c>
      <c r="AR535" s="1">
        <f t="shared" si="108"/>
        <v>8</v>
      </c>
      <c r="AS535" s="4">
        <f t="shared" si="114"/>
        <v>46619</v>
      </c>
      <c r="AT535" s="1" t="str">
        <f t="shared" si="109"/>
        <v>Não</v>
      </c>
      <c r="AV535" s="1">
        <f t="shared" si="110"/>
        <v>9</v>
      </c>
      <c r="AW535" s="4">
        <f t="shared" si="115"/>
        <v>45915</v>
      </c>
      <c r="AX535" s="1" t="str">
        <f t="shared" si="111"/>
        <v>Não</v>
      </c>
    </row>
    <row r="536" spans="34:50" hidden="1" x14ac:dyDescent="0.25">
      <c r="AH536" s="1">
        <f t="shared" si="104"/>
        <v>4</v>
      </c>
      <c r="AI536" s="5">
        <f t="shared" si="112"/>
        <v>46130</v>
      </c>
      <c r="AJ536" s="1" t="str">
        <f t="shared" si="105"/>
        <v>Não</v>
      </c>
      <c r="AK536" s="1"/>
      <c r="AL536" s="1">
        <f t="shared" si="106"/>
        <v>1</v>
      </c>
      <c r="AM536" s="4">
        <f t="shared" si="113"/>
        <v>46410</v>
      </c>
      <c r="AN536" s="1" t="str">
        <f t="shared" si="107"/>
        <v>Não</v>
      </c>
      <c r="AR536" s="1">
        <f t="shared" si="108"/>
        <v>8</v>
      </c>
      <c r="AS536" s="4">
        <f t="shared" si="114"/>
        <v>46620</v>
      </c>
      <c r="AT536" s="1" t="str">
        <f t="shared" si="109"/>
        <v>Não</v>
      </c>
      <c r="AV536" s="1">
        <f t="shared" si="110"/>
        <v>9</v>
      </c>
      <c r="AW536" s="4">
        <f t="shared" si="115"/>
        <v>45916</v>
      </c>
      <c r="AX536" s="1" t="str">
        <f t="shared" si="111"/>
        <v>Não</v>
      </c>
    </row>
    <row r="537" spans="34:50" hidden="1" x14ac:dyDescent="0.25">
      <c r="AH537" s="1">
        <f t="shared" si="104"/>
        <v>4</v>
      </c>
      <c r="AI537" s="5">
        <f t="shared" si="112"/>
        <v>46131</v>
      </c>
      <c r="AJ537" s="1" t="str">
        <f t="shared" si="105"/>
        <v>Não</v>
      </c>
      <c r="AK537" s="1"/>
      <c r="AL537" s="1">
        <f t="shared" si="106"/>
        <v>1</v>
      </c>
      <c r="AM537" s="4">
        <f t="shared" si="113"/>
        <v>46411</v>
      </c>
      <c r="AN537" s="1" t="str">
        <f t="shared" si="107"/>
        <v>Não</v>
      </c>
      <c r="AR537" s="1">
        <f t="shared" si="108"/>
        <v>8</v>
      </c>
      <c r="AS537" s="4">
        <f t="shared" si="114"/>
        <v>46621</v>
      </c>
      <c r="AT537" s="1" t="str">
        <f t="shared" si="109"/>
        <v>Não</v>
      </c>
      <c r="AV537" s="1">
        <f t="shared" si="110"/>
        <v>9</v>
      </c>
      <c r="AW537" s="4">
        <f t="shared" si="115"/>
        <v>45917</v>
      </c>
      <c r="AX537" s="1" t="str">
        <f t="shared" si="111"/>
        <v>Não</v>
      </c>
    </row>
    <row r="538" spans="34:50" hidden="1" x14ac:dyDescent="0.25">
      <c r="AH538" s="1">
        <f t="shared" si="104"/>
        <v>4</v>
      </c>
      <c r="AI538" s="5">
        <f t="shared" si="112"/>
        <v>46132</v>
      </c>
      <c r="AJ538" s="1" t="str">
        <f t="shared" si="105"/>
        <v>Não</v>
      </c>
      <c r="AK538" s="1"/>
      <c r="AL538" s="1">
        <f t="shared" si="106"/>
        <v>1</v>
      </c>
      <c r="AM538" s="4">
        <f t="shared" si="113"/>
        <v>46412</v>
      </c>
      <c r="AN538" s="1" t="str">
        <f t="shared" si="107"/>
        <v>Não</v>
      </c>
      <c r="AR538" s="1">
        <f t="shared" si="108"/>
        <v>8</v>
      </c>
      <c r="AS538" s="4">
        <f t="shared" si="114"/>
        <v>46622</v>
      </c>
      <c r="AT538" s="1" t="str">
        <f t="shared" si="109"/>
        <v>Não</v>
      </c>
      <c r="AV538" s="1">
        <f t="shared" si="110"/>
        <v>9</v>
      </c>
      <c r="AW538" s="4">
        <f t="shared" si="115"/>
        <v>45918</v>
      </c>
      <c r="AX538" s="1" t="str">
        <f t="shared" si="111"/>
        <v>Não</v>
      </c>
    </row>
    <row r="539" spans="34:50" hidden="1" x14ac:dyDescent="0.25">
      <c r="AH539" s="1">
        <f t="shared" si="104"/>
        <v>4</v>
      </c>
      <c r="AI539" s="5">
        <f t="shared" si="112"/>
        <v>46133</v>
      </c>
      <c r="AJ539" s="1" t="str">
        <f t="shared" si="105"/>
        <v>Não</v>
      </c>
      <c r="AK539" s="1"/>
      <c r="AL539" s="1">
        <f t="shared" si="106"/>
        <v>1</v>
      </c>
      <c r="AM539" s="4">
        <f t="shared" si="113"/>
        <v>46413</v>
      </c>
      <c r="AN539" s="1" t="str">
        <f t="shared" si="107"/>
        <v>Não</v>
      </c>
      <c r="AR539" s="1">
        <f t="shared" si="108"/>
        <v>8</v>
      </c>
      <c r="AS539" s="4">
        <f t="shared" si="114"/>
        <v>46623</v>
      </c>
      <c r="AT539" s="1" t="str">
        <f t="shared" si="109"/>
        <v>Não</v>
      </c>
      <c r="AV539" s="1">
        <f t="shared" si="110"/>
        <v>9</v>
      </c>
      <c r="AW539" s="4">
        <f t="shared" si="115"/>
        <v>45919</v>
      </c>
      <c r="AX539" s="1" t="str">
        <f t="shared" si="111"/>
        <v>Não</v>
      </c>
    </row>
    <row r="540" spans="34:50" hidden="1" x14ac:dyDescent="0.25">
      <c r="AH540" s="1">
        <f t="shared" si="104"/>
        <v>4</v>
      </c>
      <c r="AI540" s="5">
        <f t="shared" si="112"/>
        <v>46134</v>
      </c>
      <c r="AJ540" s="1" t="str">
        <f t="shared" si="105"/>
        <v>Não</v>
      </c>
      <c r="AK540" s="1"/>
      <c r="AL540" s="1">
        <f t="shared" si="106"/>
        <v>1</v>
      </c>
      <c r="AM540" s="4">
        <f t="shared" si="113"/>
        <v>46414</v>
      </c>
      <c r="AN540" s="1" t="str">
        <f t="shared" si="107"/>
        <v>Não</v>
      </c>
      <c r="AR540" s="1">
        <f t="shared" si="108"/>
        <v>8</v>
      </c>
      <c r="AS540" s="4">
        <f t="shared" si="114"/>
        <v>46624</v>
      </c>
      <c r="AT540" s="1" t="str">
        <f t="shared" si="109"/>
        <v>Não</v>
      </c>
      <c r="AV540" s="1">
        <f t="shared" si="110"/>
        <v>9</v>
      </c>
      <c r="AW540" s="4">
        <f t="shared" si="115"/>
        <v>45920</v>
      </c>
      <c r="AX540" s="1" t="str">
        <f t="shared" si="111"/>
        <v>Não</v>
      </c>
    </row>
    <row r="541" spans="34:50" hidden="1" x14ac:dyDescent="0.25">
      <c r="AH541" s="1">
        <f t="shared" si="104"/>
        <v>4</v>
      </c>
      <c r="AI541" s="5">
        <f t="shared" si="112"/>
        <v>46135</v>
      </c>
      <c r="AJ541" s="1" t="str">
        <f t="shared" si="105"/>
        <v>Não</v>
      </c>
      <c r="AK541" s="1"/>
      <c r="AL541" s="1">
        <f t="shared" si="106"/>
        <v>1</v>
      </c>
      <c r="AM541" s="4">
        <f t="shared" si="113"/>
        <v>46415</v>
      </c>
      <c r="AN541" s="1" t="str">
        <f t="shared" si="107"/>
        <v>Não</v>
      </c>
      <c r="AR541" s="1">
        <f t="shared" si="108"/>
        <v>8</v>
      </c>
      <c r="AS541" s="4">
        <f t="shared" si="114"/>
        <v>46625</v>
      </c>
      <c r="AT541" s="1" t="str">
        <f t="shared" si="109"/>
        <v>Não</v>
      </c>
      <c r="AV541" s="1">
        <f t="shared" si="110"/>
        <v>9</v>
      </c>
      <c r="AW541" s="4">
        <f t="shared" si="115"/>
        <v>45921</v>
      </c>
      <c r="AX541" s="1" t="str">
        <f t="shared" si="111"/>
        <v>Não</v>
      </c>
    </row>
    <row r="542" spans="34:50" hidden="1" x14ac:dyDescent="0.25">
      <c r="AH542" s="1">
        <f t="shared" si="104"/>
        <v>4</v>
      </c>
      <c r="AI542" s="5">
        <f t="shared" si="112"/>
        <v>46136</v>
      </c>
      <c r="AJ542" s="1" t="str">
        <f t="shared" si="105"/>
        <v>Não</v>
      </c>
      <c r="AK542" s="1"/>
      <c r="AL542" s="1">
        <f t="shared" si="106"/>
        <v>1</v>
      </c>
      <c r="AM542" s="4">
        <f t="shared" si="113"/>
        <v>46416</v>
      </c>
      <c r="AN542" s="1" t="str">
        <f t="shared" si="107"/>
        <v>Não</v>
      </c>
      <c r="AR542" s="1">
        <f t="shared" si="108"/>
        <v>8</v>
      </c>
      <c r="AS542" s="4">
        <f t="shared" si="114"/>
        <v>46626</v>
      </c>
      <c r="AT542" s="1" t="str">
        <f t="shared" si="109"/>
        <v>Não</v>
      </c>
      <c r="AV542" s="1">
        <f t="shared" si="110"/>
        <v>9</v>
      </c>
      <c r="AW542" s="4">
        <f t="shared" si="115"/>
        <v>45922</v>
      </c>
      <c r="AX542" s="1" t="str">
        <f t="shared" si="111"/>
        <v>Não</v>
      </c>
    </row>
    <row r="543" spans="34:50" hidden="1" x14ac:dyDescent="0.25">
      <c r="AH543" s="1">
        <f t="shared" si="104"/>
        <v>4</v>
      </c>
      <c r="AI543" s="5">
        <f t="shared" si="112"/>
        <v>46137</v>
      </c>
      <c r="AJ543" s="1" t="str">
        <f t="shared" si="105"/>
        <v>Não</v>
      </c>
      <c r="AK543" s="1"/>
      <c r="AL543" s="1">
        <f t="shared" si="106"/>
        <v>1</v>
      </c>
      <c r="AM543" s="4">
        <f t="shared" si="113"/>
        <v>46417</v>
      </c>
      <c r="AN543" s="1" t="str">
        <f t="shared" si="107"/>
        <v>Não</v>
      </c>
      <c r="AR543" s="1">
        <f t="shared" si="108"/>
        <v>8</v>
      </c>
      <c r="AS543" s="4">
        <f t="shared" si="114"/>
        <v>46627</v>
      </c>
      <c r="AT543" s="1" t="str">
        <f t="shared" si="109"/>
        <v>Não</v>
      </c>
      <c r="AV543" s="1">
        <f t="shared" si="110"/>
        <v>9</v>
      </c>
      <c r="AW543" s="4">
        <f t="shared" si="115"/>
        <v>45923</v>
      </c>
      <c r="AX543" s="1" t="str">
        <f t="shared" si="111"/>
        <v>Não</v>
      </c>
    </row>
    <row r="544" spans="34:50" hidden="1" x14ac:dyDescent="0.25">
      <c r="AH544" s="1">
        <f t="shared" si="104"/>
        <v>4</v>
      </c>
      <c r="AI544" s="5">
        <f t="shared" si="112"/>
        <v>46138</v>
      </c>
      <c r="AJ544" s="1" t="str">
        <f t="shared" si="105"/>
        <v>Não</v>
      </c>
      <c r="AK544" s="1"/>
      <c r="AL544" s="1">
        <f t="shared" si="106"/>
        <v>1</v>
      </c>
      <c r="AM544" s="4">
        <f t="shared" si="113"/>
        <v>46418</v>
      </c>
      <c r="AN544" s="1" t="str">
        <f t="shared" si="107"/>
        <v>Não</v>
      </c>
      <c r="AR544" s="1">
        <f t="shared" si="108"/>
        <v>8</v>
      </c>
      <c r="AS544" s="4">
        <f t="shared" si="114"/>
        <v>46628</v>
      </c>
      <c r="AT544" s="1" t="str">
        <f t="shared" si="109"/>
        <v>Não</v>
      </c>
      <c r="AV544" s="1">
        <f t="shared" si="110"/>
        <v>9</v>
      </c>
      <c r="AW544" s="4">
        <f t="shared" si="115"/>
        <v>45924</v>
      </c>
      <c r="AX544" s="1" t="str">
        <f t="shared" si="111"/>
        <v>Não</v>
      </c>
    </row>
    <row r="545" spans="34:50" hidden="1" x14ac:dyDescent="0.25">
      <c r="AH545" s="1">
        <f t="shared" si="104"/>
        <v>4</v>
      </c>
      <c r="AI545" s="5">
        <f t="shared" si="112"/>
        <v>46139</v>
      </c>
      <c r="AJ545" s="1" t="str">
        <f t="shared" si="105"/>
        <v>Não</v>
      </c>
      <c r="AK545" s="1"/>
      <c r="AL545" s="1">
        <f t="shared" si="106"/>
        <v>2</v>
      </c>
      <c r="AM545" s="4">
        <f t="shared" si="113"/>
        <v>46419</v>
      </c>
      <c r="AN545" s="1" t="str">
        <f t="shared" si="107"/>
        <v>Não</v>
      </c>
      <c r="AR545" s="1">
        <f t="shared" si="108"/>
        <v>8</v>
      </c>
      <c r="AS545" s="4">
        <f t="shared" si="114"/>
        <v>46629</v>
      </c>
      <c r="AT545" s="1" t="str">
        <f t="shared" si="109"/>
        <v>Não</v>
      </c>
      <c r="AV545" s="1">
        <f t="shared" si="110"/>
        <v>9</v>
      </c>
      <c r="AW545" s="4">
        <f t="shared" si="115"/>
        <v>45925</v>
      </c>
      <c r="AX545" s="1" t="str">
        <f t="shared" si="111"/>
        <v>Não</v>
      </c>
    </row>
    <row r="546" spans="34:50" hidden="1" x14ac:dyDescent="0.25">
      <c r="AH546" s="1">
        <f t="shared" si="104"/>
        <v>4</v>
      </c>
      <c r="AI546" s="5">
        <f t="shared" si="112"/>
        <v>46140</v>
      </c>
      <c r="AJ546" s="1" t="str">
        <f t="shared" si="105"/>
        <v>Não</v>
      </c>
      <c r="AK546" s="1"/>
      <c r="AL546" s="1">
        <f t="shared" si="106"/>
        <v>2</v>
      </c>
      <c r="AM546" s="4">
        <f t="shared" si="113"/>
        <v>46420</v>
      </c>
      <c r="AN546" s="1" t="str">
        <f t="shared" si="107"/>
        <v>Não</v>
      </c>
      <c r="AR546" s="1">
        <f t="shared" si="108"/>
        <v>8</v>
      </c>
      <c r="AS546" s="4">
        <f t="shared" si="114"/>
        <v>46630</v>
      </c>
      <c r="AT546" s="1" t="str">
        <f t="shared" si="109"/>
        <v>Não</v>
      </c>
      <c r="AV546" s="1">
        <f t="shared" si="110"/>
        <v>9</v>
      </c>
      <c r="AW546" s="4">
        <f t="shared" si="115"/>
        <v>45926</v>
      </c>
      <c r="AX546" s="1" t="str">
        <f t="shared" si="111"/>
        <v>Não</v>
      </c>
    </row>
    <row r="547" spans="34:50" hidden="1" x14ac:dyDescent="0.25">
      <c r="AH547" s="1">
        <f t="shared" si="104"/>
        <v>4</v>
      </c>
      <c r="AI547" s="5">
        <f t="shared" si="112"/>
        <v>46141</v>
      </c>
      <c r="AJ547" s="1" t="str">
        <f t="shared" si="105"/>
        <v>Não</v>
      </c>
      <c r="AK547" s="1"/>
      <c r="AL547" s="1">
        <f t="shared" si="106"/>
        <v>2</v>
      </c>
      <c r="AM547" s="4">
        <f t="shared" si="113"/>
        <v>46421</v>
      </c>
      <c r="AN547" s="1" t="str">
        <f t="shared" si="107"/>
        <v>Não</v>
      </c>
      <c r="AR547" s="1">
        <f t="shared" si="108"/>
        <v>9</v>
      </c>
      <c r="AS547" s="4">
        <f t="shared" si="114"/>
        <v>46631</v>
      </c>
      <c r="AT547" s="1" t="str">
        <f t="shared" si="109"/>
        <v>Não</v>
      </c>
      <c r="AV547" s="1">
        <f t="shared" si="110"/>
        <v>9</v>
      </c>
      <c r="AW547" s="4">
        <f t="shared" si="115"/>
        <v>45927</v>
      </c>
      <c r="AX547" s="1" t="str">
        <f t="shared" si="111"/>
        <v>Não</v>
      </c>
    </row>
    <row r="548" spans="34:50" hidden="1" x14ac:dyDescent="0.25">
      <c r="AH548" s="1">
        <f t="shared" si="104"/>
        <v>4</v>
      </c>
      <c r="AI548" s="5">
        <f t="shared" si="112"/>
        <v>46142</v>
      </c>
      <c r="AJ548" s="1" t="str">
        <f t="shared" si="105"/>
        <v>Não</v>
      </c>
      <c r="AK548" s="1"/>
      <c r="AL548" s="1">
        <f t="shared" si="106"/>
        <v>2</v>
      </c>
      <c r="AM548" s="4">
        <f t="shared" si="113"/>
        <v>46422</v>
      </c>
      <c r="AN548" s="1" t="str">
        <f t="shared" si="107"/>
        <v>Não</v>
      </c>
      <c r="AR548" s="1">
        <f t="shared" si="108"/>
        <v>9</v>
      </c>
      <c r="AS548" s="4">
        <f t="shared" si="114"/>
        <v>46632</v>
      </c>
      <c r="AT548" s="1" t="str">
        <f t="shared" si="109"/>
        <v>Não</v>
      </c>
      <c r="AV548" s="1">
        <f t="shared" si="110"/>
        <v>9</v>
      </c>
      <c r="AW548" s="4">
        <f t="shared" si="115"/>
        <v>45928</v>
      </c>
      <c r="AX548" s="1" t="str">
        <f t="shared" si="111"/>
        <v>Não</v>
      </c>
    </row>
    <row r="549" spans="34:50" hidden="1" x14ac:dyDescent="0.25">
      <c r="AH549" s="1">
        <f t="shared" si="104"/>
        <v>5</v>
      </c>
      <c r="AI549" s="5">
        <f t="shared" si="112"/>
        <v>46143</v>
      </c>
      <c r="AJ549" s="1" t="str">
        <f t="shared" si="105"/>
        <v>Não</v>
      </c>
      <c r="AK549" s="1"/>
      <c r="AL549" s="1">
        <f t="shared" si="106"/>
        <v>2</v>
      </c>
      <c r="AM549" s="4">
        <f t="shared" si="113"/>
        <v>46423</v>
      </c>
      <c r="AN549" s="1" t="str">
        <f t="shared" si="107"/>
        <v>Não</v>
      </c>
      <c r="AR549" s="1">
        <f t="shared" si="108"/>
        <v>9</v>
      </c>
      <c r="AS549" s="4">
        <f t="shared" si="114"/>
        <v>46633</v>
      </c>
      <c r="AT549" s="1" t="str">
        <f t="shared" si="109"/>
        <v>Não</v>
      </c>
      <c r="AV549" s="1">
        <f t="shared" si="110"/>
        <v>9</v>
      </c>
      <c r="AW549" s="4">
        <f t="shared" si="115"/>
        <v>45929</v>
      </c>
      <c r="AX549" s="1" t="str">
        <f t="shared" si="111"/>
        <v>Não</v>
      </c>
    </row>
    <row r="550" spans="34:50" hidden="1" x14ac:dyDescent="0.25">
      <c r="AH550" s="1">
        <f t="shared" si="104"/>
        <v>5</v>
      </c>
      <c r="AI550" s="5">
        <f t="shared" si="112"/>
        <v>46144</v>
      </c>
      <c r="AJ550" s="1" t="str">
        <f t="shared" si="105"/>
        <v>Não</v>
      </c>
      <c r="AK550" s="1"/>
      <c r="AL550" s="1">
        <f t="shared" si="106"/>
        <v>2</v>
      </c>
      <c r="AM550" s="4">
        <f t="shared" si="113"/>
        <v>46424</v>
      </c>
      <c r="AN550" s="1" t="str">
        <f t="shared" si="107"/>
        <v>Não</v>
      </c>
      <c r="AR550" s="1">
        <f t="shared" si="108"/>
        <v>9</v>
      </c>
      <c r="AS550" s="4">
        <f t="shared" si="114"/>
        <v>46634</v>
      </c>
      <c r="AT550" s="1" t="str">
        <f t="shared" si="109"/>
        <v>Não</v>
      </c>
      <c r="AV550" s="1">
        <f t="shared" si="110"/>
        <v>9</v>
      </c>
      <c r="AW550" s="4">
        <f t="shared" si="115"/>
        <v>45930</v>
      </c>
      <c r="AX550" s="1" t="str">
        <f t="shared" si="111"/>
        <v>Não</v>
      </c>
    </row>
    <row r="551" spans="34:50" hidden="1" x14ac:dyDescent="0.25">
      <c r="AH551" s="1">
        <f t="shared" si="104"/>
        <v>5</v>
      </c>
      <c r="AI551" s="5">
        <f t="shared" si="112"/>
        <v>46145</v>
      </c>
      <c r="AJ551" s="1" t="str">
        <f t="shared" si="105"/>
        <v>Não</v>
      </c>
      <c r="AK551" s="1"/>
      <c r="AL551" s="1">
        <f t="shared" si="106"/>
        <v>2</v>
      </c>
      <c r="AM551" s="4">
        <f t="shared" si="113"/>
        <v>46425</v>
      </c>
      <c r="AN551" s="1" t="str">
        <f t="shared" si="107"/>
        <v>Não</v>
      </c>
      <c r="AR551" s="1">
        <f t="shared" si="108"/>
        <v>9</v>
      </c>
      <c r="AS551" s="4">
        <f t="shared" si="114"/>
        <v>46635</v>
      </c>
      <c r="AT551" s="1" t="str">
        <f t="shared" si="109"/>
        <v>Não</v>
      </c>
      <c r="AV551" s="1">
        <f t="shared" si="110"/>
        <v>10</v>
      </c>
      <c r="AW551" s="4">
        <f t="shared" si="115"/>
        <v>45931</v>
      </c>
      <c r="AX551" s="1" t="str">
        <f t="shared" si="111"/>
        <v>Não</v>
      </c>
    </row>
    <row r="552" spans="34:50" hidden="1" x14ac:dyDescent="0.25">
      <c r="AH552" s="1">
        <f t="shared" si="104"/>
        <v>5</v>
      </c>
      <c r="AI552" s="5">
        <f t="shared" si="112"/>
        <v>46146</v>
      </c>
      <c r="AJ552" s="1" t="str">
        <f t="shared" si="105"/>
        <v>Não</v>
      </c>
      <c r="AK552" s="1"/>
      <c r="AL552" s="1">
        <f t="shared" si="106"/>
        <v>2</v>
      </c>
      <c r="AM552" s="4">
        <f t="shared" si="113"/>
        <v>46426</v>
      </c>
      <c r="AN552" s="1" t="str">
        <f t="shared" si="107"/>
        <v>Não</v>
      </c>
      <c r="AR552" s="1">
        <f t="shared" si="108"/>
        <v>9</v>
      </c>
      <c r="AS552" s="4">
        <f t="shared" si="114"/>
        <v>46636</v>
      </c>
      <c r="AT552" s="1" t="str">
        <f t="shared" si="109"/>
        <v>Não</v>
      </c>
      <c r="AV552" s="1">
        <f t="shared" si="110"/>
        <v>10</v>
      </c>
      <c r="AW552" s="4">
        <f t="shared" si="115"/>
        <v>45932</v>
      </c>
      <c r="AX552" s="1" t="str">
        <f t="shared" si="111"/>
        <v>Não</v>
      </c>
    </row>
    <row r="553" spans="34:50" hidden="1" x14ac:dyDescent="0.25">
      <c r="AH553" s="1">
        <f t="shared" si="104"/>
        <v>5</v>
      </c>
      <c r="AI553" s="5">
        <f t="shared" si="112"/>
        <v>46147</v>
      </c>
      <c r="AJ553" s="1" t="str">
        <f t="shared" si="105"/>
        <v>Não</v>
      </c>
      <c r="AK553" s="1"/>
      <c r="AL553" s="1">
        <f t="shared" si="106"/>
        <v>2</v>
      </c>
      <c r="AM553" s="4">
        <f t="shared" si="113"/>
        <v>46427</v>
      </c>
      <c r="AN553" s="1" t="str">
        <f t="shared" si="107"/>
        <v>Não</v>
      </c>
      <c r="AR553" s="1">
        <f t="shared" si="108"/>
        <v>9</v>
      </c>
      <c r="AS553" s="4">
        <f t="shared" si="114"/>
        <v>46637</v>
      </c>
      <c r="AT553" s="1" t="str">
        <f t="shared" si="109"/>
        <v>Não</v>
      </c>
      <c r="AV553" s="1">
        <f t="shared" si="110"/>
        <v>10</v>
      </c>
      <c r="AW553" s="4">
        <f t="shared" si="115"/>
        <v>45933</v>
      </c>
      <c r="AX553" s="1" t="str">
        <f t="shared" si="111"/>
        <v>Não</v>
      </c>
    </row>
    <row r="554" spans="34:50" hidden="1" x14ac:dyDescent="0.25">
      <c r="AH554" s="1">
        <f t="shared" si="104"/>
        <v>5</v>
      </c>
      <c r="AI554" s="5">
        <f t="shared" si="112"/>
        <v>46148</v>
      </c>
      <c r="AJ554" s="1" t="str">
        <f t="shared" si="105"/>
        <v>Não</v>
      </c>
      <c r="AK554" s="1"/>
      <c r="AL554" s="1">
        <f t="shared" si="106"/>
        <v>2</v>
      </c>
      <c r="AM554" s="4">
        <f t="shared" si="113"/>
        <v>46428</v>
      </c>
      <c r="AN554" s="1" t="str">
        <f t="shared" si="107"/>
        <v>Não</v>
      </c>
      <c r="AR554" s="1">
        <f t="shared" si="108"/>
        <v>9</v>
      </c>
      <c r="AS554" s="4">
        <f t="shared" si="114"/>
        <v>46638</v>
      </c>
      <c r="AT554" s="1" t="str">
        <f t="shared" si="109"/>
        <v>Não</v>
      </c>
      <c r="AV554" s="1">
        <f t="shared" si="110"/>
        <v>10</v>
      </c>
      <c r="AW554" s="4">
        <f t="shared" si="115"/>
        <v>45934</v>
      </c>
      <c r="AX554" s="1" t="str">
        <f t="shared" si="111"/>
        <v>Não</v>
      </c>
    </row>
    <row r="555" spans="34:50" hidden="1" x14ac:dyDescent="0.25">
      <c r="AH555" s="1">
        <f t="shared" si="104"/>
        <v>5</v>
      </c>
      <c r="AI555" s="5">
        <f t="shared" si="112"/>
        <v>46149</v>
      </c>
      <c r="AJ555" s="1" t="str">
        <f t="shared" si="105"/>
        <v>Não</v>
      </c>
      <c r="AK555" s="1"/>
      <c r="AL555" s="1">
        <f t="shared" si="106"/>
        <v>2</v>
      </c>
      <c r="AM555" s="4">
        <f t="shared" si="113"/>
        <v>46429</v>
      </c>
      <c r="AN555" s="1" t="str">
        <f t="shared" si="107"/>
        <v>Não</v>
      </c>
      <c r="AR555" s="1">
        <f t="shared" si="108"/>
        <v>9</v>
      </c>
      <c r="AS555" s="4">
        <f t="shared" si="114"/>
        <v>46639</v>
      </c>
      <c r="AT555" s="1" t="str">
        <f t="shared" si="109"/>
        <v>Não</v>
      </c>
      <c r="AV555" s="1">
        <f t="shared" si="110"/>
        <v>10</v>
      </c>
      <c r="AW555" s="4">
        <f t="shared" si="115"/>
        <v>45935</v>
      </c>
      <c r="AX555" s="1" t="str">
        <f t="shared" si="111"/>
        <v>Não</v>
      </c>
    </row>
    <row r="556" spans="34:50" hidden="1" x14ac:dyDescent="0.25">
      <c r="AH556" s="1">
        <f t="shared" si="104"/>
        <v>5</v>
      </c>
      <c r="AI556" s="5">
        <f t="shared" si="112"/>
        <v>46150</v>
      </c>
      <c r="AJ556" s="1" t="str">
        <f t="shared" si="105"/>
        <v>Não</v>
      </c>
      <c r="AK556" s="1"/>
      <c r="AL556" s="1">
        <f t="shared" si="106"/>
        <v>2</v>
      </c>
      <c r="AM556" s="4">
        <f t="shared" si="113"/>
        <v>46430</v>
      </c>
      <c r="AN556" s="1" t="str">
        <f t="shared" si="107"/>
        <v>Não</v>
      </c>
      <c r="AR556" s="1">
        <f t="shared" si="108"/>
        <v>9</v>
      </c>
      <c r="AS556" s="4">
        <f t="shared" si="114"/>
        <v>46640</v>
      </c>
      <c r="AT556" s="1" t="str">
        <f t="shared" si="109"/>
        <v>Não</v>
      </c>
      <c r="AV556" s="1">
        <f t="shared" si="110"/>
        <v>10</v>
      </c>
      <c r="AW556" s="4">
        <f t="shared" si="115"/>
        <v>45936</v>
      </c>
      <c r="AX556" s="1" t="str">
        <f t="shared" si="111"/>
        <v>Não</v>
      </c>
    </row>
    <row r="557" spans="34:50" hidden="1" x14ac:dyDescent="0.25">
      <c r="AH557" s="1">
        <f t="shared" si="104"/>
        <v>5</v>
      </c>
      <c r="AI557" s="5">
        <f t="shared" si="112"/>
        <v>46151</v>
      </c>
      <c r="AJ557" s="1" t="str">
        <f t="shared" si="105"/>
        <v>Não</v>
      </c>
      <c r="AK557" s="1"/>
      <c r="AL557" s="1">
        <f t="shared" si="106"/>
        <v>2</v>
      </c>
      <c r="AM557" s="4">
        <f t="shared" si="113"/>
        <v>46431</v>
      </c>
      <c r="AN557" s="1" t="str">
        <f t="shared" si="107"/>
        <v>Não</v>
      </c>
      <c r="AR557" s="1">
        <f t="shared" si="108"/>
        <v>9</v>
      </c>
      <c r="AS557" s="4">
        <f t="shared" si="114"/>
        <v>46641</v>
      </c>
      <c r="AT557" s="1" t="str">
        <f t="shared" si="109"/>
        <v>Não</v>
      </c>
      <c r="AV557" s="1">
        <f t="shared" si="110"/>
        <v>10</v>
      </c>
      <c r="AW557" s="4">
        <f t="shared" si="115"/>
        <v>45937</v>
      </c>
      <c r="AX557" s="1" t="str">
        <f t="shared" si="111"/>
        <v>Não</v>
      </c>
    </row>
    <row r="558" spans="34:50" hidden="1" x14ac:dyDescent="0.25">
      <c r="AH558" s="1">
        <f t="shared" si="104"/>
        <v>5</v>
      </c>
      <c r="AI558" s="5">
        <f t="shared" si="112"/>
        <v>46152</v>
      </c>
      <c r="AJ558" s="1" t="str">
        <f t="shared" si="105"/>
        <v>Não</v>
      </c>
      <c r="AK558" s="1"/>
      <c r="AL558" s="1">
        <f t="shared" si="106"/>
        <v>2</v>
      </c>
      <c r="AM558" s="4">
        <f t="shared" si="113"/>
        <v>46432</v>
      </c>
      <c r="AN558" s="1" t="str">
        <f t="shared" si="107"/>
        <v>Não</v>
      </c>
      <c r="AR558" s="1">
        <f t="shared" si="108"/>
        <v>9</v>
      </c>
      <c r="AS558" s="4">
        <f t="shared" si="114"/>
        <v>46642</v>
      </c>
      <c r="AT558" s="1" t="str">
        <f t="shared" si="109"/>
        <v>Não</v>
      </c>
      <c r="AV558" s="1">
        <f t="shared" si="110"/>
        <v>10</v>
      </c>
      <c r="AW558" s="4">
        <f t="shared" si="115"/>
        <v>45938</v>
      </c>
      <c r="AX558" s="1" t="str">
        <f t="shared" si="111"/>
        <v>Não</v>
      </c>
    </row>
    <row r="559" spans="34:50" hidden="1" x14ac:dyDescent="0.25">
      <c r="AH559" s="1">
        <f t="shared" si="104"/>
        <v>5</v>
      </c>
      <c r="AI559" s="5">
        <f t="shared" si="112"/>
        <v>46153</v>
      </c>
      <c r="AJ559" s="1" t="str">
        <f t="shared" si="105"/>
        <v>Não</v>
      </c>
      <c r="AK559" s="1"/>
      <c r="AL559" s="1">
        <f t="shared" si="106"/>
        <v>2</v>
      </c>
      <c r="AM559" s="4">
        <f t="shared" si="113"/>
        <v>46433</v>
      </c>
      <c r="AN559" s="1" t="str">
        <f t="shared" si="107"/>
        <v>Não</v>
      </c>
      <c r="AR559" s="1">
        <f t="shared" si="108"/>
        <v>9</v>
      </c>
      <c r="AS559" s="4">
        <f t="shared" si="114"/>
        <v>46643</v>
      </c>
      <c r="AT559" s="1" t="str">
        <f t="shared" si="109"/>
        <v>Não</v>
      </c>
      <c r="AV559" s="1">
        <f t="shared" si="110"/>
        <v>10</v>
      </c>
      <c r="AW559" s="4">
        <f t="shared" si="115"/>
        <v>45939</v>
      </c>
      <c r="AX559" s="1" t="str">
        <f t="shared" si="111"/>
        <v>Não</v>
      </c>
    </row>
    <row r="560" spans="34:50" hidden="1" x14ac:dyDescent="0.25">
      <c r="AH560" s="1">
        <f t="shared" si="104"/>
        <v>5</v>
      </c>
      <c r="AI560" s="5">
        <f t="shared" si="112"/>
        <v>46154</v>
      </c>
      <c r="AJ560" s="1" t="str">
        <f t="shared" si="105"/>
        <v>Não</v>
      </c>
      <c r="AK560" s="1"/>
      <c r="AL560" s="1">
        <f t="shared" si="106"/>
        <v>2</v>
      </c>
      <c r="AM560" s="4">
        <f t="shared" si="113"/>
        <v>46434</v>
      </c>
      <c r="AN560" s="1" t="str">
        <f t="shared" si="107"/>
        <v>Não</v>
      </c>
      <c r="AR560" s="1">
        <f t="shared" si="108"/>
        <v>9</v>
      </c>
      <c r="AS560" s="4">
        <f t="shared" si="114"/>
        <v>46644</v>
      </c>
      <c r="AT560" s="1" t="str">
        <f t="shared" si="109"/>
        <v>Não</v>
      </c>
      <c r="AV560" s="1">
        <f t="shared" si="110"/>
        <v>10</v>
      </c>
      <c r="AW560" s="4">
        <f t="shared" si="115"/>
        <v>45940</v>
      </c>
      <c r="AX560" s="1" t="str">
        <f t="shared" si="111"/>
        <v>Não</v>
      </c>
    </row>
    <row r="561" spans="34:50" hidden="1" x14ac:dyDescent="0.25">
      <c r="AH561" s="1">
        <f t="shared" si="104"/>
        <v>5</v>
      </c>
      <c r="AI561" s="5">
        <f t="shared" si="112"/>
        <v>46155</v>
      </c>
      <c r="AJ561" s="1" t="str">
        <f t="shared" si="105"/>
        <v>Não</v>
      </c>
      <c r="AK561" s="1"/>
      <c r="AL561" s="1">
        <f t="shared" si="106"/>
        <v>2</v>
      </c>
      <c r="AM561" s="4">
        <f t="shared" si="113"/>
        <v>46435</v>
      </c>
      <c r="AN561" s="1" t="str">
        <f t="shared" si="107"/>
        <v>Não</v>
      </c>
      <c r="AR561" s="1">
        <f t="shared" si="108"/>
        <v>9</v>
      </c>
      <c r="AS561" s="4">
        <f t="shared" si="114"/>
        <v>46645</v>
      </c>
      <c r="AT561" s="1" t="str">
        <f t="shared" si="109"/>
        <v>Não</v>
      </c>
      <c r="AV561" s="1">
        <f t="shared" si="110"/>
        <v>10</v>
      </c>
      <c r="AW561" s="4">
        <f t="shared" si="115"/>
        <v>45941</v>
      </c>
      <c r="AX561" s="1" t="str">
        <f t="shared" si="111"/>
        <v>Não</v>
      </c>
    </row>
    <row r="562" spans="34:50" hidden="1" x14ac:dyDescent="0.25">
      <c r="AH562" s="1">
        <f t="shared" si="104"/>
        <v>5</v>
      </c>
      <c r="AI562" s="5">
        <f t="shared" si="112"/>
        <v>46156</v>
      </c>
      <c r="AJ562" s="1" t="str">
        <f t="shared" si="105"/>
        <v>Não</v>
      </c>
      <c r="AK562" s="1"/>
      <c r="AL562" s="1">
        <f t="shared" si="106"/>
        <v>2</v>
      </c>
      <c r="AM562" s="4">
        <f t="shared" si="113"/>
        <v>46436</v>
      </c>
      <c r="AN562" s="1" t="str">
        <f t="shared" si="107"/>
        <v>Não</v>
      </c>
      <c r="AR562" s="1">
        <f t="shared" si="108"/>
        <v>9</v>
      </c>
      <c r="AS562" s="4">
        <f t="shared" si="114"/>
        <v>46646</v>
      </c>
      <c r="AT562" s="1" t="str">
        <f t="shared" si="109"/>
        <v>Não</v>
      </c>
      <c r="AV562" s="1">
        <f t="shared" si="110"/>
        <v>10</v>
      </c>
      <c r="AW562" s="4">
        <f t="shared" si="115"/>
        <v>45942</v>
      </c>
      <c r="AX562" s="1" t="str">
        <f t="shared" si="111"/>
        <v>Não</v>
      </c>
    </row>
    <row r="563" spans="34:50" hidden="1" x14ac:dyDescent="0.25">
      <c r="AH563" s="1">
        <f t="shared" si="104"/>
        <v>5</v>
      </c>
      <c r="AI563" s="5">
        <f t="shared" si="112"/>
        <v>46157</v>
      </c>
      <c r="AJ563" s="1" t="str">
        <f t="shared" si="105"/>
        <v>Não</v>
      </c>
      <c r="AK563" s="1"/>
      <c r="AL563" s="1">
        <f t="shared" si="106"/>
        <v>2</v>
      </c>
      <c r="AM563" s="4">
        <f t="shared" si="113"/>
        <v>46437</v>
      </c>
      <c r="AN563" s="1" t="str">
        <f t="shared" si="107"/>
        <v>Não</v>
      </c>
      <c r="AR563" s="1">
        <f t="shared" si="108"/>
        <v>9</v>
      </c>
      <c r="AS563" s="4">
        <f t="shared" si="114"/>
        <v>46647</v>
      </c>
      <c r="AT563" s="1" t="str">
        <f t="shared" si="109"/>
        <v>Não</v>
      </c>
      <c r="AV563" s="1">
        <f t="shared" si="110"/>
        <v>10</v>
      </c>
      <c r="AW563" s="4">
        <f t="shared" si="115"/>
        <v>45943</v>
      </c>
      <c r="AX563" s="1" t="str">
        <f t="shared" si="111"/>
        <v>Não</v>
      </c>
    </row>
    <row r="564" spans="34:50" hidden="1" x14ac:dyDescent="0.25">
      <c r="AH564" s="1">
        <f t="shared" si="104"/>
        <v>5</v>
      </c>
      <c r="AI564" s="5">
        <f t="shared" si="112"/>
        <v>46158</v>
      </c>
      <c r="AJ564" s="1" t="str">
        <f t="shared" si="105"/>
        <v>Não</v>
      </c>
      <c r="AK564" s="1"/>
      <c r="AL564" s="1">
        <f t="shared" si="106"/>
        <v>2</v>
      </c>
      <c r="AM564" s="4">
        <f t="shared" si="113"/>
        <v>46438</v>
      </c>
      <c r="AN564" s="1" t="str">
        <f t="shared" si="107"/>
        <v>Não</v>
      </c>
      <c r="AR564" s="1">
        <f t="shared" si="108"/>
        <v>9</v>
      </c>
      <c r="AS564" s="4">
        <f t="shared" si="114"/>
        <v>46648</v>
      </c>
      <c r="AT564" s="1" t="str">
        <f t="shared" si="109"/>
        <v>Não</v>
      </c>
      <c r="AV564" s="1">
        <f t="shared" si="110"/>
        <v>10</v>
      </c>
      <c r="AW564" s="4">
        <f t="shared" si="115"/>
        <v>45944</v>
      </c>
      <c r="AX564" s="1" t="str">
        <f t="shared" si="111"/>
        <v>Não</v>
      </c>
    </row>
    <row r="565" spans="34:50" hidden="1" x14ac:dyDescent="0.25">
      <c r="AH565" s="1">
        <f t="shared" si="104"/>
        <v>5</v>
      </c>
      <c r="AI565" s="5">
        <f t="shared" si="112"/>
        <v>46159</v>
      </c>
      <c r="AJ565" s="1" t="str">
        <f t="shared" si="105"/>
        <v>Não</v>
      </c>
      <c r="AK565" s="1"/>
      <c r="AL565" s="1">
        <f t="shared" si="106"/>
        <v>2</v>
      </c>
      <c r="AM565" s="4">
        <f t="shared" si="113"/>
        <v>46439</v>
      </c>
      <c r="AN565" s="1" t="str">
        <f t="shared" si="107"/>
        <v>Não</v>
      </c>
      <c r="AR565" s="1">
        <f t="shared" si="108"/>
        <v>9</v>
      </c>
      <c r="AS565" s="4">
        <f t="shared" si="114"/>
        <v>46649</v>
      </c>
      <c r="AT565" s="1" t="str">
        <f t="shared" si="109"/>
        <v>Não</v>
      </c>
      <c r="AV565" s="1">
        <f t="shared" si="110"/>
        <v>10</v>
      </c>
      <c r="AW565" s="4">
        <f t="shared" si="115"/>
        <v>45945</v>
      </c>
      <c r="AX565" s="1" t="str">
        <f t="shared" si="111"/>
        <v>Não</v>
      </c>
    </row>
    <row r="566" spans="34:50" hidden="1" x14ac:dyDescent="0.25">
      <c r="AH566" s="1">
        <f t="shared" si="104"/>
        <v>5</v>
      </c>
      <c r="AI566" s="5">
        <f t="shared" si="112"/>
        <v>46160</v>
      </c>
      <c r="AJ566" s="1" t="str">
        <f t="shared" si="105"/>
        <v>Não</v>
      </c>
      <c r="AK566" s="1"/>
      <c r="AL566" s="1">
        <f t="shared" si="106"/>
        <v>2</v>
      </c>
      <c r="AM566" s="4">
        <f t="shared" si="113"/>
        <v>46440</v>
      </c>
      <c r="AN566" s="1" t="str">
        <f t="shared" si="107"/>
        <v>Não</v>
      </c>
      <c r="AR566" s="1">
        <f t="shared" si="108"/>
        <v>9</v>
      </c>
      <c r="AS566" s="4">
        <f t="shared" si="114"/>
        <v>46650</v>
      </c>
      <c r="AT566" s="1" t="str">
        <f t="shared" si="109"/>
        <v>Não</v>
      </c>
      <c r="AV566" s="1">
        <f t="shared" si="110"/>
        <v>10</v>
      </c>
      <c r="AW566" s="4">
        <f t="shared" si="115"/>
        <v>45946</v>
      </c>
      <c r="AX566" s="1" t="str">
        <f t="shared" si="111"/>
        <v>Não</v>
      </c>
    </row>
    <row r="567" spans="34:50" hidden="1" x14ac:dyDescent="0.25">
      <c r="AH567" s="1">
        <f t="shared" si="104"/>
        <v>5</v>
      </c>
      <c r="AI567" s="5">
        <f t="shared" si="112"/>
        <v>46161</v>
      </c>
      <c r="AJ567" s="1" t="str">
        <f t="shared" si="105"/>
        <v>Não</v>
      </c>
      <c r="AK567" s="1"/>
      <c r="AL567" s="1">
        <f t="shared" si="106"/>
        <v>2</v>
      </c>
      <c r="AM567" s="4">
        <f t="shared" si="113"/>
        <v>46441</v>
      </c>
      <c r="AN567" s="1" t="str">
        <f t="shared" si="107"/>
        <v>Não</v>
      </c>
      <c r="AR567" s="1">
        <f t="shared" si="108"/>
        <v>9</v>
      </c>
      <c r="AS567" s="4">
        <f t="shared" si="114"/>
        <v>46651</v>
      </c>
      <c r="AT567" s="1" t="str">
        <f t="shared" si="109"/>
        <v>Não</v>
      </c>
      <c r="AV567" s="1">
        <f t="shared" si="110"/>
        <v>10</v>
      </c>
      <c r="AW567" s="4">
        <f t="shared" si="115"/>
        <v>45947</v>
      </c>
      <c r="AX567" s="1" t="str">
        <f t="shared" si="111"/>
        <v>Não</v>
      </c>
    </row>
    <row r="568" spans="34:50" hidden="1" x14ac:dyDescent="0.25">
      <c r="AH568" s="1">
        <f t="shared" si="104"/>
        <v>5</v>
      </c>
      <c r="AI568" s="5">
        <f t="shared" si="112"/>
        <v>46162</v>
      </c>
      <c r="AJ568" s="1" t="str">
        <f t="shared" si="105"/>
        <v>Não</v>
      </c>
      <c r="AK568" s="1"/>
      <c r="AL568" s="1">
        <f t="shared" si="106"/>
        <v>2</v>
      </c>
      <c r="AM568" s="4">
        <f t="shared" si="113"/>
        <v>46442</v>
      </c>
      <c r="AN568" s="1" t="str">
        <f t="shared" si="107"/>
        <v>Não</v>
      </c>
      <c r="AR568" s="1">
        <f t="shared" si="108"/>
        <v>9</v>
      </c>
      <c r="AS568" s="4">
        <f t="shared" si="114"/>
        <v>46652</v>
      </c>
      <c r="AT568" s="1" t="str">
        <f t="shared" si="109"/>
        <v>Não</v>
      </c>
      <c r="AV568" s="1">
        <f t="shared" si="110"/>
        <v>10</v>
      </c>
      <c r="AW568" s="4">
        <f t="shared" si="115"/>
        <v>45948</v>
      </c>
      <c r="AX568" s="1" t="str">
        <f t="shared" si="111"/>
        <v>Não</v>
      </c>
    </row>
    <row r="569" spans="34:50" hidden="1" x14ac:dyDescent="0.25">
      <c r="AH569" s="1">
        <f t="shared" si="104"/>
        <v>5</v>
      </c>
      <c r="AI569" s="5">
        <f t="shared" si="112"/>
        <v>46163</v>
      </c>
      <c r="AJ569" s="1" t="str">
        <f t="shared" si="105"/>
        <v>Não</v>
      </c>
      <c r="AK569" s="1"/>
      <c r="AL569" s="1">
        <f t="shared" si="106"/>
        <v>2</v>
      </c>
      <c r="AM569" s="4">
        <f t="shared" si="113"/>
        <v>46443</v>
      </c>
      <c r="AN569" s="1" t="str">
        <f t="shared" si="107"/>
        <v>Não</v>
      </c>
      <c r="AR569" s="1">
        <f t="shared" si="108"/>
        <v>9</v>
      </c>
      <c r="AS569" s="4">
        <f t="shared" si="114"/>
        <v>46653</v>
      </c>
      <c r="AT569" s="1" t="str">
        <f t="shared" si="109"/>
        <v>Não</v>
      </c>
      <c r="AV569" s="1">
        <f t="shared" si="110"/>
        <v>10</v>
      </c>
      <c r="AW569" s="4">
        <f t="shared" si="115"/>
        <v>45949</v>
      </c>
      <c r="AX569" s="1" t="str">
        <f t="shared" si="111"/>
        <v>Não</v>
      </c>
    </row>
    <row r="570" spans="34:50" hidden="1" x14ac:dyDescent="0.25">
      <c r="AH570" s="1">
        <f t="shared" si="104"/>
        <v>5</v>
      </c>
      <c r="AI570" s="5">
        <f t="shared" si="112"/>
        <v>46164</v>
      </c>
      <c r="AJ570" s="1" t="str">
        <f t="shared" si="105"/>
        <v>Não</v>
      </c>
      <c r="AK570" s="1"/>
      <c r="AL570" s="1">
        <f t="shared" si="106"/>
        <v>2</v>
      </c>
      <c r="AM570" s="4">
        <f t="shared" si="113"/>
        <v>46444</v>
      </c>
      <c r="AN570" s="1" t="str">
        <f t="shared" si="107"/>
        <v>Não</v>
      </c>
      <c r="AR570" s="1">
        <f t="shared" si="108"/>
        <v>9</v>
      </c>
      <c r="AS570" s="4">
        <f t="shared" si="114"/>
        <v>46654</v>
      </c>
      <c r="AT570" s="1" t="str">
        <f t="shared" si="109"/>
        <v>Não</v>
      </c>
      <c r="AV570" s="1">
        <f t="shared" si="110"/>
        <v>10</v>
      </c>
      <c r="AW570" s="4">
        <f t="shared" si="115"/>
        <v>45950</v>
      </c>
      <c r="AX570" s="1" t="str">
        <f t="shared" si="111"/>
        <v>Não</v>
      </c>
    </row>
    <row r="571" spans="34:50" hidden="1" x14ac:dyDescent="0.25">
      <c r="AH571" s="1">
        <f t="shared" si="104"/>
        <v>5</v>
      </c>
      <c r="AI571" s="5">
        <f t="shared" si="112"/>
        <v>46165</v>
      </c>
      <c r="AJ571" s="1" t="str">
        <f t="shared" si="105"/>
        <v>Não</v>
      </c>
      <c r="AK571" s="1"/>
      <c r="AL571" s="1">
        <f t="shared" si="106"/>
        <v>2</v>
      </c>
      <c r="AM571" s="4">
        <f t="shared" si="113"/>
        <v>46445</v>
      </c>
      <c r="AN571" s="1" t="str">
        <f t="shared" si="107"/>
        <v>Não</v>
      </c>
      <c r="AR571" s="1">
        <f t="shared" si="108"/>
        <v>9</v>
      </c>
      <c r="AS571" s="4">
        <f t="shared" si="114"/>
        <v>46655</v>
      </c>
      <c r="AT571" s="1" t="str">
        <f t="shared" si="109"/>
        <v>Não</v>
      </c>
      <c r="AV571" s="1">
        <f t="shared" si="110"/>
        <v>10</v>
      </c>
      <c r="AW571" s="4">
        <f t="shared" si="115"/>
        <v>45951</v>
      </c>
      <c r="AX571" s="1" t="str">
        <f t="shared" si="111"/>
        <v>Não</v>
      </c>
    </row>
    <row r="572" spans="34:50" hidden="1" x14ac:dyDescent="0.25">
      <c r="AH572" s="1">
        <f t="shared" si="104"/>
        <v>5</v>
      </c>
      <c r="AI572" s="5">
        <f t="shared" si="112"/>
        <v>46166</v>
      </c>
      <c r="AJ572" s="1" t="str">
        <f t="shared" si="105"/>
        <v>Não</v>
      </c>
      <c r="AK572" s="1"/>
      <c r="AL572" s="1">
        <f t="shared" si="106"/>
        <v>2</v>
      </c>
      <c r="AM572" s="4">
        <f t="shared" si="113"/>
        <v>46446</v>
      </c>
      <c r="AN572" s="1" t="str">
        <f t="shared" si="107"/>
        <v>Não</v>
      </c>
      <c r="AR572" s="1">
        <f t="shared" si="108"/>
        <v>9</v>
      </c>
      <c r="AS572" s="4">
        <f t="shared" si="114"/>
        <v>46656</v>
      </c>
      <c r="AT572" s="1" t="str">
        <f t="shared" si="109"/>
        <v>Não</v>
      </c>
      <c r="AV572" s="1">
        <f t="shared" si="110"/>
        <v>10</v>
      </c>
      <c r="AW572" s="4">
        <f t="shared" si="115"/>
        <v>45952</v>
      </c>
      <c r="AX572" s="1" t="str">
        <f t="shared" si="111"/>
        <v>Não</v>
      </c>
    </row>
    <row r="573" spans="34:50" hidden="1" x14ac:dyDescent="0.25">
      <c r="AH573" s="1">
        <f t="shared" si="104"/>
        <v>5</v>
      </c>
      <c r="AI573" s="5">
        <f t="shared" si="112"/>
        <v>46167</v>
      </c>
      <c r="AJ573" s="1" t="str">
        <f t="shared" si="105"/>
        <v>Não</v>
      </c>
      <c r="AK573" s="1"/>
      <c r="AL573" s="1">
        <f t="shared" si="106"/>
        <v>3</v>
      </c>
      <c r="AM573" s="4">
        <f t="shared" si="113"/>
        <v>46447</v>
      </c>
      <c r="AN573" s="1" t="str">
        <f t="shared" si="107"/>
        <v>Não</v>
      </c>
      <c r="AR573" s="1">
        <f t="shared" si="108"/>
        <v>9</v>
      </c>
      <c r="AS573" s="4">
        <f t="shared" si="114"/>
        <v>46657</v>
      </c>
      <c r="AT573" s="1" t="str">
        <f t="shared" si="109"/>
        <v>Não</v>
      </c>
      <c r="AV573" s="1">
        <f t="shared" si="110"/>
        <v>10</v>
      </c>
      <c r="AW573" s="4">
        <f t="shared" si="115"/>
        <v>45953</v>
      </c>
      <c r="AX573" s="1" t="str">
        <f t="shared" si="111"/>
        <v>Não</v>
      </c>
    </row>
    <row r="574" spans="34:50" hidden="1" x14ac:dyDescent="0.25">
      <c r="AH574" s="1">
        <f t="shared" si="104"/>
        <v>5</v>
      </c>
      <c r="AI574" s="5">
        <f t="shared" si="112"/>
        <v>46168</v>
      </c>
      <c r="AJ574" s="1" t="str">
        <f t="shared" si="105"/>
        <v>Não</v>
      </c>
      <c r="AK574" s="1"/>
      <c r="AL574" s="1">
        <f t="shared" si="106"/>
        <v>3</v>
      </c>
      <c r="AM574" s="4">
        <f t="shared" si="113"/>
        <v>46448</v>
      </c>
      <c r="AN574" s="1" t="str">
        <f t="shared" si="107"/>
        <v>Não</v>
      </c>
      <c r="AR574" s="1">
        <f t="shared" si="108"/>
        <v>9</v>
      </c>
      <c r="AS574" s="4">
        <f t="shared" si="114"/>
        <v>46658</v>
      </c>
      <c r="AT574" s="1" t="str">
        <f t="shared" si="109"/>
        <v>Não</v>
      </c>
      <c r="AV574" s="1">
        <f t="shared" si="110"/>
        <v>10</v>
      </c>
      <c r="AW574" s="4">
        <f t="shared" si="115"/>
        <v>45954</v>
      </c>
      <c r="AX574" s="1" t="str">
        <f t="shared" si="111"/>
        <v>Não</v>
      </c>
    </row>
    <row r="575" spans="34:50" hidden="1" x14ac:dyDescent="0.25">
      <c r="AH575" s="1">
        <f t="shared" si="104"/>
        <v>5</v>
      </c>
      <c r="AI575" s="5">
        <f t="shared" si="112"/>
        <v>46169</v>
      </c>
      <c r="AJ575" s="1" t="str">
        <f t="shared" si="105"/>
        <v>Não</v>
      </c>
      <c r="AK575" s="1"/>
      <c r="AL575" s="1">
        <f t="shared" si="106"/>
        <v>3</v>
      </c>
      <c r="AM575" s="4">
        <f t="shared" si="113"/>
        <v>46449</v>
      </c>
      <c r="AN575" s="1" t="str">
        <f t="shared" si="107"/>
        <v>Não</v>
      </c>
      <c r="AR575" s="1">
        <f t="shared" si="108"/>
        <v>9</v>
      </c>
      <c r="AS575" s="4">
        <f t="shared" si="114"/>
        <v>46659</v>
      </c>
      <c r="AT575" s="1" t="str">
        <f t="shared" si="109"/>
        <v>Não</v>
      </c>
      <c r="AV575" s="1">
        <f t="shared" si="110"/>
        <v>10</v>
      </c>
      <c r="AW575" s="4">
        <f t="shared" si="115"/>
        <v>45955</v>
      </c>
      <c r="AX575" s="1" t="str">
        <f t="shared" si="111"/>
        <v>Não</v>
      </c>
    </row>
    <row r="576" spans="34:50" hidden="1" x14ac:dyDescent="0.25">
      <c r="AH576" s="1">
        <f t="shared" si="104"/>
        <v>5</v>
      </c>
      <c r="AI576" s="5">
        <f t="shared" si="112"/>
        <v>46170</v>
      </c>
      <c r="AJ576" s="1" t="str">
        <f t="shared" si="105"/>
        <v>Não</v>
      </c>
      <c r="AK576" s="1"/>
      <c r="AL576" s="1">
        <f t="shared" si="106"/>
        <v>3</v>
      </c>
      <c r="AM576" s="4">
        <f t="shared" si="113"/>
        <v>46450</v>
      </c>
      <c r="AN576" s="1" t="str">
        <f t="shared" si="107"/>
        <v>Não</v>
      </c>
      <c r="AR576" s="1">
        <f t="shared" si="108"/>
        <v>9</v>
      </c>
      <c r="AS576" s="4">
        <f t="shared" si="114"/>
        <v>46660</v>
      </c>
      <c r="AT576" s="1" t="str">
        <f t="shared" si="109"/>
        <v>Não</v>
      </c>
      <c r="AV576" s="1">
        <f t="shared" si="110"/>
        <v>10</v>
      </c>
      <c r="AW576" s="4">
        <f t="shared" si="115"/>
        <v>45956</v>
      </c>
      <c r="AX576" s="1" t="str">
        <f t="shared" si="111"/>
        <v>Não</v>
      </c>
    </row>
    <row r="577" spans="34:50" hidden="1" x14ac:dyDescent="0.25">
      <c r="AH577" s="1">
        <f t="shared" si="104"/>
        <v>5</v>
      </c>
      <c r="AI577" s="5">
        <f t="shared" si="112"/>
        <v>46171</v>
      </c>
      <c r="AJ577" s="1" t="str">
        <f t="shared" si="105"/>
        <v>Não</v>
      </c>
      <c r="AK577" s="1"/>
      <c r="AL577" s="1">
        <f t="shared" si="106"/>
        <v>3</v>
      </c>
      <c r="AM577" s="4">
        <f t="shared" si="113"/>
        <v>46451</v>
      </c>
      <c r="AN577" s="1" t="str">
        <f t="shared" si="107"/>
        <v>Não</v>
      </c>
      <c r="AR577" s="1">
        <f t="shared" si="108"/>
        <v>10</v>
      </c>
      <c r="AS577" s="4">
        <f t="shared" si="114"/>
        <v>46661</v>
      </c>
      <c r="AT577" s="1" t="str">
        <f t="shared" si="109"/>
        <v>Não</v>
      </c>
      <c r="AV577" s="1">
        <f t="shared" si="110"/>
        <v>10</v>
      </c>
      <c r="AW577" s="4">
        <f t="shared" si="115"/>
        <v>45957</v>
      </c>
      <c r="AX577" s="1" t="str">
        <f t="shared" si="111"/>
        <v>Não</v>
      </c>
    </row>
    <row r="578" spans="34:50" hidden="1" x14ac:dyDescent="0.25">
      <c r="AH578" s="1">
        <f t="shared" si="104"/>
        <v>5</v>
      </c>
      <c r="AI578" s="5">
        <f t="shared" si="112"/>
        <v>46172</v>
      </c>
      <c r="AJ578" s="1" t="str">
        <f t="shared" si="105"/>
        <v>Não</v>
      </c>
      <c r="AK578" s="1"/>
      <c r="AL578" s="1">
        <f t="shared" si="106"/>
        <v>3</v>
      </c>
      <c r="AM578" s="4">
        <f t="shared" si="113"/>
        <v>46452</v>
      </c>
      <c r="AN578" s="1" t="str">
        <f t="shared" si="107"/>
        <v>Não</v>
      </c>
      <c r="AR578" s="1">
        <f t="shared" si="108"/>
        <v>10</v>
      </c>
      <c r="AS578" s="4">
        <f t="shared" si="114"/>
        <v>46662</v>
      </c>
      <c r="AT578" s="1" t="str">
        <f t="shared" si="109"/>
        <v>Não</v>
      </c>
      <c r="AV578" s="1">
        <f t="shared" si="110"/>
        <v>10</v>
      </c>
      <c r="AW578" s="4">
        <f t="shared" si="115"/>
        <v>45958</v>
      </c>
      <c r="AX578" s="1" t="str">
        <f t="shared" si="111"/>
        <v>Não</v>
      </c>
    </row>
    <row r="579" spans="34:50" hidden="1" x14ac:dyDescent="0.25">
      <c r="AH579" s="1">
        <f t="shared" ref="AH579:AH584" si="116">MONTH(AI579)</f>
        <v>5</v>
      </c>
      <c r="AI579" s="5">
        <f t="shared" si="112"/>
        <v>46173</v>
      </c>
      <c r="AJ579" s="1" t="str">
        <f t="shared" ref="AJ579:AJ584" si="117">IF(AND(AI579&gt;=$C$6,AI579&lt;=$C$8),"Ok","Não")</f>
        <v>Não</v>
      </c>
      <c r="AK579" s="1"/>
      <c r="AL579" s="1">
        <f t="shared" ref="AL579:AL584" si="118">MONTH(AM579)</f>
        <v>3</v>
      </c>
      <c r="AM579" s="4">
        <f t="shared" si="113"/>
        <v>46453</v>
      </c>
      <c r="AN579" s="1" t="str">
        <f t="shared" ref="AN579:AN584" si="119">IF(AND(AM579&gt;=$C$9,AM579&lt;=$C$10),"Ok","Não")</f>
        <v>Não</v>
      </c>
      <c r="AR579" s="1">
        <f t="shared" ref="AR579:AR584" si="120">MONTH(AS579)</f>
        <v>10</v>
      </c>
      <c r="AS579" s="4">
        <f t="shared" si="114"/>
        <v>46663</v>
      </c>
      <c r="AT579" s="1" t="str">
        <f t="shared" ref="AT579:AT584" si="121">IF(AND(AS579&gt;=$C$11,AS579&lt;=$C$12),"Ok","Não")</f>
        <v>Não</v>
      </c>
      <c r="AV579" s="1">
        <f t="shared" ref="AV579:AV584" si="122">MONTH(AW579)</f>
        <v>10</v>
      </c>
      <c r="AW579" s="4">
        <f t="shared" si="115"/>
        <v>45959</v>
      </c>
      <c r="AX579" s="1" t="str">
        <f t="shared" ref="AX579:AX584" si="123">IF(AND(AW579&gt;=$C$4,AW579&lt;=$C$5),"Ok","Não")</f>
        <v>Não</v>
      </c>
    </row>
    <row r="580" spans="34:50" hidden="1" x14ac:dyDescent="0.25">
      <c r="AH580" s="1">
        <f t="shared" si="116"/>
        <v>6</v>
      </c>
      <c r="AI580" s="5">
        <f t="shared" si="112"/>
        <v>46174</v>
      </c>
      <c r="AJ580" s="1" t="str">
        <f t="shared" si="117"/>
        <v>Não</v>
      </c>
      <c r="AK580" s="1"/>
      <c r="AL580" s="1">
        <f t="shared" si="118"/>
        <v>3</v>
      </c>
      <c r="AM580" s="4">
        <f t="shared" si="113"/>
        <v>46454</v>
      </c>
      <c r="AN580" s="1" t="str">
        <f t="shared" si="119"/>
        <v>Não</v>
      </c>
      <c r="AR580" s="1">
        <f t="shared" si="120"/>
        <v>10</v>
      </c>
      <c r="AS580" s="4">
        <f t="shared" si="114"/>
        <v>46664</v>
      </c>
      <c r="AT580" s="1" t="str">
        <f t="shared" si="121"/>
        <v>Não</v>
      </c>
      <c r="AV580" s="1">
        <f t="shared" si="122"/>
        <v>10</v>
      </c>
      <c r="AW580" s="4">
        <f t="shared" si="115"/>
        <v>45960</v>
      </c>
      <c r="AX580" s="1" t="str">
        <f t="shared" si="123"/>
        <v>Não</v>
      </c>
    </row>
    <row r="581" spans="34:50" hidden="1" x14ac:dyDescent="0.25">
      <c r="AH581" s="1">
        <f t="shared" si="116"/>
        <v>6</v>
      </c>
      <c r="AI581" s="5">
        <f t="shared" ref="AI581:AI584" si="124">AI580+1</f>
        <v>46175</v>
      </c>
      <c r="AJ581" s="1" t="str">
        <f t="shared" si="117"/>
        <v>Não</v>
      </c>
      <c r="AK581" s="1"/>
      <c r="AL581" s="1">
        <f t="shared" si="118"/>
        <v>3</v>
      </c>
      <c r="AM581" s="4">
        <f t="shared" ref="AM581:AM584" si="125">AM580+1</f>
        <v>46455</v>
      </c>
      <c r="AN581" s="1" t="str">
        <f t="shared" si="119"/>
        <v>Não</v>
      </c>
      <c r="AR581" s="1">
        <f t="shared" si="120"/>
        <v>10</v>
      </c>
      <c r="AS581" s="4">
        <f t="shared" ref="AS581:AS584" si="126">AS580+1</f>
        <v>46665</v>
      </c>
      <c r="AT581" s="1" t="str">
        <f t="shared" si="121"/>
        <v>Não</v>
      </c>
      <c r="AV581" s="1">
        <f t="shared" si="122"/>
        <v>10</v>
      </c>
      <c r="AW581" s="4">
        <f t="shared" ref="AW581:AW584" si="127">AW580+1</f>
        <v>45961</v>
      </c>
      <c r="AX581" s="1" t="str">
        <f t="shared" si="123"/>
        <v>Não</v>
      </c>
    </row>
    <row r="582" spans="34:50" hidden="1" x14ac:dyDescent="0.25">
      <c r="AH582" s="1">
        <f t="shared" si="116"/>
        <v>6</v>
      </c>
      <c r="AI582" s="5">
        <f t="shared" si="124"/>
        <v>46176</v>
      </c>
      <c r="AJ582" s="1" t="str">
        <f t="shared" si="117"/>
        <v>Não</v>
      </c>
      <c r="AK582" s="1"/>
      <c r="AL582" s="1">
        <f t="shared" si="118"/>
        <v>3</v>
      </c>
      <c r="AM582" s="4">
        <f t="shared" si="125"/>
        <v>46456</v>
      </c>
      <c r="AN582" s="1" t="str">
        <f t="shared" si="119"/>
        <v>Não</v>
      </c>
      <c r="AR582" s="1">
        <f t="shared" si="120"/>
        <v>10</v>
      </c>
      <c r="AS582" s="4">
        <f t="shared" si="126"/>
        <v>46666</v>
      </c>
      <c r="AT582" s="1" t="str">
        <f t="shared" si="121"/>
        <v>Não</v>
      </c>
      <c r="AV582" s="1">
        <f t="shared" si="122"/>
        <v>11</v>
      </c>
      <c r="AW582" s="4">
        <f t="shared" si="127"/>
        <v>45962</v>
      </c>
      <c r="AX582" s="1" t="str">
        <f t="shared" si="123"/>
        <v>Não</v>
      </c>
    </row>
    <row r="583" spans="34:50" hidden="1" x14ac:dyDescent="0.25">
      <c r="AH583" s="1">
        <f t="shared" si="116"/>
        <v>6</v>
      </c>
      <c r="AI583" s="5">
        <f t="shared" si="124"/>
        <v>46177</v>
      </c>
      <c r="AJ583" s="1" t="str">
        <f t="shared" si="117"/>
        <v>Não</v>
      </c>
      <c r="AK583" s="1"/>
      <c r="AL583" s="1">
        <f t="shared" si="118"/>
        <v>3</v>
      </c>
      <c r="AM583" s="4">
        <f t="shared" si="125"/>
        <v>46457</v>
      </c>
      <c r="AN583" s="1" t="str">
        <f t="shared" si="119"/>
        <v>Não</v>
      </c>
      <c r="AR583" s="1">
        <f t="shared" si="120"/>
        <v>10</v>
      </c>
      <c r="AS583" s="4">
        <f t="shared" si="126"/>
        <v>46667</v>
      </c>
      <c r="AT583" s="1" t="str">
        <f t="shared" si="121"/>
        <v>Não</v>
      </c>
      <c r="AV583" s="1">
        <f t="shared" si="122"/>
        <v>11</v>
      </c>
      <c r="AW583" s="4">
        <f t="shared" si="127"/>
        <v>45963</v>
      </c>
      <c r="AX583" s="1" t="str">
        <f t="shared" si="123"/>
        <v>Não</v>
      </c>
    </row>
    <row r="584" spans="34:50" hidden="1" x14ac:dyDescent="0.25">
      <c r="AH584" s="1">
        <f t="shared" si="116"/>
        <v>6</v>
      </c>
      <c r="AI584" s="5">
        <f t="shared" si="124"/>
        <v>46178</v>
      </c>
      <c r="AJ584" s="1" t="str">
        <f t="shared" si="117"/>
        <v>Não</v>
      </c>
      <c r="AK584" s="1"/>
      <c r="AL584" s="1">
        <f t="shared" si="118"/>
        <v>3</v>
      </c>
      <c r="AM584" s="4">
        <f t="shared" si="125"/>
        <v>46458</v>
      </c>
      <c r="AN584" s="1" t="str">
        <f t="shared" si="119"/>
        <v>Não</v>
      </c>
      <c r="AR584" s="1">
        <f t="shared" si="120"/>
        <v>10</v>
      </c>
      <c r="AS584" s="4">
        <f t="shared" si="126"/>
        <v>46668</v>
      </c>
      <c r="AT584" s="1" t="str">
        <f t="shared" si="121"/>
        <v>Não</v>
      </c>
      <c r="AV584" s="1">
        <f t="shared" si="122"/>
        <v>11</v>
      </c>
      <c r="AW584" s="4">
        <f t="shared" si="127"/>
        <v>45964</v>
      </c>
      <c r="AX584" s="1" t="str">
        <f t="shared" si="123"/>
        <v>Não</v>
      </c>
    </row>
    <row r="585" spans="34:50" hidden="1" x14ac:dyDescent="0.25">
      <c r="AI585" s="5"/>
      <c r="AJ585" s="1"/>
      <c r="AK585" s="1"/>
    </row>
    <row r="586" spans="34:50" hidden="1" x14ac:dyDescent="0.25">
      <c r="AI586" s="5"/>
      <c r="AJ586" s="1"/>
      <c r="AK586" s="1"/>
    </row>
    <row r="587" spans="34:50" hidden="1" x14ac:dyDescent="0.25">
      <c r="AI587" s="5"/>
      <c r="AJ587" s="1"/>
      <c r="AK587" s="1"/>
    </row>
  </sheetData>
  <sheetProtection algorithmName="SHA-512" hashValue="oTSTVpDYd2J5loWf60+jX1P/NQTXroIbKVJXzl/GiUoy+XSfbWATBKDqrzA44zeJBBLApjJJRm3w9qTBhtvUbw==" saltValue="sEdZw3pD+F4+BNM1+jreeg==" spinCount="100000" sheet="1" objects="1" scenarios="1" selectLockedCells="1"/>
  <mergeCells count="3">
    <mergeCell ref="E3:Q3"/>
    <mergeCell ref="B3:C3"/>
    <mergeCell ref="B1:R1"/>
  </mergeCells>
  <conditionalFormatting sqref="F5:Q5">
    <cfRule type="cellIs" dxfId="80" priority="1" operator="equal">
      <formula>"Ok"</formula>
    </cfRule>
    <cfRule type="cellIs" dxfId="79" priority="2" operator="equal">
      <formula>"Não"</formula>
    </cfRule>
  </conditionalFormatting>
  <conditionalFormatting sqref="F6:Q8">
    <cfRule type="cellIs" dxfId="78" priority="3" operator="equal">
      <formula>"OK"</formula>
    </cfRule>
  </conditionalFormatting>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01F5-410F-436D-A063-6E2FD09718DF}">
  <sheetPr codeName="Planilha2"/>
  <dimension ref="B2:C14"/>
  <sheetViews>
    <sheetView zoomScale="160" zoomScaleNormal="160" workbookViewId="0">
      <selection activeCell="C7" sqref="C7"/>
    </sheetView>
  </sheetViews>
  <sheetFormatPr defaultRowHeight="15" x14ac:dyDescent="0.25"/>
  <cols>
    <col min="2" max="2" width="32.85546875" bestFit="1" customWidth="1"/>
    <col min="3" max="3" width="10" style="1" bestFit="1" customWidth="1"/>
  </cols>
  <sheetData>
    <row r="2" spans="2:3" x14ac:dyDescent="0.25">
      <c r="B2" s="624" t="s">
        <v>44</v>
      </c>
      <c r="C2" s="624"/>
    </row>
    <row r="3" spans="2:3" x14ac:dyDescent="0.25">
      <c r="B3" s="20" t="s">
        <v>69</v>
      </c>
      <c r="C3" s="1">
        <v>1300</v>
      </c>
    </row>
    <row r="4" spans="2:3" x14ac:dyDescent="0.25">
      <c r="B4" s="20" t="s">
        <v>70</v>
      </c>
      <c r="C4" s="1">
        <v>1100</v>
      </c>
    </row>
    <row r="5" spans="2:3" x14ac:dyDescent="0.25">
      <c r="B5" s="20" t="s">
        <v>71</v>
      </c>
      <c r="C5" s="1">
        <v>1000</v>
      </c>
    </row>
    <row r="6" spans="2:3" x14ac:dyDescent="0.25">
      <c r="B6" s="20" t="s">
        <v>72</v>
      </c>
      <c r="C6" s="1">
        <v>200</v>
      </c>
    </row>
    <row r="7" spans="2:3" x14ac:dyDescent="0.25">
      <c r="B7" s="20" t="s">
        <v>77</v>
      </c>
      <c r="C7" s="1">
        <v>500</v>
      </c>
    </row>
    <row r="9" spans="2:3" x14ac:dyDescent="0.25">
      <c r="B9" s="624" t="s">
        <v>43</v>
      </c>
      <c r="C9" s="624"/>
    </row>
    <row r="10" spans="2:3" x14ac:dyDescent="0.25">
      <c r="B10" s="20" t="s">
        <v>73</v>
      </c>
      <c r="C10" s="29">
        <f>C4/C3</f>
        <v>0.84615384615384615</v>
      </c>
    </row>
    <row r="11" spans="2:3" x14ac:dyDescent="0.25">
      <c r="B11" s="20" t="s">
        <v>74</v>
      </c>
      <c r="C11" s="29">
        <f>C5/C3</f>
        <v>0.76923076923076927</v>
      </c>
    </row>
    <row r="12" spans="2:3" x14ac:dyDescent="0.25">
      <c r="B12" s="20" t="s">
        <v>75</v>
      </c>
      <c r="C12" s="31">
        <f>(C6*C5)/C3</f>
        <v>153.84615384615384</v>
      </c>
    </row>
    <row r="13" spans="2:3" x14ac:dyDescent="0.25">
      <c r="B13" s="20" t="s">
        <v>76</v>
      </c>
      <c r="C13" s="31">
        <f>(C6*C5)/C7</f>
        <v>400</v>
      </c>
    </row>
    <row r="14" spans="2:3" x14ac:dyDescent="0.25">
      <c r="B14" s="20" t="s">
        <v>78</v>
      </c>
      <c r="C14" s="30">
        <f>C5/C7</f>
        <v>2</v>
      </c>
    </row>
  </sheetData>
  <mergeCells count="2">
    <mergeCell ref="B2:C2"/>
    <mergeCell ref="B9:C9"/>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D6F6-89FD-4AA7-803A-A6F33D1046FF}">
  <sheetPr codeName="Planilha3"/>
  <dimension ref="A1:AB39"/>
  <sheetViews>
    <sheetView showGridLines="0" zoomScale="180" zoomScaleNormal="180" workbookViewId="0">
      <selection activeCell="I24" sqref="I24:I27"/>
    </sheetView>
  </sheetViews>
  <sheetFormatPr defaultColWidth="0" defaultRowHeight="15" zeroHeight="1" x14ac:dyDescent="0.25"/>
  <cols>
    <col min="1" max="1" width="13.7109375" customWidth="1"/>
    <col min="2" max="2" width="3" customWidth="1"/>
    <col min="3" max="3" width="26.7109375" bestFit="1" customWidth="1"/>
    <col min="4" max="4" width="14.5703125" style="1" bestFit="1" customWidth="1"/>
    <col min="5" max="5" width="2.7109375" customWidth="1"/>
    <col min="6" max="6" width="7.28515625" customWidth="1"/>
    <col min="7" max="7" width="2.28515625" customWidth="1"/>
    <col min="8" max="8" width="26.7109375" bestFit="1" customWidth="1"/>
    <col min="9" max="9" width="13.42578125" bestFit="1" customWidth="1"/>
    <col min="10" max="10" width="2.140625" customWidth="1"/>
    <col min="11" max="11" width="4.7109375" customWidth="1"/>
    <col min="12" max="28" width="0" hidden="1" customWidth="1"/>
    <col min="29" max="16384" width="9.140625" hidden="1"/>
  </cols>
  <sheetData>
    <row r="1" spans="1:28" ht="31.5" customHeight="1" x14ac:dyDescent="0.25">
      <c r="A1" s="16"/>
      <c r="B1" s="17" t="s">
        <v>51</v>
      </c>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ht="15" customHeight="1" x14ac:dyDescent="0.25">
      <c r="A2" s="21"/>
      <c r="B2" s="21"/>
      <c r="C2" s="21"/>
      <c r="D2" s="22"/>
      <c r="E2" s="21"/>
      <c r="F2" s="21"/>
      <c r="G2" s="21"/>
      <c r="H2" s="21"/>
      <c r="I2" s="21"/>
      <c r="J2" s="21"/>
      <c r="K2" s="21"/>
    </row>
    <row r="3" spans="1:28" ht="12" customHeight="1" x14ac:dyDescent="0.25">
      <c r="A3" s="21"/>
      <c r="F3" s="21"/>
      <c r="K3" s="21"/>
    </row>
    <row r="4" spans="1:28" ht="17.25" customHeight="1" x14ac:dyDescent="0.25">
      <c r="A4" s="21"/>
      <c r="C4" s="625" t="s">
        <v>45</v>
      </c>
      <c r="D4" s="625"/>
      <c r="F4" s="21"/>
      <c r="H4" s="625" t="s">
        <v>46</v>
      </c>
      <c r="I4" s="625"/>
      <c r="K4" s="21"/>
    </row>
    <row r="5" spans="1:28" ht="8.25" customHeight="1" x14ac:dyDescent="0.25">
      <c r="A5" s="21"/>
      <c r="F5" s="21"/>
      <c r="I5" s="1"/>
      <c r="K5" s="21"/>
    </row>
    <row r="6" spans="1:28" x14ac:dyDescent="0.25">
      <c r="A6" s="21"/>
      <c r="C6" s="624" t="s">
        <v>44</v>
      </c>
      <c r="D6" s="624"/>
      <c r="F6" s="21"/>
      <c r="H6" s="624" t="s">
        <v>44</v>
      </c>
      <c r="I6" s="624"/>
      <c r="K6" s="21"/>
    </row>
    <row r="7" spans="1:28" x14ac:dyDescent="0.25">
      <c r="A7" s="21"/>
      <c r="C7" s="24" t="s">
        <v>128</v>
      </c>
      <c r="D7" s="524">
        <v>13000</v>
      </c>
      <c r="F7" s="21"/>
      <c r="H7" s="24" t="s">
        <v>47</v>
      </c>
      <c r="I7" s="524">
        <v>70</v>
      </c>
      <c r="K7" s="21"/>
    </row>
    <row r="8" spans="1:28" x14ac:dyDescent="0.25">
      <c r="A8" s="21"/>
      <c r="C8" s="24" t="s">
        <v>36</v>
      </c>
      <c r="D8" s="521">
        <v>5</v>
      </c>
      <c r="F8" s="21"/>
      <c r="H8" s="24" t="s">
        <v>49</v>
      </c>
      <c r="I8" s="525">
        <v>0.5</v>
      </c>
      <c r="K8" s="21"/>
    </row>
    <row r="9" spans="1:28" x14ac:dyDescent="0.25">
      <c r="A9" s="21"/>
      <c r="C9" s="24" t="s">
        <v>37</v>
      </c>
      <c r="D9" s="521">
        <v>25</v>
      </c>
      <c r="F9" s="21"/>
      <c r="K9" s="21"/>
    </row>
    <row r="10" spans="1:28" x14ac:dyDescent="0.25">
      <c r="A10" s="21"/>
      <c r="C10" s="24" t="s">
        <v>38</v>
      </c>
      <c r="D10" s="524">
        <v>50</v>
      </c>
      <c r="F10" s="21"/>
      <c r="H10" s="624" t="s">
        <v>43</v>
      </c>
      <c r="I10" s="624"/>
      <c r="K10" s="21"/>
    </row>
    <row r="11" spans="1:28" x14ac:dyDescent="0.25">
      <c r="A11" s="21"/>
      <c r="C11" s="24" t="s">
        <v>39</v>
      </c>
      <c r="D11" s="524">
        <v>300</v>
      </c>
      <c r="F11" s="21"/>
      <c r="H11" s="24" t="s">
        <v>42</v>
      </c>
      <c r="I11" s="25">
        <f>I7/I8</f>
        <v>140</v>
      </c>
      <c r="K11" s="21"/>
    </row>
    <row r="12" spans="1:28" x14ac:dyDescent="0.25">
      <c r="A12" s="21"/>
      <c r="C12" s="24" t="s">
        <v>129</v>
      </c>
      <c r="D12" s="525">
        <v>0.3</v>
      </c>
      <c r="F12" s="21"/>
      <c r="K12" s="21"/>
    </row>
    <row r="13" spans="1:28" x14ac:dyDescent="0.25">
      <c r="A13" s="21"/>
      <c r="C13" s="24" t="s">
        <v>41</v>
      </c>
      <c r="D13" s="524">
        <v>4000</v>
      </c>
      <c r="F13" s="21"/>
      <c r="G13" s="21"/>
      <c r="H13" s="21"/>
      <c r="I13" s="21"/>
      <c r="J13" s="21"/>
      <c r="K13" s="21"/>
    </row>
    <row r="14" spans="1:28" x14ac:dyDescent="0.25">
      <c r="A14" s="21"/>
      <c r="D14" s="19"/>
      <c r="F14" s="21"/>
      <c r="G14" s="21"/>
      <c r="H14" s="21"/>
      <c r="I14" s="23"/>
      <c r="J14" s="21"/>
      <c r="K14" s="21"/>
    </row>
    <row r="15" spans="1:28" x14ac:dyDescent="0.25">
      <c r="A15" s="21"/>
      <c r="C15" s="624" t="s">
        <v>43</v>
      </c>
      <c r="D15" s="624"/>
      <c r="F15" s="21"/>
      <c r="G15" s="21"/>
      <c r="H15" s="21"/>
      <c r="I15" s="21"/>
      <c r="J15" s="21"/>
      <c r="K15" s="21"/>
    </row>
    <row r="16" spans="1:28" x14ac:dyDescent="0.25">
      <c r="A16" s="21"/>
      <c r="C16" s="24" t="s">
        <v>40</v>
      </c>
      <c r="D16" s="25">
        <f>((12*D10)+D11)*(1+D12)</f>
        <v>1170</v>
      </c>
      <c r="F16" s="21"/>
      <c r="G16" s="21"/>
      <c r="H16" s="21"/>
      <c r="I16" s="21"/>
      <c r="J16" s="21"/>
      <c r="K16" s="21"/>
    </row>
    <row r="17" spans="1:12" x14ac:dyDescent="0.25">
      <c r="A17" s="21"/>
      <c r="C17" s="24" t="s">
        <v>127</v>
      </c>
      <c r="D17" s="25">
        <f>D7+(D16*D8)</f>
        <v>18850</v>
      </c>
      <c r="F17" s="21"/>
      <c r="G17" s="21"/>
      <c r="H17" s="21"/>
      <c r="I17" s="21"/>
      <c r="J17" s="21"/>
      <c r="K17" s="21"/>
    </row>
    <row r="18" spans="1:12" x14ac:dyDescent="0.25">
      <c r="A18" s="21"/>
      <c r="C18" s="24" t="s">
        <v>50</v>
      </c>
      <c r="D18" s="25">
        <f>D17-D13</f>
        <v>14850</v>
      </c>
      <c r="F18" s="21"/>
      <c r="G18" s="21"/>
      <c r="H18" s="21"/>
      <c r="I18" s="21"/>
      <c r="J18" s="21"/>
      <c r="K18" s="21"/>
    </row>
    <row r="19" spans="1:12" x14ac:dyDescent="0.25">
      <c r="A19" s="21"/>
      <c r="C19" s="24" t="s">
        <v>42</v>
      </c>
      <c r="D19" s="25">
        <f>D18/(D9*D8)</f>
        <v>118.8</v>
      </c>
      <c r="F19" s="21"/>
      <c r="G19" s="21"/>
      <c r="H19" s="21"/>
      <c r="I19" s="21"/>
      <c r="J19" s="21"/>
      <c r="K19" s="21"/>
    </row>
    <row r="20" spans="1:12" x14ac:dyDescent="0.25">
      <c r="A20" s="21"/>
      <c r="F20" s="21"/>
      <c r="G20" s="21"/>
      <c r="H20" s="21"/>
      <c r="I20" s="21"/>
      <c r="J20" s="21"/>
      <c r="K20" s="21"/>
    </row>
    <row r="21" spans="1:12" x14ac:dyDescent="0.25">
      <c r="A21" s="21"/>
      <c r="B21" s="21"/>
      <c r="C21" s="21"/>
      <c r="D21" s="22"/>
      <c r="E21" s="21"/>
      <c r="F21" s="21"/>
      <c r="G21" s="21"/>
      <c r="H21" s="21"/>
      <c r="I21" s="21"/>
      <c r="J21" s="21"/>
      <c r="K21" s="21"/>
    </row>
    <row r="22" spans="1:12" x14ac:dyDescent="0.25">
      <c r="A22" s="21"/>
      <c r="B22" s="26"/>
      <c r="C22" s="26"/>
      <c r="D22" s="27"/>
      <c r="E22" s="26"/>
      <c r="F22" s="21"/>
      <c r="G22" s="26"/>
      <c r="H22" s="26"/>
      <c r="I22" s="27"/>
      <c r="J22" s="26"/>
      <c r="K22" s="21"/>
    </row>
    <row r="23" spans="1:12" x14ac:dyDescent="0.25">
      <c r="A23" s="21"/>
      <c r="B23" s="26"/>
      <c r="C23" s="624" t="s">
        <v>54</v>
      </c>
      <c r="D23" s="624"/>
      <c r="E23" s="26"/>
      <c r="F23" s="21"/>
      <c r="G23" s="26"/>
      <c r="H23" s="624" t="s">
        <v>58</v>
      </c>
      <c r="I23" s="624"/>
      <c r="J23" s="26"/>
      <c r="K23" s="21"/>
    </row>
    <row r="24" spans="1:12" x14ac:dyDescent="0.25">
      <c r="A24" s="21"/>
      <c r="B24" s="26"/>
      <c r="C24" s="24" t="s">
        <v>52</v>
      </c>
      <c r="D24" s="521">
        <v>125</v>
      </c>
      <c r="E24" s="26"/>
      <c r="F24" s="21"/>
      <c r="G24" s="26"/>
      <c r="H24" s="24" t="s">
        <v>52</v>
      </c>
      <c r="I24" s="521">
        <v>500</v>
      </c>
      <c r="J24" s="26"/>
      <c r="K24" s="21"/>
    </row>
    <row r="25" spans="1:12" x14ac:dyDescent="0.25">
      <c r="A25" s="21"/>
      <c r="B25" s="26"/>
      <c r="C25" s="24" t="s">
        <v>55</v>
      </c>
      <c r="D25" s="521">
        <v>25</v>
      </c>
      <c r="E25" s="26"/>
      <c r="F25" s="21"/>
      <c r="G25" s="26"/>
      <c r="H25" s="24" t="s">
        <v>47</v>
      </c>
      <c r="I25" s="524">
        <v>70</v>
      </c>
      <c r="J25" s="26"/>
      <c r="K25" s="21"/>
    </row>
    <row r="26" spans="1:12" x14ac:dyDescent="0.25">
      <c r="A26" s="21"/>
      <c r="B26" s="26"/>
      <c r="C26" s="24" t="s">
        <v>56</v>
      </c>
      <c r="D26" s="3">
        <f>D24/D25</f>
        <v>5</v>
      </c>
      <c r="E26" s="26"/>
      <c r="F26" s="21"/>
      <c r="G26" s="26"/>
      <c r="H26" s="24" t="s">
        <v>60</v>
      </c>
      <c r="I26" s="523">
        <v>0.5</v>
      </c>
      <c r="J26" s="26"/>
      <c r="K26" s="21"/>
    </row>
    <row r="27" spans="1:12" x14ac:dyDescent="0.25">
      <c r="A27" s="21"/>
      <c r="B27" s="26"/>
      <c r="C27" s="24" t="s">
        <v>31</v>
      </c>
      <c r="D27" s="525">
        <v>0.4</v>
      </c>
      <c r="E27" s="26"/>
      <c r="F27" s="21"/>
      <c r="G27" s="26"/>
      <c r="H27" s="24" t="s">
        <v>61</v>
      </c>
      <c r="I27" s="523">
        <v>0.5</v>
      </c>
      <c r="J27" s="26"/>
      <c r="K27" s="21"/>
    </row>
    <row r="28" spans="1:12" x14ac:dyDescent="0.25">
      <c r="A28" s="21"/>
      <c r="B28" s="26"/>
      <c r="C28" s="24" t="s">
        <v>53</v>
      </c>
      <c r="D28" s="3">
        <f>D27*D24</f>
        <v>50</v>
      </c>
      <c r="E28" s="26"/>
      <c r="F28" s="21"/>
      <c r="G28" s="26"/>
      <c r="H28" s="24" t="s">
        <v>53</v>
      </c>
      <c r="I28" s="3">
        <f>ROUND((I24*I26)+(I24-(I24*I26))*I27,0)</f>
        <v>375</v>
      </c>
      <c r="J28" s="26"/>
      <c r="K28" s="21"/>
    </row>
    <row r="29" spans="1:12" x14ac:dyDescent="0.25">
      <c r="A29" s="21"/>
      <c r="B29" s="26"/>
      <c r="C29" s="24" t="s">
        <v>57</v>
      </c>
      <c r="D29" s="25">
        <f>D26*D7</f>
        <v>65000</v>
      </c>
      <c r="E29" s="26"/>
      <c r="F29" s="21"/>
      <c r="G29" s="26"/>
      <c r="H29" s="24" t="s">
        <v>62</v>
      </c>
      <c r="I29" s="25">
        <f>(I24+(I24*(1-I26)))*I25</f>
        <v>52500</v>
      </c>
      <c r="J29" s="26"/>
      <c r="K29" s="21"/>
    </row>
    <row r="30" spans="1:12" x14ac:dyDescent="0.25">
      <c r="A30" s="21"/>
      <c r="B30" s="26"/>
      <c r="C30" s="24" t="s">
        <v>130</v>
      </c>
      <c r="D30" s="25">
        <f>D26*D16+((D29-(D13*D26))/D8)</f>
        <v>14850</v>
      </c>
      <c r="E30" s="26"/>
      <c r="F30" s="21"/>
      <c r="G30" s="26"/>
      <c r="H30" s="24" t="s">
        <v>59</v>
      </c>
      <c r="I30" s="25">
        <f>I29/I28</f>
        <v>140</v>
      </c>
      <c r="J30" s="26"/>
      <c r="K30" s="21"/>
    </row>
    <row r="31" spans="1:12" s="21" customFormat="1" x14ac:dyDescent="0.25">
      <c r="B31" s="26"/>
      <c r="C31" s="24" t="s">
        <v>59</v>
      </c>
      <c r="D31" s="25">
        <f>D30/(D28)</f>
        <v>297</v>
      </c>
      <c r="E31" s="26"/>
      <c r="G31" s="26"/>
      <c r="H31" s="26"/>
      <c r="I31" s="26"/>
      <c r="J31" s="26"/>
    </row>
    <row r="32" spans="1:12" x14ac:dyDescent="0.25">
      <c r="A32" s="21"/>
      <c r="B32" s="26"/>
      <c r="C32" s="26"/>
      <c r="D32" s="27"/>
      <c r="E32" s="26"/>
      <c r="F32" s="21"/>
      <c r="G32" s="21"/>
      <c r="H32" s="21"/>
      <c r="I32" s="21"/>
      <c r="J32" s="21"/>
      <c r="K32" s="21"/>
      <c r="L32" s="21"/>
    </row>
    <row r="33" spans="1:11" x14ac:dyDescent="0.25">
      <c r="A33" s="21"/>
      <c r="B33" s="21"/>
      <c r="C33" s="21"/>
      <c r="D33" s="22"/>
      <c r="E33" s="21"/>
      <c r="F33" s="21"/>
      <c r="G33" s="21"/>
      <c r="H33" s="21"/>
      <c r="I33" s="21"/>
      <c r="J33" s="21"/>
      <c r="K33" s="21"/>
    </row>
    <row r="34" spans="1:11" hidden="1" x14ac:dyDescent="0.25">
      <c r="A34" s="21"/>
      <c r="B34" s="21"/>
      <c r="C34" s="21"/>
      <c r="D34" s="22"/>
      <c r="E34" s="21"/>
      <c r="F34" s="21"/>
      <c r="G34" s="21"/>
      <c r="H34" s="21"/>
      <c r="I34" s="21"/>
      <c r="J34" s="21"/>
      <c r="K34" s="21"/>
    </row>
    <row r="35" spans="1:11" hidden="1" x14ac:dyDescent="0.25">
      <c r="A35" s="21"/>
      <c r="B35" s="21"/>
      <c r="C35" s="21"/>
      <c r="D35" s="22"/>
      <c r="E35" s="21"/>
      <c r="F35" s="21"/>
      <c r="G35" s="21"/>
      <c r="H35" s="21"/>
      <c r="I35" s="21"/>
      <c r="J35" s="21"/>
      <c r="K35" s="21"/>
    </row>
    <row r="36" spans="1:11" hidden="1" x14ac:dyDescent="0.25">
      <c r="A36" s="21"/>
      <c r="B36" s="21"/>
      <c r="C36" s="21"/>
      <c r="D36" s="22"/>
      <c r="E36" s="21"/>
      <c r="F36" s="21"/>
      <c r="G36" s="21"/>
      <c r="H36" s="21"/>
      <c r="I36" s="21"/>
      <c r="J36" s="21"/>
      <c r="K36" s="21"/>
    </row>
    <row r="37" spans="1:11" hidden="1" x14ac:dyDescent="0.25">
      <c r="A37" s="21"/>
      <c r="B37" s="21"/>
      <c r="C37" s="21"/>
      <c r="D37" s="22"/>
      <c r="E37" s="21"/>
      <c r="F37" s="21"/>
      <c r="G37" s="21"/>
      <c r="H37" s="21"/>
      <c r="I37" s="21"/>
      <c r="J37" s="21"/>
      <c r="K37" s="21"/>
    </row>
    <row r="38" spans="1:11" hidden="1" x14ac:dyDescent="0.25">
      <c r="A38" s="21"/>
      <c r="B38" s="21"/>
      <c r="C38" s="21"/>
      <c r="D38" s="22"/>
      <c r="E38" s="21"/>
      <c r="F38" s="21"/>
      <c r="G38" s="21"/>
      <c r="H38" s="21"/>
      <c r="I38" s="21"/>
      <c r="J38" s="21"/>
      <c r="K38" s="21"/>
    </row>
    <row r="39" spans="1:11" x14ac:dyDescent="0.25"/>
  </sheetData>
  <sheetProtection algorithmName="SHA-512" hashValue="+3ryunSRBjM83btZUCX++MVbTuu3h/5AThgbC2NuXcvL1Njj/Ep+EimhEGe6AYzukt/NBgm3+Cu0HOcMMggYFg==" saltValue="KJ1lRUF52lbuQGpZ+ZZxXw==" spinCount="100000" sheet="1" objects="1" scenarios="1" selectLockedCells="1"/>
  <mergeCells count="8">
    <mergeCell ref="C23:D23"/>
    <mergeCell ref="H23:I23"/>
    <mergeCell ref="C15:D15"/>
    <mergeCell ref="C6:D6"/>
    <mergeCell ref="C4:D4"/>
    <mergeCell ref="H4:I4"/>
    <mergeCell ref="H6:I6"/>
    <mergeCell ref="H10:I10"/>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16A8-2E1A-4669-98F4-60FAF2C55A28}">
  <sheetPr codeName="Planilha4"/>
  <dimension ref="A1:AB22"/>
  <sheetViews>
    <sheetView showGridLines="0" zoomScale="130" zoomScaleNormal="130" workbookViewId="0">
      <selection activeCell="C8" sqref="C8:Z8"/>
    </sheetView>
  </sheetViews>
  <sheetFormatPr defaultColWidth="0" defaultRowHeight="15" customHeight="1" zeroHeight="1" x14ac:dyDescent="0.25"/>
  <cols>
    <col min="1" max="1" width="12.5703125" customWidth="1"/>
    <col min="2" max="2" width="17.28515625" customWidth="1"/>
    <col min="3" max="6" width="5.7109375" style="1" customWidth="1"/>
    <col min="7" max="7" width="7" bestFit="1" customWidth="1"/>
    <col min="8" max="14" width="5.7109375" customWidth="1"/>
    <col min="15" max="15" width="5.7109375" style="1" customWidth="1"/>
    <col min="16" max="26" width="5.7109375" customWidth="1"/>
    <col min="27" max="27" width="3.85546875" customWidth="1"/>
  </cols>
  <sheetData>
    <row r="1" spans="1:28" ht="26.25" customHeight="1" x14ac:dyDescent="0.25">
      <c r="A1" s="16"/>
      <c r="B1" s="17" t="s">
        <v>28</v>
      </c>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x14ac:dyDescent="0.25"/>
    <row r="3" spans="1:28" x14ac:dyDescent="0.25">
      <c r="B3" s="2" t="s">
        <v>30</v>
      </c>
      <c r="C3" s="18" t="s">
        <v>0</v>
      </c>
      <c r="D3" s="18" t="s">
        <v>1</v>
      </c>
      <c r="E3" s="18" t="s">
        <v>2</v>
      </c>
      <c r="F3" s="18" t="s">
        <v>3</v>
      </c>
      <c r="G3" s="18" t="s">
        <v>4</v>
      </c>
      <c r="H3" s="18" t="s">
        <v>5</v>
      </c>
      <c r="I3" s="18" t="s">
        <v>0</v>
      </c>
      <c r="J3" s="18" t="s">
        <v>6</v>
      </c>
      <c r="K3" s="18" t="s">
        <v>7</v>
      </c>
      <c r="L3" s="18" t="s">
        <v>1</v>
      </c>
      <c r="M3" s="18" t="s">
        <v>7</v>
      </c>
      <c r="N3" s="18" t="s">
        <v>0</v>
      </c>
      <c r="O3" s="18" t="s">
        <v>0</v>
      </c>
      <c r="P3" s="18" t="s">
        <v>1</v>
      </c>
      <c r="Q3" s="18" t="s">
        <v>2</v>
      </c>
      <c r="R3" s="18" t="s">
        <v>3</v>
      </c>
      <c r="S3" s="18" t="s">
        <v>4</v>
      </c>
      <c r="T3" s="18" t="s">
        <v>5</v>
      </c>
      <c r="U3" s="18" t="s">
        <v>0</v>
      </c>
      <c r="V3" s="18" t="s">
        <v>6</v>
      </c>
      <c r="W3" s="18" t="s">
        <v>7</v>
      </c>
      <c r="X3" s="18" t="s">
        <v>1</v>
      </c>
      <c r="Y3" s="18" t="s">
        <v>7</v>
      </c>
      <c r="Z3" s="18" t="s">
        <v>0</v>
      </c>
    </row>
    <row r="4" spans="1:28" x14ac:dyDescent="0.25">
      <c r="B4" s="2" t="s">
        <v>29</v>
      </c>
      <c r="C4" s="521"/>
      <c r="D4" s="521">
        <v>100</v>
      </c>
      <c r="E4" s="521">
        <v>80</v>
      </c>
      <c r="F4" s="521">
        <v>50</v>
      </c>
      <c r="G4" s="521">
        <v>30</v>
      </c>
      <c r="H4" s="521"/>
      <c r="I4" s="521"/>
      <c r="J4" s="521"/>
      <c r="K4" s="522"/>
      <c r="L4" s="522"/>
      <c r="M4" s="522"/>
      <c r="N4" s="522"/>
      <c r="O4" s="521"/>
      <c r="P4" s="522"/>
      <c r="Q4" s="522"/>
      <c r="R4" s="522"/>
      <c r="S4" s="522"/>
      <c r="T4" s="522"/>
      <c r="U4" s="522"/>
      <c r="V4" s="522"/>
      <c r="W4" s="522"/>
      <c r="X4" s="522"/>
      <c r="Y4" s="522"/>
      <c r="Z4" s="522"/>
    </row>
    <row r="5" spans="1:28" x14ac:dyDescent="0.25">
      <c r="B5" s="2" t="s">
        <v>35</v>
      </c>
      <c r="C5" s="3"/>
      <c r="D5" s="3"/>
      <c r="E5" s="3" t="str">
        <f>IF(C4="","",C4)</f>
        <v/>
      </c>
      <c r="F5" s="3">
        <f>IF(D4="","",D4)</f>
        <v>100</v>
      </c>
      <c r="G5" s="3">
        <f t="shared" ref="G5:Z5" si="0">IF(E4="","",E4)</f>
        <v>80</v>
      </c>
      <c r="H5" s="3">
        <f t="shared" si="0"/>
        <v>50</v>
      </c>
      <c r="I5" s="3">
        <f t="shared" si="0"/>
        <v>30</v>
      </c>
      <c r="J5" s="3" t="str">
        <f t="shared" si="0"/>
        <v/>
      </c>
      <c r="K5" s="3" t="str">
        <f t="shared" si="0"/>
        <v/>
      </c>
      <c r="L5" s="3" t="str">
        <f t="shared" si="0"/>
        <v/>
      </c>
      <c r="M5" s="3" t="str">
        <f t="shared" si="0"/>
        <v/>
      </c>
      <c r="N5" s="3" t="str">
        <f t="shared" si="0"/>
        <v/>
      </c>
      <c r="O5" s="3" t="str">
        <f t="shared" si="0"/>
        <v/>
      </c>
      <c r="P5" s="3" t="str">
        <f t="shared" si="0"/>
        <v/>
      </c>
      <c r="Q5" s="3" t="str">
        <f t="shared" si="0"/>
        <v/>
      </c>
      <c r="R5" s="3" t="str">
        <f t="shared" si="0"/>
        <v/>
      </c>
      <c r="S5" s="3" t="str">
        <f t="shared" si="0"/>
        <v/>
      </c>
      <c r="T5" s="3" t="str">
        <f t="shared" si="0"/>
        <v/>
      </c>
      <c r="U5" s="3" t="str">
        <f t="shared" si="0"/>
        <v/>
      </c>
      <c r="V5" s="3" t="str">
        <f t="shared" si="0"/>
        <v/>
      </c>
      <c r="W5" s="3" t="str">
        <f t="shared" si="0"/>
        <v/>
      </c>
      <c r="X5" s="3" t="str">
        <f t="shared" si="0"/>
        <v/>
      </c>
      <c r="Y5" s="3" t="str">
        <f t="shared" si="0"/>
        <v/>
      </c>
      <c r="Z5" s="3" t="str">
        <f t="shared" si="0"/>
        <v/>
      </c>
    </row>
    <row r="6" spans="1:28" x14ac:dyDescent="0.25">
      <c r="B6" s="2" t="s">
        <v>115</v>
      </c>
      <c r="C6" s="523"/>
      <c r="D6" s="523"/>
      <c r="E6" s="523"/>
      <c r="F6" s="523">
        <v>0.5</v>
      </c>
      <c r="G6" s="523">
        <v>0.5</v>
      </c>
      <c r="H6" s="523">
        <v>0.5</v>
      </c>
      <c r="I6" s="523">
        <v>0.5</v>
      </c>
      <c r="J6" s="523"/>
      <c r="K6" s="523"/>
      <c r="L6" s="523"/>
      <c r="M6" s="523"/>
      <c r="N6" s="523"/>
      <c r="O6" s="523"/>
      <c r="P6" s="523"/>
      <c r="Q6" s="523"/>
      <c r="R6" s="523"/>
      <c r="S6" s="523"/>
      <c r="T6" s="523"/>
      <c r="U6" s="523"/>
      <c r="V6" s="523"/>
      <c r="W6" s="523"/>
      <c r="X6" s="523"/>
      <c r="Y6" s="523"/>
      <c r="Z6" s="523"/>
    </row>
    <row r="7" spans="1:28" x14ac:dyDescent="0.25">
      <c r="B7" s="2" t="s">
        <v>63</v>
      </c>
      <c r="C7" s="3"/>
      <c r="D7" s="3"/>
      <c r="E7" s="3" t="str">
        <f t="shared" ref="E7:F7" si="1">IF(D5="","",ROUND(D5*(1-D6),0))</f>
        <v/>
      </c>
      <c r="F7" s="3" t="str">
        <f t="shared" si="1"/>
        <v/>
      </c>
      <c r="G7" s="3">
        <f>IF(F5="","",ROUND(F5*(1-F6),0))</f>
        <v>50</v>
      </c>
      <c r="H7" s="3">
        <f t="shared" ref="H7:Z7" si="2">IF(G5="","",ROUND(G5*(1-G6),0))</f>
        <v>40</v>
      </c>
      <c r="I7" s="3">
        <f t="shared" si="2"/>
        <v>25</v>
      </c>
      <c r="J7" s="3">
        <f t="shared" si="2"/>
        <v>15</v>
      </c>
      <c r="K7" s="3" t="str">
        <f t="shared" si="2"/>
        <v/>
      </c>
      <c r="L7" s="3" t="str">
        <f t="shared" si="2"/>
        <v/>
      </c>
      <c r="M7" s="3" t="str">
        <f t="shared" si="2"/>
        <v/>
      </c>
      <c r="N7" s="3" t="str">
        <f t="shared" si="2"/>
        <v/>
      </c>
      <c r="O7" s="3" t="str">
        <f t="shared" si="2"/>
        <v/>
      </c>
      <c r="P7" s="3" t="str">
        <f t="shared" si="2"/>
        <v/>
      </c>
      <c r="Q7" s="3" t="str">
        <f t="shared" si="2"/>
        <v/>
      </c>
      <c r="R7" s="3" t="str">
        <f t="shared" si="2"/>
        <v/>
      </c>
      <c r="S7" s="3" t="str">
        <f t="shared" si="2"/>
        <v/>
      </c>
      <c r="T7" s="3" t="str">
        <f t="shared" si="2"/>
        <v/>
      </c>
      <c r="U7" s="3" t="str">
        <f t="shared" si="2"/>
        <v/>
      </c>
      <c r="V7" s="3" t="str">
        <f t="shared" si="2"/>
        <v/>
      </c>
      <c r="W7" s="3" t="str">
        <f t="shared" si="2"/>
        <v/>
      </c>
      <c r="X7" s="3" t="str">
        <f t="shared" si="2"/>
        <v/>
      </c>
      <c r="Y7" s="3" t="str">
        <f t="shared" si="2"/>
        <v/>
      </c>
      <c r="Z7" s="3" t="str">
        <f t="shared" si="2"/>
        <v/>
      </c>
    </row>
    <row r="8" spans="1:28" x14ac:dyDescent="0.25">
      <c r="B8" s="2" t="s">
        <v>131</v>
      </c>
      <c r="C8" s="523"/>
      <c r="D8" s="523"/>
      <c r="E8" s="523"/>
      <c r="F8" s="523"/>
      <c r="G8" s="523">
        <v>0.7</v>
      </c>
      <c r="H8" s="523">
        <v>0.7</v>
      </c>
      <c r="I8" s="523">
        <v>0.7</v>
      </c>
      <c r="J8" s="523">
        <v>0.7</v>
      </c>
      <c r="K8" s="523"/>
      <c r="L8" s="523"/>
      <c r="M8" s="523"/>
      <c r="N8" s="523"/>
      <c r="O8" s="523"/>
      <c r="P8" s="523"/>
      <c r="Q8" s="523"/>
      <c r="R8" s="523"/>
      <c r="S8" s="523"/>
      <c r="T8" s="523"/>
      <c r="U8" s="523"/>
      <c r="V8" s="523"/>
      <c r="W8" s="523"/>
      <c r="X8" s="523"/>
      <c r="Y8" s="523"/>
      <c r="Z8" s="523"/>
    </row>
    <row r="9" spans="1:28" x14ac:dyDescent="0.25">
      <c r="B9" s="2" t="s">
        <v>33</v>
      </c>
      <c r="C9" s="3"/>
      <c r="D9" s="3"/>
      <c r="E9" s="3"/>
      <c r="F9" s="3"/>
      <c r="G9" s="2"/>
      <c r="H9" s="2"/>
      <c r="I9" s="2"/>
      <c r="J9" s="3" t="str">
        <f t="shared" ref="J9:N9" si="3">IF(A5="","",ROUND(A5*A6,0))</f>
        <v/>
      </c>
      <c r="K9" s="3"/>
      <c r="L9" s="3" t="str">
        <f t="shared" si="3"/>
        <v/>
      </c>
      <c r="M9" s="3" t="str">
        <f t="shared" si="3"/>
        <v/>
      </c>
      <c r="N9" s="3" t="str">
        <f t="shared" si="3"/>
        <v/>
      </c>
      <c r="O9" s="3">
        <f>IF(F5="","",ROUND(F5*F6,0))</f>
        <v>50</v>
      </c>
      <c r="P9" s="3">
        <f t="shared" ref="P9:Z9" si="4">IF(G5="","",ROUND(G5*G6,0))</f>
        <v>40</v>
      </c>
      <c r="Q9" s="3">
        <f t="shared" si="4"/>
        <v>25</v>
      </c>
      <c r="R9" s="3">
        <f t="shared" si="4"/>
        <v>15</v>
      </c>
      <c r="S9" s="3" t="str">
        <f t="shared" si="4"/>
        <v/>
      </c>
      <c r="T9" s="3" t="str">
        <f t="shared" si="4"/>
        <v/>
      </c>
      <c r="U9" s="3" t="str">
        <f t="shared" si="4"/>
        <v/>
      </c>
      <c r="V9" s="3" t="str">
        <f t="shared" si="4"/>
        <v/>
      </c>
      <c r="W9" s="3" t="str">
        <f t="shared" si="4"/>
        <v/>
      </c>
      <c r="X9" s="3" t="str">
        <f t="shared" si="4"/>
        <v/>
      </c>
      <c r="Y9" s="3" t="str">
        <f t="shared" si="4"/>
        <v/>
      </c>
      <c r="Z9" s="3" t="str">
        <f t="shared" si="4"/>
        <v/>
      </c>
    </row>
    <row r="10" spans="1:28" x14ac:dyDescent="0.25">
      <c r="B10" s="2" t="s">
        <v>64</v>
      </c>
      <c r="C10" s="3"/>
      <c r="D10" s="3"/>
      <c r="E10" s="3"/>
      <c r="F10" s="3"/>
      <c r="G10" s="2"/>
      <c r="H10" s="2"/>
      <c r="I10" s="2"/>
      <c r="J10" s="3"/>
      <c r="K10" s="3"/>
      <c r="L10" s="3" t="str">
        <f t="shared" ref="L10:Z10" si="5">IF(C7="","",ROUND(C7*C8,0))</f>
        <v/>
      </c>
      <c r="M10" s="3" t="str">
        <f t="shared" si="5"/>
        <v/>
      </c>
      <c r="N10" s="3" t="str">
        <f t="shared" si="5"/>
        <v/>
      </c>
      <c r="O10" s="3" t="str">
        <f t="shared" si="5"/>
        <v/>
      </c>
      <c r="P10" s="3">
        <f t="shared" si="5"/>
        <v>35</v>
      </c>
      <c r="Q10" s="3">
        <f t="shared" si="5"/>
        <v>28</v>
      </c>
      <c r="R10" s="3">
        <f t="shared" si="5"/>
        <v>18</v>
      </c>
      <c r="S10" s="3">
        <f t="shared" si="5"/>
        <v>11</v>
      </c>
      <c r="T10" s="3" t="str">
        <f t="shared" si="5"/>
        <v/>
      </c>
      <c r="U10" s="3" t="str">
        <f t="shared" si="5"/>
        <v/>
      </c>
      <c r="V10" s="3" t="str">
        <f t="shared" si="5"/>
        <v/>
      </c>
      <c r="W10" s="3" t="str">
        <f t="shared" si="5"/>
        <v/>
      </c>
      <c r="X10" s="3" t="str">
        <f t="shared" si="5"/>
        <v/>
      </c>
      <c r="Y10" s="3" t="str">
        <f t="shared" si="5"/>
        <v/>
      </c>
      <c r="Z10" s="3" t="str">
        <f t="shared" si="5"/>
        <v/>
      </c>
    </row>
    <row r="11" spans="1:28" x14ac:dyDescent="0.25"/>
    <row r="12" spans="1:28" x14ac:dyDescent="0.25">
      <c r="B12" t="s">
        <v>65</v>
      </c>
      <c r="D12" s="1">
        <f>SUM(C9:Z9)</f>
        <v>130</v>
      </c>
    </row>
    <row r="13" spans="1:28" x14ac:dyDescent="0.25">
      <c r="B13" t="s">
        <v>66</v>
      </c>
      <c r="D13" s="1">
        <f>SUM(C10:Z10)</f>
        <v>92</v>
      </c>
      <c r="G13" s="64"/>
    </row>
    <row r="14" spans="1:28" x14ac:dyDescent="0.25">
      <c r="B14" t="s">
        <v>67</v>
      </c>
      <c r="D14" s="1">
        <f>SUM(C4:Z4)</f>
        <v>260</v>
      </c>
      <c r="G14" s="64"/>
    </row>
    <row r="15" spans="1:28" x14ac:dyDescent="0.25">
      <c r="B15" t="s">
        <v>48</v>
      </c>
      <c r="D15" s="28">
        <f>(D12+D13)/D14</f>
        <v>0.85384615384615381</v>
      </c>
    </row>
    <row r="16" spans="1:28" x14ac:dyDescent="0.25">
      <c r="B16" t="s">
        <v>68</v>
      </c>
      <c r="D16" s="1">
        <f>SUM(C5:Z5)</f>
        <v>260</v>
      </c>
    </row>
    <row r="17" x14ac:dyDescent="0.25"/>
    <row r="18" hidden="1" x14ac:dyDescent="0.25"/>
    <row r="19" hidden="1" x14ac:dyDescent="0.25"/>
    <row r="20" hidden="1" x14ac:dyDescent="0.25"/>
    <row r="21" hidden="1" x14ac:dyDescent="0.25"/>
    <row r="22" hidden="1" x14ac:dyDescent="0.25"/>
  </sheetData>
  <sheetProtection selectLockedCells="1"/>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20D0-5015-4602-B68A-A70CBC98DD65}">
  <sheetPr codeName="Planilha5"/>
  <dimension ref="A1:AB20"/>
  <sheetViews>
    <sheetView showGridLines="0" zoomScale="145" zoomScaleNormal="145" workbookViewId="0">
      <selection activeCell="H8" sqref="H8"/>
    </sheetView>
  </sheetViews>
  <sheetFormatPr defaultColWidth="0" defaultRowHeight="15" zeroHeight="1" x14ac:dyDescent="0.25"/>
  <cols>
    <col min="1" max="1" width="11.7109375" customWidth="1"/>
    <col min="2" max="2" width="17.28515625" customWidth="1"/>
    <col min="3" max="6" width="5.7109375" style="1" customWidth="1"/>
    <col min="7" max="14" width="5.7109375" customWidth="1"/>
    <col min="15" max="15" width="5.7109375" style="1" customWidth="1"/>
    <col min="16" max="26" width="5.7109375" customWidth="1"/>
    <col min="27" max="27" width="3.85546875" customWidth="1"/>
  </cols>
  <sheetData>
    <row r="1" spans="1:28" ht="26.25" customHeight="1" x14ac:dyDescent="0.25">
      <c r="A1" s="16"/>
      <c r="B1" s="17" t="s">
        <v>28</v>
      </c>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x14ac:dyDescent="0.25"/>
    <row r="3" spans="1:28" x14ac:dyDescent="0.25">
      <c r="B3" s="2" t="s">
        <v>30</v>
      </c>
      <c r="C3" s="18" t="s">
        <v>0</v>
      </c>
      <c r="D3" s="18" t="s">
        <v>1</v>
      </c>
      <c r="E3" s="18" t="s">
        <v>2</v>
      </c>
      <c r="F3" s="18" t="s">
        <v>3</v>
      </c>
      <c r="G3" s="18" t="s">
        <v>4</v>
      </c>
      <c r="H3" s="18" t="s">
        <v>5</v>
      </c>
      <c r="I3" s="18" t="s">
        <v>0</v>
      </c>
      <c r="J3" s="18" t="s">
        <v>6</v>
      </c>
      <c r="K3" s="18" t="s">
        <v>7</v>
      </c>
      <c r="L3" s="18" t="s">
        <v>1</v>
      </c>
      <c r="M3" s="18" t="s">
        <v>7</v>
      </c>
      <c r="N3" s="18" t="s">
        <v>0</v>
      </c>
      <c r="O3" s="18" t="s">
        <v>0</v>
      </c>
      <c r="P3" s="18" t="s">
        <v>1</v>
      </c>
      <c r="Q3" s="18" t="s">
        <v>2</v>
      </c>
      <c r="R3" s="18" t="s">
        <v>3</v>
      </c>
      <c r="S3" s="18" t="s">
        <v>4</v>
      </c>
      <c r="T3" s="18" t="s">
        <v>5</v>
      </c>
      <c r="U3" s="18" t="s">
        <v>0</v>
      </c>
      <c r="V3" s="18" t="s">
        <v>6</v>
      </c>
      <c r="W3" s="18" t="s">
        <v>7</v>
      </c>
      <c r="X3" s="18" t="s">
        <v>1</v>
      </c>
      <c r="Y3" s="18" t="s">
        <v>7</v>
      </c>
      <c r="Z3" s="18" t="s">
        <v>0</v>
      </c>
    </row>
    <row r="4" spans="1:28" x14ac:dyDescent="0.25">
      <c r="B4" s="2" t="s">
        <v>29</v>
      </c>
      <c r="C4" s="521"/>
      <c r="D4" s="521">
        <v>100</v>
      </c>
      <c r="E4" s="521">
        <v>80</v>
      </c>
      <c r="F4" s="521">
        <v>50</v>
      </c>
      <c r="G4" s="521">
        <v>30</v>
      </c>
      <c r="H4" s="521"/>
      <c r="I4" s="521"/>
      <c r="J4" s="521"/>
      <c r="K4" s="522"/>
      <c r="L4" s="522"/>
      <c r="M4" s="522"/>
      <c r="N4" s="522"/>
      <c r="O4" s="521"/>
      <c r="P4" s="522"/>
      <c r="Q4" s="522"/>
      <c r="R4" s="522"/>
      <c r="S4" s="522"/>
      <c r="T4" s="522"/>
      <c r="U4" s="522"/>
      <c r="V4" s="522"/>
      <c r="W4" s="522"/>
      <c r="X4" s="522"/>
      <c r="Y4" s="522"/>
      <c r="Z4" s="522"/>
    </row>
    <row r="5" spans="1:28" x14ac:dyDescent="0.25">
      <c r="B5" s="2" t="s">
        <v>35</v>
      </c>
      <c r="C5" s="3"/>
      <c r="D5" s="3"/>
      <c r="E5" s="3" t="str">
        <f>IF(C4="","",C4)</f>
        <v/>
      </c>
      <c r="F5" s="3">
        <f t="shared" ref="F5:N5" si="0">IF(D4="","",D4)</f>
        <v>100</v>
      </c>
      <c r="G5" s="3">
        <f t="shared" si="0"/>
        <v>80</v>
      </c>
      <c r="H5" s="3">
        <f t="shared" si="0"/>
        <v>50</v>
      </c>
      <c r="I5" s="3">
        <f t="shared" si="0"/>
        <v>30</v>
      </c>
      <c r="J5" s="3" t="str">
        <f t="shared" si="0"/>
        <v/>
      </c>
      <c r="K5" s="3" t="str">
        <f t="shared" si="0"/>
        <v/>
      </c>
      <c r="L5" s="3" t="str">
        <f t="shared" si="0"/>
        <v/>
      </c>
      <c r="M5" s="3" t="str">
        <f t="shared" si="0"/>
        <v/>
      </c>
      <c r="N5" s="3" t="str">
        <f t="shared" si="0"/>
        <v/>
      </c>
      <c r="O5" s="3" t="str">
        <f t="shared" ref="O5:Z5" si="1">IF(L4="","",L4)</f>
        <v/>
      </c>
      <c r="P5" s="3" t="str">
        <f t="shared" si="1"/>
        <v/>
      </c>
      <c r="Q5" s="3" t="str">
        <f t="shared" si="1"/>
        <v/>
      </c>
      <c r="R5" s="3" t="str">
        <f t="shared" si="1"/>
        <v/>
      </c>
      <c r="S5" s="3" t="str">
        <f t="shared" si="1"/>
        <v/>
      </c>
      <c r="T5" s="3" t="str">
        <f t="shared" si="1"/>
        <v/>
      </c>
      <c r="U5" s="3" t="str">
        <f t="shared" si="1"/>
        <v/>
      </c>
      <c r="V5" s="3" t="str">
        <f t="shared" si="1"/>
        <v/>
      </c>
      <c r="W5" s="3" t="str">
        <f t="shared" si="1"/>
        <v/>
      </c>
      <c r="X5" s="3" t="str">
        <f t="shared" si="1"/>
        <v/>
      </c>
      <c r="Y5" s="3" t="str">
        <f t="shared" si="1"/>
        <v/>
      </c>
      <c r="Z5" s="3" t="str">
        <f t="shared" si="1"/>
        <v/>
      </c>
    </row>
    <row r="6" spans="1:28" x14ac:dyDescent="0.25">
      <c r="B6" s="2" t="s">
        <v>31</v>
      </c>
      <c r="C6" s="523"/>
      <c r="D6" s="523"/>
      <c r="E6" s="523"/>
      <c r="F6" s="523">
        <v>0.5</v>
      </c>
      <c r="G6" s="523">
        <v>0.5</v>
      </c>
      <c r="H6" s="523">
        <v>0.5</v>
      </c>
      <c r="I6" s="523">
        <v>0.5</v>
      </c>
      <c r="J6" s="523"/>
      <c r="K6" s="523"/>
      <c r="L6" s="523"/>
      <c r="M6" s="523"/>
      <c r="N6" s="523"/>
      <c r="O6" s="523"/>
      <c r="P6" s="523"/>
      <c r="Q6" s="523"/>
      <c r="R6" s="523"/>
      <c r="S6" s="523"/>
      <c r="T6" s="523"/>
      <c r="U6" s="523"/>
      <c r="V6" s="523"/>
      <c r="W6" s="523"/>
      <c r="X6" s="523"/>
      <c r="Y6" s="523"/>
      <c r="Z6" s="523"/>
    </row>
    <row r="7" spans="1:28" x14ac:dyDescent="0.25">
      <c r="B7" s="2" t="s">
        <v>32</v>
      </c>
      <c r="C7" s="3"/>
      <c r="D7" s="3"/>
      <c r="E7" s="3"/>
      <c r="F7" s="15"/>
      <c r="G7" s="3">
        <f>IF(F5="","",ROUND(F5*(1-F6),0))</f>
        <v>50</v>
      </c>
      <c r="H7" s="3">
        <f t="shared" ref="H7:Z7" si="2">IF(G5="","",ROUND(G5*(1-G6),0))</f>
        <v>40</v>
      </c>
      <c r="I7" s="3">
        <f t="shared" si="2"/>
        <v>25</v>
      </c>
      <c r="J7" s="3">
        <f t="shared" si="2"/>
        <v>15</v>
      </c>
      <c r="K7" s="3" t="str">
        <f t="shared" si="2"/>
        <v/>
      </c>
      <c r="L7" s="3" t="str">
        <f t="shared" si="2"/>
        <v/>
      </c>
      <c r="M7" s="3" t="str">
        <f t="shared" si="2"/>
        <v/>
      </c>
      <c r="N7" s="3" t="str">
        <f t="shared" si="2"/>
        <v/>
      </c>
      <c r="O7" s="3" t="str">
        <f t="shared" si="2"/>
        <v/>
      </c>
      <c r="P7" s="3" t="str">
        <f t="shared" si="2"/>
        <v/>
      </c>
      <c r="Q7" s="3" t="str">
        <f t="shared" si="2"/>
        <v/>
      </c>
      <c r="R7" s="3" t="str">
        <f t="shared" si="2"/>
        <v/>
      </c>
      <c r="S7" s="3" t="str">
        <f t="shared" si="2"/>
        <v/>
      </c>
      <c r="T7" s="3" t="str">
        <f t="shared" si="2"/>
        <v/>
      </c>
      <c r="U7" s="3" t="str">
        <f t="shared" si="2"/>
        <v/>
      </c>
      <c r="V7" s="3" t="str">
        <f t="shared" si="2"/>
        <v/>
      </c>
      <c r="W7" s="3" t="str">
        <f t="shared" si="2"/>
        <v/>
      </c>
      <c r="X7" s="3" t="str">
        <f t="shared" si="2"/>
        <v/>
      </c>
      <c r="Y7" s="3" t="str">
        <f t="shared" si="2"/>
        <v/>
      </c>
      <c r="Z7" s="3" t="str">
        <f t="shared" si="2"/>
        <v/>
      </c>
    </row>
    <row r="8" spans="1:28" x14ac:dyDescent="0.25">
      <c r="B8" s="2" t="s">
        <v>31</v>
      </c>
      <c r="C8" s="523"/>
      <c r="D8" s="523"/>
      <c r="E8" s="523"/>
      <c r="F8" s="523"/>
      <c r="G8" s="523">
        <v>0.5</v>
      </c>
      <c r="H8" s="523">
        <v>0.5</v>
      </c>
      <c r="I8" s="523">
        <v>0.5</v>
      </c>
      <c r="J8" s="523">
        <v>0.5</v>
      </c>
      <c r="K8" s="523"/>
      <c r="L8" s="523"/>
      <c r="M8" s="523"/>
      <c r="N8" s="523"/>
      <c r="O8" s="523"/>
      <c r="P8" s="523"/>
      <c r="Q8" s="523"/>
      <c r="R8" s="523"/>
      <c r="S8" s="523"/>
      <c r="T8" s="523"/>
      <c r="U8" s="523"/>
      <c r="V8" s="523"/>
      <c r="W8" s="523"/>
      <c r="X8" s="523"/>
      <c r="Y8" s="523"/>
      <c r="Z8" s="523"/>
    </row>
    <row r="9" spans="1:28" x14ac:dyDescent="0.25">
      <c r="B9" s="2" t="s">
        <v>63</v>
      </c>
      <c r="C9" s="3"/>
      <c r="D9" s="3"/>
      <c r="E9" s="3"/>
      <c r="F9" s="15"/>
      <c r="G9" s="15"/>
      <c r="H9" s="3">
        <f>IF(G7="","",ROUND((G8*G7),0))</f>
        <v>25</v>
      </c>
      <c r="I9" s="3">
        <f t="shared" ref="I9:Z9" si="3">IF(H7="","",ROUND((H8*H7),0))</f>
        <v>20</v>
      </c>
      <c r="J9" s="3">
        <f t="shared" si="3"/>
        <v>13</v>
      </c>
      <c r="K9" s="3">
        <f t="shared" si="3"/>
        <v>8</v>
      </c>
      <c r="L9" s="3" t="str">
        <f t="shared" si="3"/>
        <v/>
      </c>
      <c r="M9" s="3" t="str">
        <f t="shared" si="3"/>
        <v/>
      </c>
      <c r="N9" s="3" t="str">
        <f t="shared" si="3"/>
        <v/>
      </c>
      <c r="O9" s="3" t="str">
        <f t="shared" si="3"/>
        <v/>
      </c>
      <c r="P9" s="3" t="str">
        <f t="shared" si="3"/>
        <v/>
      </c>
      <c r="Q9" s="3" t="str">
        <f t="shared" si="3"/>
        <v/>
      </c>
      <c r="R9" s="3" t="str">
        <f t="shared" si="3"/>
        <v/>
      </c>
      <c r="S9" s="3" t="str">
        <f t="shared" si="3"/>
        <v/>
      </c>
      <c r="T9" s="3" t="str">
        <f t="shared" si="3"/>
        <v/>
      </c>
      <c r="U9" s="3" t="str">
        <f t="shared" si="3"/>
        <v/>
      </c>
      <c r="V9" s="3" t="str">
        <f t="shared" si="3"/>
        <v/>
      </c>
      <c r="W9" s="3" t="str">
        <f t="shared" si="3"/>
        <v/>
      </c>
      <c r="X9" s="3" t="str">
        <f t="shared" si="3"/>
        <v/>
      </c>
      <c r="Y9" s="3" t="str">
        <f t="shared" si="3"/>
        <v/>
      </c>
      <c r="Z9" s="3" t="str">
        <f t="shared" si="3"/>
        <v/>
      </c>
    </row>
    <row r="10" spans="1:28" x14ac:dyDescent="0.25">
      <c r="B10" s="2" t="s">
        <v>31</v>
      </c>
      <c r="C10" s="523"/>
      <c r="D10" s="523"/>
      <c r="E10" s="523"/>
      <c r="F10" s="523"/>
      <c r="G10" s="523"/>
      <c r="H10" s="523">
        <v>0.3</v>
      </c>
      <c r="I10" s="523">
        <v>0.3</v>
      </c>
      <c r="J10" s="523">
        <v>0.3</v>
      </c>
      <c r="K10" s="523">
        <v>0.3</v>
      </c>
      <c r="L10" s="523"/>
      <c r="M10" s="523"/>
      <c r="N10" s="523"/>
      <c r="O10" s="523"/>
      <c r="P10" s="523"/>
      <c r="Q10" s="523"/>
      <c r="R10" s="523"/>
      <c r="S10" s="523"/>
      <c r="T10" s="523"/>
      <c r="U10" s="523"/>
      <c r="V10" s="523"/>
      <c r="W10" s="523"/>
      <c r="X10" s="523"/>
      <c r="Y10" s="523"/>
      <c r="Z10" s="523"/>
    </row>
    <row r="11" spans="1:28" x14ac:dyDescent="0.25">
      <c r="B11" s="2" t="s">
        <v>33</v>
      </c>
      <c r="C11" s="3"/>
      <c r="D11" s="3"/>
      <c r="E11" s="3"/>
      <c r="F11" s="3"/>
      <c r="G11" s="2"/>
      <c r="H11" s="2"/>
      <c r="I11" s="2"/>
      <c r="J11" s="3" t="str">
        <f t="shared" ref="J11:N11" si="4">IF(A5="","",ROUND(A5*A6,0))</f>
        <v/>
      </c>
      <c r="K11" s="3"/>
      <c r="L11" s="3" t="str">
        <f t="shared" si="4"/>
        <v/>
      </c>
      <c r="M11" s="3" t="str">
        <f t="shared" si="4"/>
        <v/>
      </c>
      <c r="N11" s="3" t="str">
        <f t="shared" si="4"/>
        <v/>
      </c>
      <c r="O11" s="3">
        <f>IF(F5="","",ROUND(F5*F6,0))</f>
        <v>50</v>
      </c>
      <c r="P11" s="3">
        <f t="shared" ref="P11:Z11" si="5">IF(G5="","",ROUND(G5*G6,0))</f>
        <v>40</v>
      </c>
      <c r="Q11" s="3">
        <f t="shared" si="5"/>
        <v>25</v>
      </c>
      <c r="R11" s="3">
        <f t="shared" si="5"/>
        <v>15</v>
      </c>
      <c r="S11" s="3" t="str">
        <f t="shared" si="5"/>
        <v/>
      </c>
      <c r="T11" s="3" t="str">
        <f t="shared" si="5"/>
        <v/>
      </c>
      <c r="U11" s="3" t="str">
        <f t="shared" si="5"/>
        <v/>
      </c>
      <c r="V11" s="3" t="str">
        <f t="shared" si="5"/>
        <v/>
      </c>
      <c r="W11" s="3" t="str">
        <f t="shared" si="5"/>
        <v/>
      </c>
      <c r="X11" s="3" t="str">
        <f t="shared" si="5"/>
        <v/>
      </c>
      <c r="Y11" s="3" t="str">
        <f t="shared" si="5"/>
        <v/>
      </c>
      <c r="Z11" s="3" t="str">
        <f t="shared" si="5"/>
        <v/>
      </c>
    </row>
    <row r="12" spans="1:28" x14ac:dyDescent="0.25">
      <c r="B12" s="2" t="s">
        <v>34</v>
      </c>
      <c r="C12" s="3"/>
      <c r="D12" s="3"/>
      <c r="E12" s="3"/>
      <c r="F12" s="3"/>
      <c r="G12" s="2"/>
      <c r="H12" s="2"/>
      <c r="I12" s="2"/>
      <c r="J12" s="3"/>
      <c r="K12" s="3"/>
      <c r="L12" s="3" t="str">
        <f t="shared" ref="L12" si="6">IF(C7="","",ROUND(C7*C8,0))</f>
        <v/>
      </c>
      <c r="M12" s="3" t="str">
        <f t="shared" ref="M12" si="7">IF(D7="","",ROUND(D7*D8,0))</f>
        <v/>
      </c>
      <c r="N12" s="3" t="str">
        <f t="shared" ref="N12" si="8">IF(E7="","",ROUND(E7*E8,0))</f>
        <v/>
      </c>
      <c r="O12" s="3" t="str">
        <f t="shared" ref="O12" si="9">IF(F7="","",ROUND(F7*F8,0))</f>
        <v/>
      </c>
      <c r="P12" s="3">
        <f t="shared" ref="P12" si="10">IF(G7="","",ROUND(G7*G8,0))</f>
        <v>25</v>
      </c>
      <c r="Q12" s="3">
        <f t="shared" ref="Q12" si="11">IF(H7="","",ROUND(H7*H8,0))</f>
        <v>20</v>
      </c>
      <c r="R12" s="3">
        <f t="shared" ref="R12" si="12">IF(I7="","",ROUND(I7*I8,0))</f>
        <v>13</v>
      </c>
      <c r="S12" s="3">
        <f t="shared" ref="S12" si="13">IF(J7="","",ROUND(J7*J8,0))</f>
        <v>8</v>
      </c>
      <c r="T12" s="3" t="str">
        <f t="shared" ref="T12" si="14">IF(K7="","",ROUND(K7*K8,0))</f>
        <v/>
      </c>
      <c r="U12" s="3" t="str">
        <f t="shared" ref="U12" si="15">IF(L7="","",ROUND(L7*L8,0))</f>
        <v/>
      </c>
      <c r="V12" s="3" t="str">
        <f t="shared" ref="V12" si="16">IF(M7="","",ROUND(M7*M8,0))</f>
        <v/>
      </c>
      <c r="W12" s="3" t="str">
        <f t="shared" ref="W12" si="17">IF(N7="","",ROUND(N7*N8,0))</f>
        <v/>
      </c>
      <c r="X12" s="3" t="str">
        <f t="shared" ref="X12" si="18">IF(O7="","",ROUND(O7*O8,0))</f>
        <v/>
      </c>
      <c r="Y12" s="3" t="str">
        <f t="shared" ref="Y12" si="19">IF(P7="","",ROUND(P7*P8,0))</f>
        <v/>
      </c>
      <c r="Z12" s="3" t="str">
        <f t="shared" ref="Z12" si="20">IF(Q7="","",ROUND(Q7*Q8,0))</f>
        <v/>
      </c>
    </row>
    <row r="13" spans="1:28" x14ac:dyDescent="0.25">
      <c r="B13" s="2" t="s">
        <v>64</v>
      </c>
      <c r="C13" s="3"/>
      <c r="D13" s="3"/>
      <c r="E13" s="3"/>
      <c r="F13" s="3"/>
      <c r="G13" s="3"/>
      <c r="H13" s="3"/>
      <c r="I13" s="3"/>
      <c r="J13" s="3"/>
      <c r="K13" s="3" t="str">
        <f t="shared" ref="K13:O13" si="21">IF(C10="","",ROUND(C10*C9,0))</f>
        <v/>
      </c>
      <c r="L13" s="3" t="str">
        <f t="shared" si="21"/>
        <v/>
      </c>
      <c r="M13" s="3" t="str">
        <f t="shared" si="21"/>
        <v/>
      </c>
      <c r="N13" s="3" t="str">
        <f t="shared" si="21"/>
        <v/>
      </c>
      <c r="O13" s="3" t="str">
        <f t="shared" si="21"/>
        <v/>
      </c>
      <c r="P13" s="3">
        <f>IF(H10="","",ROUND(H10*H9,0))</f>
        <v>8</v>
      </c>
      <c r="Q13" s="3">
        <f t="shared" ref="Q13:Z13" si="22">IF(I10="","",ROUND(I10*I9,0))</f>
        <v>6</v>
      </c>
      <c r="R13" s="3">
        <f t="shared" si="22"/>
        <v>4</v>
      </c>
      <c r="S13" s="3">
        <f t="shared" si="22"/>
        <v>2</v>
      </c>
      <c r="T13" s="3" t="str">
        <f t="shared" si="22"/>
        <v/>
      </c>
      <c r="U13" s="3" t="str">
        <f t="shared" si="22"/>
        <v/>
      </c>
      <c r="V13" s="3" t="str">
        <f t="shared" si="22"/>
        <v/>
      </c>
      <c r="W13" s="3" t="str">
        <f t="shared" si="22"/>
        <v/>
      </c>
      <c r="X13" s="3" t="str">
        <f t="shared" si="22"/>
        <v/>
      </c>
      <c r="Y13" s="3" t="str">
        <f t="shared" si="22"/>
        <v/>
      </c>
      <c r="Z13" s="3" t="str">
        <f t="shared" si="22"/>
        <v/>
      </c>
    </row>
    <row r="14" spans="1:28" x14ac:dyDescent="0.25"/>
    <row r="15" spans="1:28" x14ac:dyDescent="0.25">
      <c r="B15" t="s">
        <v>65</v>
      </c>
      <c r="D15" s="1">
        <f>SUM(C11:Z12)</f>
        <v>196</v>
      </c>
    </row>
    <row r="16" spans="1:28" x14ac:dyDescent="0.25">
      <c r="B16" t="s">
        <v>66</v>
      </c>
      <c r="D16" s="1">
        <f>SUM(C13:Z13)</f>
        <v>20</v>
      </c>
    </row>
    <row r="17" spans="2:4" x14ac:dyDescent="0.25">
      <c r="B17" t="s">
        <v>67</v>
      </c>
      <c r="D17" s="1">
        <f>SUM(C4:Z4)</f>
        <v>260</v>
      </c>
    </row>
    <row r="18" spans="2:4" x14ac:dyDescent="0.25">
      <c r="B18" t="s">
        <v>48</v>
      </c>
      <c r="D18" s="28">
        <f>(D15+D16)/D17</f>
        <v>0.83076923076923082</v>
      </c>
    </row>
    <row r="19" spans="2:4" x14ac:dyDescent="0.25">
      <c r="B19" t="s">
        <v>68</v>
      </c>
      <c r="D19" s="1">
        <f>SUM(C5:Z5)+SUM(C7:Z7)</f>
        <v>390</v>
      </c>
    </row>
    <row r="20" spans="2:4" x14ac:dyDescent="0.25"/>
  </sheetData>
  <sheetProtection algorithmName="SHA-512" hashValue="cDwvitrO4xv9c0QnOrTBhC/qlgTHTfxT72ZJNJurxdTM37ijToWhCw6fbXKEHjl6DMGEZja+2I2zTWNyBQwbpQ==" saltValue="iR+sYfLDhUNrCeF1g8MvnA==" spinCount="100000" sheet="1" selectLockedCells="1"/>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76CF2-EC64-4B03-BCA8-8FD3136E9F04}">
  <sheetPr codeName="Planilha6"/>
  <dimension ref="A1:U32"/>
  <sheetViews>
    <sheetView showGridLines="0" zoomScale="110" zoomScaleNormal="110" workbookViewId="0">
      <selection activeCell="P9" sqref="P9"/>
    </sheetView>
  </sheetViews>
  <sheetFormatPr defaultRowHeight="15" x14ac:dyDescent="0.25"/>
  <cols>
    <col min="1" max="1" width="9.7109375" style="109" customWidth="1"/>
    <col min="2" max="2" width="10" style="109" customWidth="1"/>
    <col min="3" max="4" width="13" style="109" bestFit="1" customWidth="1"/>
    <col min="5" max="5" width="9.7109375" style="109" customWidth="1"/>
    <col min="6" max="6" width="14.42578125" style="110" customWidth="1"/>
    <col min="7" max="7" width="13" style="109" bestFit="1" customWidth="1"/>
    <col min="8" max="8" width="11.7109375" style="109" customWidth="1"/>
    <col min="9" max="9" width="13" style="109" bestFit="1" customWidth="1"/>
    <col min="10" max="10" width="14" style="109" bestFit="1" customWidth="1"/>
    <col min="11" max="11" width="10.7109375" style="109" customWidth="1"/>
    <col min="12" max="12" width="12.28515625" style="109" customWidth="1"/>
    <col min="13" max="13" width="10.7109375" style="109" customWidth="1"/>
    <col min="14" max="14" width="12.7109375" style="109" customWidth="1"/>
    <col min="15" max="15" width="13.42578125" style="109" customWidth="1"/>
    <col min="16" max="16" width="14.28515625" style="110" customWidth="1"/>
    <col min="17" max="17" width="9.140625" style="1"/>
    <col min="18" max="18" width="13.140625" style="1" bestFit="1" customWidth="1"/>
    <col min="19" max="19" width="9.140625" style="1"/>
    <col min="20" max="21" width="21.140625" style="1" bestFit="1" customWidth="1"/>
  </cols>
  <sheetData>
    <row r="1" spans="1:19" ht="15.75" thickBot="1" x14ac:dyDescent="0.3">
      <c r="A1" s="626" t="s">
        <v>125</v>
      </c>
      <c r="B1" s="626"/>
      <c r="C1" s="626"/>
      <c r="D1" s="626"/>
      <c r="E1" s="626"/>
      <c r="F1" s="626"/>
      <c r="G1" s="626"/>
      <c r="H1" s="626"/>
      <c r="I1" s="626"/>
      <c r="J1" s="626"/>
      <c r="K1" s="626"/>
      <c r="L1" s="626"/>
      <c r="M1" s="626"/>
      <c r="N1" s="626"/>
      <c r="O1" s="626"/>
      <c r="P1" s="626"/>
    </row>
    <row r="2" spans="1:19" ht="33.75" customHeight="1" x14ac:dyDescent="0.25">
      <c r="A2" s="54" t="s">
        <v>108</v>
      </c>
      <c r="B2" s="50" t="s">
        <v>117</v>
      </c>
      <c r="C2" s="51" t="s">
        <v>115</v>
      </c>
      <c r="D2" s="50" t="s">
        <v>116</v>
      </c>
      <c r="E2" s="51" t="s">
        <v>114</v>
      </c>
      <c r="F2" s="56" t="s">
        <v>118</v>
      </c>
      <c r="G2" s="50" t="s">
        <v>90</v>
      </c>
      <c r="H2" s="51" t="s">
        <v>119</v>
      </c>
      <c r="I2" s="51" t="s">
        <v>111</v>
      </c>
      <c r="J2" s="50" t="s">
        <v>120</v>
      </c>
      <c r="K2" s="51" t="s">
        <v>112</v>
      </c>
      <c r="L2" s="50" t="s">
        <v>121</v>
      </c>
      <c r="M2" s="60" t="s">
        <v>113</v>
      </c>
      <c r="N2" s="60" t="s">
        <v>122</v>
      </c>
      <c r="O2" s="60" t="s">
        <v>123</v>
      </c>
      <c r="P2" s="61" t="s">
        <v>124</v>
      </c>
      <c r="R2" s="49" t="s">
        <v>126</v>
      </c>
      <c r="S2" s="3"/>
    </row>
    <row r="3" spans="1:19" ht="15.75" thickBot="1" x14ac:dyDescent="0.3">
      <c r="A3" s="55">
        <f>IFERROR(COUNTA(Tabela2[Coluna1]),"")</f>
        <v>0</v>
      </c>
      <c r="B3" s="52">
        <f>IFERROR(COUNTIFS(Tabela2[Coluna3],"&gt;0",Tabela2[Coluna1],"&gt;0"),"")</f>
        <v>0</v>
      </c>
      <c r="C3" s="53" t="str">
        <f>IFERROR(COUNTIFS(Tabela2[Coluna5],"Cheia")/COUNTA(Tabela2[Coluna5]),"")</f>
        <v/>
      </c>
      <c r="D3" s="52">
        <f>IFERROR(COUNTIFS(Tabela2[Coluna6],"&gt;0",Tabela2[Coluna1],"&gt;0"),"")</f>
        <v>0</v>
      </c>
      <c r="E3" s="53" t="str">
        <f>IFERROR(COUNTIFS(Tabela2[Coluna8],"Cheia")/COUNTA(Tabela2[Coluna8]),"")</f>
        <v/>
      </c>
      <c r="F3" s="52">
        <f>IFERROR(COUNTIFS(Tabela2[Coluna9],"&gt;0",Tabela2[Coluna1],"&gt;0"),"")</f>
        <v>0</v>
      </c>
      <c r="G3" s="58" t="str">
        <f>IFERROR(COUNTIFS(Tabela2[Coluna11],"Cheia")/COUNTIFS(Tabela2[Coluna10],"&gt;0"),"")</f>
        <v/>
      </c>
      <c r="H3" s="59">
        <f>COUNTIFS(Tabela2[Coluna11],"Cheia")</f>
        <v>0</v>
      </c>
      <c r="I3" s="57" t="str">
        <f>IFERROR(COUNTIFS(Tabela2[Coluna 16],"&gt;0")/COUNTIFS(Tabela2[Coluna1],"&gt;0"),"")</f>
        <v/>
      </c>
      <c r="J3" s="52">
        <f>COUNTIFS(Tabela2[Coluna12],"&gt;0")</f>
        <v>0</v>
      </c>
      <c r="K3" s="57" t="str">
        <f>IFERROR(J3/H3,"")</f>
        <v/>
      </c>
      <c r="L3" s="52">
        <f>COUNTIFS(Tabela2[Coluna14],"&gt;0")</f>
        <v>0</v>
      </c>
      <c r="M3" s="62" t="str">
        <f>IFERROR(L3/A3,"")</f>
        <v/>
      </c>
      <c r="N3" s="63">
        <f>SUM(Tabela2[Coluna15])</f>
        <v>0</v>
      </c>
      <c r="O3" s="65" t="str">
        <f>IFERROR(N3/A3,"")</f>
        <v/>
      </c>
      <c r="P3" s="66" t="str">
        <f>IFERROR(N3/S2,"")</f>
        <v/>
      </c>
    </row>
    <row r="4" spans="1:19" ht="15.75" thickBot="1" x14ac:dyDescent="0.3">
      <c r="A4" s="1"/>
      <c r="B4" s="1"/>
      <c r="C4" s="1"/>
      <c r="D4" s="1"/>
      <c r="E4" s="1"/>
      <c r="F4" s="5"/>
      <c r="G4" s="1"/>
      <c r="H4" s="1"/>
      <c r="I4" s="1"/>
      <c r="J4" s="1"/>
      <c r="K4" s="1"/>
      <c r="L4" s="1"/>
      <c r="M4" s="1"/>
      <c r="N4" s="1"/>
      <c r="O4" s="1"/>
      <c r="P4" s="5"/>
    </row>
    <row r="5" spans="1:19" ht="20.25" customHeight="1" thickBot="1" x14ac:dyDescent="0.3">
      <c r="A5" s="628" t="s">
        <v>86</v>
      </c>
      <c r="B5" s="629"/>
      <c r="C5" s="629"/>
      <c r="D5" s="629"/>
      <c r="E5" s="629"/>
      <c r="F5" s="629"/>
      <c r="G5" s="629"/>
      <c r="H5" s="629"/>
      <c r="I5" s="629"/>
      <c r="J5" s="629"/>
      <c r="K5" s="629"/>
      <c r="L5" s="629"/>
      <c r="M5" s="629"/>
      <c r="N5" s="629"/>
      <c r="O5" s="629"/>
      <c r="P5" s="630"/>
    </row>
    <row r="6" spans="1:19" ht="20.25" customHeight="1" x14ac:dyDescent="0.25">
      <c r="A6" s="633" t="s">
        <v>80</v>
      </c>
      <c r="B6" s="635" t="s">
        <v>83</v>
      </c>
      <c r="C6" s="67" t="s">
        <v>81</v>
      </c>
      <c r="D6" s="631" t="s">
        <v>88</v>
      </c>
      <c r="E6" s="632"/>
      <c r="F6" s="70" t="s">
        <v>82</v>
      </c>
      <c r="G6" s="631" t="s">
        <v>89</v>
      </c>
      <c r="H6" s="632"/>
      <c r="I6" s="67" t="s">
        <v>63</v>
      </c>
      <c r="J6" s="631" t="s">
        <v>90</v>
      </c>
      <c r="K6" s="632"/>
      <c r="L6" s="631" t="s">
        <v>84</v>
      </c>
      <c r="M6" s="632"/>
      <c r="N6" s="631" t="s">
        <v>91</v>
      </c>
      <c r="O6" s="632"/>
      <c r="P6" s="627" t="s">
        <v>109</v>
      </c>
    </row>
    <row r="7" spans="1:19" ht="15" customHeight="1" thickBot="1" x14ac:dyDescent="0.3">
      <c r="A7" s="634"/>
      <c r="B7" s="636"/>
      <c r="C7" s="71" t="s">
        <v>79</v>
      </c>
      <c r="D7" s="72" t="s">
        <v>79</v>
      </c>
      <c r="E7" s="73" t="s">
        <v>85</v>
      </c>
      <c r="F7" s="74" t="s">
        <v>79</v>
      </c>
      <c r="G7" s="72" t="s">
        <v>79</v>
      </c>
      <c r="H7" s="73" t="s">
        <v>85</v>
      </c>
      <c r="I7" s="71" t="s">
        <v>79</v>
      </c>
      <c r="J7" s="72" t="s">
        <v>79</v>
      </c>
      <c r="K7" s="73" t="s">
        <v>85</v>
      </c>
      <c r="L7" s="72" t="s">
        <v>79</v>
      </c>
      <c r="M7" s="73" t="s">
        <v>87</v>
      </c>
      <c r="N7" s="72" t="s">
        <v>79</v>
      </c>
      <c r="O7" s="73" t="s">
        <v>92</v>
      </c>
      <c r="P7" s="627"/>
    </row>
    <row r="8" spans="1:19" ht="21" hidden="1" customHeight="1" thickBot="1" x14ac:dyDescent="0.3">
      <c r="A8" s="75" t="s">
        <v>93</v>
      </c>
      <c r="B8" s="67" t="s">
        <v>94</v>
      </c>
      <c r="C8" s="67" t="s">
        <v>95</v>
      </c>
      <c r="D8" s="76" t="s">
        <v>96</v>
      </c>
      <c r="E8" s="77" t="s">
        <v>97</v>
      </c>
      <c r="F8" s="70" t="s">
        <v>98</v>
      </c>
      <c r="G8" s="76" t="s">
        <v>99</v>
      </c>
      <c r="H8" s="77" t="s">
        <v>100</v>
      </c>
      <c r="I8" s="67" t="s">
        <v>101</v>
      </c>
      <c r="J8" s="68" t="s">
        <v>102</v>
      </c>
      <c r="K8" s="69" t="s">
        <v>103</v>
      </c>
      <c r="L8" s="68" t="s">
        <v>104</v>
      </c>
      <c r="M8" s="69" t="s">
        <v>105</v>
      </c>
      <c r="N8" s="68" t="s">
        <v>106</v>
      </c>
      <c r="O8" s="78" t="s">
        <v>107</v>
      </c>
      <c r="P8" s="79" t="s">
        <v>110</v>
      </c>
    </row>
    <row r="9" spans="1:19" ht="15" customHeight="1" x14ac:dyDescent="0.25">
      <c r="A9" s="80"/>
      <c r="B9" s="81"/>
      <c r="C9" s="82"/>
      <c r="D9" s="83"/>
      <c r="E9" s="84"/>
      <c r="F9" s="82"/>
      <c r="G9" s="83"/>
      <c r="H9" s="84"/>
      <c r="I9" s="85"/>
      <c r="J9" s="86"/>
      <c r="K9" s="84"/>
      <c r="L9" s="87"/>
      <c r="M9" s="88"/>
      <c r="N9" s="87"/>
      <c r="O9" s="89"/>
      <c r="P9" s="90" t="str">
        <f>IF(Tabela2[[#This Row],[Coluna11]]="Vazia","Vazia",IF(Tabela2[[#This Row],[Coluna1]]="","",IF(Tabela2[[#This Row],[Coluna5]]="Cheia",Tabela2[[#This Row],[Coluna3]]+280,IF(Tabela2[[#This Row],[Coluna8]]="Cheia",Tabela2[[#This Row],[Coluna7]]+280,IF(Tabela2[[#This Row],[Coluna11]]="Cheia",Tabela2[[#This Row],[Coluna9]]+280,"Vazia")))))</f>
        <v/>
      </c>
      <c r="R9" s="5"/>
    </row>
    <row r="10" spans="1:19" ht="15" customHeight="1" x14ac:dyDescent="0.25">
      <c r="A10" s="91"/>
      <c r="B10" s="92"/>
      <c r="C10" s="82"/>
      <c r="D10" s="86"/>
      <c r="E10" s="93"/>
      <c r="F10" s="94"/>
      <c r="G10" s="86"/>
      <c r="H10" s="93"/>
      <c r="I10" s="85"/>
      <c r="J10" s="86"/>
      <c r="K10" s="93"/>
      <c r="L10" s="87"/>
      <c r="M10" s="88"/>
      <c r="N10" s="87"/>
      <c r="O10" s="89"/>
      <c r="P10" s="90" t="str">
        <f>IF(Tabela2[[#This Row],[Coluna11]]="Vazia","Vazia",IF(Tabela2[[#This Row],[Coluna1]]="","",IF(Tabela2[[#This Row],[Coluna5]]="Cheia",Tabela2[[#This Row],[Coluna3]]+280,IF(Tabela2[[#This Row],[Coluna8]]="Cheia",Tabela2[[#This Row],[Coluna7]]+280,IF(Tabela2[[#This Row],[Coluna11]]="Cheia",Tabela2[[#This Row],[Coluna9]]+280,"Vazia")))))</f>
        <v/>
      </c>
    </row>
    <row r="11" spans="1:19" ht="15" customHeight="1" x14ac:dyDescent="0.25">
      <c r="A11" s="80"/>
      <c r="B11" s="92"/>
      <c r="C11" s="82"/>
      <c r="D11" s="86"/>
      <c r="E11" s="93"/>
      <c r="F11" s="82"/>
      <c r="G11" s="86"/>
      <c r="H11" s="93"/>
      <c r="I11" s="85"/>
      <c r="J11" s="86"/>
      <c r="K11" s="93"/>
      <c r="L11" s="87"/>
      <c r="M11" s="88"/>
      <c r="N11" s="87"/>
      <c r="O11" s="89"/>
      <c r="P11" s="90" t="str">
        <f>IF(Tabela2[[#This Row],[Coluna11]]="Vazia","Vazia",IF(Tabela2[[#This Row],[Coluna1]]="","",IF(Tabela2[[#This Row],[Coluna5]]="Cheia",Tabela2[[#This Row],[Coluna3]]+280,IF(Tabela2[[#This Row],[Coluna8]]="Cheia",Tabela2[[#This Row],[Coluna7]]+280,IF(Tabela2[[#This Row],[Coluna11]]="Cheia",Tabela2[[#This Row],[Coluna9]]+280,"Vazia")))))</f>
        <v/>
      </c>
    </row>
    <row r="12" spans="1:19" ht="15" customHeight="1" x14ac:dyDescent="0.25">
      <c r="A12" s="91"/>
      <c r="B12" s="92"/>
      <c r="C12" s="82"/>
      <c r="D12" s="86"/>
      <c r="E12" s="93"/>
      <c r="F12" s="94"/>
      <c r="G12" s="86"/>
      <c r="H12" s="93"/>
      <c r="I12" s="85"/>
      <c r="J12" s="86"/>
      <c r="K12" s="93"/>
      <c r="L12" s="87"/>
      <c r="M12" s="88"/>
      <c r="N12" s="87"/>
      <c r="O12" s="89"/>
      <c r="P12" s="90" t="str">
        <f>IF(Tabela2[[#This Row],[Coluna11]]="Vazia","Vazia",IF(Tabela2[[#This Row],[Coluna1]]="","",IF(Tabela2[[#This Row],[Coluna5]]="Cheia",Tabela2[[#This Row],[Coluna3]]+280,IF(Tabela2[[#This Row],[Coluna8]]="Cheia",Tabela2[[#This Row],[Coluna7]]+280,IF(Tabela2[[#This Row],[Coluna11]]="Cheia",Tabela2[[#This Row],[Coluna9]]+280,"Vazia")))))</f>
        <v/>
      </c>
    </row>
    <row r="13" spans="1:19" ht="15" customHeight="1" x14ac:dyDescent="0.25">
      <c r="A13" s="91"/>
      <c r="B13" s="92"/>
      <c r="C13" s="82"/>
      <c r="D13" s="86"/>
      <c r="E13" s="93"/>
      <c r="F13" s="94"/>
      <c r="G13" s="86"/>
      <c r="H13" s="93"/>
      <c r="I13" s="85"/>
      <c r="J13" s="86"/>
      <c r="K13" s="93"/>
      <c r="L13" s="87"/>
      <c r="M13" s="88"/>
      <c r="N13" s="87"/>
      <c r="O13" s="89"/>
      <c r="P13" s="90" t="str">
        <f>IF(Tabela2[[#This Row],[Coluna11]]="Vazia","Vazia",IF(Tabela2[[#This Row],[Coluna1]]="","",IF(Tabela2[[#This Row],[Coluna5]]="Cheia",Tabela2[[#This Row],[Coluna3]]+280,IF(Tabela2[[#This Row],[Coluna8]]="Cheia",Tabela2[[#This Row],[Coluna7]]+280,IF(Tabela2[[#This Row],[Coluna11]]="Cheia",Tabela2[[#This Row],[Coluna9]]+280,"Vazia")))))</f>
        <v/>
      </c>
    </row>
    <row r="14" spans="1:19" ht="15" customHeight="1" x14ac:dyDescent="0.25">
      <c r="A14" s="91"/>
      <c r="B14" s="92"/>
      <c r="C14" s="82"/>
      <c r="D14" s="86"/>
      <c r="E14" s="93"/>
      <c r="F14" s="94"/>
      <c r="G14" s="86"/>
      <c r="H14" s="93"/>
      <c r="I14" s="85"/>
      <c r="J14" s="86"/>
      <c r="K14" s="93"/>
      <c r="L14" s="87"/>
      <c r="M14" s="88"/>
      <c r="N14" s="87"/>
      <c r="O14" s="89"/>
      <c r="P14" s="90" t="str">
        <f>IF(Tabela2[[#This Row],[Coluna11]]="Vazia","Vazia",IF(Tabela2[[#This Row],[Coluna1]]="","",IF(Tabela2[[#This Row],[Coluna5]]="Cheia",Tabela2[[#This Row],[Coluna3]]+280,IF(Tabela2[[#This Row],[Coluna8]]="Cheia",Tabela2[[#This Row],[Coluna7]]+280,IF(Tabela2[[#This Row],[Coluna11]]="Cheia",Tabela2[[#This Row],[Coluna9]]+280,"Vazia")))))</f>
        <v/>
      </c>
    </row>
    <row r="15" spans="1:19" ht="15" customHeight="1" x14ac:dyDescent="0.25">
      <c r="A15" s="91"/>
      <c r="B15" s="92"/>
      <c r="C15" s="82"/>
      <c r="D15" s="86"/>
      <c r="E15" s="93"/>
      <c r="F15" s="94"/>
      <c r="G15" s="86"/>
      <c r="H15" s="93"/>
      <c r="I15" s="85"/>
      <c r="J15" s="86"/>
      <c r="K15" s="93"/>
      <c r="L15" s="87"/>
      <c r="M15" s="88"/>
      <c r="N15" s="86"/>
      <c r="O15" s="95"/>
      <c r="P15" s="90" t="str">
        <f>IF(Tabela2[[#This Row],[Coluna11]]="Vazia","Vazia",IF(Tabela2[[#This Row],[Coluna1]]="","",IF(Tabela2[[#This Row],[Coluna5]]="Cheia",Tabela2[[#This Row],[Coluna3]]+280,IF(Tabela2[[#This Row],[Coluna8]]="Cheia",Tabela2[[#This Row],[Coluna7]]+280,IF(Tabela2[[#This Row],[Coluna11]]="Cheia",Tabela2[[#This Row],[Coluna9]]+280,"Vazia")))))</f>
        <v/>
      </c>
    </row>
    <row r="16" spans="1:19" ht="15" customHeight="1" x14ac:dyDescent="0.25">
      <c r="A16" s="91"/>
      <c r="B16" s="92"/>
      <c r="C16" s="82"/>
      <c r="D16" s="86"/>
      <c r="E16" s="93"/>
      <c r="F16" s="94"/>
      <c r="G16" s="86"/>
      <c r="H16" s="93"/>
      <c r="I16" s="85"/>
      <c r="J16" s="86"/>
      <c r="K16" s="93"/>
      <c r="L16" s="87"/>
      <c r="M16" s="88"/>
      <c r="N16" s="86"/>
      <c r="O16" s="95"/>
      <c r="P16" s="90" t="str">
        <f>IF(Tabela2[[#This Row],[Coluna11]]="Vazia","Vazia",IF(Tabela2[[#This Row],[Coluna1]]="","",IF(Tabela2[[#This Row],[Coluna5]]="Cheia",Tabela2[[#This Row],[Coluna3]]+280,IF(Tabela2[[#This Row],[Coluna8]]="Cheia",Tabela2[[#This Row],[Coluna7]]+280,IF(Tabela2[[#This Row],[Coluna11]]="Cheia",Tabela2[[#This Row],[Coluna9]]+280,"Vazia")))))</f>
        <v/>
      </c>
    </row>
    <row r="17" spans="1:16" ht="15" customHeight="1" x14ac:dyDescent="0.25">
      <c r="A17" s="91"/>
      <c r="B17" s="92"/>
      <c r="C17" s="94"/>
      <c r="D17" s="86"/>
      <c r="E17" s="93"/>
      <c r="F17" s="94"/>
      <c r="G17" s="86"/>
      <c r="H17" s="93"/>
      <c r="I17" s="85"/>
      <c r="J17" s="86"/>
      <c r="K17" s="93"/>
      <c r="L17" s="86"/>
      <c r="M17" s="93"/>
      <c r="N17" s="86"/>
      <c r="O17" s="95"/>
      <c r="P17" s="90" t="str">
        <f>IF(Tabela2[[#This Row],[Coluna11]]="Vazia","Vazia",IF(Tabela2[[#This Row],[Coluna1]]="","",IF(Tabela2[[#This Row],[Coluna5]]="Cheia",Tabela2[[#This Row],[Coluna3]]+280,IF(Tabela2[[#This Row],[Coluna8]]="Cheia",Tabela2[[#This Row],[Coluna7]]+280,IF(Tabela2[[#This Row],[Coluna11]]="Cheia",Tabela2[[#This Row],[Coluna9]]+280,"Vazia")))))</f>
        <v/>
      </c>
    </row>
    <row r="18" spans="1:16" ht="15" customHeight="1" x14ac:dyDescent="0.25">
      <c r="A18" s="91"/>
      <c r="B18" s="92"/>
      <c r="C18" s="94"/>
      <c r="D18" s="86"/>
      <c r="E18" s="93"/>
      <c r="F18" s="94"/>
      <c r="G18" s="86"/>
      <c r="H18" s="93"/>
      <c r="I18" s="85"/>
      <c r="J18" s="86"/>
      <c r="K18" s="93"/>
      <c r="L18" s="86"/>
      <c r="M18" s="93"/>
      <c r="N18" s="86"/>
      <c r="O18" s="95"/>
      <c r="P18" s="90" t="str">
        <f>IF(Tabela2[[#This Row],[Coluna11]]="Vazia","Vazia",IF(Tabela2[[#This Row],[Coluna1]]="","",IF(Tabela2[[#This Row],[Coluna5]]="Cheia",Tabela2[[#This Row],[Coluna3]]+280,IF(Tabela2[[#This Row],[Coluna8]]="Cheia",Tabela2[[#This Row],[Coluna7]]+280,IF(Tabela2[[#This Row],[Coluna11]]="Cheia",Tabela2[[#This Row],[Coluna9]]+280,"Vazia")))))</f>
        <v/>
      </c>
    </row>
    <row r="19" spans="1:16" ht="15" customHeight="1" x14ac:dyDescent="0.25">
      <c r="A19" s="96"/>
      <c r="B19" s="92"/>
      <c r="C19" s="94"/>
      <c r="D19" s="86"/>
      <c r="E19" s="93"/>
      <c r="F19" s="97"/>
      <c r="G19" s="86"/>
      <c r="H19" s="93"/>
      <c r="I19" s="85"/>
      <c r="J19" s="86"/>
      <c r="K19" s="93"/>
      <c r="L19" s="98"/>
      <c r="M19" s="99"/>
      <c r="N19" s="98"/>
      <c r="O19" s="100"/>
      <c r="P19" s="90" t="str">
        <f>IF(Tabela2[[#This Row],[Coluna11]]="Vazia","Vazia",IF(Tabela2[[#This Row],[Coluna1]]="","",IF(Tabela2[[#This Row],[Coluna5]]="Cheia",Tabela2[[#This Row],[Coluna3]]+280,IF(Tabela2[[#This Row],[Coluna8]]="Cheia",Tabela2[[#This Row],[Coluna7]]+280,IF(Tabela2[[#This Row],[Coluna11]]="Cheia",Tabela2[[#This Row],[Coluna9]]+280,"Vazia")))))</f>
        <v/>
      </c>
    </row>
    <row r="20" spans="1:16" ht="15" customHeight="1" x14ac:dyDescent="0.25">
      <c r="A20" s="96"/>
      <c r="B20" s="92"/>
      <c r="C20" s="94"/>
      <c r="D20" s="86"/>
      <c r="E20" s="93"/>
      <c r="F20" s="97"/>
      <c r="G20" s="86"/>
      <c r="H20" s="93"/>
      <c r="I20" s="85"/>
      <c r="J20" s="86"/>
      <c r="K20" s="93"/>
      <c r="L20" s="98"/>
      <c r="M20" s="99"/>
      <c r="N20" s="98"/>
      <c r="O20" s="100"/>
      <c r="P20" s="90" t="str">
        <f>IF(Tabela2[[#This Row],[Coluna11]]="Vazia","Vazia",IF(Tabela2[[#This Row],[Coluna1]]="","",IF(Tabela2[[#This Row],[Coluna5]]="Cheia",Tabela2[[#This Row],[Coluna3]]+280,IF(Tabela2[[#This Row],[Coluna8]]="Cheia",Tabela2[[#This Row],[Coluna7]]+280,IF(Tabela2[[#This Row],[Coluna11]]="Cheia",Tabela2[[#This Row],[Coluna9]]+280,"Vazia")))))</f>
        <v/>
      </c>
    </row>
    <row r="21" spans="1:16" ht="15" customHeight="1" x14ac:dyDescent="0.25">
      <c r="A21" s="96"/>
      <c r="B21" s="92"/>
      <c r="C21" s="94"/>
      <c r="D21" s="86"/>
      <c r="E21" s="93"/>
      <c r="F21" s="97"/>
      <c r="G21" s="86"/>
      <c r="H21" s="93"/>
      <c r="I21" s="85"/>
      <c r="J21" s="86"/>
      <c r="K21" s="93"/>
      <c r="L21" s="98"/>
      <c r="M21" s="99"/>
      <c r="N21" s="98"/>
      <c r="O21" s="100"/>
      <c r="P21" s="90" t="str">
        <f>IF(Tabela2[[#This Row],[Coluna11]]="Vazia","Vazia",IF(Tabela2[[#This Row],[Coluna1]]="","",IF(Tabela2[[#This Row],[Coluna5]]="Cheia",Tabela2[[#This Row],[Coluna3]]+280,IF(Tabela2[[#This Row],[Coluna8]]="Cheia",Tabela2[[#This Row],[Coluna7]]+280,IF(Tabela2[[#This Row],[Coluna11]]="Cheia",Tabela2[[#This Row],[Coluna9]]+280,"Vazia")))))</f>
        <v/>
      </c>
    </row>
    <row r="22" spans="1:16" ht="15" customHeight="1" x14ac:dyDescent="0.25">
      <c r="A22" s="96"/>
      <c r="B22" s="92"/>
      <c r="C22" s="94"/>
      <c r="D22" s="86"/>
      <c r="E22" s="93"/>
      <c r="F22" s="97"/>
      <c r="G22" s="86"/>
      <c r="H22" s="93"/>
      <c r="I22" s="101"/>
      <c r="J22" s="86"/>
      <c r="K22" s="93"/>
      <c r="L22" s="98"/>
      <c r="M22" s="99"/>
      <c r="N22" s="98"/>
      <c r="O22" s="100"/>
      <c r="P22" s="90" t="str">
        <f>IF(Tabela2[[#This Row],[Coluna11]]="Vazia","Vazia",IF(Tabela2[[#This Row],[Coluna1]]="","",IF(Tabela2[[#This Row],[Coluna5]]="Cheia",Tabela2[[#This Row],[Coluna3]]+280,IF(Tabela2[[#This Row],[Coluna8]]="Cheia",Tabela2[[#This Row],[Coluna7]]+280,IF(Tabela2[[#This Row],[Coluna11]]="Cheia",Tabela2[[#This Row],[Coluna9]]+280,"Vazia")))))</f>
        <v/>
      </c>
    </row>
    <row r="23" spans="1:16" ht="15" customHeight="1" thickBot="1" x14ac:dyDescent="0.3">
      <c r="A23" s="96"/>
      <c r="B23" s="102"/>
      <c r="C23" s="94"/>
      <c r="D23" s="103"/>
      <c r="E23" s="104"/>
      <c r="F23" s="97"/>
      <c r="G23" s="103"/>
      <c r="H23" s="104"/>
      <c r="I23" s="101"/>
      <c r="J23" s="103"/>
      <c r="K23" s="104"/>
      <c r="L23" s="98"/>
      <c r="M23" s="99"/>
      <c r="N23" s="98"/>
      <c r="O23" s="100"/>
      <c r="P23" s="105" t="str">
        <f>IF(Tabela2[[#This Row],[Coluna11]]="Vazia","Vazia",IF(Tabela2[[#This Row],[Coluna1]]="","",IF(Tabela2[[#This Row],[Coluna5]]="Cheia",Tabela2[[#This Row],[Coluna3]]+280,IF(Tabela2[[#This Row],[Coluna8]]="Cheia",Tabela2[[#This Row],[Coluna7]]+280,IF(Tabela2[[#This Row],[Coluna11]]="Cheia",Tabela2[[#This Row],[Coluna9]]+280,"Vazia")))))</f>
        <v/>
      </c>
    </row>
    <row r="24" spans="1:16" ht="15" customHeight="1" x14ac:dyDescent="0.25">
      <c r="A24" s="106"/>
      <c r="B24" s="107"/>
      <c r="C24" s="94"/>
      <c r="D24" s="98"/>
      <c r="E24" s="99"/>
      <c r="F24" s="108"/>
      <c r="G24" s="98"/>
      <c r="H24" s="99"/>
      <c r="I24" s="108"/>
      <c r="J24" s="98"/>
      <c r="K24" s="99"/>
      <c r="L24" s="98"/>
      <c r="M24" s="99"/>
      <c r="N24" s="98"/>
      <c r="O24" s="100"/>
      <c r="P24" s="108" t="str">
        <f>IF(Tabela2[[#This Row],[Coluna11]]="Vazia","Vazia",IF(Tabela2[[#This Row],[Coluna1]]="","",IF(Tabela2[[#This Row],[Coluna5]]="Cheia",Tabela2[[#This Row],[Coluna3]]+280,IF(Tabela2[[#This Row],[Coluna8]]="Cheia",Tabela2[[#This Row],[Coluna7]]+280,IF(Tabela2[[#This Row],[Coluna11]]="Cheia",Tabela2[[#This Row],[Coluna9]]+280,"Vazia")))))</f>
        <v/>
      </c>
    </row>
    <row r="25" spans="1:16" ht="15" customHeight="1" x14ac:dyDescent="0.25">
      <c r="A25" s="106"/>
      <c r="B25" s="107"/>
      <c r="C25" s="94"/>
      <c r="D25" s="98"/>
      <c r="E25" s="99"/>
      <c r="F25" s="108"/>
      <c r="G25" s="98"/>
      <c r="H25" s="99"/>
      <c r="I25" s="108"/>
      <c r="J25" s="98"/>
      <c r="K25" s="99"/>
      <c r="L25" s="98"/>
      <c r="M25" s="99"/>
      <c r="N25" s="98"/>
      <c r="O25" s="100"/>
      <c r="P25" s="108" t="str">
        <f>IF(Tabela2[[#This Row],[Coluna11]]="Vazia","Vazia",IF(Tabela2[[#This Row],[Coluna1]]="","",IF(Tabela2[[#This Row],[Coluna5]]="Cheia",Tabela2[[#This Row],[Coluna3]]+280,IF(Tabela2[[#This Row],[Coluna8]]="Cheia",Tabela2[[#This Row],[Coluna7]]+280,IF(Tabela2[[#This Row],[Coluna11]]="Cheia",Tabela2[[#This Row],[Coluna9]]+280,"Vazia")))))</f>
        <v/>
      </c>
    </row>
    <row r="26" spans="1:16" ht="15" customHeight="1" x14ac:dyDescent="0.25">
      <c r="A26" s="106"/>
      <c r="B26" s="107"/>
      <c r="C26" s="94"/>
      <c r="D26" s="98"/>
      <c r="E26" s="99"/>
      <c r="F26" s="108"/>
      <c r="G26" s="98"/>
      <c r="H26" s="99"/>
      <c r="I26" s="108"/>
      <c r="J26" s="98"/>
      <c r="K26" s="99"/>
      <c r="L26" s="98"/>
      <c r="M26" s="99"/>
      <c r="N26" s="98"/>
      <c r="O26" s="100"/>
      <c r="P26" s="108" t="str">
        <f>IF(Tabela2[[#This Row],[Coluna11]]="Vazia","Vazia",IF(Tabela2[[#This Row],[Coluna1]]="","",IF(Tabela2[[#This Row],[Coluna5]]="Cheia",Tabela2[[#This Row],[Coluna3]]+280,IF(Tabela2[[#This Row],[Coluna8]]="Cheia",Tabela2[[#This Row],[Coluna7]]+280,IF(Tabela2[[#This Row],[Coluna11]]="Cheia",Tabela2[[#This Row],[Coluna9]]+280,"Vazia")))))</f>
        <v/>
      </c>
    </row>
    <row r="27" spans="1:16" ht="15" customHeight="1" x14ac:dyDescent="0.25">
      <c r="A27" s="106"/>
      <c r="B27" s="107"/>
      <c r="C27" s="94"/>
      <c r="D27" s="98"/>
      <c r="E27" s="99"/>
      <c r="F27" s="108"/>
      <c r="G27" s="98"/>
      <c r="H27" s="99"/>
      <c r="I27" s="108"/>
      <c r="J27" s="98"/>
      <c r="K27" s="99"/>
      <c r="L27" s="98"/>
      <c r="M27" s="99"/>
      <c r="N27" s="98"/>
      <c r="O27" s="100"/>
      <c r="P27" s="108" t="str">
        <f>IF(Tabela2[[#This Row],[Coluna11]]="Vazia","Vazia",IF(Tabela2[[#This Row],[Coluna1]]="","",IF(Tabela2[[#This Row],[Coluna5]]="Cheia",Tabela2[[#This Row],[Coluna3]]+280,IF(Tabela2[[#This Row],[Coluna8]]="Cheia",Tabela2[[#This Row],[Coluna7]]+280,IF(Tabela2[[#This Row],[Coluna11]]="Cheia",Tabela2[[#This Row],[Coluna9]]+280,"Vazia")))))</f>
        <v/>
      </c>
    </row>
    <row r="28" spans="1:16" ht="15" customHeight="1" x14ac:dyDescent="0.25">
      <c r="A28" s="106"/>
      <c r="B28" s="107"/>
      <c r="C28" s="94"/>
      <c r="D28" s="98"/>
      <c r="E28" s="99"/>
      <c r="F28" s="108"/>
      <c r="G28" s="98"/>
      <c r="H28" s="99"/>
      <c r="I28" s="108"/>
      <c r="J28" s="98"/>
      <c r="K28" s="99"/>
      <c r="L28" s="98"/>
      <c r="M28" s="99"/>
      <c r="N28" s="98"/>
      <c r="O28" s="100"/>
      <c r="P28" s="108" t="str">
        <f>IF(Tabela2[[#This Row],[Coluna11]]="Vazia","Vazia",IF(Tabela2[[#This Row],[Coluna1]]="","",IF(Tabela2[[#This Row],[Coluna5]]="Cheia",Tabela2[[#This Row],[Coluna3]]+280,IF(Tabela2[[#This Row],[Coluna8]]="Cheia",Tabela2[[#This Row],[Coluna7]]+280,IF(Tabela2[[#This Row],[Coluna11]]="Cheia",Tabela2[[#This Row],[Coluna9]]+280,"Vazia")))))</f>
        <v/>
      </c>
    </row>
    <row r="29" spans="1:16" ht="15" customHeight="1" x14ac:dyDescent="0.25">
      <c r="A29" s="106"/>
      <c r="B29" s="107"/>
      <c r="C29" s="94"/>
      <c r="D29" s="98"/>
      <c r="E29" s="99"/>
      <c r="F29" s="108"/>
      <c r="G29" s="98"/>
      <c r="H29" s="99"/>
      <c r="I29" s="108"/>
      <c r="J29" s="98"/>
      <c r="K29" s="99"/>
      <c r="L29" s="98"/>
      <c r="M29" s="99"/>
      <c r="N29" s="98"/>
      <c r="O29" s="100"/>
      <c r="P29" s="108" t="str">
        <f>IF(Tabela2[[#This Row],[Coluna11]]="Vazia","Vazia",IF(Tabela2[[#This Row],[Coluna1]]="","",IF(Tabela2[[#This Row],[Coluna5]]="Cheia",Tabela2[[#This Row],[Coluna3]]+280,IF(Tabela2[[#This Row],[Coluna8]]="Cheia",Tabela2[[#This Row],[Coluna7]]+280,IF(Tabela2[[#This Row],[Coluna11]]="Cheia",Tabela2[[#This Row],[Coluna9]]+280,"Vazia")))))</f>
        <v/>
      </c>
    </row>
    <row r="30" spans="1:16" ht="15" customHeight="1" x14ac:dyDescent="0.25">
      <c r="A30" s="106"/>
      <c r="B30" s="107"/>
      <c r="C30" s="108"/>
      <c r="D30" s="98"/>
      <c r="E30" s="99"/>
      <c r="F30" s="108"/>
      <c r="G30" s="98"/>
      <c r="H30" s="99"/>
      <c r="I30" s="108"/>
      <c r="J30" s="98"/>
      <c r="K30" s="99"/>
      <c r="L30" s="98"/>
      <c r="M30" s="99"/>
      <c r="N30" s="98"/>
      <c r="O30" s="100"/>
      <c r="P30" s="108" t="str">
        <f>IF(Tabela2[[#This Row],[Coluna11]]="Vazia","Vazia",IF(Tabela2[[#This Row],[Coluna1]]="","",IF(Tabela2[[#This Row],[Coluna5]]="Cheia",Tabela2[[#This Row],[Coluna3]]+280,IF(Tabela2[[#This Row],[Coluna8]]="Cheia",Tabela2[[#This Row],[Coluna7]]+280,IF(Tabela2[[#This Row],[Coluna11]]="Cheia",Tabela2[[#This Row],[Coluna9]]+280,"Vazia")))))</f>
        <v/>
      </c>
    </row>
    <row r="31" spans="1:16" ht="15" customHeight="1" x14ac:dyDescent="0.25">
      <c r="A31" s="106"/>
      <c r="B31" s="107"/>
      <c r="C31" s="108"/>
      <c r="D31" s="98"/>
      <c r="E31" s="99"/>
      <c r="F31" s="108"/>
      <c r="G31" s="98"/>
      <c r="H31" s="99"/>
      <c r="I31" s="108"/>
      <c r="J31" s="98"/>
      <c r="K31" s="99"/>
      <c r="L31" s="98"/>
      <c r="M31" s="99"/>
      <c r="N31" s="98"/>
      <c r="O31" s="100"/>
      <c r="P31" s="108" t="str">
        <f>IF(Tabela2[[#This Row],[Coluna11]]="Vazia","Vazia",IF(Tabela2[[#This Row],[Coluna1]]="","",IF(Tabela2[[#This Row],[Coluna5]]="Cheia",Tabela2[[#This Row],[Coluna3]]+280,IF(Tabela2[[#This Row],[Coluna8]]="Cheia",Tabela2[[#This Row],[Coluna7]]+280,IF(Tabela2[[#This Row],[Coluna11]]="Cheia",Tabela2[[#This Row],[Coluna9]]+280,"Vazia")))))</f>
        <v/>
      </c>
    </row>
    <row r="32" spans="1:16" ht="15" customHeight="1" x14ac:dyDescent="0.25"/>
  </sheetData>
  <sheetProtection selectLockedCells="1"/>
  <dataConsolidate/>
  <mergeCells count="10">
    <mergeCell ref="A1:P1"/>
    <mergeCell ref="P6:P7"/>
    <mergeCell ref="A5:P5"/>
    <mergeCell ref="N6:O6"/>
    <mergeCell ref="A6:A7"/>
    <mergeCell ref="B6:B7"/>
    <mergeCell ref="D6:E6"/>
    <mergeCell ref="G6:H6"/>
    <mergeCell ref="J6:K6"/>
    <mergeCell ref="L6:M6"/>
  </mergeCells>
  <conditionalFormatting sqref="A9:A31">
    <cfRule type="duplicateValues" dxfId="77" priority="1"/>
  </conditionalFormatting>
  <conditionalFormatting sqref="E9:E31">
    <cfRule type="cellIs" dxfId="76" priority="4" operator="equal">
      <formula>"Vazia"</formula>
    </cfRule>
    <cfRule type="cellIs" dxfId="75" priority="5" operator="equal">
      <formula>"Cheia"</formula>
    </cfRule>
  </conditionalFormatting>
  <conditionalFormatting sqref="H9:H31">
    <cfRule type="cellIs" dxfId="74" priority="6" operator="equal">
      <formula>"Vazia"</formula>
    </cfRule>
    <cfRule type="cellIs" dxfId="73" priority="7" operator="equal">
      <formula>"Cheia"</formula>
    </cfRule>
  </conditionalFormatting>
  <conditionalFormatting sqref="K9:K31">
    <cfRule type="cellIs" dxfId="72" priority="2" operator="equal">
      <formula>"Vazia"</formula>
    </cfRule>
    <cfRule type="cellIs" dxfId="71" priority="3" operator="equal">
      <formula>"Cheia"</formula>
    </cfRule>
  </conditionalFormatting>
  <conditionalFormatting sqref="P9:P31">
    <cfRule type="cellIs" dxfId="70" priority="10" operator="equal">
      <formula>"Vazia"</formula>
    </cfRule>
    <cfRule type="cellIs" dxfId="69" priority="11" operator="equal">
      <formula>"Cheia"</formula>
    </cfRule>
  </conditionalFormatting>
  <dataValidations count="2">
    <dataValidation type="list" allowBlank="1" showInputMessage="1" showErrorMessage="1" sqref="E9:E31 H9:H31 K9:K31" xr:uid="{156A9C3F-9D40-4F54-A5E8-2888C156A7E0}">
      <formula1>"Cheia,Vazia"</formula1>
    </dataValidation>
    <dataValidation type="list" allowBlank="1" showInputMessage="1" showErrorMessage="1" sqref="M9:M31" xr:uid="{3AC43BF7-C5A6-4E4A-8E5F-EF88C4CAE95D}">
      <formula1>"M,F"</formula1>
    </dataValidation>
  </dataValidations>
  <pageMargins left="0.511811024" right="0.511811024" top="0.78740157499999996" bottom="0.78740157499999996" header="0.31496062000000002" footer="0.31496062000000002"/>
  <pageSetup paperSize="9" orientation="landscape"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FC36-C19F-4FAD-9B71-DD63FA95F1F5}">
  <sheetPr codeName="Planilha7"/>
  <dimension ref="A1:O39"/>
  <sheetViews>
    <sheetView zoomScale="120" zoomScaleNormal="120" workbookViewId="0">
      <selection activeCell="J14" sqref="J14"/>
    </sheetView>
  </sheetViews>
  <sheetFormatPr defaultRowHeight="15" x14ac:dyDescent="0.25"/>
  <cols>
    <col min="1" max="1" width="6.7109375" style="1" customWidth="1"/>
    <col min="2" max="2" width="12" style="1" customWidth="1"/>
    <col min="3" max="5" width="8.7109375" style="1" customWidth="1"/>
    <col min="6" max="9" width="8.7109375" customWidth="1"/>
  </cols>
  <sheetData>
    <row r="1" spans="1:15" ht="20.25" customHeight="1" thickBot="1" x14ac:dyDescent="0.3">
      <c r="A1" s="637" t="s">
        <v>86</v>
      </c>
      <c r="B1" s="638"/>
      <c r="C1" s="639"/>
      <c r="D1" s="638"/>
      <c r="E1" s="638"/>
      <c r="F1" s="638"/>
      <c r="G1" s="638"/>
      <c r="H1" s="638"/>
      <c r="I1" s="638"/>
      <c r="J1" s="638"/>
      <c r="K1" s="638"/>
      <c r="L1" s="638"/>
      <c r="M1" s="638"/>
      <c r="N1" s="638"/>
      <c r="O1" s="640"/>
    </row>
    <row r="2" spans="1:15" ht="21" customHeight="1" x14ac:dyDescent="0.25">
      <c r="A2" s="641" t="s">
        <v>80</v>
      </c>
      <c r="B2" s="643" t="s">
        <v>83</v>
      </c>
      <c r="C2" s="32" t="s">
        <v>81</v>
      </c>
      <c r="D2" s="645" t="s">
        <v>88</v>
      </c>
      <c r="E2" s="646"/>
      <c r="F2" s="32" t="s">
        <v>82</v>
      </c>
      <c r="G2" s="645" t="s">
        <v>89</v>
      </c>
      <c r="H2" s="646"/>
      <c r="I2" s="32" t="s">
        <v>63</v>
      </c>
      <c r="J2" s="645" t="s">
        <v>90</v>
      </c>
      <c r="K2" s="646"/>
      <c r="L2" s="645" t="s">
        <v>84</v>
      </c>
      <c r="M2" s="646"/>
      <c r="N2" s="645" t="s">
        <v>91</v>
      </c>
      <c r="O2" s="646"/>
    </row>
    <row r="3" spans="1:15" s="35" customFormat="1" ht="11.25" customHeight="1" thickBot="1" x14ac:dyDescent="0.25">
      <c r="A3" s="642"/>
      <c r="B3" s="644"/>
      <c r="C3" s="38" t="s">
        <v>79</v>
      </c>
      <c r="D3" s="43" t="s">
        <v>79</v>
      </c>
      <c r="E3" s="44" t="s">
        <v>85</v>
      </c>
      <c r="F3" s="38" t="s">
        <v>79</v>
      </c>
      <c r="G3" s="43" t="s">
        <v>79</v>
      </c>
      <c r="H3" s="44" t="s">
        <v>85</v>
      </c>
      <c r="I3" s="38" t="s">
        <v>79</v>
      </c>
      <c r="J3" s="43" t="s">
        <v>79</v>
      </c>
      <c r="K3" s="44" t="s">
        <v>85</v>
      </c>
      <c r="L3" s="43" t="s">
        <v>79</v>
      </c>
      <c r="M3" s="44" t="s">
        <v>87</v>
      </c>
      <c r="N3" s="43" t="s">
        <v>79</v>
      </c>
      <c r="O3" s="44" t="s">
        <v>92</v>
      </c>
    </row>
    <row r="4" spans="1:15" ht="15" customHeight="1" x14ac:dyDescent="0.25">
      <c r="A4" s="34"/>
      <c r="B4" s="36"/>
      <c r="C4" s="34"/>
      <c r="D4" s="41"/>
      <c r="E4" s="42"/>
      <c r="F4" s="34"/>
      <c r="G4" s="41"/>
      <c r="H4" s="42"/>
      <c r="I4" s="34"/>
      <c r="J4" s="41"/>
      <c r="K4" s="42"/>
      <c r="L4" s="41"/>
      <c r="M4" s="42"/>
      <c r="N4" s="41"/>
      <c r="O4" s="42"/>
    </row>
    <row r="5" spans="1:15" ht="15" customHeight="1" x14ac:dyDescent="0.25">
      <c r="A5" s="45"/>
      <c r="B5" s="46"/>
      <c r="C5" s="45"/>
      <c r="D5" s="47"/>
      <c r="E5" s="48"/>
      <c r="F5" s="45"/>
      <c r="G5" s="47"/>
      <c r="H5" s="48"/>
      <c r="I5" s="45"/>
      <c r="J5" s="47"/>
      <c r="K5" s="48"/>
      <c r="L5" s="47"/>
      <c r="M5" s="48"/>
      <c r="N5" s="47"/>
      <c r="O5" s="48"/>
    </row>
    <row r="6" spans="1:15" ht="15" customHeight="1" x14ac:dyDescent="0.25">
      <c r="A6" s="33"/>
      <c r="B6" s="37"/>
      <c r="C6" s="33"/>
      <c r="D6" s="39"/>
      <c r="E6" s="40"/>
      <c r="F6" s="33"/>
      <c r="G6" s="39"/>
      <c r="H6" s="40"/>
      <c r="I6" s="33"/>
      <c r="J6" s="39"/>
      <c r="K6" s="40"/>
      <c r="L6" s="39"/>
      <c r="M6" s="40"/>
      <c r="N6" s="39"/>
      <c r="O6" s="40"/>
    </row>
    <row r="7" spans="1:15" ht="15" customHeight="1" x14ac:dyDescent="0.25">
      <c r="A7" s="45"/>
      <c r="B7" s="46"/>
      <c r="C7" s="45"/>
      <c r="D7" s="47"/>
      <c r="E7" s="48"/>
      <c r="F7" s="45"/>
      <c r="G7" s="47"/>
      <c r="H7" s="48"/>
      <c r="I7" s="45"/>
      <c r="J7" s="47"/>
      <c r="K7" s="48"/>
      <c r="L7" s="47"/>
      <c r="M7" s="48"/>
      <c r="N7" s="47"/>
      <c r="O7" s="48"/>
    </row>
    <row r="8" spans="1:15" ht="15" customHeight="1" x14ac:dyDescent="0.25">
      <c r="A8" s="33"/>
      <c r="B8" s="37"/>
      <c r="C8" s="33"/>
      <c r="D8" s="39"/>
      <c r="E8" s="40"/>
      <c r="F8" s="33"/>
      <c r="G8" s="39"/>
      <c r="H8" s="40"/>
      <c r="I8" s="33"/>
      <c r="J8" s="39"/>
      <c r="K8" s="40"/>
      <c r="L8" s="39"/>
      <c r="M8" s="40"/>
      <c r="N8" s="39"/>
      <c r="O8" s="40"/>
    </row>
    <row r="9" spans="1:15" ht="15" customHeight="1" x14ac:dyDescent="0.25">
      <c r="A9" s="45"/>
      <c r="B9" s="46"/>
      <c r="C9" s="45"/>
      <c r="D9" s="47"/>
      <c r="E9" s="48"/>
      <c r="F9" s="45"/>
      <c r="G9" s="47"/>
      <c r="H9" s="48"/>
      <c r="I9" s="45"/>
      <c r="J9" s="47"/>
      <c r="K9" s="48"/>
      <c r="L9" s="47"/>
      <c r="M9" s="48"/>
      <c r="N9" s="47"/>
      <c r="O9" s="48"/>
    </row>
    <row r="10" spans="1:15" ht="15" customHeight="1" x14ac:dyDescent="0.25">
      <c r="A10" s="33"/>
      <c r="B10" s="37"/>
      <c r="C10" s="33"/>
      <c r="D10" s="39"/>
      <c r="E10" s="40"/>
      <c r="F10" s="33"/>
      <c r="G10" s="39"/>
      <c r="H10" s="40"/>
      <c r="I10" s="33"/>
      <c r="J10" s="39"/>
      <c r="K10" s="40"/>
      <c r="L10" s="39"/>
      <c r="M10" s="40"/>
      <c r="N10" s="39"/>
      <c r="O10" s="40"/>
    </row>
    <row r="11" spans="1:15" ht="15" customHeight="1" x14ac:dyDescent="0.25">
      <c r="A11" s="45"/>
      <c r="B11" s="46"/>
      <c r="C11" s="45"/>
      <c r="D11" s="47"/>
      <c r="E11" s="48"/>
      <c r="F11" s="45"/>
      <c r="G11" s="47"/>
      <c r="H11" s="48"/>
      <c r="I11" s="45"/>
      <c r="J11" s="47"/>
      <c r="K11" s="48"/>
      <c r="L11" s="47"/>
      <c r="M11" s="48"/>
      <c r="N11" s="47"/>
      <c r="O11" s="48"/>
    </row>
    <row r="12" spans="1:15" ht="15" customHeight="1" x14ac:dyDescent="0.25">
      <c r="A12" s="33"/>
      <c r="B12" s="37"/>
      <c r="C12" s="33"/>
      <c r="D12" s="39"/>
      <c r="E12" s="40"/>
      <c r="F12" s="33"/>
      <c r="G12" s="39"/>
      <c r="H12" s="40"/>
      <c r="I12" s="33"/>
      <c r="J12" s="39"/>
      <c r="K12" s="40"/>
      <c r="L12" s="39"/>
      <c r="M12" s="40"/>
      <c r="N12" s="39"/>
      <c r="O12" s="40"/>
    </row>
    <row r="13" spans="1:15" ht="15" customHeight="1" x14ac:dyDescent="0.25">
      <c r="A13" s="45"/>
      <c r="B13" s="46"/>
      <c r="C13" s="45"/>
      <c r="D13" s="47"/>
      <c r="E13" s="48"/>
      <c r="F13" s="45"/>
      <c r="G13" s="47"/>
      <c r="H13" s="48"/>
      <c r="I13" s="45"/>
      <c r="J13" s="47"/>
      <c r="K13" s="48"/>
      <c r="L13" s="47"/>
      <c r="M13" s="48"/>
      <c r="N13" s="47"/>
      <c r="O13" s="48"/>
    </row>
    <row r="14" spans="1:15" ht="15" customHeight="1" x14ac:dyDescent="0.25">
      <c r="A14" s="33"/>
      <c r="B14" s="37"/>
      <c r="C14" s="33"/>
      <c r="D14" s="39"/>
      <c r="E14" s="40"/>
      <c r="F14" s="33"/>
      <c r="G14" s="39"/>
      <c r="H14" s="40"/>
      <c r="I14" s="33"/>
      <c r="J14" s="39"/>
      <c r="K14" s="40"/>
      <c r="L14" s="39"/>
      <c r="M14" s="40"/>
      <c r="N14" s="39"/>
      <c r="O14" s="40"/>
    </row>
    <row r="15" spans="1:15" ht="15" customHeight="1" x14ac:dyDescent="0.25">
      <c r="A15" s="45"/>
      <c r="B15" s="46"/>
      <c r="C15" s="45"/>
      <c r="D15" s="47"/>
      <c r="E15" s="48"/>
      <c r="F15" s="45"/>
      <c r="G15" s="47"/>
      <c r="H15" s="48"/>
      <c r="I15" s="45"/>
      <c r="J15" s="47"/>
      <c r="K15" s="48"/>
      <c r="L15" s="47"/>
      <c r="M15" s="48"/>
      <c r="N15" s="47"/>
      <c r="O15" s="48"/>
    </row>
    <row r="16" spans="1:15" ht="15" customHeight="1" x14ac:dyDescent="0.25">
      <c r="A16" s="33"/>
      <c r="B16" s="37"/>
      <c r="C16" s="33"/>
      <c r="D16" s="39"/>
      <c r="E16" s="40"/>
      <c r="F16" s="33"/>
      <c r="G16" s="39"/>
      <c r="H16" s="40"/>
      <c r="I16" s="33"/>
      <c r="J16" s="39"/>
      <c r="K16" s="40"/>
      <c r="L16" s="39"/>
      <c r="M16" s="40"/>
      <c r="N16" s="39"/>
      <c r="O16" s="40"/>
    </row>
    <row r="17" spans="1:15" ht="15" customHeight="1" x14ac:dyDescent="0.25">
      <c r="A17" s="45"/>
      <c r="B17" s="46"/>
      <c r="C17" s="45"/>
      <c r="D17" s="47"/>
      <c r="E17" s="48"/>
      <c r="F17" s="45"/>
      <c r="G17" s="47"/>
      <c r="H17" s="48"/>
      <c r="I17" s="45"/>
      <c r="J17" s="47"/>
      <c r="K17" s="48"/>
      <c r="L17" s="47"/>
      <c r="M17" s="48"/>
      <c r="N17" s="47"/>
      <c r="O17" s="48"/>
    </row>
    <row r="18" spans="1:15" ht="15" customHeight="1" x14ac:dyDescent="0.25">
      <c r="A18" s="33"/>
      <c r="B18" s="37"/>
      <c r="C18" s="33"/>
      <c r="D18" s="39"/>
      <c r="E18" s="40"/>
      <c r="F18" s="33"/>
      <c r="G18" s="39"/>
      <c r="H18" s="40"/>
      <c r="I18" s="33"/>
      <c r="J18" s="39"/>
      <c r="K18" s="40"/>
      <c r="L18" s="39"/>
      <c r="M18" s="40"/>
      <c r="N18" s="39"/>
      <c r="O18" s="40"/>
    </row>
    <row r="19" spans="1:15" ht="15" customHeight="1" x14ac:dyDescent="0.25">
      <c r="A19" s="45"/>
      <c r="B19" s="46"/>
      <c r="C19" s="45"/>
      <c r="D19" s="47"/>
      <c r="E19" s="48"/>
      <c r="F19" s="45"/>
      <c r="G19" s="47"/>
      <c r="H19" s="48"/>
      <c r="I19" s="45"/>
      <c r="J19" s="47"/>
      <c r="K19" s="48"/>
      <c r="L19" s="47"/>
      <c r="M19" s="48"/>
      <c r="N19" s="47"/>
      <c r="O19" s="48"/>
    </row>
    <row r="20" spans="1:15" ht="15" customHeight="1" x14ac:dyDescent="0.25">
      <c r="A20" s="33"/>
      <c r="B20" s="37"/>
      <c r="C20" s="33"/>
      <c r="D20" s="39"/>
      <c r="E20" s="40"/>
      <c r="F20" s="33"/>
      <c r="G20" s="39"/>
      <c r="H20" s="40"/>
      <c r="I20" s="33"/>
      <c r="J20" s="39"/>
      <c r="K20" s="40"/>
      <c r="L20" s="39"/>
      <c r="M20" s="40"/>
      <c r="N20" s="39"/>
      <c r="O20" s="40"/>
    </row>
    <row r="21" spans="1:15" ht="15" customHeight="1" x14ac:dyDescent="0.25">
      <c r="A21" s="45"/>
      <c r="B21" s="46"/>
      <c r="C21" s="45"/>
      <c r="D21" s="47"/>
      <c r="E21" s="48"/>
      <c r="F21" s="45"/>
      <c r="G21" s="47"/>
      <c r="H21" s="48"/>
      <c r="I21" s="45"/>
      <c r="J21" s="47"/>
      <c r="K21" s="48"/>
      <c r="L21" s="47"/>
      <c r="M21" s="48"/>
      <c r="N21" s="47"/>
      <c r="O21" s="48"/>
    </row>
    <row r="22" spans="1:15" ht="15" customHeight="1" x14ac:dyDescent="0.25">
      <c r="A22" s="33"/>
      <c r="B22" s="37"/>
      <c r="C22" s="33"/>
      <c r="D22" s="39"/>
      <c r="E22" s="40"/>
      <c r="F22" s="33"/>
      <c r="G22" s="39"/>
      <c r="H22" s="40"/>
      <c r="I22" s="33"/>
      <c r="J22" s="39"/>
      <c r="K22" s="40"/>
      <c r="L22" s="39"/>
      <c r="M22" s="40"/>
      <c r="N22" s="39"/>
      <c r="O22" s="40"/>
    </row>
    <row r="23" spans="1:15" ht="15" customHeight="1" x14ac:dyDescent="0.25">
      <c r="A23" s="45"/>
      <c r="B23" s="46"/>
      <c r="C23" s="45"/>
      <c r="D23" s="47"/>
      <c r="E23" s="48"/>
      <c r="F23" s="45"/>
      <c r="G23" s="47"/>
      <c r="H23" s="48"/>
      <c r="I23" s="45"/>
      <c r="J23" s="47"/>
      <c r="K23" s="48"/>
      <c r="L23" s="47"/>
      <c r="M23" s="48"/>
      <c r="N23" s="47"/>
      <c r="O23" s="48"/>
    </row>
    <row r="24" spans="1:15" ht="15" customHeight="1" x14ac:dyDescent="0.25">
      <c r="A24" s="33"/>
      <c r="B24" s="37"/>
      <c r="C24" s="33"/>
      <c r="D24" s="39"/>
      <c r="E24" s="40"/>
      <c r="F24" s="33"/>
      <c r="G24" s="39"/>
      <c r="H24" s="40"/>
      <c r="I24" s="33"/>
      <c r="J24" s="39"/>
      <c r="K24" s="40"/>
      <c r="L24" s="39"/>
      <c r="M24" s="40"/>
      <c r="N24" s="39"/>
      <c r="O24" s="40"/>
    </row>
    <row r="25" spans="1:15" ht="15" customHeight="1" x14ac:dyDescent="0.25">
      <c r="A25" s="45"/>
      <c r="B25" s="46"/>
      <c r="C25" s="45"/>
      <c r="D25" s="47"/>
      <c r="E25" s="48"/>
      <c r="F25" s="45"/>
      <c r="G25" s="47"/>
      <c r="H25" s="48"/>
      <c r="I25" s="45"/>
      <c r="J25" s="47"/>
      <c r="K25" s="48"/>
      <c r="L25" s="47"/>
      <c r="M25" s="48"/>
      <c r="N25" s="47"/>
      <c r="O25" s="48"/>
    </row>
    <row r="26" spans="1:15" ht="15" customHeight="1" x14ac:dyDescent="0.25">
      <c r="A26" s="33"/>
      <c r="B26" s="37"/>
      <c r="C26" s="33"/>
      <c r="D26" s="39"/>
      <c r="E26" s="40"/>
      <c r="F26" s="33"/>
      <c r="G26" s="39"/>
      <c r="H26" s="40"/>
      <c r="I26" s="33"/>
      <c r="J26" s="39"/>
      <c r="K26" s="40"/>
      <c r="L26" s="39"/>
      <c r="M26" s="40"/>
      <c r="N26" s="39"/>
      <c r="O26" s="40"/>
    </row>
    <row r="27" spans="1:15" ht="15" customHeight="1" x14ac:dyDescent="0.25">
      <c r="A27" s="45"/>
      <c r="B27" s="46"/>
      <c r="C27" s="45"/>
      <c r="D27" s="47"/>
      <c r="E27" s="48"/>
      <c r="F27" s="45"/>
      <c r="G27" s="47"/>
      <c r="H27" s="48"/>
      <c r="I27" s="45"/>
      <c r="J27" s="47"/>
      <c r="K27" s="48"/>
      <c r="L27" s="47"/>
      <c r="M27" s="48"/>
      <c r="N27" s="47"/>
      <c r="O27" s="48"/>
    </row>
    <row r="28" spans="1:15" ht="15" customHeight="1" x14ac:dyDescent="0.25">
      <c r="A28" s="33"/>
      <c r="B28" s="37"/>
      <c r="C28" s="33"/>
      <c r="D28" s="39"/>
      <c r="E28" s="40"/>
      <c r="F28" s="33"/>
      <c r="G28" s="39"/>
      <c r="H28" s="40"/>
      <c r="I28" s="33"/>
      <c r="J28" s="39"/>
      <c r="K28" s="40"/>
      <c r="L28" s="39"/>
      <c r="M28" s="40"/>
      <c r="N28" s="39"/>
      <c r="O28" s="40"/>
    </row>
    <row r="29" spans="1:15" ht="15" customHeight="1" x14ac:dyDescent="0.25">
      <c r="A29" s="45"/>
      <c r="B29" s="46"/>
      <c r="C29" s="45"/>
      <c r="D29" s="47"/>
      <c r="E29" s="48"/>
      <c r="F29" s="45"/>
      <c r="G29" s="47"/>
      <c r="H29" s="48"/>
      <c r="I29" s="45"/>
      <c r="J29" s="47"/>
      <c r="K29" s="48"/>
      <c r="L29" s="47"/>
      <c r="M29" s="48"/>
      <c r="N29" s="47"/>
      <c r="O29" s="48"/>
    </row>
    <row r="30" spans="1:15" ht="15" customHeight="1" x14ac:dyDescent="0.25">
      <c r="A30" s="33"/>
      <c r="B30" s="37"/>
      <c r="C30" s="33"/>
      <c r="D30" s="39"/>
      <c r="E30" s="40"/>
      <c r="F30" s="33"/>
      <c r="G30" s="39"/>
      <c r="H30" s="40"/>
      <c r="I30" s="33"/>
      <c r="J30" s="39"/>
      <c r="K30" s="40"/>
      <c r="L30" s="39"/>
      <c r="M30" s="40"/>
      <c r="N30" s="39"/>
      <c r="O30" s="40"/>
    </row>
    <row r="31" spans="1:15" ht="15" customHeight="1" x14ac:dyDescent="0.25">
      <c r="A31" s="45"/>
      <c r="B31" s="46"/>
      <c r="C31" s="45"/>
      <c r="D31" s="47"/>
      <c r="E31" s="48"/>
      <c r="F31" s="45"/>
      <c r="G31" s="47"/>
      <c r="H31" s="48"/>
      <c r="I31" s="45"/>
      <c r="J31" s="47"/>
      <c r="K31" s="48"/>
      <c r="L31" s="47"/>
      <c r="M31" s="48"/>
      <c r="N31" s="47"/>
      <c r="O31" s="48"/>
    </row>
    <row r="32" spans="1:15" ht="20.100000000000001" customHeight="1" x14ac:dyDescent="0.25"/>
    <row r="33" ht="20.100000000000001" customHeight="1" x14ac:dyDescent="0.25"/>
    <row r="34" ht="30" customHeight="1" x14ac:dyDescent="0.25"/>
    <row r="35" ht="30" customHeight="1" x14ac:dyDescent="0.25"/>
    <row r="36" ht="30" customHeight="1" x14ac:dyDescent="0.25"/>
    <row r="37" ht="30" customHeight="1" x14ac:dyDescent="0.25"/>
    <row r="38" ht="30" customHeight="1" x14ac:dyDescent="0.25"/>
    <row r="39" ht="30" customHeight="1" x14ac:dyDescent="0.25"/>
  </sheetData>
  <mergeCells count="8">
    <mergeCell ref="A1:O1"/>
    <mergeCell ref="A2:A3"/>
    <mergeCell ref="B2:B3"/>
    <mergeCell ref="D2:E2"/>
    <mergeCell ref="G2:H2"/>
    <mergeCell ref="J2:K2"/>
    <mergeCell ref="L2:M2"/>
    <mergeCell ref="N2:O2"/>
  </mergeCells>
  <pageMargins left="0.511811024" right="0.511811024" top="0.78740157499999996" bottom="0.78740157499999996" header="0.31496062000000002" footer="0.31496062000000002"/>
  <pageSetup paperSize="9" orientation="landscape" r:id="rId1"/>
  <headerFooter>
    <oddHeader>&amp;L&amp;"-,Negrito"&amp;K1F4B31MATERIAL EXCLUSIVO PARA ALUNOS O PECUÁRIO&amp;R&amp;G</oddHeader>
    <oddFooter>&amp;LFAZENDA: _______________________________________________&amp;RLOTE:______________________________</oddFoot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89ACF-6CF6-422D-93E6-B45D7102DF98}">
  <sheetPr codeName="Planilha11">
    <tabColor theme="7" tint="0.79998168889431442"/>
  </sheetPr>
  <dimension ref="A1:GO324"/>
  <sheetViews>
    <sheetView showGridLines="0" topLeftCell="A6" zoomScale="85" zoomScaleNormal="85" workbookViewId="0">
      <selection activeCell="C6" sqref="C6"/>
    </sheetView>
  </sheetViews>
  <sheetFormatPr defaultColWidth="0" defaultRowHeight="0" customHeight="1" zeroHeight="1" x14ac:dyDescent="0.25"/>
  <cols>
    <col min="1" max="1" width="4.140625" style="116" customWidth="1"/>
    <col min="2" max="2" width="22" style="122" customWidth="1"/>
    <col min="3" max="3" width="18.7109375" style="122" customWidth="1"/>
    <col min="4" max="4" width="12.28515625" style="122" customWidth="1"/>
    <col min="5" max="5" width="20.7109375" style="122" customWidth="1"/>
    <col min="6" max="8" width="15.7109375" style="122" customWidth="1"/>
    <col min="9" max="9" width="12.42578125" style="122" customWidth="1"/>
    <col min="10" max="10" width="24.140625" style="122" customWidth="1"/>
    <col min="11" max="17" width="14.7109375" style="122" customWidth="1"/>
    <col min="18" max="18" width="18.85546875" style="122" customWidth="1"/>
    <col min="19" max="24" width="18.7109375" style="122" customWidth="1"/>
    <col min="25" max="25" width="16.42578125" style="122" customWidth="1"/>
    <col min="26" max="26" width="8.140625" style="122" hidden="1" customWidth="1"/>
    <col min="27" max="27" width="24.42578125" style="122" hidden="1" customWidth="1"/>
    <col min="28" max="28" width="15.42578125" style="122" hidden="1" customWidth="1"/>
    <col min="29" max="29" width="14.5703125" style="116" hidden="1" customWidth="1"/>
    <col min="30" max="31" width="8.42578125" style="116" hidden="1" customWidth="1"/>
    <col min="32" max="32" width="15.28515625" style="116" hidden="1" customWidth="1"/>
    <col min="33" max="52" width="8.42578125" style="116" hidden="1" customWidth="1"/>
    <col min="53" max="76" width="0" hidden="1" customWidth="1"/>
    <col min="77" max="77" width="46.7109375" style="117" hidden="1" customWidth="1"/>
    <col min="78" max="78" width="0" style="117" hidden="1" customWidth="1"/>
    <col min="79" max="79" width="11" style="117" hidden="1" customWidth="1"/>
    <col min="80" max="84" width="0" style="117" hidden="1" customWidth="1"/>
    <col min="85" max="85" width="14.5703125" style="117" hidden="1" customWidth="1"/>
    <col min="86" max="90" width="0" style="117" hidden="1" customWidth="1"/>
    <col min="91" max="91" width="8.7109375" style="117" hidden="1" customWidth="1"/>
    <col min="92" max="95" width="0" style="117" hidden="1" customWidth="1"/>
    <col min="96" max="96" width="8.7109375" style="117" hidden="1" customWidth="1"/>
    <col min="97" max="97" width="10.42578125" style="117" hidden="1" customWidth="1"/>
    <col min="98" max="102" width="0" style="117" hidden="1" customWidth="1"/>
    <col min="103" max="103" width="10.42578125" style="117" hidden="1" customWidth="1"/>
    <col min="104" max="107" width="0" style="117" hidden="1" customWidth="1"/>
    <col min="108" max="108" width="8.7109375" style="117" hidden="1" customWidth="1"/>
    <col min="109" max="109" width="10.42578125" style="117" hidden="1" customWidth="1"/>
    <col min="110" max="118" width="0" style="117" hidden="1" customWidth="1"/>
    <col min="119" max="120" width="8.5703125" style="117" hidden="1" customWidth="1"/>
    <col min="121" max="123" width="0" style="117" hidden="1" customWidth="1"/>
    <col min="124" max="124" width="8.7109375" style="117" hidden="1" customWidth="1"/>
    <col min="125" max="125" width="8.5703125" style="117" hidden="1" customWidth="1"/>
    <col min="126" max="157" width="0" style="117" hidden="1" customWidth="1"/>
    <col min="158" max="158" width="8.5703125" style="117" hidden="1" customWidth="1"/>
    <col min="159" max="160" width="0" style="117" hidden="1" customWidth="1"/>
    <col min="161" max="163" width="8.5703125" style="117" hidden="1" customWidth="1"/>
    <col min="164" max="164" width="11.5703125" style="117" hidden="1" customWidth="1"/>
    <col min="165" max="166" width="8.5703125" style="117" hidden="1" customWidth="1"/>
    <col min="167" max="167" width="8.42578125" style="117" hidden="1" customWidth="1"/>
    <col min="168" max="168" width="8.5703125" style="117" hidden="1" customWidth="1"/>
    <col min="169" max="170" width="8.42578125" style="117" hidden="1" customWidth="1"/>
    <col min="171" max="172" width="8.5703125" style="117" hidden="1" customWidth="1"/>
    <col min="173" max="173" width="14.42578125" style="117" hidden="1" customWidth="1"/>
    <col min="174" max="174" width="11.5703125" style="117" hidden="1" customWidth="1"/>
    <col min="175" max="177" width="8.5703125" style="117" hidden="1" customWidth="1"/>
    <col min="178" max="179" width="8.42578125" style="117" hidden="1" customWidth="1"/>
    <col min="180" max="181" width="8.5703125" style="117" hidden="1" customWidth="1"/>
    <col min="182" max="182" width="14.42578125" style="117" hidden="1" customWidth="1"/>
    <col min="183" max="183" width="11.5703125" style="117" hidden="1" customWidth="1"/>
    <col min="184" max="185" width="8.5703125" style="117" hidden="1" customWidth="1"/>
    <col min="186" max="191" width="0" style="117" hidden="1" customWidth="1"/>
    <col min="192" max="197" width="0" hidden="1" customWidth="1"/>
    <col min="198" max="16384" width="8.42578125" hidden="1"/>
  </cols>
  <sheetData>
    <row r="1" spans="1:185" s="117" customFormat="1" ht="29.25" customHeight="1" x14ac:dyDescent="0.25">
      <c r="A1" s="113"/>
      <c r="B1" s="114"/>
      <c r="C1" s="115" t="s">
        <v>134</v>
      </c>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3"/>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c r="BL1"/>
      <c r="BM1"/>
      <c r="BN1"/>
      <c r="BO1"/>
      <c r="BP1"/>
      <c r="BQ1"/>
      <c r="BR1"/>
      <c r="BS1"/>
      <c r="BT1"/>
      <c r="BU1"/>
      <c r="BV1"/>
      <c r="BW1"/>
      <c r="BX1"/>
    </row>
    <row r="2" spans="1:185" s="117" customFormat="1" ht="15" x14ac:dyDescent="0.25">
      <c r="A2" s="118"/>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8"/>
      <c r="AO2" s="116"/>
      <c r="AP2" s="116"/>
      <c r="AQ2" s="116"/>
      <c r="AR2" s="116"/>
      <c r="AS2" s="116"/>
      <c r="AT2" s="116"/>
      <c r="AU2" s="116"/>
      <c r="AV2" s="116"/>
      <c r="AW2" s="116"/>
      <c r="AX2" s="116"/>
      <c r="AY2" s="116"/>
      <c r="AZ2" s="116"/>
      <c r="BA2" s="116"/>
      <c r="BB2" s="116"/>
      <c r="BC2" s="116"/>
      <c r="BD2" s="116"/>
      <c r="BE2" s="116"/>
      <c r="BF2" s="116"/>
      <c r="BG2" s="116"/>
      <c r="BH2" s="116"/>
      <c r="BI2"/>
      <c r="BJ2"/>
      <c r="BK2"/>
      <c r="BL2"/>
      <c r="BM2"/>
      <c r="BN2"/>
      <c r="BO2"/>
      <c r="BP2"/>
      <c r="BQ2"/>
      <c r="BR2"/>
      <c r="BS2"/>
      <c r="BT2"/>
      <c r="BU2"/>
      <c r="BV2"/>
      <c r="BW2"/>
      <c r="BX2"/>
    </row>
    <row r="3" spans="1:185" s="117" customFormat="1" ht="38.25" customHeight="1" x14ac:dyDescent="0.25">
      <c r="A3" s="118"/>
      <c r="B3" s="119"/>
      <c r="C3" s="119"/>
      <c r="D3" s="119"/>
      <c r="E3" s="119"/>
      <c r="F3" s="119"/>
      <c r="G3" s="119"/>
      <c r="H3" s="120"/>
      <c r="I3" s="121"/>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8"/>
      <c r="AO3" s="122"/>
      <c r="AP3" s="116"/>
      <c r="AQ3" s="116"/>
      <c r="AR3" s="116"/>
      <c r="AS3" s="116"/>
      <c r="AT3" s="116"/>
      <c r="AU3" s="116"/>
      <c r="AV3" s="116"/>
      <c r="AW3" s="116"/>
      <c r="AX3" s="116"/>
      <c r="AY3" s="116"/>
      <c r="AZ3" s="116"/>
      <c r="BA3" s="116"/>
      <c r="BB3"/>
      <c r="BC3"/>
      <c r="BD3"/>
      <c r="BE3"/>
      <c r="BF3"/>
      <c r="BG3"/>
      <c r="BH3"/>
      <c r="BI3"/>
      <c r="BJ3"/>
      <c r="BK3"/>
      <c r="BL3"/>
      <c r="BM3"/>
      <c r="BN3"/>
      <c r="BO3"/>
      <c r="BP3"/>
      <c r="BQ3"/>
      <c r="BR3"/>
      <c r="BS3"/>
      <c r="BT3"/>
      <c r="BU3"/>
      <c r="BV3"/>
      <c r="BW3"/>
      <c r="BX3"/>
      <c r="FB3" s="117">
        <v>180</v>
      </c>
      <c r="FL3" s="117">
        <v>300</v>
      </c>
      <c r="FU3" s="117">
        <v>300</v>
      </c>
    </row>
    <row r="4" spans="1:185" s="117" customFormat="1" ht="15.75" customHeight="1" x14ac:dyDescent="0.25">
      <c r="A4" s="118"/>
      <c r="B4" s="119"/>
      <c r="C4" s="119"/>
      <c r="D4" s="119"/>
      <c r="E4" s="119"/>
      <c r="F4" s="119"/>
      <c r="G4" s="119"/>
      <c r="H4" s="120"/>
      <c r="I4" s="121"/>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8"/>
      <c r="AO4" s="123"/>
      <c r="AP4" s="116"/>
      <c r="AQ4" s="116"/>
      <c r="AR4" s="116"/>
      <c r="AS4" s="116"/>
      <c r="AT4" s="116"/>
      <c r="AU4" s="116"/>
      <c r="AV4" s="116"/>
      <c r="AW4" s="116"/>
      <c r="AX4" s="116"/>
      <c r="AY4" s="116"/>
      <c r="AZ4" s="116"/>
      <c r="BA4" s="116"/>
      <c r="BB4"/>
      <c r="BC4"/>
      <c r="BD4"/>
      <c r="BE4"/>
      <c r="BF4"/>
      <c r="BG4"/>
      <c r="BH4"/>
      <c r="BI4"/>
      <c r="BJ4"/>
      <c r="BK4"/>
      <c r="BL4"/>
      <c r="BM4"/>
      <c r="BN4"/>
      <c r="BO4"/>
      <c r="BP4"/>
      <c r="BQ4"/>
      <c r="BR4"/>
      <c r="BS4"/>
      <c r="BT4"/>
      <c r="BU4"/>
      <c r="BV4"/>
      <c r="BW4"/>
      <c r="BX4"/>
      <c r="FB4" s="117" t="s">
        <v>135</v>
      </c>
      <c r="FC4" s="117" t="s">
        <v>136</v>
      </c>
      <c r="FD4" s="117" t="s">
        <v>137</v>
      </c>
      <c r="FE4" s="117" t="s">
        <v>138</v>
      </c>
      <c r="FF4" s="117" t="s">
        <v>139</v>
      </c>
      <c r="FG4" s="117" t="s">
        <v>140</v>
      </c>
      <c r="FL4" s="117" t="s">
        <v>135</v>
      </c>
      <c r="FM4" s="117" t="s">
        <v>136</v>
      </c>
      <c r="FN4" s="117" t="s">
        <v>137</v>
      </c>
      <c r="FO4" s="117" t="s">
        <v>138</v>
      </c>
      <c r="FP4" s="117" t="s">
        <v>139</v>
      </c>
      <c r="FQ4" s="117" t="s">
        <v>140</v>
      </c>
      <c r="FU4" s="117" t="s">
        <v>135</v>
      </c>
      <c r="FV4" s="117" t="s">
        <v>136</v>
      </c>
      <c r="FW4" s="117" t="s">
        <v>137</v>
      </c>
      <c r="FX4" s="117" t="s">
        <v>138</v>
      </c>
      <c r="FY4" s="117" t="s">
        <v>139</v>
      </c>
      <c r="FZ4" s="117" t="s">
        <v>140</v>
      </c>
    </row>
    <row r="5" spans="1:185" s="117" customFormat="1" ht="15.75" customHeight="1" thickBot="1" x14ac:dyDescent="0.3">
      <c r="A5" s="118"/>
      <c r="B5" s="648" t="s">
        <v>141</v>
      </c>
      <c r="C5" s="648"/>
      <c r="D5" s="119"/>
      <c r="E5" s="648" t="s">
        <v>142</v>
      </c>
      <c r="F5" s="648"/>
      <c r="G5" s="648"/>
      <c r="H5" s="648"/>
      <c r="I5" s="120"/>
      <c r="J5" s="649" t="s">
        <v>143</v>
      </c>
      <c r="K5" s="649"/>
      <c r="L5" s="649"/>
      <c r="M5" s="649"/>
      <c r="N5" s="649"/>
      <c r="O5" s="649"/>
      <c r="P5" s="649"/>
      <c r="Q5" s="119"/>
      <c r="R5" s="650" t="s">
        <v>144</v>
      </c>
      <c r="S5" s="650"/>
      <c r="T5" s="650"/>
      <c r="U5" s="650"/>
      <c r="V5" s="650"/>
      <c r="W5" s="650"/>
      <c r="X5" s="650"/>
      <c r="Y5" s="119"/>
      <c r="Z5" s="119"/>
      <c r="AA5" s="119"/>
      <c r="AB5" s="119"/>
      <c r="AC5" s="119"/>
      <c r="AD5" s="118"/>
      <c r="AE5" s="119"/>
      <c r="AF5" s="119"/>
      <c r="AG5" s="119"/>
      <c r="AH5" s="124" t="s">
        <v>145</v>
      </c>
      <c r="AI5" s="119"/>
      <c r="AJ5" s="119"/>
      <c r="AK5" s="125" t="s">
        <v>146</v>
      </c>
      <c r="AL5" s="126"/>
      <c r="AM5" s="127"/>
      <c r="AN5" s="118"/>
      <c r="AO5" s="122"/>
      <c r="AP5" s="116"/>
      <c r="AQ5" s="116"/>
      <c r="AR5" s="116"/>
      <c r="AS5" s="116"/>
      <c r="AT5" s="116"/>
      <c r="AU5" s="116"/>
      <c r="AV5" s="116"/>
      <c r="AW5" s="116"/>
      <c r="AX5" s="116"/>
      <c r="AY5" s="116"/>
      <c r="AZ5" s="116"/>
      <c r="BA5" s="116"/>
      <c r="BB5"/>
      <c r="BC5"/>
      <c r="BD5"/>
      <c r="BE5"/>
      <c r="BF5"/>
      <c r="BG5"/>
      <c r="BH5"/>
      <c r="BI5"/>
      <c r="BJ5"/>
      <c r="BK5"/>
      <c r="BL5"/>
      <c r="BM5"/>
      <c r="BN5"/>
      <c r="BO5"/>
      <c r="BP5"/>
      <c r="BQ5"/>
      <c r="BR5"/>
      <c r="BS5"/>
      <c r="BT5"/>
      <c r="BU5"/>
      <c r="BV5"/>
      <c r="BW5"/>
      <c r="BX5"/>
      <c r="FB5" s="117" t="s">
        <v>147</v>
      </c>
      <c r="FC5" s="117" t="s">
        <v>148</v>
      </c>
      <c r="FD5" s="117" t="s">
        <v>149</v>
      </c>
      <c r="FF5" s="117">
        <v>5.5</v>
      </c>
      <c r="FG5" s="117">
        <v>6.05</v>
      </c>
      <c r="FH5" s="128">
        <f>FG5/FF5</f>
        <v>1.0999999999999999</v>
      </c>
      <c r="FL5" s="117" t="s">
        <v>147</v>
      </c>
      <c r="FM5" s="117" t="s">
        <v>148</v>
      </c>
      <c r="FN5" s="117" t="s">
        <v>149</v>
      </c>
      <c r="FP5" s="117">
        <v>6.85</v>
      </c>
      <c r="FQ5" s="117">
        <v>7.53</v>
      </c>
      <c r="FR5" s="128">
        <f>FQ5/FP5</f>
        <v>1.0992700729927007</v>
      </c>
      <c r="FU5" s="117" t="s">
        <v>147</v>
      </c>
      <c r="FV5" s="117" t="s">
        <v>148</v>
      </c>
      <c r="FW5" s="117" t="s">
        <v>149</v>
      </c>
      <c r="FY5" s="117">
        <v>6.85</v>
      </c>
      <c r="FZ5" s="117">
        <v>7.53</v>
      </c>
      <c r="GA5" s="128">
        <f>FZ5/FY5</f>
        <v>1.0992700729927007</v>
      </c>
    </row>
    <row r="6" spans="1:185" s="117" customFormat="1" ht="15.75" customHeight="1" thickBot="1" x14ac:dyDescent="0.3">
      <c r="A6" s="118"/>
      <c r="B6" s="129" t="s">
        <v>150</v>
      </c>
      <c r="C6" s="130">
        <v>500</v>
      </c>
      <c r="D6" s="119"/>
      <c r="E6" s="112" t="s">
        <v>151</v>
      </c>
      <c r="F6" s="112" t="s">
        <v>152</v>
      </c>
      <c r="G6" s="112" t="s">
        <v>153</v>
      </c>
      <c r="H6" s="112" t="s">
        <v>154</v>
      </c>
      <c r="I6" s="120"/>
      <c r="J6" s="131" t="s">
        <v>155</v>
      </c>
      <c r="K6" s="131" t="s">
        <v>139</v>
      </c>
      <c r="L6" s="131" t="s">
        <v>140</v>
      </c>
      <c r="M6" s="131" t="s">
        <v>156</v>
      </c>
      <c r="N6" s="131" t="s">
        <v>85</v>
      </c>
      <c r="O6" s="131" t="s">
        <v>157</v>
      </c>
      <c r="P6" s="131" t="s">
        <v>158</v>
      </c>
      <c r="Q6" s="119"/>
      <c r="R6" s="132" t="s">
        <v>159</v>
      </c>
      <c r="S6" s="132" t="s">
        <v>160</v>
      </c>
      <c r="T6" s="132" t="s">
        <v>161</v>
      </c>
      <c r="U6" s="132" t="s">
        <v>162</v>
      </c>
      <c r="V6" s="132" t="s">
        <v>163</v>
      </c>
      <c r="W6" s="132" t="s">
        <v>164</v>
      </c>
      <c r="X6" s="132" t="s">
        <v>165</v>
      </c>
      <c r="Y6" s="119"/>
      <c r="Z6" s="119"/>
      <c r="AA6" s="119"/>
      <c r="AB6" s="119"/>
      <c r="AC6" s="133"/>
      <c r="AD6" s="134"/>
      <c r="AE6" s="135"/>
      <c r="AF6" s="124" t="s">
        <v>166</v>
      </c>
      <c r="AG6" s="119"/>
      <c r="AH6" s="124" t="s">
        <v>167</v>
      </c>
      <c r="AI6" s="119"/>
      <c r="AJ6" s="119"/>
      <c r="AK6" s="125" t="s">
        <v>148</v>
      </c>
      <c r="AL6" s="126" t="s">
        <v>168</v>
      </c>
      <c r="AM6" s="127" t="s">
        <v>169</v>
      </c>
      <c r="AN6" s="136"/>
      <c r="AO6" s="137"/>
      <c r="AP6" s="116"/>
      <c r="AQ6" s="137"/>
      <c r="AR6" s="137"/>
      <c r="AS6" s="137"/>
      <c r="AT6" s="137"/>
      <c r="AU6" s="137"/>
      <c r="AV6" s="116"/>
      <c r="AW6" s="116"/>
      <c r="AX6" s="116"/>
      <c r="AY6" s="116"/>
      <c r="AZ6" s="116"/>
      <c r="BA6" s="116"/>
      <c r="BB6"/>
      <c r="BC6"/>
      <c r="BD6"/>
      <c r="BE6"/>
      <c r="BF6"/>
      <c r="BG6"/>
      <c r="BH6"/>
      <c r="BI6"/>
      <c r="BJ6"/>
      <c r="BK6"/>
      <c r="BL6"/>
      <c r="BM6"/>
      <c r="BN6"/>
      <c r="BO6"/>
      <c r="BP6"/>
      <c r="BQ6"/>
      <c r="BR6"/>
      <c r="BS6"/>
      <c r="BT6"/>
      <c r="BU6"/>
      <c r="BV6"/>
      <c r="BW6"/>
      <c r="BX6"/>
      <c r="FB6" s="117" t="s">
        <v>170</v>
      </c>
      <c r="FC6" s="117" t="s">
        <v>171</v>
      </c>
      <c r="FD6" s="117" t="s">
        <v>149</v>
      </c>
      <c r="FG6" s="117">
        <v>0.39</v>
      </c>
      <c r="FH6" s="138">
        <f>FG6/$FB$3</f>
        <v>2.1666666666666666E-3</v>
      </c>
      <c r="FI6" s="117">
        <f>FG6/$FG$5</f>
        <v>6.4462809917355382E-2</v>
      </c>
      <c r="FL6" s="117" t="s">
        <v>170</v>
      </c>
      <c r="FM6" s="117" t="s">
        <v>171</v>
      </c>
      <c r="FN6" s="117" t="s">
        <v>149</v>
      </c>
      <c r="FQ6" s="117">
        <v>0.48</v>
      </c>
      <c r="FR6" s="138">
        <f>FQ6/FL$3</f>
        <v>1.5999999999999999E-3</v>
      </c>
      <c r="FS6" s="117">
        <f>FQ6/FQ$5</f>
        <v>6.3745019920318724E-2</v>
      </c>
      <c r="FU6" s="117" t="s">
        <v>170</v>
      </c>
      <c r="FV6" s="117" t="s">
        <v>171</v>
      </c>
      <c r="FW6" s="117" t="s">
        <v>149</v>
      </c>
      <c r="FZ6" s="117">
        <v>0.48</v>
      </c>
      <c r="GA6" s="138">
        <f>FZ6/FU$3</f>
        <v>1.5999999999999999E-3</v>
      </c>
      <c r="GB6" s="117">
        <f>FZ6/FZ$5</f>
        <v>6.3745019920318724E-2</v>
      </c>
    </row>
    <row r="7" spans="1:185" s="117" customFormat="1" ht="15" x14ac:dyDescent="0.25">
      <c r="A7" s="118"/>
      <c r="B7" s="129" t="s">
        <v>172</v>
      </c>
      <c r="C7" s="139">
        <v>0.01</v>
      </c>
      <c r="D7" s="119"/>
      <c r="E7" s="140"/>
      <c r="F7" s="141"/>
      <c r="G7" s="142"/>
      <c r="H7" s="143">
        <f t="shared" ref="H7:H20" si="0">G7*F7</f>
        <v>0</v>
      </c>
      <c r="I7" s="119"/>
      <c r="J7" s="144" t="s">
        <v>173</v>
      </c>
      <c r="K7" s="145">
        <f>CA33*C6/1000</f>
        <v>8.9038128306950846</v>
      </c>
      <c r="L7" s="145">
        <f>K7*1.05</f>
        <v>9.349003472229839</v>
      </c>
      <c r="M7" s="146">
        <f>IFERROR(T21,0)</f>
        <v>8.9038128306950846</v>
      </c>
      <c r="N7" s="122" t="str">
        <f>IF(K7="","",IF(M7&gt;L7,"Reduzir",IF(M7&lt;K7,"Aumentar",IF(M7=K7,"Ok",IF(M7=L7,"Ok",IF(OR(M7&gt;=K7,M7&lt;=L7),"Ok"))))))</f>
        <v>Ok</v>
      </c>
      <c r="O7" s="147">
        <f>IF(M7=0,"", $T$21/M7)</f>
        <v>1</v>
      </c>
      <c r="P7" s="147">
        <f>IF(M7=0,"",K7/ $T$21)</f>
        <v>1</v>
      </c>
      <c r="Q7" s="119"/>
      <c r="R7" s="148" t="str">
        <f>IF(C18="","",C18)</f>
        <v>Capim Mombaça</v>
      </c>
      <c r="S7" s="149">
        <f>IF(IFERROR((K7-(C6*C19*AH20))/VLOOKUP(C18,'Formulação suplementos'!$B$29:$C$40,2,0),0)=0,"",IFERROR((K7-(C6*C19*AH20))/VLOOKUP(C18,'Formulação suplementos'!$B$29:$C$40,2,0),0))</f>
        <v>32.977084558129938</v>
      </c>
      <c r="T7" s="149">
        <f>IF(R7="","",IFERROR(S7*(VLOOKUP(R7,'Formulação suplementos'!$B$29:$W$40,2,)),0))</f>
        <v>8.9038128306950846</v>
      </c>
      <c r="U7" s="150">
        <f t="shared" ref="U7:U20" si="1">IFERROR(T7/$C$6,"")</f>
        <v>1.7807625661390169E-2</v>
      </c>
      <c r="V7" s="150">
        <f t="shared" ref="V7:V20" si="2">IFERROR(T7/$T$21,"")</f>
        <v>1</v>
      </c>
      <c r="W7" s="151">
        <f>IFERROR(X7/$C$20,"")</f>
        <v>4946.5626837194905</v>
      </c>
      <c r="X7" s="151">
        <f t="shared" ref="X7:X20" si="3">IFERROR(S7*$C$16*$C$20,"")</f>
        <v>494656.26837194903</v>
      </c>
      <c r="Y7" s="119"/>
      <c r="Z7" s="119"/>
      <c r="AA7" s="119"/>
      <c r="AB7" s="119"/>
      <c r="AC7" s="119"/>
      <c r="AD7" s="152"/>
      <c r="AE7" s="135"/>
      <c r="AF7" s="153" t="str">
        <f>IFERROR(VLOOKUP(R7,'Formulação suplementos'!$B$56:$W$68,22,0)*T7,"")</f>
        <v/>
      </c>
      <c r="AG7" s="119"/>
      <c r="AH7" s="154" t="str">
        <f>IF(E7="Ureia",F7,IFERROR(VLOOKUP(E7,'Formulação suplementos'!$B$43:$C$54,2,0)*F7,""))</f>
        <v/>
      </c>
      <c r="AI7" s="119"/>
      <c r="AJ7" s="119"/>
      <c r="AK7" s="155">
        <f>VLOOKUP(R7,B29:E40,2,0)</f>
        <v>0.27</v>
      </c>
      <c r="AL7" s="156">
        <f>VLOOKUP(R7,B29:E40,3,0)</f>
        <v>0.59</v>
      </c>
      <c r="AM7" s="157">
        <f>VLOOKUP(R7,B29:E40,4,0)</f>
        <v>0.12</v>
      </c>
      <c r="AN7" s="118"/>
      <c r="AO7" s="116"/>
      <c r="AP7" s="116"/>
      <c r="AQ7" s="116"/>
      <c r="AR7" s="116"/>
      <c r="AS7" s="116"/>
      <c r="AT7" s="116"/>
      <c r="AU7" s="116"/>
      <c r="AV7" s="116">
        <v>3</v>
      </c>
      <c r="AW7" s="116">
        <f t="shared" ref="AW7:BM7" si="4">AV7+1</f>
        <v>4</v>
      </c>
      <c r="AX7" s="116">
        <f t="shared" si="4"/>
        <v>5</v>
      </c>
      <c r="AY7" s="116">
        <f t="shared" si="4"/>
        <v>6</v>
      </c>
      <c r="AZ7" s="116">
        <f t="shared" si="4"/>
        <v>7</v>
      </c>
      <c r="BA7" s="116">
        <f t="shared" si="4"/>
        <v>8</v>
      </c>
      <c r="BB7" s="116">
        <f t="shared" si="4"/>
        <v>9</v>
      </c>
      <c r="BC7" s="116">
        <f t="shared" si="4"/>
        <v>10</v>
      </c>
      <c r="BD7" s="116">
        <f t="shared" si="4"/>
        <v>11</v>
      </c>
      <c r="BE7" s="116">
        <f t="shared" si="4"/>
        <v>12</v>
      </c>
      <c r="BF7" s="116">
        <f t="shared" si="4"/>
        <v>13</v>
      </c>
      <c r="BG7" s="116">
        <f t="shared" si="4"/>
        <v>14</v>
      </c>
      <c r="BH7" s="116">
        <f t="shared" si="4"/>
        <v>15</v>
      </c>
      <c r="BI7" s="116">
        <f t="shared" si="4"/>
        <v>16</v>
      </c>
      <c r="BJ7" s="116">
        <f t="shared" si="4"/>
        <v>17</v>
      </c>
      <c r="BK7" s="116">
        <f t="shared" si="4"/>
        <v>18</v>
      </c>
      <c r="BL7" s="116">
        <f t="shared" si="4"/>
        <v>19</v>
      </c>
      <c r="BM7" s="116">
        <f t="shared" si="4"/>
        <v>20</v>
      </c>
      <c r="BN7"/>
      <c r="BO7"/>
      <c r="BP7"/>
      <c r="BQ7"/>
      <c r="BR7" s="116"/>
      <c r="BS7"/>
      <c r="BT7"/>
      <c r="BU7"/>
      <c r="BV7"/>
      <c r="BW7"/>
      <c r="BX7"/>
      <c r="FB7" s="117" t="s">
        <v>174</v>
      </c>
      <c r="FC7" s="117" t="s">
        <v>175</v>
      </c>
      <c r="FD7" s="117" t="s">
        <v>149</v>
      </c>
      <c r="FG7" s="117">
        <v>4.4000000000000004</v>
      </c>
      <c r="FH7" s="138">
        <f t="shared" ref="FH7:FH10" si="5">FG7/$FB$3</f>
        <v>2.4444444444444446E-2</v>
      </c>
      <c r="FI7" s="117">
        <f t="shared" ref="FI7:FI10" si="6">FG7/$FG$5</f>
        <v>0.7272727272727274</v>
      </c>
      <c r="FL7" s="117" t="s">
        <v>174</v>
      </c>
      <c r="FM7" s="117" t="s">
        <v>175</v>
      </c>
      <c r="FN7" s="117" t="s">
        <v>149</v>
      </c>
      <c r="FQ7" s="117">
        <v>5.48</v>
      </c>
      <c r="FR7" s="138">
        <f t="shared" ref="FR7:FR10" si="7">FQ7/FL$3</f>
        <v>1.8266666666666667E-2</v>
      </c>
      <c r="FS7" s="117">
        <f t="shared" ref="FS7:FS10" si="8">FQ7/FQ$5</f>
        <v>0.72775564409030546</v>
      </c>
      <c r="FU7" s="117" t="s">
        <v>174</v>
      </c>
      <c r="FV7" s="117" t="s">
        <v>175</v>
      </c>
      <c r="FW7" s="117" t="s">
        <v>149</v>
      </c>
      <c r="FZ7" s="117">
        <v>5.48</v>
      </c>
      <c r="GA7" s="138">
        <f t="shared" ref="GA7:GA10" si="9">FZ7/FU$3</f>
        <v>1.8266666666666667E-2</v>
      </c>
      <c r="GB7" s="117">
        <f t="shared" ref="GB7:GB10" si="10">FZ7/FZ$5</f>
        <v>0.72775564409030546</v>
      </c>
    </row>
    <row r="8" spans="1:185" s="117" customFormat="1" ht="15" x14ac:dyDescent="0.25">
      <c r="A8" s="118"/>
      <c r="B8" s="129" t="s">
        <v>83</v>
      </c>
      <c r="C8" s="158" t="s">
        <v>176</v>
      </c>
      <c r="D8" s="159"/>
      <c r="E8" s="140"/>
      <c r="F8" s="160"/>
      <c r="G8" s="142"/>
      <c r="H8" s="143">
        <f t="shared" si="0"/>
        <v>0</v>
      </c>
      <c r="I8" s="119"/>
      <c r="J8" s="144" t="s">
        <v>177</v>
      </c>
      <c r="K8" s="145" t="str">
        <f>IF(C6="","","Não consta")</f>
        <v>Não consta</v>
      </c>
      <c r="L8" s="145">
        <f>IFERROR(L7*0.063,"")</f>
        <v>0.58898721875047988</v>
      </c>
      <c r="M8" s="146">
        <f>BB24/1000</f>
        <v>0.15403596197102495</v>
      </c>
      <c r="N8" s="122" t="str">
        <f>IF(L8="","",IF(M8&gt;L8,"Reduzir","Ok"))</f>
        <v>Ok</v>
      </c>
      <c r="O8" s="147">
        <f>IF(M8=0,"", M8/$M$7)</f>
        <v>1.7299999999999999E-2</v>
      </c>
      <c r="P8" s="161" t="str">
        <f>IF(C6="","","Não consta")</f>
        <v>Não consta</v>
      </c>
      <c r="Q8" s="119"/>
      <c r="R8" s="148" t="str">
        <f>IF(F7=0,"",IF(E7="","",E7))</f>
        <v/>
      </c>
      <c r="S8" s="162" t="str">
        <f>IF(IF(R8="","",F7*$AB$7)=0,"",IF(R8="","",F7*$AB$7))</f>
        <v/>
      </c>
      <c r="T8" s="162" t="str">
        <f>IF(R8="Ureia",S8,IF(S8="","",IFERROR(S8*(VLOOKUP(R8,'Formulação suplementos'!$B$42:$W$54,2,)),0)))</f>
        <v/>
      </c>
      <c r="U8" s="150" t="str">
        <f t="shared" si="1"/>
        <v/>
      </c>
      <c r="V8" s="150" t="str">
        <f t="shared" si="2"/>
        <v/>
      </c>
      <c r="W8" s="151" t="str">
        <f t="shared" ref="W8:W20" si="11">IFERROR(X8/$C$20,"")</f>
        <v/>
      </c>
      <c r="X8" s="151" t="str">
        <f t="shared" si="3"/>
        <v/>
      </c>
      <c r="Y8" s="119"/>
      <c r="Z8" s="119"/>
      <c r="AA8" s="119"/>
      <c r="AB8" s="119"/>
      <c r="AC8" s="119"/>
      <c r="AD8" s="152"/>
      <c r="AE8" s="135"/>
      <c r="AF8" s="153" t="str">
        <f>IFERROR(VLOOKUP(R8,'Formulação suplementos'!$B$56:$W$68,22,0)*T8,"")</f>
        <v/>
      </c>
      <c r="AG8" s="119"/>
      <c r="AH8" s="154" t="str">
        <f>IF(E8="Ureia",F8,IFERROR(VLOOKUP(E8,'Formulação suplementos'!$B$43:$C$54,2,0)*F8,""))</f>
        <v/>
      </c>
      <c r="AI8" s="119"/>
      <c r="AJ8" s="119"/>
      <c r="AK8" s="119"/>
      <c r="AL8" s="119"/>
      <c r="AM8" s="119"/>
      <c r="AN8" s="118"/>
      <c r="AO8" s="116"/>
      <c r="AP8" s="116"/>
      <c r="AQ8" s="116"/>
      <c r="AR8" s="116"/>
      <c r="AS8" s="116"/>
      <c r="AT8" s="116"/>
      <c r="AU8" s="116"/>
      <c r="AV8" s="163" t="s">
        <v>178</v>
      </c>
      <c r="AW8" s="163" t="s">
        <v>179</v>
      </c>
      <c r="AX8" s="163" t="s">
        <v>180</v>
      </c>
      <c r="AY8" s="163" t="s">
        <v>181</v>
      </c>
      <c r="AZ8" s="163" t="s">
        <v>182</v>
      </c>
      <c r="BA8" s="163" t="s">
        <v>183</v>
      </c>
      <c r="BB8" s="163" t="s">
        <v>184</v>
      </c>
      <c r="BC8" s="163" t="s">
        <v>185</v>
      </c>
      <c r="BD8" s="163" t="s">
        <v>186</v>
      </c>
      <c r="BE8" s="163" t="s">
        <v>187</v>
      </c>
      <c r="BF8" s="163" t="s">
        <v>188</v>
      </c>
      <c r="BG8" s="163" t="s">
        <v>189</v>
      </c>
      <c r="BH8" s="163" t="s">
        <v>190</v>
      </c>
      <c r="BI8" s="163" t="s">
        <v>191</v>
      </c>
      <c r="BJ8" s="163" t="s">
        <v>192</v>
      </c>
      <c r="BK8" s="163" t="s">
        <v>193</v>
      </c>
      <c r="BL8" s="163" t="s">
        <v>194</v>
      </c>
      <c r="BM8" s="163" t="s">
        <v>195</v>
      </c>
      <c r="BN8"/>
      <c r="BO8"/>
      <c r="BP8"/>
      <c r="BQ8"/>
      <c r="BR8" s="116"/>
      <c r="BS8"/>
      <c r="BT8"/>
      <c r="BU8"/>
      <c r="BV8"/>
      <c r="BW8"/>
      <c r="BX8"/>
      <c r="FB8" s="117" t="s">
        <v>196</v>
      </c>
      <c r="FC8" s="117" t="s">
        <v>197</v>
      </c>
      <c r="FD8" s="117" t="s">
        <v>149</v>
      </c>
      <c r="FE8" s="117">
        <v>1.38</v>
      </c>
      <c r="FG8" s="117">
        <v>2.38</v>
      </c>
      <c r="FH8" s="138">
        <f t="shared" si="5"/>
        <v>1.3222222222222222E-2</v>
      </c>
      <c r="FI8" s="117">
        <f t="shared" si="6"/>
        <v>0.39338842975206612</v>
      </c>
      <c r="FJ8" s="117">
        <f>FE8/FF5</f>
        <v>0.25090909090909091</v>
      </c>
      <c r="FL8" s="117" t="s">
        <v>196</v>
      </c>
      <c r="FM8" s="117" t="s">
        <v>197</v>
      </c>
      <c r="FN8" s="117" t="s">
        <v>149</v>
      </c>
      <c r="FO8" s="117">
        <v>1.71</v>
      </c>
      <c r="FQ8" s="117">
        <v>3.96</v>
      </c>
      <c r="FR8" s="138">
        <f t="shared" si="7"/>
        <v>1.32E-2</v>
      </c>
      <c r="FS8" s="117">
        <f t="shared" si="8"/>
        <v>0.52589641434262946</v>
      </c>
      <c r="FT8" s="117">
        <f>FO8/FP5</f>
        <v>0.24963503649635038</v>
      </c>
      <c r="FU8" s="117" t="s">
        <v>196</v>
      </c>
      <c r="FV8" s="117" t="s">
        <v>197</v>
      </c>
      <c r="FW8" s="117" t="s">
        <v>149</v>
      </c>
      <c r="FX8" s="117">
        <v>1.71</v>
      </c>
      <c r="FZ8" s="117">
        <v>3.96</v>
      </c>
      <c r="GA8" s="138">
        <f t="shared" si="9"/>
        <v>1.32E-2</v>
      </c>
      <c r="GB8" s="117">
        <f t="shared" si="10"/>
        <v>0.52589641434262946</v>
      </c>
      <c r="GC8" s="117">
        <f>FX8/FY5</f>
        <v>0.24963503649635038</v>
      </c>
    </row>
    <row r="9" spans="1:185" s="117" customFormat="1" ht="15" x14ac:dyDescent="0.25">
      <c r="A9" s="118"/>
      <c r="B9" s="129" t="s">
        <v>198</v>
      </c>
      <c r="C9" s="158" t="s">
        <v>199</v>
      </c>
      <c r="D9" s="159"/>
      <c r="E9" s="140"/>
      <c r="F9" s="160"/>
      <c r="G9" s="142"/>
      <c r="H9" s="143">
        <f t="shared" si="0"/>
        <v>0</v>
      </c>
      <c r="I9" s="119"/>
      <c r="J9" s="144" t="s">
        <v>197</v>
      </c>
      <c r="K9" s="145">
        <f>IFERROR(ROUND(K7*0.25,2),"")</f>
        <v>2.23</v>
      </c>
      <c r="L9" s="145">
        <f>IF(C6="","",ROUND(C6*1.32%,2))</f>
        <v>6.6</v>
      </c>
      <c r="M9" s="146">
        <f>BA24</f>
        <v>4.4519064153475423</v>
      </c>
      <c r="N9" s="122" t="str">
        <f>IF(K9="","",IF(M9&gt;L9,"Reduzir",IF(M9&lt;K9,"Aumentar",IF(M9=K9,"Ok",IF(M9=L9,"Ok",IF(OR(M9&gt;=K9,M9&lt;=L9),"Ok"))))))</f>
        <v>Ok</v>
      </c>
      <c r="O9" s="147">
        <f>IF(M9=0,"", M9/$M$7)</f>
        <v>0.5</v>
      </c>
      <c r="P9" s="161">
        <f>IF(M9=0,"", K9/$T$21)</f>
        <v>0.25045450105512979</v>
      </c>
      <c r="Q9" s="119"/>
      <c r="R9" s="148" t="str">
        <f>IF(F8=0,"",IF(E8="","",E8))</f>
        <v/>
      </c>
      <c r="S9" s="162" t="str">
        <f>IF(IF(R9="","",F8*$AB$7)=0,"",IF(R9="","",F8*$AB$7))</f>
        <v/>
      </c>
      <c r="T9" s="162" t="str">
        <f>IF(R9="Ureia",S9,IF(S9="","",IFERROR(S9*(VLOOKUP(R9,'Formulação suplementos'!$B$42:$W$54,2,)),0)))</f>
        <v/>
      </c>
      <c r="U9" s="150" t="str">
        <f t="shared" si="1"/>
        <v/>
      </c>
      <c r="V9" s="150" t="str">
        <f t="shared" si="2"/>
        <v/>
      </c>
      <c r="W9" s="151" t="str">
        <f t="shared" si="11"/>
        <v/>
      </c>
      <c r="X9" s="151" t="str">
        <f t="shared" si="3"/>
        <v/>
      </c>
      <c r="Y9" s="119"/>
      <c r="Z9" s="119"/>
      <c r="AA9" s="119"/>
      <c r="AB9" s="119"/>
      <c r="AC9" s="119"/>
      <c r="AD9" s="152"/>
      <c r="AE9" s="135"/>
      <c r="AF9" s="153" t="str">
        <f>IFERROR(VLOOKUP(R9,'Formulação suplementos'!$B$56:$W$68,22,0)*T9,"")</f>
        <v/>
      </c>
      <c r="AG9" s="119"/>
      <c r="AH9" s="154" t="str">
        <f>IF(E9="Ureia",F9,IFERROR(VLOOKUP(E9,'Formulação suplementos'!$B$43:$C$54,2,0)*F9,""))</f>
        <v/>
      </c>
      <c r="AI9" s="119"/>
      <c r="AJ9" s="119"/>
      <c r="AK9" s="164" t="s">
        <v>200</v>
      </c>
      <c r="AL9" s="119"/>
      <c r="AM9" s="119"/>
      <c r="AN9" s="118"/>
      <c r="AO9" s="116"/>
      <c r="AP9" s="116"/>
      <c r="AQ9" s="116"/>
      <c r="AR9" s="116"/>
      <c r="AS9" s="116"/>
      <c r="AT9" s="116"/>
      <c r="AU9" s="116"/>
      <c r="AV9" s="165">
        <f>IFERROR($T$7*(VLOOKUP($R$7,'Formulação suplementos'!$B$29:$W$40,AV7,0)),0)</f>
        <v>5.2532495701100999</v>
      </c>
      <c r="AW9" s="165">
        <f>IFERROR($T$7*(VLOOKUP($R$7,'Formulação suplementos'!$B$29:$W$40,AW7,0)),0)</f>
        <v>1.0684575396834102</v>
      </c>
      <c r="AX9" s="165">
        <f>IFERROR($T$7*(VLOOKUP($R$7,'Formulação suplementos'!$B$29:$W$40,AX7,0)*1000),0)</f>
        <v>65.888214947143624</v>
      </c>
      <c r="AY9" s="165">
        <f>IFERROR($T$7*(VLOOKUP($R$7,'Formulação suplementos'!$B$29:$W$40,AY7,0)*1000),0)</f>
        <v>16.91724437832066</v>
      </c>
      <c r="AZ9" s="165">
        <f>IFERROR($T$7*(VLOOKUP($R$7,'Formulação suplementos'!$B$29:$W$40,AZ7,0)),0)</f>
        <v>0</v>
      </c>
      <c r="BA9" s="165">
        <f>IFERROR($T$7*(VLOOKUP($R$7,'Formulação suplementos'!$B$29:$W$40,BA7,0)),0)</f>
        <v>4.4519064153475423</v>
      </c>
      <c r="BB9" s="165">
        <f>IFERROR($T$7*(VLOOKUP($R$7,'Formulação suplementos'!$B$29:$W$40,BB7,0)*1000),0)</f>
        <v>154.03596197102496</v>
      </c>
      <c r="BC9" s="165">
        <f>IFERROR($T$7*(VLOOKUP($R$7,'Formulação suplementos'!$B$29:$W$40,BC7,0)*1000),0)</f>
        <v>17.807625661390169</v>
      </c>
      <c r="BD9" s="165">
        <f>IFERROR($T$7*(VLOOKUP($R$7,'Formulação suplementos'!$B$29:$W$40,BD7,0)*1000),0)</f>
        <v>0.89038128306950848</v>
      </c>
      <c r="BE9" s="165">
        <f>IFERROR($T$7*(VLOOKUP($R$7,'Formulação suplementos'!$B$29:$W$40,BE7,0)*1000),0)</f>
        <v>243.96447156104534</v>
      </c>
      <c r="BF9" s="165">
        <f>IFERROR($T$7*(VLOOKUP($R$7,'Formulação suplementos'!$B$29:$W$40,BF7,0)*1000),0)</f>
        <v>12.46533796297312</v>
      </c>
      <c r="BG9" s="165">
        <f>IFERROR($T$7*(VLOOKUP($R$7,'Formulação suplementos'!$B$29:$W$40,BG7,0)),0)</f>
        <v>89.66139520509951</v>
      </c>
      <c r="BH9" s="165">
        <f>IFERROR($T$7*(VLOOKUP($R$7,'Formulação suplementos'!$B$29:$W$40,BH7,0)),0)</f>
        <v>238.71122199093523</v>
      </c>
      <c r="BI9" s="165">
        <f>IFERROR($T$7*(VLOOKUP($R$7,'Formulação suplementos'!$B$29:$W$40,BI7,0)),0)</f>
        <v>0</v>
      </c>
      <c r="BJ9" s="165">
        <f>IFERROR($T$7*(VLOOKUP($R$7,'Formulação suplementos'!$B$29:$W$40,BJ7,0)),0)</f>
        <v>890.29224494120149</v>
      </c>
      <c r="BK9" s="165">
        <f>IFERROR($T$7*(VLOOKUP($R$7,'Formulação suplementos'!$B$29:$W$40,BK7,0)),0)</f>
        <v>0</v>
      </c>
      <c r="BL9" s="165">
        <f>IFERROR($T$7*(VLOOKUP($R$7,'Formulação suplementos'!$B$29:$W$40,BL7,0)),0)</f>
        <v>3.6505632605849838</v>
      </c>
      <c r="BM9" s="165">
        <f>IFERROR($T$7*(VLOOKUP($R$7,'Formulação suplementos'!$B$29:$W$40,BM7,0)),0)</f>
        <v>0</v>
      </c>
      <c r="BN9"/>
      <c r="BO9"/>
      <c r="BP9"/>
      <c r="BQ9"/>
      <c r="BR9" s="116"/>
      <c r="BS9"/>
      <c r="BT9"/>
      <c r="BU9"/>
      <c r="BV9"/>
      <c r="BW9"/>
      <c r="BX9"/>
      <c r="BY9" s="166"/>
      <c r="BZ9" s="166"/>
      <c r="CA9" s="167"/>
      <c r="CB9" s="168"/>
      <c r="CC9" s="169"/>
      <c r="CD9" s="169"/>
      <c r="CE9" s="169"/>
      <c r="CF9" s="169"/>
      <c r="CG9" s="167"/>
      <c r="CH9" s="167"/>
      <c r="CI9" s="170"/>
      <c r="CJ9" s="170"/>
      <c r="CK9" s="167"/>
      <c r="CL9" s="170"/>
      <c r="CM9" s="170"/>
      <c r="CN9" s="170"/>
      <c r="CO9" s="170"/>
      <c r="CP9" s="170"/>
      <c r="CQ9" s="170"/>
      <c r="CR9" s="170"/>
      <c r="CS9" s="170"/>
      <c r="CT9" s="170"/>
      <c r="CU9" s="170"/>
      <c r="CV9" s="170"/>
      <c r="CW9" s="167"/>
      <c r="CX9" s="170"/>
      <c r="CY9" s="170"/>
      <c r="CZ9" s="170"/>
      <c r="DA9" s="170"/>
      <c r="DB9" s="170"/>
      <c r="DC9" s="170"/>
      <c r="DD9" s="170"/>
      <c r="DE9" s="170"/>
      <c r="DF9" s="170"/>
      <c r="DG9" s="170"/>
      <c r="DH9" s="170"/>
      <c r="DI9" s="170"/>
      <c r="DJ9" s="170"/>
      <c r="DK9" s="170"/>
      <c r="DL9" s="170"/>
      <c r="DM9" s="170"/>
      <c r="DN9" s="170"/>
      <c r="DO9" s="170"/>
      <c r="DP9" s="170"/>
      <c r="DQ9" s="170"/>
      <c r="DR9" s="170"/>
      <c r="DS9" s="170"/>
      <c r="DT9" s="170"/>
      <c r="DU9" s="170"/>
      <c r="DV9" s="170"/>
      <c r="FB9" s="117" t="s">
        <v>201</v>
      </c>
      <c r="FC9" s="117" t="s">
        <v>202</v>
      </c>
      <c r="FD9" s="117" t="s">
        <v>149</v>
      </c>
      <c r="FE9" s="117">
        <v>2.4500000000000002</v>
      </c>
      <c r="FG9" s="117">
        <v>6.2</v>
      </c>
      <c r="FH9" s="138">
        <f t="shared" si="5"/>
        <v>3.4444444444444444E-2</v>
      </c>
      <c r="FI9" s="117">
        <f t="shared" si="6"/>
        <v>1.0247933884297522</v>
      </c>
      <c r="FL9" s="117" t="s">
        <v>201</v>
      </c>
      <c r="FM9" s="117" t="s">
        <v>202</v>
      </c>
      <c r="FN9" s="117" t="s">
        <v>149</v>
      </c>
      <c r="FO9" s="117">
        <v>2.4500000000000002</v>
      </c>
      <c r="FQ9" s="117">
        <v>6.2</v>
      </c>
      <c r="FR9" s="138">
        <f t="shared" si="7"/>
        <v>2.0666666666666667E-2</v>
      </c>
      <c r="FS9" s="117">
        <f t="shared" si="8"/>
        <v>0.82337317397078358</v>
      </c>
      <c r="FU9" s="117" t="s">
        <v>201</v>
      </c>
      <c r="FV9" s="117" t="s">
        <v>202</v>
      </c>
      <c r="FW9" s="117" t="s">
        <v>149</v>
      </c>
      <c r="FX9" s="117">
        <v>2.4500000000000002</v>
      </c>
      <c r="FZ9" s="117">
        <v>6.2</v>
      </c>
      <c r="GA9" s="138">
        <f t="shared" si="9"/>
        <v>2.0666666666666667E-2</v>
      </c>
      <c r="GB9" s="117">
        <f t="shared" si="10"/>
        <v>0.82337317397078358</v>
      </c>
    </row>
    <row r="10" spans="1:185" s="117" customFormat="1" ht="15.75" thickBot="1" x14ac:dyDescent="0.3">
      <c r="A10" s="159"/>
      <c r="B10" s="171" t="s">
        <v>203</v>
      </c>
      <c r="C10" s="356">
        <v>5</v>
      </c>
      <c r="D10" s="159"/>
      <c r="E10" s="140"/>
      <c r="F10" s="160"/>
      <c r="G10" s="142"/>
      <c r="H10" s="143">
        <f t="shared" si="0"/>
        <v>0</v>
      </c>
      <c r="I10" s="119"/>
      <c r="J10" s="144" t="s">
        <v>168</v>
      </c>
      <c r="K10" s="145">
        <f>IF(C9="Gestante e lactante",(CA50/4.4)*1.087,(CA50/4.4))</f>
        <v>5.3263787109660026</v>
      </c>
      <c r="L10" s="145">
        <f>IFERROR(K10*1.05,"")</f>
        <v>5.5926976465143028</v>
      </c>
      <c r="M10" s="146">
        <f>AV24</f>
        <v>5.2532495701100999</v>
      </c>
      <c r="N10" s="122" t="str">
        <f>IF(K10="","",IF(M10&gt;L10,"Reduzir",IF(M10&lt;K10,"Aumentar",IF(M10=K10,"Ok",IF(M10=L10,"Ok",IF(OR(M10&gt;=K10,M10&lt;=L10),"Ok"))))))</f>
        <v>Aumentar</v>
      </c>
      <c r="O10" s="147">
        <f>IF(M10=0,"", M10/$M$7)</f>
        <v>0.59</v>
      </c>
      <c r="P10" s="161">
        <f>IF(M10=0,"", K10/$T$21)</f>
        <v>0.59821323878280508</v>
      </c>
      <c r="Q10" s="119"/>
      <c r="R10" s="148" t="str">
        <f>IF(F9=0,"",IF(E9="","",E9))</f>
        <v/>
      </c>
      <c r="S10" s="162" t="str">
        <f>IF(IF(R10="","",F9*$AB$7)=0,"",IF(R10="","",F9*$AB$7))</f>
        <v/>
      </c>
      <c r="T10" s="162" t="str">
        <f>IF(R10="Ureia",S10,IF(S10="","",IFERROR(S10*(VLOOKUP(R10,'Formulação suplementos'!$B$42:$W$54,2,)),0)))</f>
        <v/>
      </c>
      <c r="U10" s="150" t="str">
        <f t="shared" si="1"/>
        <v/>
      </c>
      <c r="V10" s="150" t="str">
        <f t="shared" si="2"/>
        <v/>
      </c>
      <c r="W10" s="151" t="str">
        <f t="shared" si="11"/>
        <v/>
      </c>
      <c r="X10" s="151" t="str">
        <f t="shared" si="3"/>
        <v/>
      </c>
      <c r="Y10" s="119"/>
      <c r="Z10" s="119"/>
      <c r="AA10" s="119"/>
      <c r="AB10" s="119"/>
      <c r="AC10" s="119"/>
      <c r="AD10" s="134"/>
      <c r="AE10" s="135"/>
      <c r="AF10" s="153" t="str">
        <f>IFERROR(VLOOKUP(R10,'Formulação suplementos'!$B$56:$W$68,22,0)*T10,"")</f>
        <v/>
      </c>
      <c r="AG10" s="119"/>
      <c r="AH10" s="154" t="str">
        <f>IF(E10="Ureia",F10,IFERROR(VLOOKUP(E10,'Formulação suplementos'!$B$43:$C$54,2,0)*F10,""))</f>
        <v/>
      </c>
      <c r="AI10" s="119"/>
      <c r="AJ10" s="119"/>
      <c r="AK10" s="164" t="s">
        <v>204</v>
      </c>
      <c r="AL10" s="172">
        <v>0.3</v>
      </c>
      <c r="AM10" s="119"/>
      <c r="AN10" s="118"/>
      <c r="AO10" s="116"/>
      <c r="AP10" s="116"/>
      <c r="AQ10" s="116"/>
      <c r="AR10" s="116"/>
      <c r="AS10" s="116"/>
      <c r="AT10" s="116"/>
      <c r="AU10" s="116"/>
      <c r="AV10" s="165"/>
      <c r="AW10" s="165"/>
      <c r="AX10" s="165"/>
      <c r="AY10" s="165"/>
      <c r="AZ10" s="165"/>
      <c r="BA10" s="165"/>
      <c r="BB10" s="165"/>
      <c r="BC10" s="165"/>
      <c r="BD10" s="165"/>
      <c r="BE10" s="165"/>
      <c r="BF10" s="165"/>
      <c r="BG10" s="165"/>
      <c r="BH10" s="165"/>
      <c r="BI10" s="165"/>
      <c r="BJ10" s="165"/>
      <c r="BK10" s="165"/>
      <c r="BL10" s="165"/>
      <c r="BM10" s="165"/>
      <c r="BN10"/>
      <c r="BO10"/>
      <c r="BP10"/>
      <c r="BQ10"/>
      <c r="BR10" s="116"/>
      <c r="BS10"/>
      <c r="BT10"/>
      <c r="BU10"/>
      <c r="BV10"/>
      <c r="BW10"/>
      <c r="BX10"/>
      <c r="BY10" s="167" t="s">
        <v>83</v>
      </c>
      <c r="BZ10" s="167" t="s">
        <v>176</v>
      </c>
      <c r="CA10" s="167"/>
      <c r="CB10" s="168"/>
      <c r="CC10" s="169"/>
      <c r="CD10" s="169"/>
      <c r="CE10" s="166"/>
      <c r="CF10" s="166"/>
      <c r="CG10" s="167"/>
      <c r="CH10" s="167"/>
      <c r="CI10" s="170"/>
      <c r="CJ10" s="170"/>
      <c r="CK10" s="167"/>
      <c r="CL10" s="170"/>
      <c r="CM10" s="170"/>
      <c r="CN10" s="170"/>
      <c r="CO10" s="170"/>
      <c r="CP10" s="170"/>
      <c r="CQ10" s="170"/>
      <c r="CR10" s="170"/>
      <c r="CS10" s="170"/>
      <c r="CT10" s="170"/>
      <c r="CU10" s="170"/>
      <c r="CV10" s="170"/>
      <c r="CW10" s="167"/>
      <c r="CX10" s="170"/>
      <c r="CY10" s="170"/>
      <c r="CZ10" s="170"/>
      <c r="DA10" s="170"/>
      <c r="DB10" s="170"/>
      <c r="DC10" s="170"/>
      <c r="DD10" s="170"/>
      <c r="DE10" s="170"/>
      <c r="DF10" s="170"/>
      <c r="DG10" s="170"/>
      <c r="DH10" s="170"/>
      <c r="DI10" s="170"/>
      <c r="DJ10" s="170"/>
      <c r="DK10" s="170"/>
      <c r="DL10" s="170"/>
      <c r="DM10" s="170"/>
      <c r="DN10" s="170"/>
      <c r="DO10" s="170"/>
      <c r="DP10" s="170"/>
      <c r="DQ10" s="170"/>
      <c r="DR10" s="170"/>
      <c r="DS10" s="170"/>
      <c r="DT10" s="170"/>
      <c r="DU10" s="170"/>
      <c r="DV10" s="170"/>
      <c r="FB10" s="117" t="s">
        <v>205</v>
      </c>
      <c r="FC10" s="117" t="s">
        <v>206</v>
      </c>
      <c r="FD10" s="117" t="s">
        <v>149</v>
      </c>
      <c r="FE10" s="117">
        <v>2.4500000000000002</v>
      </c>
      <c r="FG10" s="117">
        <v>6.2</v>
      </c>
      <c r="FH10" s="138">
        <f t="shared" si="5"/>
        <v>3.4444444444444444E-2</v>
      </c>
      <c r="FI10" s="117">
        <f t="shared" si="6"/>
        <v>1.0247933884297522</v>
      </c>
      <c r="FL10" s="117" t="s">
        <v>205</v>
      </c>
      <c r="FM10" s="117" t="s">
        <v>206</v>
      </c>
      <c r="FN10" s="117" t="s">
        <v>149</v>
      </c>
      <c r="FO10" s="117">
        <v>2.4500000000000002</v>
      </c>
      <c r="FQ10" s="117">
        <v>6.2</v>
      </c>
      <c r="FR10" s="138">
        <f t="shared" si="7"/>
        <v>2.0666666666666667E-2</v>
      </c>
      <c r="FS10" s="117">
        <f t="shared" si="8"/>
        <v>0.82337317397078358</v>
      </c>
      <c r="FU10" s="117" t="s">
        <v>205</v>
      </c>
      <c r="FV10" s="117" t="s">
        <v>206</v>
      </c>
      <c r="FW10" s="117" t="s">
        <v>149</v>
      </c>
      <c r="FX10" s="117">
        <v>2.4500000000000002</v>
      </c>
      <c r="FZ10" s="117">
        <v>6.2</v>
      </c>
      <c r="GA10" s="138">
        <f t="shared" si="9"/>
        <v>2.0666666666666667E-2</v>
      </c>
      <c r="GB10" s="117">
        <f t="shared" si="10"/>
        <v>0.82337317397078358</v>
      </c>
    </row>
    <row r="11" spans="1:185" s="117" customFormat="1" ht="15" customHeight="1" x14ac:dyDescent="0.25">
      <c r="A11" s="118"/>
      <c r="B11" s="159"/>
      <c r="C11" s="159"/>
      <c r="D11" s="159"/>
      <c r="E11" s="140"/>
      <c r="F11" s="160"/>
      <c r="G11" s="142"/>
      <c r="H11" s="143">
        <f t="shared" si="0"/>
        <v>0</v>
      </c>
      <c r="I11" s="119"/>
      <c r="J11" s="144" t="s">
        <v>207</v>
      </c>
      <c r="K11" s="173">
        <f>IF(C9="Gestante e lactante",(CM40+CM38)*1.2,(CM40+CM38))</f>
        <v>1024.3820388432132</v>
      </c>
      <c r="L11" s="173">
        <f>IFERROR(K11*1.3,"")</f>
        <v>1331.6966504961772</v>
      </c>
      <c r="M11" s="174">
        <f>IFERROR(AW24*1000,0)</f>
        <v>1068.4575396834102</v>
      </c>
      <c r="N11" s="122" t="str">
        <f>IF(K11="","",IF(M11&gt;L11,"Reduzir",IF(M11&lt;K11,"Aumentar",IF(M11=K11,"Ok",IF(M11=L11,"Ok",IF(OR(M11&gt;=K11,M11&lt;=L11),"Ok"))))))</f>
        <v>Ok</v>
      </c>
      <c r="O11" s="161">
        <f t="shared" ref="O11:O17" si="12">IF(M11=0,"",(M11/1000)/$T$21)</f>
        <v>0.12000000000000001</v>
      </c>
      <c r="P11" s="161">
        <f>IF(M11=0,"",(K11/1000)/$T$21)</f>
        <v>0.11504981723242759</v>
      </c>
      <c r="Q11" s="119"/>
      <c r="R11" s="148" t="str">
        <f>IF(F10=0,"",IF(E10="","",E10))</f>
        <v/>
      </c>
      <c r="S11" s="162" t="str">
        <f>IF(IF(R11="","",F10*$AB$7)=0,"",IF(R11="","",F10*$AB$7))</f>
        <v/>
      </c>
      <c r="T11" s="162" t="str">
        <f>IF(R11="Ureia",S11,IF(S11="","",IFERROR(S11*(VLOOKUP(R11,'Formulação suplementos'!$B$42:$W$54,2,)),0)))</f>
        <v/>
      </c>
      <c r="U11" s="150" t="str">
        <f t="shared" si="1"/>
        <v/>
      </c>
      <c r="V11" s="150" t="str">
        <f t="shared" si="2"/>
        <v/>
      </c>
      <c r="W11" s="151" t="str">
        <f t="shared" si="11"/>
        <v/>
      </c>
      <c r="X11" s="151" t="str">
        <f t="shared" si="3"/>
        <v/>
      </c>
      <c r="Y11" s="119"/>
      <c r="Z11" s="119"/>
      <c r="AA11" s="119"/>
      <c r="AB11" s="119"/>
      <c r="AC11" s="119"/>
      <c r="AD11" s="134"/>
      <c r="AE11" s="175"/>
      <c r="AF11" s="153" t="str">
        <f>IFERROR(VLOOKUP(R11,'Formulação suplementos'!$B$56:$W$68,22,0)*T11,"")</f>
        <v/>
      </c>
      <c r="AG11" s="119"/>
      <c r="AH11" s="154" t="str">
        <f>IF(E11="Ureia",F11,IFERROR(VLOOKUP(E11,'Formulação suplementos'!$B$43:$C$54,2,0)*F11,""))</f>
        <v/>
      </c>
      <c r="AI11" s="119"/>
      <c r="AJ11" s="119"/>
      <c r="AK11" s="164" t="s">
        <v>208</v>
      </c>
      <c r="AL11" s="172">
        <v>0.5</v>
      </c>
      <c r="AM11" s="119"/>
      <c r="AN11" s="118"/>
      <c r="AO11" s="116"/>
      <c r="AP11" s="116"/>
      <c r="AQ11" s="116"/>
      <c r="AR11" s="116"/>
      <c r="AS11" s="116"/>
      <c r="AT11" s="116"/>
      <c r="AU11" s="116"/>
      <c r="AV11" s="165">
        <f>IFERROR($T8*(VLOOKUP($R8,'Formulação suplementos'!$B$42:$W$54,AV$7,0)),0)</f>
        <v>0</v>
      </c>
      <c r="AW11" s="165">
        <f>IFERROR($T8*(VLOOKUP($R8,'Formulação suplementos'!$B$42:$W$54,AW$7,0)),0)</f>
        <v>0</v>
      </c>
      <c r="AX11" s="165">
        <f>IFERROR($T8*(VLOOKUP($R8,'Formulação suplementos'!$B$42:$W$54,AX$7,0)*1000),0)</f>
        <v>0</v>
      </c>
      <c r="AY11" s="165">
        <f>IFERROR($T8*(VLOOKUP($R8,'Formulação suplementos'!$B$42:$W$54,AY$7,0)*1000),0)</f>
        <v>0</v>
      </c>
      <c r="AZ11" s="165">
        <f>IFERROR($T8*(VLOOKUP($R8,'Formulação suplementos'!$B$42:$W$54,AZ$7,0)),0)</f>
        <v>0</v>
      </c>
      <c r="BA11" s="165">
        <f>IFERROR($T8*(VLOOKUP($R8,'Formulação suplementos'!$B$42:$W$54,BA$7,0)),0)</f>
        <v>0</v>
      </c>
      <c r="BB11" s="165">
        <f>IFERROR($T8*(VLOOKUP($R8,'Formulação suplementos'!$B$42:$W$54,BB$7,0)*1000),0)</f>
        <v>0</v>
      </c>
      <c r="BC11" s="165">
        <f>IFERROR($T8*(VLOOKUP($R8,'Formulação suplementos'!$B$42:$W$54,BC$7,0)*1000),0)</f>
        <v>0</v>
      </c>
      <c r="BD11" s="165">
        <f>IFERROR($T8*(VLOOKUP($R8,'Formulação suplementos'!$B$42:$W$54,BD$7,0)*1000),0)</f>
        <v>0</v>
      </c>
      <c r="BE11" s="165">
        <f>IFERROR($T8*(VLOOKUP($R8,'Formulação suplementos'!$B$42:$W$54,BE$7,0)*1000),0)</f>
        <v>0</v>
      </c>
      <c r="BF11" s="165">
        <f>IFERROR($T8*(VLOOKUP($R8,'Formulação suplementos'!$B$42:$W$54,BF$7,0)*1000),0)</f>
        <v>0</v>
      </c>
      <c r="BG11" s="165">
        <f>IFERROR($T8*(VLOOKUP($R8,'Formulação suplementos'!$B$42:$W$54,BG$7,0)),0)</f>
        <v>0</v>
      </c>
      <c r="BH11" s="165">
        <f>IFERROR($T8*(VLOOKUP($R8,'Formulação suplementos'!$B$42:$W$54,BH$7,0)),0)</f>
        <v>0</v>
      </c>
      <c r="BI11" s="165">
        <f>IFERROR($T8*(VLOOKUP($R8,'Formulação suplementos'!$B$42:$W$54,BI$7,0)),0)</f>
        <v>0</v>
      </c>
      <c r="BJ11" s="165">
        <f>IFERROR($T8*(VLOOKUP($R8,'Formulação suplementos'!$B$42:$W$54,BJ$7,0)),0)</f>
        <v>0</v>
      </c>
      <c r="BK11" s="165">
        <f>IFERROR($T8*(VLOOKUP($R8,'Formulação suplementos'!$B$42:$W$54,BK$7,0)),0)</f>
        <v>0</v>
      </c>
      <c r="BL11" s="165">
        <f>IFERROR($T8*(VLOOKUP($R8,'Formulação suplementos'!$B$42:$W$54,BL$7,0)),0)</f>
        <v>0</v>
      </c>
      <c r="BM11" s="165">
        <f>IFERROR($T8*(VLOOKUP($R8,'Formulação suplementos'!$B$42:$W$54,BM$7,0)),0)</f>
        <v>0</v>
      </c>
      <c r="BN11"/>
      <c r="BO11"/>
      <c r="BP11"/>
      <c r="BQ11"/>
      <c r="BR11" s="116"/>
      <c r="BS11"/>
      <c r="BT11"/>
      <c r="BU11"/>
      <c r="BV11"/>
      <c r="BW11"/>
      <c r="BX11"/>
      <c r="BY11" s="167"/>
      <c r="BZ11" s="167" t="s">
        <v>209</v>
      </c>
      <c r="CA11" s="167"/>
      <c r="CB11" s="168"/>
      <c r="CC11" s="169"/>
      <c r="CD11" s="169"/>
      <c r="CE11" s="166"/>
      <c r="CF11" s="166"/>
      <c r="CG11" s="167"/>
      <c r="CH11" s="167"/>
      <c r="CI11" s="170"/>
      <c r="CJ11" s="176"/>
      <c r="CK11" s="176"/>
      <c r="CL11" s="176"/>
      <c r="CM11" s="176"/>
      <c r="CN11" s="176"/>
      <c r="CO11" s="176"/>
      <c r="CP11" s="176"/>
      <c r="CQ11" s="176"/>
      <c r="CR11" s="176"/>
      <c r="CS11" s="176"/>
      <c r="CT11" s="176"/>
      <c r="CU11" s="176"/>
      <c r="CV11" s="176"/>
      <c r="CW11" s="176"/>
      <c r="CX11" s="176"/>
      <c r="CY11" s="176"/>
      <c r="CZ11" s="176"/>
      <c r="DA11" s="176"/>
      <c r="DB11" s="176"/>
      <c r="DC11" s="176"/>
      <c r="DD11" s="176"/>
      <c r="DE11" s="176"/>
      <c r="DF11" s="176"/>
      <c r="DG11" s="176"/>
      <c r="DH11" s="170"/>
      <c r="DI11" s="170"/>
      <c r="DJ11" s="170"/>
      <c r="DK11" s="170"/>
      <c r="DL11" s="170"/>
      <c r="DM11" s="170"/>
      <c r="DN11" s="170"/>
      <c r="DO11" s="170"/>
      <c r="DP11" s="170"/>
      <c r="DQ11" s="170"/>
      <c r="DR11" s="170"/>
      <c r="DS11" s="170"/>
      <c r="DT11" s="170"/>
      <c r="DU11" s="170"/>
      <c r="DV11" s="170"/>
      <c r="FB11" s="117" t="s">
        <v>210</v>
      </c>
      <c r="FC11" s="117" t="s">
        <v>168</v>
      </c>
      <c r="FD11" s="117" t="s">
        <v>149</v>
      </c>
      <c r="FE11" s="117">
        <v>3.99</v>
      </c>
      <c r="FF11" s="117">
        <v>3.99</v>
      </c>
      <c r="FG11" s="117">
        <v>4.1900000000000004</v>
      </c>
      <c r="FH11" s="128">
        <f t="shared" ref="FH11:FH24" si="13">FG11/FF11</f>
        <v>1.050125313283208</v>
      </c>
      <c r="FL11" s="117" t="s">
        <v>210</v>
      </c>
      <c r="FM11" s="117" t="s">
        <v>168</v>
      </c>
      <c r="FN11" s="117" t="s">
        <v>149</v>
      </c>
      <c r="FO11" s="117">
        <v>4.2300000000000004</v>
      </c>
      <c r="FP11" s="117">
        <v>4.2300000000000004</v>
      </c>
      <c r="FQ11" s="117">
        <v>4.45</v>
      </c>
      <c r="FR11" s="128">
        <f t="shared" ref="FR11:FR24" si="14">FQ11/FP11</f>
        <v>1.0520094562647753</v>
      </c>
      <c r="FU11" s="117" t="s">
        <v>210</v>
      </c>
      <c r="FV11" s="117" t="s">
        <v>168</v>
      </c>
      <c r="FW11" s="117" t="s">
        <v>149</v>
      </c>
      <c r="FX11" s="117">
        <v>4.3499999999999996</v>
      </c>
      <c r="FY11" s="117">
        <v>4.3499999999999996</v>
      </c>
      <c r="FZ11" s="117">
        <v>4.5599999999999996</v>
      </c>
      <c r="GA11" s="128">
        <f t="shared" ref="GA11:GA24" si="15">FZ11/FY11</f>
        <v>1.0482758620689656</v>
      </c>
    </row>
    <row r="12" spans="1:185" s="117" customFormat="1" ht="15.75" customHeight="1" x14ac:dyDescent="0.25">
      <c r="A12" s="118"/>
      <c r="B12" s="159"/>
      <c r="C12" s="159"/>
      <c r="D12" s="159"/>
      <c r="E12" s="140"/>
      <c r="F12" s="160"/>
      <c r="G12" s="142"/>
      <c r="H12" s="143">
        <f t="shared" si="0"/>
        <v>0</v>
      </c>
      <c r="I12" s="119"/>
      <c r="J12" s="144" t="s">
        <v>211</v>
      </c>
      <c r="K12" s="173">
        <f>IFERROR(IF(C9="Gestante e lactante",ROUND(CS20*1.08,1),ROUND(CS20,1)),"")</f>
        <v>22.2</v>
      </c>
      <c r="L12" s="173">
        <f>IFERROR(K12*2,"")</f>
        <v>44.4</v>
      </c>
      <c r="M12" s="174">
        <f>AX24</f>
        <v>65.888214947143624</v>
      </c>
      <c r="N12" s="122" t="str">
        <f t="shared" ref="N12:N22" si="16">IF(K12="","",IF(M12&gt;L12,"Reduzir",IF(M12&lt;K12,"Aumentar",IF(M12=K12,"Ok",IF(M12=L12,"Ok",IF(OR(M12&gt;=K12,M12&lt;=L12),"Ok"))))))</f>
        <v>Reduzir</v>
      </c>
      <c r="O12" s="161">
        <f t="shared" si="12"/>
        <v>7.4000000000000003E-3</v>
      </c>
      <c r="P12" s="161">
        <f t="shared" ref="P12:P17" si="17">IF(M12=0,"",(K12/1000)/$T$21)</f>
        <v>2.4933138670062247E-3</v>
      </c>
      <c r="Q12" s="119"/>
      <c r="R12" s="148" t="str">
        <f>IF(F11=0,"",IF(E11="","",E11))</f>
        <v/>
      </c>
      <c r="S12" s="162" t="str">
        <f>IF(IF(R12="","",F11*$AB$7)=0,"",IF(R12="","",F11*$AB$7))</f>
        <v/>
      </c>
      <c r="T12" s="162" t="str">
        <f>IF(R12="Ureia",S12,IF(S12="","",IFERROR(S12*(VLOOKUP(R12,'Formulação suplementos'!$B$42:$W$54,2,)),0)))</f>
        <v/>
      </c>
      <c r="U12" s="150" t="str">
        <f t="shared" si="1"/>
        <v/>
      </c>
      <c r="V12" s="150" t="str">
        <f t="shared" si="2"/>
        <v/>
      </c>
      <c r="W12" s="151" t="str">
        <f t="shared" si="11"/>
        <v/>
      </c>
      <c r="X12" s="151" t="str">
        <f t="shared" si="3"/>
        <v/>
      </c>
      <c r="Y12" s="119"/>
      <c r="Z12" s="119"/>
      <c r="AA12" s="119"/>
      <c r="AB12" s="119"/>
      <c r="AC12" s="119"/>
      <c r="AD12" s="134"/>
      <c r="AE12" s="177"/>
      <c r="AF12" s="153" t="str">
        <f>IFERROR(VLOOKUP(R12,'Formulação suplementos'!$B$56:$W$68,22,0)*T12,"")</f>
        <v/>
      </c>
      <c r="AG12" s="119"/>
      <c r="AH12" s="154" t="str">
        <f>IF(E13="Ureia",F13,IFERROR(VLOOKUP(E13,'Formulação suplementos'!$B$43:$C$54,2,0)*F13,""))</f>
        <v/>
      </c>
      <c r="AI12" s="119"/>
      <c r="AJ12" s="119"/>
      <c r="AK12" s="164" t="s">
        <v>212</v>
      </c>
      <c r="AL12" s="172">
        <v>0.7</v>
      </c>
      <c r="AM12" s="119"/>
      <c r="AN12" s="118"/>
      <c r="AO12" s="116"/>
      <c r="AP12" s="116"/>
      <c r="AQ12" s="116"/>
      <c r="AR12" s="116"/>
      <c r="AS12" s="116"/>
      <c r="AT12" s="116"/>
      <c r="AU12" s="116"/>
      <c r="AV12" s="165">
        <f>IFERROR($T9*(VLOOKUP($R9,'Formulação suplementos'!$B$42:$W$54,AV$7,0)),0)</f>
        <v>0</v>
      </c>
      <c r="AW12" s="165">
        <f>IFERROR($T9*(VLOOKUP($R9,'Formulação suplementos'!$B$42:$W$54,AW$7,0)),0)</f>
        <v>0</v>
      </c>
      <c r="AX12" s="165">
        <f>IFERROR($T9*(VLOOKUP($R9,'Formulação suplementos'!$B$42:$W$54,AX$7,0)*1000),0)</f>
        <v>0</v>
      </c>
      <c r="AY12" s="165">
        <f>IFERROR($T9*(VLOOKUP($R9,'Formulação suplementos'!$B$42:$W$54,AY$7,0)*1000),0)</f>
        <v>0</v>
      </c>
      <c r="AZ12" s="165">
        <f>IFERROR($T9*(VLOOKUP($R9,'Formulação suplementos'!$B$42:$W$54,AZ$7,0)),0)</f>
        <v>0</v>
      </c>
      <c r="BA12" s="165">
        <f>IFERROR($T9*(VLOOKUP($R9,'Formulação suplementos'!$B$42:$W$54,BA$7,0)),0)</f>
        <v>0</v>
      </c>
      <c r="BB12" s="165">
        <f>IFERROR($T9*(VLOOKUP($R9,'Formulação suplementos'!$B$42:$W$54,BB$7,0)*1000),0)</f>
        <v>0</v>
      </c>
      <c r="BC12" s="165">
        <f>IFERROR($T9*(VLOOKUP($R9,'Formulação suplementos'!$B$42:$W$54,BC$7,0)*1000),0)</f>
        <v>0</v>
      </c>
      <c r="BD12" s="165">
        <f>IFERROR($T9*(VLOOKUP($R9,'Formulação suplementos'!$B$42:$W$54,BD$7,0)*1000),0)</f>
        <v>0</v>
      </c>
      <c r="BE12" s="165">
        <f>IFERROR($T9*(VLOOKUP($R9,'Formulação suplementos'!$B$42:$W$54,BE$7,0)*1000),0)</f>
        <v>0</v>
      </c>
      <c r="BF12" s="165">
        <f>IFERROR($T9*(VLOOKUP($R9,'Formulação suplementos'!$B$42:$W$54,BF$7,0)*1000),0)</f>
        <v>0</v>
      </c>
      <c r="BG12" s="165">
        <f>IFERROR($T9*(VLOOKUP($R9,'Formulação suplementos'!$B$42:$W$54,BG$7,0)),0)</f>
        <v>0</v>
      </c>
      <c r="BH12" s="165">
        <f>IFERROR($T9*(VLOOKUP($R9,'Formulação suplementos'!$B$42:$W$54,BH$7,0)),0)</f>
        <v>0</v>
      </c>
      <c r="BI12" s="165">
        <f>IFERROR($T9*(VLOOKUP($R9,'Formulação suplementos'!$B$42:$W$54,BI$7,0)),0)</f>
        <v>0</v>
      </c>
      <c r="BJ12" s="165">
        <f>IFERROR($T9*(VLOOKUP($R9,'Formulação suplementos'!$B$42:$W$54,BJ$7,0)),0)</f>
        <v>0</v>
      </c>
      <c r="BK12" s="165">
        <f>IFERROR($T9*(VLOOKUP($R9,'Formulação suplementos'!$B$42:$W$54,BK$7,0)),0)</f>
        <v>0</v>
      </c>
      <c r="BL12" s="165">
        <f>IFERROR($T9*(VLOOKUP($R9,'Formulação suplementos'!$B$42:$W$54,BL$7,0)),0)</f>
        <v>0</v>
      </c>
      <c r="BM12" s="165">
        <f>IFERROR($T9*(VLOOKUP($R9,'Formulação suplementos'!$B$42:$W$54,BM$7,0)),0)</f>
        <v>0</v>
      </c>
      <c r="BN12"/>
      <c r="BO12"/>
      <c r="BP12"/>
      <c r="BQ12"/>
      <c r="BR12" s="116"/>
      <c r="BS12"/>
      <c r="BT12"/>
      <c r="BU12"/>
      <c r="BV12"/>
      <c r="BW12"/>
      <c r="BX12"/>
      <c r="BY12" s="166"/>
      <c r="BZ12" s="166"/>
      <c r="CA12" s="167"/>
      <c r="CB12" s="168"/>
      <c r="CC12" s="169"/>
      <c r="CD12" s="169"/>
      <c r="CE12" s="166"/>
      <c r="CF12" s="166"/>
      <c r="CG12" s="167"/>
      <c r="CH12" s="167"/>
      <c r="CI12" s="170"/>
      <c r="CJ12" s="176"/>
      <c r="CK12" s="176"/>
      <c r="CL12" s="176"/>
      <c r="CM12" s="176"/>
      <c r="CN12" s="176"/>
      <c r="CO12" s="176"/>
      <c r="CP12" s="176"/>
      <c r="CQ12" s="176"/>
      <c r="CR12" s="176"/>
      <c r="CS12" s="176"/>
      <c r="CT12" s="176"/>
      <c r="CU12" s="176"/>
      <c r="CV12" s="176"/>
      <c r="CW12" s="176"/>
      <c r="CX12" s="176"/>
      <c r="CY12" s="176"/>
      <c r="CZ12" s="176"/>
      <c r="DA12" s="176"/>
      <c r="DB12" s="176"/>
      <c r="DC12" s="176"/>
      <c r="DD12" s="176"/>
      <c r="DE12" s="176"/>
      <c r="DF12" s="176"/>
      <c r="DG12" s="176"/>
      <c r="DH12" s="170"/>
      <c r="DI12" s="170"/>
      <c r="DJ12" s="170"/>
      <c r="DK12" s="170"/>
      <c r="DL12" s="170"/>
      <c r="DM12" s="170"/>
      <c r="DN12" s="170"/>
      <c r="DO12" s="170"/>
      <c r="DP12" s="170"/>
      <c r="DQ12" s="170"/>
      <c r="DR12" s="170"/>
      <c r="DS12" s="170"/>
      <c r="DT12" s="170"/>
      <c r="DU12" s="170"/>
      <c r="DV12" s="170"/>
      <c r="FB12" s="117" t="s">
        <v>213</v>
      </c>
      <c r="FC12" s="117" t="s">
        <v>169</v>
      </c>
      <c r="FD12" s="117" t="s">
        <v>214</v>
      </c>
      <c r="FE12" s="117">
        <v>686.93</v>
      </c>
      <c r="FF12" s="117">
        <v>686.93</v>
      </c>
      <c r="FG12" s="117">
        <v>755.63</v>
      </c>
      <c r="FH12" s="128">
        <f t="shared" si="13"/>
        <v>1.1000101902668395</v>
      </c>
      <c r="FL12" s="117" t="s">
        <v>213</v>
      </c>
      <c r="FM12" s="117" t="s">
        <v>169</v>
      </c>
      <c r="FN12" s="117" t="s">
        <v>214</v>
      </c>
      <c r="FO12" s="117">
        <v>777.14</v>
      </c>
      <c r="FP12" s="117">
        <v>777.14</v>
      </c>
      <c r="FQ12" s="117">
        <v>854.85</v>
      </c>
      <c r="FR12" s="128">
        <f t="shared" si="14"/>
        <v>1.0999948529222534</v>
      </c>
      <c r="FU12" s="117" t="s">
        <v>213</v>
      </c>
      <c r="FV12" s="117" t="s">
        <v>169</v>
      </c>
      <c r="FW12" s="117" t="s">
        <v>214</v>
      </c>
      <c r="FX12" s="117">
        <v>754.82</v>
      </c>
      <c r="FY12" s="117">
        <v>754.82</v>
      </c>
      <c r="FZ12" s="117">
        <v>830.4</v>
      </c>
      <c r="GA12" s="128">
        <f t="shared" si="15"/>
        <v>1.1001298322778941</v>
      </c>
    </row>
    <row r="13" spans="1:185" s="117" customFormat="1" ht="15.75" customHeight="1" x14ac:dyDescent="0.25">
      <c r="A13" s="118"/>
      <c r="B13" s="159"/>
      <c r="C13" s="159"/>
      <c r="D13" s="159"/>
      <c r="E13" s="178"/>
      <c r="F13" s="179"/>
      <c r="G13" s="180"/>
      <c r="H13" s="181">
        <f t="shared" si="0"/>
        <v>0</v>
      </c>
      <c r="I13" s="119"/>
      <c r="J13" s="144" t="s">
        <v>215</v>
      </c>
      <c r="K13" s="173">
        <f>IFERROR(IF(C9="Gestante e lactante",ROUND(CS22*1.08,1),ROUND(CS22,1)),"")</f>
        <v>16.899999999999999</v>
      </c>
      <c r="L13" s="173">
        <f>IFERROR(K13*2,"")</f>
        <v>33.799999999999997</v>
      </c>
      <c r="M13" s="174">
        <f>AY24</f>
        <v>16.91724437832066</v>
      </c>
      <c r="N13" s="122" t="str">
        <f t="shared" si="16"/>
        <v>Ok</v>
      </c>
      <c r="O13" s="161">
        <f t="shared" si="12"/>
        <v>1.9E-3</v>
      </c>
      <c r="P13" s="161">
        <f t="shared" si="17"/>
        <v>1.898063259117351E-3</v>
      </c>
      <c r="Q13" s="119"/>
      <c r="R13" s="182" t="str">
        <f t="shared" ref="R13:R20" si="18">IF(F13=0,"",IF(E13="","",E13))</f>
        <v/>
      </c>
      <c r="S13" s="183" t="str">
        <f t="shared" ref="S13:S20" si="19">IF(IF(R13="","",F13*$AB$7)=0,"",IF(R13="","",F13*$AB$7))</f>
        <v/>
      </c>
      <c r="T13" s="183" t="str">
        <f>IF(R13="Ureia",S13,IF(S13="","",IFERROR(S13*(VLOOKUP(R13,'Formulação suplementos'!$B$42:$W$54,2,)),0)))</f>
        <v/>
      </c>
      <c r="U13" s="184" t="str">
        <f t="shared" si="1"/>
        <v/>
      </c>
      <c r="V13" s="184" t="str">
        <f t="shared" si="2"/>
        <v/>
      </c>
      <c r="W13" s="185" t="str">
        <f t="shared" si="11"/>
        <v/>
      </c>
      <c r="X13" s="185" t="str">
        <f t="shared" si="3"/>
        <v/>
      </c>
      <c r="Y13" s="119"/>
      <c r="Z13" s="119"/>
      <c r="AA13" s="119"/>
      <c r="AB13" s="119"/>
      <c r="AC13" s="119"/>
      <c r="AD13" s="134"/>
      <c r="AE13" s="119"/>
      <c r="AF13" s="153" t="str">
        <f>IFERROR(VLOOKUP(R13,'Formulação suplementos'!$B$56:$W$68,22,0)*T13,"")</f>
        <v/>
      </c>
      <c r="AG13" s="119"/>
      <c r="AH13" s="154" t="str">
        <f>IFERROR(VLOOKUP(E14,'Formulação suplementos'!$B$57:$C$68,2,0)*F14,"")</f>
        <v/>
      </c>
      <c r="AI13" s="119"/>
      <c r="AJ13" s="119"/>
      <c r="AK13" s="164" t="s">
        <v>216</v>
      </c>
      <c r="AL13" s="172">
        <v>0.95</v>
      </c>
      <c r="AM13" s="119"/>
      <c r="AN13" s="118"/>
      <c r="AO13" s="116"/>
      <c r="AP13" s="116"/>
      <c r="AQ13" s="116"/>
      <c r="AR13" s="116"/>
      <c r="AS13" s="116"/>
      <c r="AT13" s="116"/>
      <c r="AU13" s="116"/>
      <c r="AV13" s="165">
        <f>IFERROR($T10*(VLOOKUP($R10,'Formulação suplementos'!$B$42:$W$54,AV$7,0)),0)</f>
        <v>0</v>
      </c>
      <c r="AW13" s="165">
        <f>IFERROR($T10*(VLOOKUP($R10,'Formulação suplementos'!$B$42:$W$54,AW$7,0)),0)</f>
        <v>0</v>
      </c>
      <c r="AX13" s="165">
        <f>IFERROR($T10*(VLOOKUP($R10,'Formulação suplementos'!$B$42:$W$54,AX$7,0)*1000),0)</f>
        <v>0</v>
      </c>
      <c r="AY13" s="165">
        <f>IFERROR($T10*(VLOOKUP($R10,'Formulação suplementos'!$B$42:$W$54,AY$7,0)*1000),0)</f>
        <v>0</v>
      </c>
      <c r="AZ13" s="165">
        <f>IFERROR($T10*(VLOOKUP($R10,'Formulação suplementos'!$B$42:$W$54,AZ$7,0)),0)</f>
        <v>0</v>
      </c>
      <c r="BA13" s="165">
        <f>IFERROR($T10*(VLOOKUP($R10,'Formulação suplementos'!$B$42:$W$54,BA$7,0)),0)</f>
        <v>0</v>
      </c>
      <c r="BB13" s="165">
        <f>IFERROR($T10*(VLOOKUP($R10,'Formulação suplementos'!$B$42:$W$54,BB$7,0)*1000),0)</f>
        <v>0</v>
      </c>
      <c r="BC13" s="165">
        <f>IFERROR($T10*(VLOOKUP($R10,'Formulação suplementos'!$B$42:$W$54,BC$7,0)*1000),0)</f>
        <v>0</v>
      </c>
      <c r="BD13" s="165">
        <f>IFERROR($T10*(VLOOKUP($R10,'Formulação suplementos'!$B$42:$W$54,BD$7,0)*1000),0)</f>
        <v>0</v>
      </c>
      <c r="BE13" s="165">
        <f>IFERROR($T10*(VLOOKUP($R10,'Formulação suplementos'!$B$42:$W$54,BE$7,0)*1000),0)</f>
        <v>0</v>
      </c>
      <c r="BF13" s="165">
        <f>IFERROR($T10*(VLOOKUP($R10,'Formulação suplementos'!$B$42:$W$54,BF$7,0)*1000),0)</f>
        <v>0</v>
      </c>
      <c r="BG13" s="165">
        <f>IFERROR($T10*(VLOOKUP($R10,'Formulação suplementos'!$B$42:$W$54,BG$7,0)),0)</f>
        <v>0</v>
      </c>
      <c r="BH13" s="165">
        <f>IFERROR($T10*(VLOOKUP($R10,'Formulação suplementos'!$B$42:$W$54,BH$7,0)),0)</f>
        <v>0</v>
      </c>
      <c r="BI13" s="165">
        <f>IFERROR($T10*(VLOOKUP($R10,'Formulação suplementos'!$B$42:$W$54,BI$7,0)),0)</f>
        <v>0</v>
      </c>
      <c r="BJ13" s="165">
        <f>IFERROR($T10*(VLOOKUP($R10,'Formulação suplementos'!$B$42:$W$54,BJ$7,0)),0)</f>
        <v>0</v>
      </c>
      <c r="BK13" s="165">
        <f>IFERROR($T10*(VLOOKUP($R10,'Formulação suplementos'!$B$42:$W$54,BK$7,0)),0)</f>
        <v>0</v>
      </c>
      <c r="BL13" s="165">
        <f>IFERROR($T10*(VLOOKUP($R10,'Formulação suplementos'!$B$42:$W$54,BL$7,0)),0)</f>
        <v>0</v>
      </c>
      <c r="BM13" s="165">
        <f>IFERROR($T10*(VLOOKUP($R10,'Formulação suplementos'!$B$42:$W$54,BM$7,0)),0)</f>
        <v>0</v>
      </c>
      <c r="BN13"/>
      <c r="BO13"/>
      <c r="BP13"/>
      <c r="BQ13"/>
      <c r="BR13" s="116"/>
      <c r="BS13"/>
      <c r="BT13"/>
      <c r="BU13"/>
      <c r="BV13"/>
      <c r="BW13"/>
      <c r="BX13"/>
      <c r="BY13" s="166"/>
      <c r="BZ13" s="166"/>
      <c r="CA13" s="167"/>
      <c r="CB13" s="168"/>
      <c r="CC13" s="169"/>
      <c r="CD13" s="169"/>
      <c r="CE13" s="166"/>
      <c r="CF13" s="166"/>
      <c r="CG13" s="167"/>
      <c r="CH13" s="167"/>
      <c r="CI13" s="170"/>
      <c r="CJ13" s="176"/>
      <c r="CK13" s="176"/>
      <c r="CL13" s="176"/>
      <c r="CM13" s="176"/>
      <c r="CN13" s="176"/>
      <c r="CO13" s="176"/>
      <c r="CP13" s="176"/>
      <c r="CQ13" s="176"/>
      <c r="CR13" s="176"/>
      <c r="CS13" s="176"/>
      <c r="CT13" s="176"/>
      <c r="CU13" s="176"/>
      <c r="CV13" s="176"/>
      <c r="CW13" s="176"/>
      <c r="CX13" s="176"/>
      <c r="CY13" s="176"/>
      <c r="CZ13" s="176"/>
      <c r="DA13" s="176"/>
      <c r="DB13" s="176"/>
      <c r="DC13" s="176"/>
      <c r="DD13" s="176"/>
      <c r="DE13" s="176"/>
      <c r="DF13" s="176"/>
      <c r="DG13" s="176"/>
      <c r="DH13" s="170"/>
      <c r="DI13" s="170"/>
      <c r="DJ13" s="170"/>
      <c r="DK13" s="170"/>
      <c r="DL13" s="170"/>
      <c r="DM13" s="170"/>
      <c r="DN13" s="170"/>
      <c r="DO13" s="170"/>
      <c r="DP13" s="170"/>
      <c r="DQ13" s="170"/>
      <c r="DR13" s="170"/>
      <c r="DS13" s="170"/>
      <c r="DT13" s="170"/>
      <c r="DU13" s="170"/>
      <c r="DV13" s="170"/>
      <c r="FB13" s="117" t="s">
        <v>217</v>
      </c>
      <c r="FC13" s="117" t="s">
        <v>218</v>
      </c>
      <c r="FD13" s="117" t="s">
        <v>214</v>
      </c>
      <c r="FE13" s="117">
        <v>33.1</v>
      </c>
      <c r="FF13" s="117">
        <v>33.1</v>
      </c>
      <c r="FG13" s="117">
        <v>66.209999999999994</v>
      </c>
      <c r="FH13" s="128">
        <f t="shared" si="13"/>
        <v>2.0003021148036253</v>
      </c>
      <c r="FL13" s="117" t="s">
        <v>217</v>
      </c>
      <c r="FM13" s="117" t="s">
        <v>218</v>
      </c>
      <c r="FN13" s="117" t="s">
        <v>214</v>
      </c>
      <c r="FO13" s="117">
        <v>22</v>
      </c>
      <c r="FP13" s="117">
        <v>22</v>
      </c>
      <c r="FQ13" s="117">
        <v>43.99</v>
      </c>
      <c r="FR13" s="128">
        <f t="shared" si="14"/>
        <v>1.9995454545454547</v>
      </c>
      <c r="FU13" s="117" t="s">
        <v>217</v>
      </c>
      <c r="FV13" s="117" t="s">
        <v>218</v>
      </c>
      <c r="FW13" s="117" t="s">
        <v>214</v>
      </c>
      <c r="FX13" s="117">
        <v>21.77</v>
      </c>
      <c r="FY13" s="117">
        <v>21.77</v>
      </c>
      <c r="FZ13" s="117">
        <v>43.54</v>
      </c>
      <c r="GA13" s="128">
        <f t="shared" si="15"/>
        <v>2</v>
      </c>
    </row>
    <row r="14" spans="1:185" s="117" customFormat="1" ht="15.75" customHeight="1" x14ac:dyDescent="0.25">
      <c r="A14" s="118"/>
      <c r="B14" s="121"/>
      <c r="C14" s="121"/>
      <c r="D14" s="121"/>
      <c r="E14" s="140"/>
      <c r="F14" s="160"/>
      <c r="G14" s="142"/>
      <c r="H14" s="143">
        <f t="shared" si="0"/>
        <v>0</v>
      </c>
      <c r="I14" s="119"/>
      <c r="J14" s="144" t="s">
        <v>219</v>
      </c>
      <c r="K14" s="173">
        <f>IFERROR(IF(C9="Gestante e lactante",ROUND(CS25*1.15,1),ROUND(CS25,1)),"")</f>
        <v>9.5</v>
      </c>
      <c r="L14" s="173">
        <f>IFERROR(K14*3,"")</f>
        <v>28.5</v>
      </c>
      <c r="M14" s="174">
        <f>BC24</f>
        <v>0</v>
      </c>
      <c r="N14" s="122" t="str">
        <f t="shared" si="16"/>
        <v>Aumentar</v>
      </c>
      <c r="O14" s="161" t="str">
        <f t="shared" si="12"/>
        <v/>
      </c>
      <c r="P14" s="161" t="str">
        <f t="shared" si="17"/>
        <v/>
      </c>
      <c r="Q14" s="119"/>
      <c r="R14" s="148" t="str">
        <f t="shared" si="18"/>
        <v/>
      </c>
      <c r="S14" s="162" t="str">
        <f t="shared" si="19"/>
        <v/>
      </c>
      <c r="T14" s="162" t="str">
        <f>IF(S14="","",IFERROR(S14*(VLOOKUP(R14,'Formulação suplementos'!$B$56:$W$68,2,)),0))</f>
        <v/>
      </c>
      <c r="U14" s="150" t="str">
        <f t="shared" si="1"/>
        <v/>
      </c>
      <c r="V14" s="150" t="str">
        <f t="shared" si="2"/>
        <v/>
      </c>
      <c r="W14" s="151" t="str">
        <f t="shared" si="11"/>
        <v/>
      </c>
      <c r="X14" s="151" t="str">
        <f t="shared" si="3"/>
        <v/>
      </c>
      <c r="Y14" s="119"/>
      <c r="Z14" s="119"/>
      <c r="AA14" s="119"/>
      <c r="AB14" s="119"/>
      <c r="AC14" s="119"/>
      <c r="AD14" s="164"/>
      <c r="AE14" s="119"/>
      <c r="AF14" s="186" t="str">
        <f>IFERROR(VLOOKUP(R14,'Formulação suplementos'!$B$56:$W$68,22,0)*T14,"")</f>
        <v/>
      </c>
      <c r="AG14" s="119"/>
      <c r="AH14" s="154" t="str">
        <f>IFERROR(VLOOKUP(E15,'Formulação suplementos'!$B$57:$C$68,2,0)*F15,"")</f>
        <v/>
      </c>
      <c r="AI14" s="119"/>
      <c r="AJ14" s="119"/>
      <c r="AK14" s="164" t="s">
        <v>220</v>
      </c>
      <c r="AL14" s="172">
        <v>0.8</v>
      </c>
      <c r="AM14" s="119"/>
      <c r="AN14" s="118"/>
      <c r="AO14" s="116"/>
      <c r="AP14" s="116"/>
      <c r="AQ14" s="116"/>
      <c r="AR14" s="116"/>
      <c r="AS14" s="116"/>
      <c r="AT14" s="116"/>
      <c r="AU14" s="116"/>
      <c r="AV14" s="165">
        <f>IFERROR($T11*(VLOOKUP($R11,'Formulação suplementos'!$B$42:$W$54,AV$7,0)),0)</f>
        <v>0</v>
      </c>
      <c r="AW14" s="165">
        <f>IFERROR($T11*(VLOOKUP($R11,'Formulação suplementos'!$B$42:$W$54,AW$7,0)),0)</f>
        <v>0</v>
      </c>
      <c r="AX14" s="165">
        <f>IFERROR($T11*(VLOOKUP($R11,'Formulação suplementos'!$B$42:$W$54,AX$7,0)*1000),0)</f>
        <v>0</v>
      </c>
      <c r="AY14" s="165">
        <f>IFERROR($T11*(VLOOKUP($R11,'Formulação suplementos'!$B$42:$W$54,AY$7,0)*1000),0)</f>
        <v>0</v>
      </c>
      <c r="AZ14" s="165">
        <f>IFERROR($T11*(VLOOKUP($R11,'Formulação suplementos'!$B$42:$W$54,AZ$7,0)),0)</f>
        <v>0</v>
      </c>
      <c r="BA14" s="165">
        <f>IFERROR($T11*(VLOOKUP($R11,'Formulação suplementos'!$B$42:$W$54,BA$7,0)),0)</f>
        <v>0</v>
      </c>
      <c r="BB14" s="165">
        <f>IFERROR($T11*(VLOOKUP($R11,'Formulação suplementos'!$B$42:$W$54,BB$7,0)*1000),0)</f>
        <v>0</v>
      </c>
      <c r="BC14" s="165">
        <f>IFERROR($T11*(VLOOKUP($R11,'Formulação suplementos'!$B$42:$W$54,BC$7,0)*1000),0)</f>
        <v>0</v>
      </c>
      <c r="BD14" s="165">
        <f>IFERROR($T11*(VLOOKUP($R11,'Formulação suplementos'!$B$42:$W$54,BD$7,0)*1000),0)</f>
        <v>0</v>
      </c>
      <c r="BE14" s="165">
        <f>IFERROR($T11*(VLOOKUP($R11,'Formulação suplementos'!$B$42:$W$54,BE$7,0)*1000),0)</f>
        <v>0</v>
      </c>
      <c r="BF14" s="165">
        <f>IFERROR($T11*(VLOOKUP($R11,'Formulação suplementos'!$B$42:$W$54,BF$7,0)*1000),0)</f>
        <v>0</v>
      </c>
      <c r="BG14" s="165">
        <f>IFERROR($T11*(VLOOKUP($R11,'Formulação suplementos'!$B$42:$W$54,BG$7,0)),0)</f>
        <v>0</v>
      </c>
      <c r="BH14" s="165">
        <f>IFERROR($T11*(VLOOKUP($R11,'Formulação suplementos'!$B$42:$W$54,BH$7,0)),0)</f>
        <v>0</v>
      </c>
      <c r="BI14" s="165">
        <f>IFERROR($T11*(VLOOKUP($R11,'Formulação suplementos'!$B$42:$W$54,BI$7,0)),0)</f>
        <v>0</v>
      </c>
      <c r="BJ14" s="165">
        <f>IFERROR($T11*(VLOOKUP($R11,'Formulação suplementos'!$B$42:$W$54,BJ$7,0)),0)</f>
        <v>0</v>
      </c>
      <c r="BK14" s="165">
        <f>IFERROR($T11*(VLOOKUP($R11,'Formulação suplementos'!$B$42:$W$54,BK$7,0)),0)</f>
        <v>0</v>
      </c>
      <c r="BL14" s="165">
        <f>IFERROR($T11*(VLOOKUP($R11,'Formulação suplementos'!$B$42:$W$54,BL$7,0)),0)</f>
        <v>0</v>
      </c>
      <c r="BM14" s="165">
        <f>IFERROR($T11*(VLOOKUP($R11,'Formulação suplementos'!$B$42:$W$54,BM$7,0)),0)</f>
        <v>0</v>
      </c>
      <c r="BN14"/>
      <c r="BO14"/>
      <c r="BP14"/>
      <c r="BQ14"/>
      <c r="BR14" s="116"/>
      <c r="BS14"/>
      <c r="BT14"/>
      <c r="BU14"/>
      <c r="BV14"/>
      <c r="BW14"/>
      <c r="BX14"/>
      <c r="BY14" s="166"/>
      <c r="BZ14" s="166"/>
      <c r="CA14" s="167"/>
      <c r="CB14" s="168"/>
      <c r="CC14" s="169"/>
      <c r="CD14" s="169"/>
      <c r="CE14" s="166"/>
      <c r="CF14" s="166"/>
      <c r="CG14" s="167"/>
      <c r="CH14" s="167"/>
      <c r="CI14" s="170"/>
      <c r="CJ14" s="176"/>
      <c r="CK14" s="176"/>
      <c r="CL14" s="176"/>
      <c r="CM14" s="176"/>
      <c r="CN14" s="176"/>
      <c r="CO14" s="176"/>
      <c r="CP14" s="176"/>
      <c r="CQ14" s="176"/>
      <c r="CR14" s="176"/>
      <c r="CS14" s="176"/>
      <c r="CT14" s="176"/>
      <c r="CU14" s="176"/>
      <c r="CV14" s="176"/>
      <c r="CW14" s="176"/>
      <c r="CX14" s="176"/>
      <c r="CY14" s="176"/>
      <c r="CZ14" s="176"/>
      <c r="DA14" s="176"/>
      <c r="DB14" s="176"/>
      <c r="DC14" s="176"/>
      <c r="DD14" s="176"/>
      <c r="DE14" s="176"/>
      <c r="DF14" s="176"/>
      <c r="DG14" s="176"/>
      <c r="DH14" s="170"/>
      <c r="DI14" s="170"/>
      <c r="DJ14" s="170"/>
      <c r="DK14" s="170"/>
      <c r="DL14" s="170"/>
      <c r="DM14" s="170"/>
      <c r="DN14" s="170"/>
      <c r="DO14" s="170"/>
      <c r="DP14" s="170"/>
      <c r="DQ14" s="170"/>
      <c r="DR14" s="170"/>
      <c r="DS14" s="170"/>
      <c r="DT14" s="170"/>
      <c r="DU14" s="170"/>
      <c r="DV14" s="170"/>
      <c r="FB14" s="117" t="s">
        <v>221</v>
      </c>
      <c r="FC14" s="117" t="s">
        <v>222</v>
      </c>
      <c r="FD14" s="117" t="s">
        <v>214</v>
      </c>
      <c r="FE14" s="117">
        <v>17.04</v>
      </c>
      <c r="FF14" s="117">
        <v>17.04</v>
      </c>
      <c r="FG14" s="117">
        <v>34.08</v>
      </c>
      <c r="FH14" s="128">
        <f t="shared" si="13"/>
        <v>2</v>
      </c>
      <c r="FL14" s="117" t="s">
        <v>221</v>
      </c>
      <c r="FM14" s="117" t="s">
        <v>222</v>
      </c>
      <c r="FN14" s="117" t="s">
        <v>214</v>
      </c>
      <c r="FO14" s="117">
        <v>13.5</v>
      </c>
      <c r="FP14" s="117">
        <v>13.5</v>
      </c>
      <c r="FQ14" s="117">
        <v>27.01</v>
      </c>
      <c r="FR14" s="128">
        <f t="shared" si="14"/>
        <v>2.0007407407407407</v>
      </c>
      <c r="FU14" s="117" t="s">
        <v>221</v>
      </c>
      <c r="FV14" s="117" t="s">
        <v>222</v>
      </c>
      <c r="FW14" s="117" t="s">
        <v>214</v>
      </c>
      <c r="FX14" s="117">
        <v>13.43</v>
      </c>
      <c r="FY14" s="117">
        <v>13.43</v>
      </c>
      <c r="FZ14" s="117">
        <v>26.85</v>
      </c>
      <c r="GA14" s="128">
        <f t="shared" si="15"/>
        <v>1.9992553983618766</v>
      </c>
    </row>
    <row r="15" spans="1:185" s="117" customFormat="1" ht="15.75" customHeight="1" thickBot="1" x14ac:dyDescent="0.3">
      <c r="A15" s="118"/>
      <c r="B15" s="648" t="s">
        <v>223</v>
      </c>
      <c r="C15" s="648"/>
      <c r="D15" s="121"/>
      <c r="E15" s="140"/>
      <c r="F15" s="187"/>
      <c r="G15" s="142"/>
      <c r="H15" s="143">
        <f t="shared" si="0"/>
        <v>0</v>
      </c>
      <c r="I15" s="119"/>
      <c r="J15" s="144" t="s">
        <v>224</v>
      </c>
      <c r="K15" s="173">
        <f>IFERROR(IF(C9="Gestante e lactante",ROUND(CS29*1.15,1),ROUND(CS29,1)),"")</f>
        <v>33.1</v>
      </c>
      <c r="L15" s="173">
        <f>IFERROR(K15*3,"")</f>
        <v>99.300000000000011</v>
      </c>
      <c r="M15" s="174">
        <f>BE24</f>
        <v>243.96447156104534</v>
      </c>
      <c r="N15" s="122" t="str">
        <f t="shared" si="16"/>
        <v>Reduzir</v>
      </c>
      <c r="O15" s="161">
        <f t="shared" si="12"/>
        <v>2.7400000000000001E-2</v>
      </c>
      <c r="P15" s="161">
        <f t="shared" si="17"/>
        <v>3.7175085134191913E-3</v>
      </c>
      <c r="Q15" s="119"/>
      <c r="R15" s="148" t="str">
        <f t="shared" si="18"/>
        <v/>
      </c>
      <c r="S15" s="162" t="str">
        <f t="shared" si="19"/>
        <v/>
      </c>
      <c r="T15" s="162" t="str">
        <f>IF(S15="","",IFERROR(S15*(VLOOKUP(R15,'Formulação suplementos'!$B$56:$W$68,2,)),0))</f>
        <v/>
      </c>
      <c r="U15" s="150" t="str">
        <f t="shared" si="1"/>
        <v/>
      </c>
      <c r="V15" s="150" t="str">
        <f t="shared" si="2"/>
        <v/>
      </c>
      <c r="W15" s="151" t="str">
        <f t="shared" si="11"/>
        <v/>
      </c>
      <c r="X15" s="151" t="str">
        <f t="shared" si="3"/>
        <v/>
      </c>
      <c r="Y15" s="119"/>
      <c r="Z15" s="119"/>
      <c r="AA15" s="119"/>
      <c r="AB15" s="119"/>
      <c r="AC15" s="119"/>
      <c r="AD15" s="134"/>
      <c r="AE15" s="119"/>
      <c r="AF15" s="153" t="str">
        <f>IFERROR(VLOOKUP(R15,'Formulação suplementos'!$B$56:$W$68,22,0)*T15,"")</f>
        <v/>
      </c>
      <c r="AG15" s="119"/>
      <c r="AH15" s="154" t="str">
        <f>IFERROR(VLOOKUP(E16,'Formulação suplementos'!$B$57:$C$68,2,0)*F16,"")</f>
        <v/>
      </c>
      <c r="AI15" s="119"/>
      <c r="AJ15" s="119"/>
      <c r="AK15" s="119"/>
      <c r="AL15" s="119"/>
      <c r="AM15" s="119"/>
      <c r="AN15" s="118"/>
      <c r="AO15" s="116"/>
      <c r="AP15" s="116"/>
      <c r="AQ15" s="116"/>
      <c r="AR15" s="116"/>
      <c r="AS15" s="116"/>
      <c r="AT15" s="116"/>
      <c r="AU15" s="116"/>
      <c r="AV15" s="165">
        <f>IFERROR($T12*(VLOOKUP($R12,'Formulação suplementos'!$B$42:$W$54,AV$7,0)),0)</f>
        <v>0</v>
      </c>
      <c r="AW15" s="165">
        <f>IFERROR($T12*(VLOOKUP($R12,'Formulação suplementos'!$B$42:$W$54,AW$7,0)),0)</f>
        <v>0</v>
      </c>
      <c r="AX15" s="165">
        <f>IFERROR($T12*(VLOOKUP($R12,'Formulação suplementos'!$B$42:$W$54,AX$7,0)*1000),0)</f>
        <v>0</v>
      </c>
      <c r="AY15" s="165">
        <f>IFERROR($T12*(VLOOKUP($R12,'Formulação suplementos'!$B$42:$W$54,AY$7,0)*1000),0)</f>
        <v>0</v>
      </c>
      <c r="AZ15" s="165">
        <f>IFERROR($T12*(VLOOKUP($R12,'Formulação suplementos'!$B$42:$W$54,AZ$7,0)),0)</f>
        <v>0</v>
      </c>
      <c r="BA15" s="165">
        <f>IFERROR($T12*(VLOOKUP($R12,'Formulação suplementos'!$B$42:$W$54,BA$7,0)),0)</f>
        <v>0</v>
      </c>
      <c r="BB15" s="165">
        <f>IFERROR($T12*(VLOOKUP($R12,'Formulação suplementos'!$B$42:$W$54,BB$7,0)*1000),0)</f>
        <v>0</v>
      </c>
      <c r="BC15" s="165">
        <f>IFERROR($T12*(VLOOKUP($R12,'Formulação suplementos'!$B$42:$W$54,BC$7,0)*1000),0)</f>
        <v>0</v>
      </c>
      <c r="BD15" s="165">
        <f>IFERROR($T12*(VLOOKUP($R12,'Formulação suplementos'!$B$42:$W$54,BD$7,0)*1000),0)</f>
        <v>0</v>
      </c>
      <c r="BE15" s="165">
        <f>IFERROR($T12*(VLOOKUP($R12,'Formulação suplementos'!$B$42:$W$54,BE$7,0)*1000),0)</f>
        <v>0</v>
      </c>
      <c r="BF15" s="165">
        <f>IFERROR($T12*(VLOOKUP($R12,'Formulação suplementos'!$B$42:$W$54,BF$7,0)*1000),0)</f>
        <v>0</v>
      </c>
      <c r="BG15" s="165">
        <f>IFERROR($T12*(VLOOKUP($R12,'Formulação suplementos'!$B$42:$W$54,BG$7,0)),0)</f>
        <v>0</v>
      </c>
      <c r="BH15" s="165">
        <f>IFERROR($T12*(VLOOKUP($R12,'Formulação suplementos'!$B$42:$W$54,BH$7,0)),0)</f>
        <v>0</v>
      </c>
      <c r="BI15" s="165">
        <f>IFERROR($T12*(VLOOKUP($R12,'Formulação suplementos'!$B$42:$W$54,BI$7,0)),0)</f>
        <v>0</v>
      </c>
      <c r="BJ15" s="165">
        <f>IFERROR($T12*(VLOOKUP($R12,'Formulação suplementos'!$B$42:$W$54,BJ$7,0)),0)</f>
        <v>0</v>
      </c>
      <c r="BK15" s="165">
        <f>IFERROR($T12*(VLOOKUP($R12,'Formulação suplementos'!$B$42:$W$54,BK$7,0)),0)</f>
        <v>0</v>
      </c>
      <c r="BL15" s="165">
        <f>IFERROR($T12*(VLOOKUP($R12,'Formulação suplementos'!$B$42:$W$54,BL$7,0)),0)</f>
        <v>0</v>
      </c>
      <c r="BM15" s="165">
        <f>IFERROR($T12*(VLOOKUP($R12,'Formulação suplementos'!$B$42:$W$54,BM$7,0)),0)</f>
        <v>0</v>
      </c>
      <c r="BN15"/>
      <c r="BO15"/>
      <c r="BP15"/>
      <c r="BQ15"/>
      <c r="BR15" s="116"/>
      <c r="BS15"/>
      <c r="BT15"/>
      <c r="BU15"/>
      <c r="BV15"/>
      <c r="BW15"/>
      <c r="BX15"/>
      <c r="BY15" s="166"/>
      <c r="BZ15" s="166"/>
      <c r="CA15" s="167"/>
      <c r="CB15" s="168"/>
      <c r="CC15" s="169"/>
      <c r="CD15" s="169"/>
      <c r="CE15" s="166"/>
      <c r="CF15" s="166"/>
      <c r="CG15" s="167"/>
      <c r="CH15" s="167"/>
      <c r="CI15" s="170"/>
      <c r="CJ15" s="176"/>
      <c r="CK15" s="176"/>
      <c r="CL15" s="176"/>
      <c r="CM15" s="176"/>
      <c r="CN15" s="176"/>
      <c r="CO15" s="176"/>
      <c r="CP15" s="176"/>
      <c r="CQ15" s="176"/>
      <c r="CR15" s="176"/>
      <c r="CS15" s="176"/>
      <c r="CT15" s="176"/>
      <c r="CU15" s="176"/>
      <c r="CV15" s="176"/>
      <c r="CW15" s="176"/>
      <c r="CX15" s="176"/>
      <c r="CY15" s="176"/>
      <c r="CZ15" s="176"/>
      <c r="DA15" s="176"/>
      <c r="DB15" s="176"/>
      <c r="DC15" s="176"/>
      <c r="DD15" s="176"/>
      <c r="DE15" s="176"/>
      <c r="DF15" s="176"/>
      <c r="DG15" s="176"/>
      <c r="DH15" s="170"/>
      <c r="DI15" s="170"/>
      <c r="DJ15" s="170"/>
      <c r="DK15" s="170"/>
      <c r="DL15" s="170"/>
      <c r="DM15" s="170"/>
      <c r="DN15" s="188" t="s">
        <v>225</v>
      </c>
      <c r="DO15" s="189">
        <v>2</v>
      </c>
      <c r="DP15" s="189"/>
      <c r="DQ15" s="189"/>
      <c r="DR15" s="170"/>
      <c r="DS15" s="190" t="s">
        <v>226</v>
      </c>
      <c r="DT15" s="191">
        <v>0.2</v>
      </c>
      <c r="DU15" s="191"/>
      <c r="DV15" s="170"/>
      <c r="FB15" s="117" t="s">
        <v>227</v>
      </c>
      <c r="FC15" s="117" t="s">
        <v>228</v>
      </c>
      <c r="FD15" s="117" t="s">
        <v>214</v>
      </c>
      <c r="FE15" s="117">
        <v>4.13</v>
      </c>
      <c r="FF15" s="117">
        <v>4.13</v>
      </c>
      <c r="FG15" s="117">
        <v>12.38</v>
      </c>
      <c r="FH15" s="128">
        <f t="shared" si="13"/>
        <v>2.9975786924939469</v>
      </c>
      <c r="FL15" s="117" t="s">
        <v>227</v>
      </c>
      <c r="FM15" s="117" t="s">
        <v>228</v>
      </c>
      <c r="FN15" s="117" t="s">
        <v>214</v>
      </c>
      <c r="FO15" s="117">
        <v>5.99</v>
      </c>
      <c r="FP15" s="117">
        <v>5.99</v>
      </c>
      <c r="FQ15" s="117">
        <v>17.96</v>
      </c>
      <c r="FR15" s="128">
        <f t="shared" si="14"/>
        <v>2.998330550918197</v>
      </c>
      <c r="FU15" s="117" t="s">
        <v>227</v>
      </c>
      <c r="FV15" s="117" t="s">
        <v>228</v>
      </c>
      <c r="FW15" s="117" t="s">
        <v>214</v>
      </c>
      <c r="FX15" s="117">
        <v>5.99</v>
      </c>
      <c r="FY15" s="117">
        <v>5.99</v>
      </c>
      <c r="FZ15" s="117">
        <v>17.96</v>
      </c>
      <c r="GA15" s="128">
        <f t="shared" si="15"/>
        <v>2.998330550918197</v>
      </c>
    </row>
    <row r="16" spans="1:185" s="117" customFormat="1" ht="15.75" customHeight="1" x14ac:dyDescent="0.3">
      <c r="A16" s="118"/>
      <c r="B16" s="129" t="s">
        <v>229</v>
      </c>
      <c r="C16" s="357">
        <v>150</v>
      </c>
      <c r="D16" s="121"/>
      <c r="E16" s="140"/>
      <c r="F16" s="187"/>
      <c r="G16" s="142"/>
      <c r="H16" s="143">
        <f t="shared" si="0"/>
        <v>0</v>
      </c>
      <c r="I16" s="119"/>
      <c r="J16" s="144" t="s">
        <v>230</v>
      </c>
      <c r="K16" s="173">
        <f>IFERROR(IF(C9="Gestante e lactante",ROUND(CS27*1.15,1),ROUND(CS27,1)),"")</f>
        <v>11.8</v>
      </c>
      <c r="L16" s="173">
        <f>IFERROR(K16*6,"")</f>
        <v>70.800000000000011</v>
      </c>
      <c r="M16" s="174">
        <f>BD24</f>
        <v>0.89038128306950848</v>
      </c>
      <c r="N16" s="122" t="str">
        <f t="shared" si="16"/>
        <v>Aumentar</v>
      </c>
      <c r="O16" s="161">
        <f t="shared" si="12"/>
        <v>1E-4</v>
      </c>
      <c r="P16" s="161">
        <f t="shared" si="17"/>
        <v>1.325274938318624E-3</v>
      </c>
      <c r="Q16" s="119"/>
      <c r="R16" s="148" t="str">
        <f t="shared" si="18"/>
        <v/>
      </c>
      <c r="S16" s="162" t="str">
        <f t="shared" si="19"/>
        <v/>
      </c>
      <c r="T16" s="162" t="str">
        <f>IF(S16="","",IFERROR(S16*(VLOOKUP(R16,'Formulação suplementos'!$B$56:$W$68,2,)),0))</f>
        <v/>
      </c>
      <c r="U16" s="150" t="str">
        <f t="shared" si="1"/>
        <v/>
      </c>
      <c r="V16" s="150" t="str">
        <f t="shared" si="2"/>
        <v/>
      </c>
      <c r="W16" s="151" t="str">
        <f t="shared" si="11"/>
        <v/>
      </c>
      <c r="X16" s="151" t="str">
        <f t="shared" si="3"/>
        <v/>
      </c>
      <c r="Y16" s="119"/>
      <c r="Z16" s="119"/>
      <c r="AA16" s="119"/>
      <c r="AB16" s="119"/>
      <c r="AC16" s="119"/>
      <c r="AD16" s="134"/>
      <c r="AE16" s="175"/>
      <c r="AF16" s="153" t="str">
        <f>IFERROR(VLOOKUP(R16,'Formulação suplementos'!$B$56:$W$68,22,0)*T16,"")</f>
        <v/>
      </c>
      <c r="AG16" s="119"/>
      <c r="AH16" s="154" t="str">
        <f>IFERROR(VLOOKUP(E17,'Formulação suplementos'!$B$57:$C$68,2,0)*F17,"")</f>
        <v/>
      </c>
      <c r="AI16" s="119"/>
      <c r="AJ16" s="119"/>
      <c r="AK16" s="119"/>
      <c r="AL16" s="119"/>
      <c r="AM16" s="119"/>
      <c r="AN16" s="118"/>
      <c r="AO16" s="116"/>
      <c r="AP16" s="116"/>
      <c r="AQ16" s="116"/>
      <c r="AR16" s="116"/>
      <c r="AS16" s="116"/>
      <c r="AT16" s="116"/>
      <c r="AU16" s="116"/>
      <c r="AV16" s="165">
        <f>IFERROR($T13*(VLOOKUP($R13,'Formulação suplementos'!$B$42:$W$54,AV$7,0)),0)</f>
        <v>0</v>
      </c>
      <c r="AW16" s="165">
        <f>IFERROR($T13*(VLOOKUP($R13,'Formulação suplementos'!$B$42:$W$54,AW$7,0)),0)</f>
        <v>0</v>
      </c>
      <c r="AX16" s="165">
        <f>IFERROR($T13*(VLOOKUP($R13,'Formulação suplementos'!$B$42:$W$54,AX$7,0)*1000),0)</f>
        <v>0</v>
      </c>
      <c r="AY16" s="165">
        <f>IFERROR($T13*(VLOOKUP($R13,'Formulação suplementos'!$B$42:$W$54,AY$7,0)*1000),0)</f>
        <v>0</v>
      </c>
      <c r="AZ16" s="165">
        <f>IFERROR($T13*(VLOOKUP($R13,'Formulação suplementos'!$B$42:$W$54,AZ$7,0)),0)</f>
        <v>0</v>
      </c>
      <c r="BA16" s="165">
        <f>IFERROR($T13*(VLOOKUP($R13,'Formulação suplementos'!$B$42:$W$54,BA$7,0)),0)</f>
        <v>0</v>
      </c>
      <c r="BB16" s="165">
        <f>IFERROR($T13*(VLOOKUP($R13,'Formulação suplementos'!$B$42:$W$54,BB$7,0)*1000),0)</f>
        <v>0</v>
      </c>
      <c r="BC16" s="165">
        <f>IFERROR($T13*(VLOOKUP($R13,'Formulação suplementos'!$B$42:$W$54,BC$7,0)*1000),0)</f>
        <v>0</v>
      </c>
      <c r="BD16" s="165">
        <f>IFERROR($T13*(VLOOKUP($R13,'Formulação suplementos'!$B$42:$W$54,BD$7,0)*1000),0)</f>
        <v>0</v>
      </c>
      <c r="BE16" s="165">
        <f>IFERROR($T13*(VLOOKUP($R13,'Formulação suplementos'!$B$42:$W$54,BE$7,0)*1000),0)</f>
        <v>0</v>
      </c>
      <c r="BF16" s="165">
        <f>IFERROR($T13*(VLOOKUP($R13,'Formulação suplementos'!$B$42:$W$54,BF$7,0)*1000),0)</f>
        <v>0</v>
      </c>
      <c r="BG16" s="165">
        <f>IFERROR($T13*(VLOOKUP($R13,'Formulação suplementos'!$B$42:$W$54,BG$7,0)),0)</f>
        <v>0</v>
      </c>
      <c r="BH16" s="165">
        <f>IFERROR($T13*(VLOOKUP($R13,'Formulação suplementos'!$B$42:$W$54,BH$7,0)),0)</f>
        <v>0</v>
      </c>
      <c r="BI16" s="165">
        <f>IFERROR($T13*(VLOOKUP($R13,'Formulação suplementos'!$B$42:$W$54,BI$7,0)),0)</f>
        <v>0</v>
      </c>
      <c r="BJ16" s="165">
        <f>IFERROR($T13*(VLOOKUP($R13,'Formulação suplementos'!$B$42:$W$54,BJ$7,0)),0)</f>
        <v>0</v>
      </c>
      <c r="BK16" s="165">
        <f>IFERROR($T13*(VLOOKUP($R13,'Formulação suplementos'!$B$42:$W$54,BK$7,0)),0)</f>
        <v>0</v>
      </c>
      <c r="BL16" s="165">
        <f>IFERROR($T13*(VLOOKUP($R13,'Formulação suplementos'!$B$42:$W$54,BL$7,0)),0)</f>
        <v>0</v>
      </c>
      <c r="BM16" s="165">
        <f>IFERROR($T13*(VLOOKUP($R13,'Formulação suplementos'!$B$42:$W$54,BM$7,0)),0)</f>
        <v>0</v>
      </c>
      <c r="BN16"/>
      <c r="BO16"/>
      <c r="BP16"/>
      <c r="BQ16"/>
      <c r="BR16" s="116"/>
      <c r="BS16"/>
      <c r="BT16"/>
      <c r="BU16"/>
      <c r="BV16"/>
      <c r="BW16"/>
      <c r="BX16"/>
      <c r="BY16" s="166"/>
      <c r="BZ16" s="166"/>
      <c r="CA16" s="167"/>
      <c r="CB16" s="168"/>
      <c r="CC16" s="169"/>
      <c r="CD16" s="169"/>
      <c r="CE16" s="166"/>
      <c r="CF16" s="166"/>
      <c r="CG16" s="167"/>
      <c r="CH16" s="167"/>
      <c r="CI16" s="170"/>
      <c r="CJ16" s="170"/>
      <c r="CK16" s="192"/>
      <c r="CL16" s="192"/>
      <c r="CM16" s="192"/>
      <c r="CN16" s="192"/>
      <c r="CO16" s="192"/>
      <c r="CP16" s="192"/>
      <c r="CQ16" s="192"/>
      <c r="CR16" s="192"/>
      <c r="CS16" s="192"/>
      <c r="CT16" s="192"/>
      <c r="CU16" s="170"/>
      <c r="CV16" s="170"/>
      <c r="CW16" s="192"/>
      <c r="CX16" s="192"/>
      <c r="CY16" s="192"/>
      <c r="CZ16" s="192"/>
      <c r="DA16" s="192"/>
      <c r="DB16" s="192"/>
      <c r="DC16" s="192"/>
      <c r="DD16" s="192"/>
      <c r="DE16" s="192"/>
      <c r="DF16" s="192"/>
      <c r="DG16" s="170"/>
      <c r="DH16" s="170"/>
      <c r="DI16" s="170"/>
      <c r="DJ16" s="170"/>
      <c r="DK16" s="170"/>
      <c r="DL16" s="170"/>
      <c r="DM16" s="170"/>
      <c r="DN16" s="193" t="s">
        <v>231</v>
      </c>
      <c r="DO16" s="191">
        <v>0.1</v>
      </c>
      <c r="DP16" s="191"/>
      <c r="DQ16" s="193"/>
      <c r="DR16" s="170"/>
      <c r="DS16" s="190" t="s">
        <v>232</v>
      </c>
      <c r="DT16" s="194">
        <v>1</v>
      </c>
      <c r="DU16" s="195">
        <f>-53.07 + (304.89 * (DT16-'Formulação suplementos'!$CA$214)) + (90.79 *('Formulação suplementos'!$CY$30)) - (3.13 *('Formulação suplementos'!$CY$30)^2)</f>
        <v>260.45163900604575</v>
      </c>
      <c r="DV16" s="170"/>
      <c r="FB16" s="117" t="s">
        <v>233</v>
      </c>
      <c r="FC16" s="117" t="s">
        <v>234</v>
      </c>
      <c r="FD16" s="117" t="s">
        <v>214</v>
      </c>
      <c r="FE16" s="117">
        <v>13.15</v>
      </c>
      <c r="FF16" s="117">
        <v>13.15</v>
      </c>
      <c r="FG16" s="117">
        <v>39.450000000000003</v>
      </c>
      <c r="FH16" s="128">
        <f t="shared" si="13"/>
        <v>3</v>
      </c>
      <c r="FL16" s="117" t="s">
        <v>233</v>
      </c>
      <c r="FM16" s="117" t="s">
        <v>234</v>
      </c>
      <c r="FN16" s="117" t="s">
        <v>214</v>
      </c>
      <c r="FO16" s="117">
        <v>18.25</v>
      </c>
      <c r="FP16" s="117">
        <v>18.25</v>
      </c>
      <c r="FQ16" s="117">
        <v>54.74</v>
      </c>
      <c r="FR16" s="128">
        <f t="shared" si="14"/>
        <v>2.9994520547945207</v>
      </c>
      <c r="FU16" s="117" t="s">
        <v>233</v>
      </c>
      <c r="FV16" s="117" t="s">
        <v>234</v>
      </c>
      <c r="FW16" s="117" t="s">
        <v>214</v>
      </c>
      <c r="FX16" s="117">
        <v>18.260000000000002</v>
      </c>
      <c r="FY16" s="117">
        <v>18.260000000000002</v>
      </c>
      <c r="FZ16" s="117">
        <v>54.78</v>
      </c>
      <c r="GA16" s="128">
        <f t="shared" si="15"/>
        <v>3</v>
      </c>
    </row>
    <row r="17" spans="1:183" s="117" customFormat="1" ht="15.75" customHeight="1" x14ac:dyDescent="0.3">
      <c r="A17" s="118"/>
      <c r="B17" s="129" t="s">
        <v>235</v>
      </c>
      <c r="C17" s="142">
        <v>300</v>
      </c>
      <c r="D17" s="121"/>
      <c r="E17" s="140"/>
      <c r="F17" s="187"/>
      <c r="G17" s="142"/>
      <c r="H17" s="143">
        <f t="shared" si="0"/>
        <v>0</v>
      </c>
      <c r="I17" s="119"/>
      <c r="J17" s="144" t="s">
        <v>236</v>
      </c>
      <c r="K17" s="173">
        <f>IF(C6="","",ROUND(CS31,1))</f>
        <v>9.1999999999999993</v>
      </c>
      <c r="L17" s="173">
        <f>IFERROR(K17*3,"")</f>
        <v>27.599999999999998</v>
      </c>
      <c r="M17" s="174">
        <f>BF24</f>
        <v>12.46533796297312</v>
      </c>
      <c r="N17" s="122" t="str">
        <f t="shared" si="16"/>
        <v>Ok</v>
      </c>
      <c r="O17" s="161">
        <f t="shared" si="12"/>
        <v>1.4000000000000002E-3</v>
      </c>
      <c r="P17" s="161">
        <f t="shared" si="17"/>
        <v>1.0332652061467236E-3</v>
      </c>
      <c r="Q17" s="119"/>
      <c r="R17" s="148" t="str">
        <f t="shared" si="18"/>
        <v/>
      </c>
      <c r="S17" s="162" t="str">
        <f t="shared" si="19"/>
        <v/>
      </c>
      <c r="T17" s="162" t="str">
        <f>IF(S17="","",IFERROR(S17*(VLOOKUP(R17,'Formulação suplementos'!$B$56:$W$68,2,)),0))</f>
        <v/>
      </c>
      <c r="U17" s="150" t="str">
        <f t="shared" si="1"/>
        <v/>
      </c>
      <c r="V17" s="150" t="str">
        <f t="shared" si="2"/>
        <v/>
      </c>
      <c r="W17" s="151" t="str">
        <f t="shared" si="11"/>
        <v/>
      </c>
      <c r="X17" s="151" t="str">
        <f t="shared" si="3"/>
        <v/>
      </c>
      <c r="Y17" s="119"/>
      <c r="Z17" s="119"/>
      <c r="AA17" s="119"/>
      <c r="AB17" s="119"/>
      <c r="AC17" s="119"/>
      <c r="AD17" s="196"/>
      <c r="AE17" s="177"/>
      <c r="AF17" s="153" t="str">
        <f>IFERROR(VLOOKUP(R17,'Formulação suplementos'!$B$56:$W$68,22,0)*T17,"")</f>
        <v/>
      </c>
      <c r="AG17" s="119"/>
      <c r="AH17" s="154" t="str">
        <f>IFERROR(VLOOKUP(E18,'Formulação suplementos'!$B$57:$C$68,2,0)*F18,"")</f>
        <v/>
      </c>
      <c r="AI17" s="119"/>
      <c r="AJ17" s="119"/>
      <c r="AK17" s="119"/>
      <c r="AL17" s="119"/>
      <c r="AM17" s="119"/>
      <c r="AN17" s="118"/>
      <c r="AO17" s="116"/>
      <c r="AP17" s="116"/>
      <c r="AQ17" s="116"/>
      <c r="AR17" s="116"/>
      <c r="AS17" s="116"/>
      <c r="AT17" s="116"/>
      <c r="AU17" s="116"/>
      <c r="AV17" s="165"/>
      <c r="AW17" s="165"/>
      <c r="AX17" s="165"/>
      <c r="AY17" s="165"/>
      <c r="AZ17" s="165"/>
      <c r="BA17" s="165"/>
      <c r="BB17" s="165"/>
      <c r="BC17" s="165"/>
      <c r="BD17" s="165"/>
      <c r="BE17" s="165"/>
      <c r="BF17" s="165"/>
      <c r="BG17" s="165"/>
      <c r="BH17" s="165"/>
      <c r="BI17" s="165"/>
      <c r="BJ17" s="165"/>
      <c r="BK17" s="165"/>
      <c r="BL17" s="165"/>
      <c r="BM17" s="165"/>
      <c r="BN17"/>
      <c r="BO17"/>
      <c r="BP17"/>
      <c r="BQ17"/>
      <c r="BR17" s="116"/>
      <c r="BS17"/>
      <c r="BT17"/>
      <c r="BU17"/>
      <c r="BV17"/>
      <c r="BW17"/>
      <c r="BX17"/>
      <c r="BY17" s="166"/>
      <c r="BZ17" s="166"/>
      <c r="CA17" s="167"/>
      <c r="CB17" s="168"/>
      <c r="CC17" s="169"/>
      <c r="CD17" s="169"/>
      <c r="CE17" s="166"/>
      <c r="CF17" s="166"/>
      <c r="CG17" s="167"/>
      <c r="CH17" s="167"/>
      <c r="CI17" s="170"/>
      <c r="CJ17" s="170"/>
      <c r="CK17" s="192"/>
      <c r="CL17" s="192"/>
      <c r="CM17" s="192"/>
      <c r="CN17" s="192"/>
      <c r="CO17" s="192"/>
      <c r="CP17" s="192"/>
      <c r="CQ17" s="192"/>
      <c r="CR17" s="192"/>
      <c r="CS17" s="192"/>
      <c r="CT17" s="192"/>
      <c r="CU17" s="170"/>
      <c r="CV17" s="170"/>
      <c r="CW17" s="192"/>
      <c r="CX17" s="192"/>
      <c r="CY17" s="192"/>
      <c r="CZ17" s="192"/>
      <c r="DA17" s="192"/>
      <c r="DB17" s="192"/>
      <c r="DC17" s="192"/>
      <c r="DD17" s="192"/>
      <c r="DE17" s="192"/>
      <c r="DF17" s="192"/>
      <c r="DG17" s="170"/>
      <c r="DH17" s="170"/>
      <c r="DI17" s="170"/>
      <c r="DJ17" s="170"/>
      <c r="DK17" s="170"/>
      <c r="DL17" s="170"/>
      <c r="DM17" s="170"/>
      <c r="DO17" s="194">
        <f>((120*'Formulação suplementos'!K10)+('Formulação suplementos'!CM37-(120*'Formulação suplementos'!K10)*0.64)/0.8)/1000</f>
        <v>1.0214077894761628</v>
      </c>
      <c r="DP17" s="195">
        <f>-53.07 + (304.89 * (DO17)) + (90.79 *'Formulação suplementos'!$K$10) - (3.13 * 'Formulação suplementos'!$K$10*'Formulação suplementos'!$K$10)</f>
        <v>653.12987326165307</v>
      </c>
      <c r="DR17" s="170"/>
      <c r="DS17" s="190" t="s">
        <v>237</v>
      </c>
      <c r="DT17" s="194">
        <f>((DU16+('Formulação suplementos'!$CY$36-(DU16*0.64))/0.8)/1000)</f>
        <v>0.47407014475724735</v>
      </c>
      <c r="DU17" s="195">
        <f>-53.07 + (304.89 * (DT17-'Formulação suplementos'!$CA$214)) + (90.79 *('Formulação suplementos'!$CY$30)) - (3.13 *('Formulação suplementos'!$CY$30)^2)</f>
        <v>100.10088544108295</v>
      </c>
      <c r="DV17" s="170"/>
      <c r="FB17" s="117" t="s">
        <v>238</v>
      </c>
      <c r="FC17" s="117" t="s">
        <v>239</v>
      </c>
      <c r="FD17" s="117" t="s">
        <v>214</v>
      </c>
      <c r="FE17" s="117">
        <v>8.07</v>
      </c>
      <c r="FF17" s="117">
        <v>8.07</v>
      </c>
      <c r="FG17" s="117">
        <v>48.39</v>
      </c>
      <c r="FH17" s="128">
        <f t="shared" si="13"/>
        <v>5.996282527881041</v>
      </c>
      <c r="FL17" s="117" t="s">
        <v>238</v>
      </c>
      <c r="FM17" s="117" t="s">
        <v>239</v>
      </c>
      <c r="FN17" s="117" t="s">
        <v>214</v>
      </c>
      <c r="FO17" s="117">
        <v>7.87</v>
      </c>
      <c r="FP17" s="117">
        <v>7.87</v>
      </c>
      <c r="FQ17" s="117">
        <v>47.24</v>
      </c>
      <c r="FR17" s="128">
        <f t="shared" si="14"/>
        <v>6.0025412960609916</v>
      </c>
      <c r="FU17" s="117" t="s">
        <v>238</v>
      </c>
      <c r="FV17" s="117" t="s">
        <v>239</v>
      </c>
      <c r="FW17" s="117" t="s">
        <v>214</v>
      </c>
      <c r="FX17" s="117">
        <v>7.85</v>
      </c>
      <c r="FY17" s="117">
        <v>7.85</v>
      </c>
      <c r="FZ17" s="117">
        <v>47.1</v>
      </c>
      <c r="GA17" s="128">
        <f t="shared" si="15"/>
        <v>6.0000000000000009</v>
      </c>
    </row>
    <row r="18" spans="1:183" s="117" customFormat="1" ht="15.75" customHeight="1" x14ac:dyDescent="0.3">
      <c r="A18" s="118"/>
      <c r="B18" s="129" t="s">
        <v>240</v>
      </c>
      <c r="C18" s="358" t="s">
        <v>241</v>
      </c>
      <c r="D18" s="121"/>
      <c r="E18" s="140"/>
      <c r="F18" s="187"/>
      <c r="G18" s="142"/>
      <c r="H18" s="143">
        <f t="shared" si="0"/>
        <v>0</v>
      </c>
      <c r="I18" s="119"/>
      <c r="J18" s="144" t="s">
        <v>242</v>
      </c>
      <c r="K18" s="197">
        <f>IFERROR(IF(C9="Gestante e lactante",ROUND(CS36*1.15,1),ROUND(CS36,1)),"")</f>
        <v>9.4</v>
      </c>
      <c r="L18" s="197">
        <f>IFERROR(K18*20,"")</f>
        <v>188</v>
      </c>
      <c r="M18" s="198">
        <f>BL24</f>
        <v>3.6505632605849838</v>
      </c>
      <c r="N18" s="122" t="str">
        <f t="shared" si="16"/>
        <v>Aumentar</v>
      </c>
      <c r="O18" s="199">
        <f>IF(M18=0,"",(M18/1000000)/$T$21)</f>
        <v>4.0999999999999989E-7</v>
      </c>
      <c r="P18" s="199">
        <f>IF(M18=0,"",(K18/1000000)/T$21)</f>
        <v>1.0557274932368698E-6</v>
      </c>
      <c r="Q18" s="119"/>
      <c r="R18" s="148" t="str">
        <f t="shared" si="18"/>
        <v/>
      </c>
      <c r="S18" s="162" t="str">
        <f t="shared" si="19"/>
        <v/>
      </c>
      <c r="T18" s="162" t="str">
        <f>IF(S18="","",IFERROR(S18*(VLOOKUP(R18,'Formulação suplementos'!$B$56:$W$68,2,)),0))</f>
        <v/>
      </c>
      <c r="U18" s="150" t="str">
        <f t="shared" si="1"/>
        <v/>
      </c>
      <c r="V18" s="150" t="str">
        <f t="shared" si="2"/>
        <v/>
      </c>
      <c r="W18" s="151" t="str">
        <f t="shared" si="11"/>
        <v/>
      </c>
      <c r="X18" s="151" t="str">
        <f t="shared" si="3"/>
        <v/>
      </c>
      <c r="Y18" s="119"/>
      <c r="Z18" s="119"/>
      <c r="AA18" s="119"/>
      <c r="AB18" s="119"/>
      <c r="AC18" s="119"/>
      <c r="AD18" s="119"/>
      <c r="AE18" s="119"/>
      <c r="AF18" s="153" t="str">
        <f>IFERROR(VLOOKUP(R18,'Formulação suplementos'!$B$56:$W$68,22,0)*T18,"")</f>
        <v/>
      </c>
      <c r="AG18" s="119"/>
      <c r="AH18" s="154" t="str">
        <f>IFERROR(VLOOKUP(E19,'Formulação suplementos'!$B$57:$C$68,2,0)*F19,"")</f>
        <v/>
      </c>
      <c r="AI18" s="119"/>
      <c r="AJ18" s="119"/>
      <c r="AK18" s="119"/>
      <c r="AL18" s="119"/>
      <c r="AM18" s="119"/>
      <c r="AN18" s="118"/>
      <c r="AO18" s="116"/>
      <c r="AP18" s="116"/>
      <c r="AQ18" s="116"/>
      <c r="AR18" s="116"/>
      <c r="AS18" s="116"/>
      <c r="AT18" s="116"/>
      <c r="AU18" s="116"/>
      <c r="AV18" s="165">
        <f>IFERROR($T14*(VLOOKUP($R14,'Formulação suplementos'!$B$56:$W$68,AV$7,0))/1000,0)</f>
        <v>0</v>
      </c>
      <c r="AW18" s="165">
        <f>IFERROR($T14*(VLOOKUP($R14,'Formulação suplementos'!$B$56:$W$68,AW$7,0))/1000,0)</f>
        <v>0</v>
      </c>
      <c r="AX18" s="165">
        <f>IFERROR($T14*(VLOOKUP($R14,'Formulação suplementos'!$B$56:$W$68,AX$7,0)),0)</f>
        <v>0</v>
      </c>
      <c r="AY18" s="165">
        <f>IFERROR($T14*(VLOOKUP($R14,'Formulação suplementos'!$B$56:$W$68,AY$7,0)),0)</f>
        <v>0</v>
      </c>
      <c r="AZ18" s="165">
        <f>IFERROR($T14*(VLOOKUP($R14,'Formulação suplementos'!$B$56:$W$68,AZ$7,0)),0)</f>
        <v>0</v>
      </c>
      <c r="BA18" s="165">
        <f>IFERROR($T14*(VLOOKUP($R14,'Formulação suplementos'!$B$56:$W$68,BA$7,0)),0)</f>
        <v>0</v>
      </c>
      <c r="BB18" s="165">
        <f>IFERROR($T14*(VLOOKUP($R14,'Formulação suplementos'!$B$56:$W$68,BB$7,0)),0)</f>
        <v>0</v>
      </c>
      <c r="BC18" s="165">
        <f>IFERROR($T14*(VLOOKUP($R14,'Formulação suplementos'!$B$56:$W$68,BC$7,0)),0)</f>
        <v>0</v>
      </c>
      <c r="BD18" s="165">
        <f>IFERROR($T14*(VLOOKUP($R14,'Formulação suplementos'!$B$56:$W$68,BD$7,0)),0)</f>
        <v>0</v>
      </c>
      <c r="BE18" s="165">
        <f>IFERROR($T14*(VLOOKUP($R14,'Formulação suplementos'!$B$56:$W$68,BE$7,0)),0)</f>
        <v>0</v>
      </c>
      <c r="BF18" s="165">
        <f>IFERROR($T14*(VLOOKUP($R14,'Formulação suplementos'!$B$56:$W$68,BF$7,0)),0)</f>
        <v>0</v>
      </c>
      <c r="BG18" s="165">
        <f>IFERROR($T14*(VLOOKUP($R14,'Formulação suplementos'!$B$56:$W$68,BG$7,0)),0)</f>
        <v>0</v>
      </c>
      <c r="BH18" s="165">
        <f>IFERROR($T14*(VLOOKUP($R14,'Formulação suplementos'!$B$56:$W$68,BH$7,0)),0)</f>
        <v>0</v>
      </c>
      <c r="BI18" s="165">
        <f>IFERROR($T14*(VLOOKUP($R14,'Formulação suplementos'!$B$56:$W$68,BI$7,0)),0)</f>
        <v>0</v>
      </c>
      <c r="BJ18" s="165">
        <f>IFERROR($T14*(VLOOKUP($R14,'Formulação suplementos'!$B$56:$W$68,BJ$7,0)),0)</f>
        <v>0</v>
      </c>
      <c r="BK18" s="165">
        <f>IFERROR($T14*(VLOOKUP($R14,'Formulação suplementos'!$B$56:$W$68,BK$7,0)),0)</f>
        <v>0</v>
      </c>
      <c r="BL18" s="165">
        <f>IFERROR($T14*(VLOOKUP($R14,'Formulação suplementos'!$B$56:$W$68,BL$7,0)),0)</f>
        <v>0</v>
      </c>
      <c r="BM18" s="165">
        <f>IFERROR($T14*(VLOOKUP($R14,'Formulação suplementos'!$B$56:$W$68,BM$7,0)),0)</f>
        <v>0</v>
      </c>
      <c r="BN18"/>
      <c r="BO18"/>
      <c r="BP18"/>
      <c r="BQ18"/>
      <c r="BR18" s="116"/>
      <c r="BS18"/>
      <c r="BT18"/>
      <c r="BU18"/>
      <c r="BV18"/>
      <c r="BW18"/>
      <c r="BX18"/>
      <c r="BY18" s="166"/>
      <c r="BZ18" s="166"/>
      <c r="CA18" s="167"/>
      <c r="CB18" s="168"/>
      <c r="CC18" s="169"/>
      <c r="CD18" s="169"/>
      <c r="CE18" s="166"/>
      <c r="CF18" s="166"/>
      <c r="CG18" s="167"/>
      <c r="CH18" s="167"/>
      <c r="CI18" s="170"/>
      <c r="CJ18" s="170"/>
      <c r="CK18" s="192" t="s">
        <v>243</v>
      </c>
      <c r="CL18" s="192"/>
      <c r="CM18" s="192"/>
      <c r="CN18" s="192"/>
      <c r="CO18" s="170"/>
      <c r="CP18" s="192" t="s">
        <v>244</v>
      </c>
      <c r="CQ18" s="192"/>
      <c r="CR18" s="192"/>
      <c r="CS18" s="192"/>
      <c r="CT18" s="192"/>
      <c r="CU18" s="170"/>
      <c r="CV18" s="170"/>
      <c r="CW18" s="192" t="s">
        <v>243</v>
      </c>
      <c r="CX18" s="192"/>
      <c r="CY18" s="192"/>
      <c r="CZ18" s="192"/>
      <c r="DA18" s="170"/>
      <c r="DB18" s="192" t="s">
        <v>244</v>
      </c>
      <c r="DC18" s="192"/>
      <c r="DD18" s="192"/>
      <c r="DE18" s="192"/>
      <c r="DF18" s="192"/>
      <c r="DG18" s="170"/>
      <c r="DH18" s="170"/>
      <c r="DI18" s="170"/>
      <c r="DJ18" s="170"/>
      <c r="DK18" s="170"/>
      <c r="DL18" s="170"/>
      <c r="DM18" s="170"/>
      <c r="DO18" s="194">
        <f>(DP17+('Formulação suplementos'!$CM$37-(DP17*0.64))/0.8)/1000</f>
        <v>1.0242006750653092</v>
      </c>
      <c r="DP18" s="195">
        <f>-53.07 + (304.89 * (DO18)) + (90.79 *'Formulação suplementos'!$K$10) - (3.13 * 'Formulação suplementos'!$K$10*'Formulação suplementos'!$K$10)</f>
        <v>653.98139614892784</v>
      </c>
      <c r="DR18" s="170"/>
      <c r="DT18" s="194">
        <f>(DU17+('Formulação suplementos'!$CY$36-(DU17*0.64))/0.8)/1000</f>
        <v>0.44199999404425477</v>
      </c>
      <c r="DU18" s="195">
        <f>-53.07 + (304.89 * (DT18-'Formulação suplementos'!$CA$214)) + (90.79 *('Formulação suplementos'!$CY$30)) - (3.13 *('Formulação suplementos'!$CY$30)^2)</f>
        <v>90.323017190198655</v>
      </c>
      <c r="DV18" s="170"/>
      <c r="FB18" s="117" t="s">
        <v>245</v>
      </c>
      <c r="FC18" s="117" t="s">
        <v>2</v>
      </c>
      <c r="FD18" s="117" t="s">
        <v>214</v>
      </c>
      <c r="FE18" s="117">
        <v>6.63</v>
      </c>
      <c r="FF18" s="117">
        <v>6.63</v>
      </c>
      <c r="FG18" s="117">
        <v>19.899999999999999</v>
      </c>
      <c r="FH18" s="128">
        <f t="shared" si="13"/>
        <v>3.0015082956259427</v>
      </c>
      <c r="FL18" s="117" t="s">
        <v>245</v>
      </c>
      <c r="FM18" s="117" t="s">
        <v>2</v>
      </c>
      <c r="FN18" s="117" t="s">
        <v>214</v>
      </c>
      <c r="FO18" s="117">
        <v>9.09</v>
      </c>
      <c r="FP18" s="117">
        <v>9.09</v>
      </c>
      <c r="FQ18" s="117">
        <v>27.28</v>
      </c>
      <c r="FR18" s="128">
        <f t="shared" si="14"/>
        <v>3.0011001100110013</v>
      </c>
      <c r="FU18" s="117" t="s">
        <v>245</v>
      </c>
      <c r="FV18" s="117" t="s">
        <v>2</v>
      </c>
      <c r="FW18" s="117" t="s">
        <v>214</v>
      </c>
      <c r="FX18" s="117">
        <v>9.23</v>
      </c>
      <c r="FY18" s="117">
        <v>9.23</v>
      </c>
      <c r="FZ18" s="117">
        <v>27.68</v>
      </c>
      <c r="GA18" s="128">
        <f t="shared" si="15"/>
        <v>2.9989165763813648</v>
      </c>
    </row>
    <row r="19" spans="1:183" s="117" customFormat="1" ht="15.75" customHeight="1" x14ac:dyDescent="0.3">
      <c r="A19" s="118"/>
      <c r="B19" s="129" t="s">
        <v>246</v>
      </c>
      <c r="C19" s="359">
        <v>5.0000000000000001E-4</v>
      </c>
      <c r="D19" s="121"/>
      <c r="E19" s="140"/>
      <c r="F19" s="187"/>
      <c r="G19" s="142"/>
      <c r="H19" s="143">
        <f t="shared" si="0"/>
        <v>0</v>
      </c>
      <c r="I19" s="119"/>
      <c r="J19" s="144" t="s">
        <v>247</v>
      </c>
      <c r="K19" s="197">
        <f>IFERROR(IF(C9="Gestante e lactante",ROUND(CS34*1.15,1),ROUND(CS34,1)),"")</f>
        <v>81.599999999999994</v>
      </c>
      <c r="L19" s="197">
        <f>IFERROR(K19*3,"")</f>
        <v>244.79999999999998</v>
      </c>
      <c r="M19" s="198">
        <f>BG24</f>
        <v>89.66139520509951</v>
      </c>
      <c r="N19" s="122" t="str">
        <f t="shared" si="16"/>
        <v>Ok</v>
      </c>
      <c r="O19" s="199">
        <f>IF(M19=0,"",(M19/1000000)/$T$21)</f>
        <v>1.0070000000000002E-5</v>
      </c>
      <c r="P19" s="199">
        <f>IF(M19=0,"",(K19/1000000)/T$21)</f>
        <v>9.1646131327796355E-6</v>
      </c>
      <c r="Q19" s="119"/>
      <c r="R19" s="148" t="str">
        <f t="shared" si="18"/>
        <v/>
      </c>
      <c r="S19" s="162" t="str">
        <f t="shared" si="19"/>
        <v/>
      </c>
      <c r="T19" s="162" t="str">
        <f>IF(S19="","",IFERROR(S19*(VLOOKUP(R19,'Formulação suplementos'!$B$56:$W$68,2,)),0))</f>
        <v/>
      </c>
      <c r="U19" s="150" t="str">
        <f t="shared" si="1"/>
        <v/>
      </c>
      <c r="V19" s="150" t="str">
        <f t="shared" si="2"/>
        <v/>
      </c>
      <c r="W19" s="151" t="str">
        <f t="shared" si="11"/>
        <v/>
      </c>
      <c r="X19" s="151" t="str">
        <f t="shared" si="3"/>
        <v/>
      </c>
      <c r="Y19" s="119"/>
      <c r="Z19" s="119"/>
      <c r="AA19" s="119"/>
      <c r="AB19" s="119"/>
      <c r="AC19" s="119"/>
      <c r="AD19" s="119"/>
      <c r="AE19" s="119"/>
      <c r="AF19" s="200" t="str">
        <f>IFERROR(VLOOKUP(R19,'Formulação suplementos'!$B$56:$W$68,22,0)*T19,"")</f>
        <v/>
      </c>
      <c r="AG19" s="119"/>
      <c r="AH19" s="154" t="str">
        <f>IFERROR(VLOOKUP(E20,'Formulação suplementos'!$B$57:$C$68,2,0)*F20,"")</f>
        <v/>
      </c>
      <c r="AI19" s="119"/>
      <c r="AJ19" s="119"/>
      <c r="AK19" s="119"/>
      <c r="AL19" s="119"/>
      <c r="AM19" s="119"/>
      <c r="AN19" s="118"/>
      <c r="AO19" s="116"/>
      <c r="AP19" s="116"/>
      <c r="AQ19" s="116"/>
      <c r="AR19" s="116"/>
      <c r="AS19" s="116"/>
      <c r="AT19" s="116"/>
      <c r="AU19" s="116"/>
      <c r="AV19" s="165">
        <f>IFERROR($T15*(VLOOKUP($R15,'Formulação suplementos'!$B$56:$W$68,AV$7,0))/1000,0)</f>
        <v>0</v>
      </c>
      <c r="AW19" s="165">
        <f>IFERROR($T15*(VLOOKUP($R15,'Formulação suplementos'!$B$56:$W$68,AW$7,0))/1000,0)</f>
        <v>0</v>
      </c>
      <c r="AX19" s="165">
        <f>IFERROR($T15*(VLOOKUP($R15,'Formulação suplementos'!$B$56:$W$68,AX$7,0)),0)</f>
        <v>0</v>
      </c>
      <c r="AY19" s="165">
        <f>IFERROR($T15*(VLOOKUP($R15,'Formulação suplementos'!$B$56:$W$68,AY$7,0)),0)</f>
        <v>0</v>
      </c>
      <c r="AZ19" s="165">
        <f>IFERROR($T15*(VLOOKUP($R15,'Formulação suplementos'!$B$56:$W$68,AZ$7,0)),0)</f>
        <v>0</v>
      </c>
      <c r="BA19" s="165">
        <f>IFERROR($T15*(VLOOKUP($R15,'Formulação suplementos'!$B$56:$W$68,BA$7,0)),0)</f>
        <v>0</v>
      </c>
      <c r="BB19" s="165">
        <f>IFERROR($T15*(VLOOKUP($R15,'Formulação suplementos'!$B$56:$W$68,BB$7,0)),0)</f>
        <v>0</v>
      </c>
      <c r="BC19" s="165">
        <f>IFERROR($T15*(VLOOKUP($R15,'Formulação suplementos'!$B$56:$W$68,BC$7,0)),0)</f>
        <v>0</v>
      </c>
      <c r="BD19" s="165">
        <f>IFERROR($T15*(VLOOKUP($R15,'Formulação suplementos'!$B$56:$W$68,BD$7,0)),0)</f>
        <v>0</v>
      </c>
      <c r="BE19" s="165">
        <f>IFERROR($T15*(VLOOKUP($R15,'Formulação suplementos'!$B$56:$W$68,BE$7,0)),0)</f>
        <v>0</v>
      </c>
      <c r="BF19" s="165">
        <f>IFERROR($T15*(VLOOKUP($R15,'Formulação suplementos'!$B$56:$W$68,BF$7,0)),0)</f>
        <v>0</v>
      </c>
      <c r="BG19" s="165">
        <f>IFERROR($T15*(VLOOKUP($R15,'Formulação suplementos'!$B$56:$W$68,BG$7,0)),0)</f>
        <v>0</v>
      </c>
      <c r="BH19" s="165">
        <f>IFERROR($T15*(VLOOKUP($R15,'Formulação suplementos'!$B$56:$W$68,BH$7,0)),0)</f>
        <v>0</v>
      </c>
      <c r="BI19" s="165">
        <f>IFERROR($T15*(VLOOKUP($R15,'Formulação suplementos'!$B$56:$W$68,BI$7,0)),0)</f>
        <v>0</v>
      </c>
      <c r="BJ19" s="165">
        <f>IFERROR($T15*(VLOOKUP($R15,'Formulação suplementos'!$B$56:$W$68,BJ$7,0)),0)</f>
        <v>0</v>
      </c>
      <c r="BK19" s="165">
        <f>IFERROR($T15*(VLOOKUP($R15,'Formulação suplementos'!$B$56:$W$68,BK$7,0)),0)</f>
        <v>0</v>
      </c>
      <c r="BL19" s="165">
        <f>IFERROR($T15*(VLOOKUP($R15,'Formulação suplementos'!$B$56:$W$68,BL$7,0)),0)</f>
        <v>0</v>
      </c>
      <c r="BM19" s="165">
        <f>IFERROR($T15*(VLOOKUP($R15,'Formulação suplementos'!$B$56:$W$68,BM$7,0)),0)</f>
        <v>0</v>
      </c>
      <c r="BN19"/>
      <c r="BO19"/>
      <c r="BP19"/>
      <c r="BQ19"/>
      <c r="BR19" s="116"/>
      <c r="BS19"/>
      <c r="BT19"/>
      <c r="BU19"/>
      <c r="BV19"/>
      <c r="BW19"/>
      <c r="BX19"/>
      <c r="BY19" s="166"/>
      <c r="BZ19" s="166"/>
      <c r="CA19" s="167"/>
      <c r="CB19" s="168"/>
      <c r="CC19" s="169"/>
      <c r="CD19" s="169"/>
      <c r="CE19" s="166"/>
      <c r="CF19" s="166"/>
      <c r="CG19" s="167"/>
      <c r="CH19" s="167"/>
      <c r="CI19" s="170"/>
      <c r="CJ19" s="170"/>
      <c r="CK19" s="192"/>
      <c r="CL19" s="192"/>
      <c r="CM19" s="192"/>
      <c r="CN19" s="192"/>
      <c r="CO19" s="170"/>
      <c r="CP19" s="192"/>
      <c r="CQ19" s="192"/>
      <c r="CR19" s="192"/>
      <c r="CS19" s="192"/>
      <c r="CT19" s="192"/>
      <c r="CU19" s="170"/>
      <c r="CV19" s="170"/>
      <c r="CW19" s="192"/>
      <c r="CX19" s="192"/>
      <c r="CY19" s="192"/>
      <c r="CZ19" s="192"/>
      <c r="DA19" s="170"/>
      <c r="DB19" s="192"/>
      <c r="DC19" s="192"/>
      <c r="DD19" s="192"/>
      <c r="DE19" s="192"/>
      <c r="DF19" s="192"/>
      <c r="DG19" s="170"/>
      <c r="DH19" s="170"/>
      <c r="DI19" s="170"/>
      <c r="DJ19" s="170"/>
      <c r="DK19" s="170"/>
      <c r="DL19" s="170"/>
      <c r="DM19" s="170"/>
      <c r="DN19" s="117" t="s">
        <v>248</v>
      </c>
      <c r="DO19" s="194">
        <f>(DP18+('Formulação suplementos'!$CM$37-(DP18*0.64))/0.8)/1000</f>
        <v>1.0243709796427642</v>
      </c>
      <c r="DP19" s="195">
        <f>-53.07 + (304.89 * (DO19)) + (90.79 *'Formulação suplementos'!$K$10) - (3.13 * 'Formulação suplementos'!$K$10*'Formulação suplementos'!$K$10)</f>
        <v>654.0333203115481</v>
      </c>
      <c r="DR19" s="170"/>
      <c r="DT19" s="194">
        <f>(DU18+('Formulação suplementos'!$CY$36-(DU18*0.64))/0.8)/1000</f>
        <v>0.44004442039407793</v>
      </c>
      <c r="DU19" s="195">
        <f>-53.07 + (304.89 * (DT19-'Formulação suplementos'!$CA$214)) + (90.79 *('Formulação suplementos'!$CY$30)) - (3.13 *('Formulação suplementos'!$CY$30)^2)</f>
        <v>89.726782339996234</v>
      </c>
      <c r="DV19" s="170"/>
      <c r="FB19" s="117" t="s">
        <v>249</v>
      </c>
      <c r="FC19" s="117" t="s">
        <v>250</v>
      </c>
      <c r="FD19" s="117" t="s">
        <v>251</v>
      </c>
      <c r="FE19" s="117">
        <v>2.82</v>
      </c>
      <c r="FF19" s="117">
        <v>2.82</v>
      </c>
      <c r="FG19" s="117">
        <v>56.4</v>
      </c>
      <c r="FH19" s="128">
        <f t="shared" si="13"/>
        <v>20</v>
      </c>
      <c r="FL19" s="117" t="s">
        <v>249</v>
      </c>
      <c r="FM19" s="117" t="s">
        <v>250</v>
      </c>
      <c r="FN19" s="117" t="s">
        <v>251</v>
      </c>
      <c r="FO19" s="117">
        <v>4.68</v>
      </c>
      <c r="FP19" s="117">
        <v>4.68</v>
      </c>
      <c r="FQ19" s="117">
        <v>93.6</v>
      </c>
      <c r="FR19" s="128">
        <f t="shared" si="14"/>
        <v>20</v>
      </c>
      <c r="FU19" s="117" t="s">
        <v>249</v>
      </c>
      <c r="FV19" s="117" t="s">
        <v>250</v>
      </c>
      <c r="FW19" s="117" t="s">
        <v>251</v>
      </c>
      <c r="FX19" s="117">
        <v>4.68</v>
      </c>
      <c r="FY19" s="117">
        <v>4.68</v>
      </c>
      <c r="FZ19" s="117">
        <v>93.6</v>
      </c>
      <c r="GA19" s="128">
        <f t="shared" si="15"/>
        <v>20</v>
      </c>
    </row>
    <row r="20" spans="1:183" s="117" customFormat="1" ht="15.75" customHeight="1" thickBot="1" x14ac:dyDescent="0.3">
      <c r="A20" s="118"/>
      <c r="B20" s="129" t="s">
        <v>252</v>
      </c>
      <c r="C20" s="360">
        <v>100</v>
      </c>
      <c r="D20" s="121"/>
      <c r="E20" s="201"/>
      <c r="F20" s="202"/>
      <c r="G20" s="203"/>
      <c r="H20" s="204">
        <f t="shared" si="0"/>
        <v>0</v>
      </c>
      <c r="I20" s="119"/>
      <c r="J20" s="144" t="s">
        <v>253</v>
      </c>
      <c r="K20" s="197">
        <f>IFERROR(IF(C9="Gestante e lactante",ROUND(CS42*1.18,1),ROUND(CS42,1)),"")</f>
        <v>230.3</v>
      </c>
      <c r="L20" s="197">
        <f>IFERROR(K20*3,"")</f>
        <v>690.90000000000009</v>
      </c>
      <c r="M20" s="198">
        <f>BJ24</f>
        <v>890.29224494120149</v>
      </c>
      <c r="N20" s="122" t="str">
        <f t="shared" si="16"/>
        <v>Reduzir</v>
      </c>
      <c r="O20" s="199">
        <f>IF(M20=0,"",(M20/1000000)/$T$21)</f>
        <v>9.999000000000001E-5</v>
      </c>
      <c r="P20" s="199">
        <f>IF(M20=0,"",(K20/1000000)/T$21)</f>
        <v>2.5865323584303314E-5</v>
      </c>
      <c r="Q20" s="119"/>
      <c r="R20" s="205" t="str">
        <f t="shared" si="18"/>
        <v/>
      </c>
      <c r="S20" s="206" t="str">
        <f t="shared" si="19"/>
        <v/>
      </c>
      <c r="T20" s="206" t="str">
        <f>IF(S20="","",IFERROR(S20*(VLOOKUP(R20,'Formulação suplementos'!$B$56:$W$68,2,)),0))</f>
        <v/>
      </c>
      <c r="U20" s="207" t="str">
        <f t="shared" si="1"/>
        <v/>
      </c>
      <c r="V20" s="207" t="str">
        <f t="shared" si="2"/>
        <v/>
      </c>
      <c r="W20" s="208" t="str">
        <f t="shared" si="11"/>
        <v/>
      </c>
      <c r="X20" s="208" t="str">
        <f t="shared" si="3"/>
        <v/>
      </c>
      <c r="Y20" s="119"/>
      <c r="Z20" s="119"/>
      <c r="AA20" s="119"/>
      <c r="AB20" s="119"/>
      <c r="AC20" s="119"/>
      <c r="AD20" s="119"/>
      <c r="AE20" s="119"/>
      <c r="AF20" s="200" t="str">
        <f>IFERROR(VLOOKUP(R20,'Formulação suplementos'!$B$56:$W$68,22,0)*T20,"")</f>
        <v/>
      </c>
      <c r="AG20" s="119"/>
      <c r="AH20" s="209">
        <f>SUM(AH7:AH19)</f>
        <v>0</v>
      </c>
      <c r="AI20" s="119"/>
      <c r="AJ20" s="119"/>
      <c r="AK20" s="119"/>
      <c r="AL20" s="119"/>
      <c r="AM20" s="119"/>
      <c r="AN20" s="118"/>
      <c r="AO20" s="116"/>
      <c r="AP20" s="116"/>
      <c r="AQ20" s="116"/>
      <c r="AR20" s="116"/>
      <c r="AS20" s="116"/>
      <c r="AT20" s="116"/>
      <c r="AU20" s="116"/>
      <c r="AV20" s="165">
        <f>IFERROR($T16*(VLOOKUP($R16,'Formulação suplementos'!$B$56:$W$68,AV$7,0))/1000,0)</f>
        <v>0</v>
      </c>
      <c r="AW20" s="165">
        <f>IFERROR($T16*(VLOOKUP($R16,'Formulação suplementos'!$B$56:$W$68,AW$7,0))/1000,0)</f>
        <v>0</v>
      </c>
      <c r="AX20" s="165">
        <f>IFERROR($T16*(VLOOKUP($R16,'Formulação suplementos'!$B$56:$W$68,AX$7,0)),0)</f>
        <v>0</v>
      </c>
      <c r="AY20" s="165">
        <f>IFERROR($T16*(VLOOKUP($R16,'Formulação suplementos'!$B$56:$W$68,AY$7,0)),0)</f>
        <v>0</v>
      </c>
      <c r="AZ20" s="165">
        <f>IFERROR($T16*(VLOOKUP($R16,'Formulação suplementos'!$B$56:$W$68,AZ$7,0)),0)</f>
        <v>0</v>
      </c>
      <c r="BA20" s="165">
        <f>IFERROR($T16*(VLOOKUP($R16,'Formulação suplementos'!$B$56:$W$68,BA$7,0)),0)</f>
        <v>0</v>
      </c>
      <c r="BB20" s="165">
        <f>IFERROR($T16*(VLOOKUP($R16,'Formulação suplementos'!$B$56:$W$68,BB$7,0)),0)</f>
        <v>0</v>
      </c>
      <c r="BC20" s="165">
        <f>IFERROR($T16*(VLOOKUP($R16,'Formulação suplementos'!$B$56:$W$68,BC$7,0)),0)</f>
        <v>0</v>
      </c>
      <c r="BD20" s="165">
        <f>IFERROR($T16*(VLOOKUP($R16,'Formulação suplementos'!$B$56:$W$68,BD$7,0)),0)</f>
        <v>0</v>
      </c>
      <c r="BE20" s="165">
        <f>IFERROR($T16*(VLOOKUP($R16,'Formulação suplementos'!$B$56:$W$68,BE$7,0)),0)</f>
        <v>0</v>
      </c>
      <c r="BF20" s="165">
        <f>IFERROR($T16*(VLOOKUP($R16,'Formulação suplementos'!$B$56:$W$68,BF$7,0)),0)</f>
        <v>0</v>
      </c>
      <c r="BG20" s="165">
        <f>IFERROR($T16*(VLOOKUP($R16,'Formulação suplementos'!$B$56:$W$68,BG$7,0)),0)</f>
        <v>0</v>
      </c>
      <c r="BH20" s="165">
        <f>IFERROR($T16*(VLOOKUP($R16,'Formulação suplementos'!$B$56:$W$68,BH$7,0)),0)</f>
        <v>0</v>
      </c>
      <c r="BI20" s="165">
        <f>IFERROR($T16*(VLOOKUP($R16,'Formulação suplementos'!$B$56:$W$68,BI$7,0)),0)</f>
        <v>0</v>
      </c>
      <c r="BJ20" s="165">
        <f>IFERROR($T16*(VLOOKUP($R16,'Formulação suplementos'!$B$56:$W$68,BJ$7,0)),0)</f>
        <v>0</v>
      </c>
      <c r="BK20" s="165">
        <f>IFERROR($T16*(VLOOKUP($R16,'Formulação suplementos'!$B$56:$W$68,BK$7,0)),0)</f>
        <v>0</v>
      </c>
      <c r="BL20" s="165">
        <f>IFERROR($T16*(VLOOKUP($R16,'Formulação suplementos'!$B$56:$W$68,BL$7,0)),0)</f>
        <v>0</v>
      </c>
      <c r="BM20" s="165">
        <f>IFERROR($T16*(VLOOKUP($R16,'Formulação suplementos'!$B$56:$W$68,BM$7,0)),0)</f>
        <v>0</v>
      </c>
      <c r="BN20"/>
      <c r="BO20"/>
      <c r="BP20"/>
      <c r="BQ20"/>
      <c r="BR20" s="116"/>
      <c r="BS20"/>
      <c r="BT20"/>
      <c r="BU20"/>
      <c r="BV20"/>
      <c r="BW20"/>
      <c r="BX20"/>
      <c r="BY20" s="166"/>
      <c r="BZ20" s="166"/>
      <c r="CA20" s="167"/>
      <c r="CB20" s="168"/>
      <c r="CC20" s="169"/>
      <c r="CD20" s="169"/>
      <c r="CE20" s="166"/>
      <c r="CF20" s="166"/>
      <c r="CG20" s="167"/>
      <c r="CH20" s="167"/>
      <c r="CI20" s="170"/>
      <c r="CJ20" s="170"/>
      <c r="CK20" s="210" t="s">
        <v>254</v>
      </c>
      <c r="CL20" s="211" t="s">
        <v>255</v>
      </c>
      <c r="CN20" s="212" t="s">
        <v>256</v>
      </c>
      <c r="CO20" s="170"/>
      <c r="CP20" s="213" t="s">
        <v>257</v>
      </c>
      <c r="CQ20" s="214" t="s">
        <v>218</v>
      </c>
      <c r="CR20" s="215" t="s">
        <v>258</v>
      </c>
      <c r="CS20" s="216">
        <f>CA73</f>
        <v>22.170138533153811</v>
      </c>
      <c r="CT20" s="217" t="s">
        <v>259</v>
      </c>
      <c r="CU20" s="170"/>
      <c r="CV20" s="170"/>
      <c r="CW20" s="210" t="s">
        <v>254</v>
      </c>
      <c r="CX20" s="211" t="s">
        <v>260</v>
      </c>
      <c r="CY20" s="218">
        <f>CG31*CA189</f>
        <v>0.83539000000000008</v>
      </c>
      <c r="CZ20" s="212" t="s">
        <v>256</v>
      </c>
      <c r="DA20" s="170"/>
      <c r="DB20" s="213" t="s">
        <v>257</v>
      </c>
      <c r="DC20" s="219" t="s">
        <v>218</v>
      </c>
      <c r="DD20" s="215" t="s">
        <v>258</v>
      </c>
      <c r="DE20" s="218">
        <f>CA228</f>
        <v>17.066923189946277</v>
      </c>
      <c r="DF20" s="217" t="s">
        <v>259</v>
      </c>
      <c r="DG20" s="170"/>
      <c r="DH20" s="170"/>
      <c r="DI20" s="170"/>
      <c r="DJ20" s="170"/>
      <c r="DK20" s="170"/>
      <c r="DL20" s="170"/>
      <c r="DM20" s="170"/>
      <c r="DN20" s="117" t="s">
        <v>261</v>
      </c>
      <c r="DO20" s="194">
        <f>(DP19+('Formulação suplementos'!$CM$37-(DP19*0.64))/0.8)/1000</f>
        <v>1.0243813644752884</v>
      </c>
      <c r="DP20" s="195">
        <f>-53.07 + (304.89 * (DO20)) + (90.79 *'Formulação suplementos'!$K$10) - (3.13 * 'Formulação suplementos'!$K$10*'Formulação suplementos'!$K$10)</f>
        <v>654.03648654313633</v>
      </c>
      <c r="DR20" s="170"/>
      <c r="DT20" s="194">
        <f>(DU19+('Formulação suplementos'!$CY$36-(DU19*0.64))/0.8)/1000</f>
        <v>0.43992517342403742</v>
      </c>
      <c r="DU20" s="195">
        <f>-53.07 + (304.89 * (DT20-'Formulação suplementos'!$CA$214)) + (90.79 *('Formulação suplementos'!$CY$30)) - (3.13 *('Formulação suplementos'!$CY$30)^2)</f>
        <v>89.690425131300586</v>
      </c>
      <c r="DV20" s="170"/>
      <c r="FB20" s="117" t="s">
        <v>262</v>
      </c>
      <c r="FC20" s="117" t="s">
        <v>263</v>
      </c>
      <c r="FD20" s="117" t="s">
        <v>251</v>
      </c>
      <c r="FE20" s="117">
        <v>34.58</v>
      </c>
      <c r="FF20" s="117">
        <v>34.58</v>
      </c>
      <c r="FG20" s="117">
        <v>103.73</v>
      </c>
      <c r="FH20" s="128">
        <f t="shared" si="13"/>
        <v>2.9997108155002894</v>
      </c>
      <c r="FL20" s="117" t="s">
        <v>262</v>
      </c>
      <c r="FM20" s="117" t="s">
        <v>263</v>
      </c>
      <c r="FN20" s="117" t="s">
        <v>251</v>
      </c>
      <c r="FO20" s="117">
        <v>49.13</v>
      </c>
      <c r="FP20" s="117">
        <v>49.13</v>
      </c>
      <c r="FQ20" s="117">
        <v>147.38</v>
      </c>
      <c r="FR20" s="128">
        <f t="shared" si="14"/>
        <v>2.9997964583757377</v>
      </c>
      <c r="FU20" s="117" t="s">
        <v>262</v>
      </c>
      <c r="FV20" s="117" t="s">
        <v>263</v>
      </c>
      <c r="FW20" s="117" t="s">
        <v>251</v>
      </c>
      <c r="FX20" s="117">
        <v>49.22</v>
      </c>
      <c r="FY20" s="117">
        <v>49.22</v>
      </c>
      <c r="FZ20" s="117">
        <v>147.66999999999999</v>
      </c>
      <c r="GA20" s="128">
        <f t="shared" si="15"/>
        <v>3.0002031694433153</v>
      </c>
    </row>
    <row r="21" spans="1:183" s="117" customFormat="1" ht="15.75" customHeight="1" thickBot="1" x14ac:dyDescent="0.3">
      <c r="A21" s="118"/>
      <c r="B21" s="171" t="s">
        <v>264</v>
      </c>
      <c r="C21" s="220">
        <v>2</v>
      </c>
      <c r="D21" s="121"/>
      <c r="E21" s="221" t="s">
        <v>265</v>
      </c>
      <c r="F21" s="647">
        <f>SUM(F7:F20)</f>
        <v>0</v>
      </c>
      <c r="G21" s="647"/>
      <c r="H21" s="222">
        <f>SUM(H7:H20)</f>
        <v>0</v>
      </c>
      <c r="I21" s="119"/>
      <c r="J21" s="144" t="s">
        <v>266</v>
      </c>
      <c r="K21" s="197">
        <f>IFERROR(IF(C9="Gestante e lactante",ROUND(CS48*1.2,1),ROUND(CS48,1)),"")</f>
        <v>3.8</v>
      </c>
      <c r="L21" s="197">
        <f>IFERROR(K21*20,"")</f>
        <v>76</v>
      </c>
      <c r="M21" s="198">
        <f>BM24</f>
        <v>0</v>
      </c>
      <c r="N21" s="122" t="str">
        <f t="shared" si="16"/>
        <v>Aumentar</v>
      </c>
      <c r="O21" s="199" t="str">
        <f>IF(M21=0,"",(M21/1000000)/$T$21)</f>
        <v/>
      </c>
      <c r="P21" s="199" t="str">
        <f>IF(M21=0,"",(K21/1000000)/T$21)</f>
        <v/>
      </c>
      <c r="Q21" s="119"/>
      <c r="R21" s="223" t="s">
        <v>265</v>
      </c>
      <c r="S21" s="224">
        <f t="shared" ref="S21:X21" si="20">SUM(S7:S19)</f>
        <v>32.977084558129938</v>
      </c>
      <c r="T21" s="224">
        <f t="shared" si="20"/>
        <v>8.9038128306950846</v>
      </c>
      <c r="U21" s="225">
        <f t="shared" si="20"/>
        <v>1.7807625661390169E-2</v>
      </c>
      <c r="V21" s="226">
        <f t="shared" si="20"/>
        <v>1</v>
      </c>
      <c r="W21" s="227">
        <f t="shared" si="20"/>
        <v>4946.5626837194905</v>
      </c>
      <c r="X21" s="227">
        <f t="shared" si="20"/>
        <v>494656.26837194903</v>
      </c>
      <c r="Y21" s="119"/>
      <c r="Z21" s="119"/>
      <c r="AA21" s="119"/>
      <c r="AB21" s="119"/>
      <c r="AC21" s="119"/>
      <c r="AD21" s="119"/>
      <c r="AE21" s="119"/>
      <c r="AF21" s="228"/>
      <c r="AG21" s="119"/>
      <c r="AH21" s="119"/>
      <c r="AI21" s="119"/>
      <c r="AJ21" s="119"/>
      <c r="AK21" s="119"/>
      <c r="AL21" s="119"/>
      <c r="AM21" s="119"/>
      <c r="AN21" s="118"/>
      <c r="AO21" s="116"/>
      <c r="AP21" s="116"/>
      <c r="AQ21" s="116"/>
      <c r="AR21" s="116"/>
      <c r="AS21" s="116"/>
      <c r="AT21" s="116"/>
      <c r="AU21" s="116"/>
      <c r="AV21" s="165">
        <f>IFERROR($T17*(VLOOKUP($R17,'Formulação suplementos'!$B$56:$W$68,AV$7,0))/1000,0)</f>
        <v>0</v>
      </c>
      <c r="AW21" s="165">
        <f>IFERROR($T17*(VLOOKUP($R17,'Formulação suplementos'!$B$56:$W$68,AW$7,0))/1000,0)</f>
        <v>0</v>
      </c>
      <c r="AX21" s="165">
        <f>IFERROR($T17*(VLOOKUP($R17,'Formulação suplementos'!$B$56:$W$68,AX$7,0)),0)</f>
        <v>0</v>
      </c>
      <c r="AY21" s="165">
        <f>IFERROR($T17*(VLOOKUP($R17,'Formulação suplementos'!$B$56:$W$68,AY$7,0)),0)</f>
        <v>0</v>
      </c>
      <c r="AZ21" s="165">
        <f>IFERROR($T17*(VLOOKUP($R17,'Formulação suplementos'!$B$56:$W$68,AZ$7,0)),0)</f>
        <v>0</v>
      </c>
      <c r="BA21" s="165">
        <f>IFERROR($T17*(VLOOKUP($R17,'Formulação suplementos'!$B$56:$W$68,BA$7,0)),0)</f>
        <v>0</v>
      </c>
      <c r="BB21" s="165">
        <f>IFERROR($T17*(VLOOKUP($R17,'Formulação suplementos'!$B$56:$W$68,BB$7,0)),0)</f>
        <v>0</v>
      </c>
      <c r="BC21" s="165">
        <f>IFERROR($T17*(VLOOKUP($R17,'Formulação suplementos'!$B$56:$W$68,BC$7,0)),0)</f>
        <v>0</v>
      </c>
      <c r="BD21" s="165">
        <f>IFERROR($T17*(VLOOKUP($R17,'Formulação suplementos'!$B$56:$W$68,BD$7,0)),0)</f>
        <v>0</v>
      </c>
      <c r="BE21" s="165">
        <f>IFERROR($T17*(VLOOKUP($R17,'Formulação suplementos'!$B$56:$W$68,BE$7,0)),0)</f>
        <v>0</v>
      </c>
      <c r="BF21" s="165">
        <f>IFERROR($T17*(VLOOKUP($R17,'Formulação suplementos'!$B$56:$W$68,BF$7,0)),0)</f>
        <v>0</v>
      </c>
      <c r="BG21" s="165">
        <f>IFERROR($T17*(VLOOKUP($R17,'Formulação suplementos'!$B$56:$W$68,BG$7,0)),0)</f>
        <v>0</v>
      </c>
      <c r="BH21" s="165">
        <f>IFERROR($T17*(VLOOKUP($R17,'Formulação suplementos'!$B$56:$W$68,BH$7,0)),0)</f>
        <v>0</v>
      </c>
      <c r="BI21" s="165">
        <f>IFERROR($T17*(VLOOKUP($R17,'Formulação suplementos'!$B$56:$W$68,BI$7,0)),0)</f>
        <v>0</v>
      </c>
      <c r="BJ21" s="165">
        <f>IFERROR($T17*(VLOOKUP($R17,'Formulação suplementos'!$B$56:$W$68,BJ$7,0)),0)</f>
        <v>0</v>
      </c>
      <c r="BK21" s="165">
        <f>IFERROR($T17*(VLOOKUP($R17,'Formulação suplementos'!$B$56:$W$68,BK$7,0)),0)</f>
        <v>0</v>
      </c>
      <c r="BL21" s="165">
        <f>IFERROR($T17*(VLOOKUP($R17,'Formulação suplementos'!$B$56:$W$68,BL$7,0)),0)</f>
        <v>0</v>
      </c>
      <c r="BM21" s="165">
        <f>IFERROR($T17*(VLOOKUP($R17,'Formulação suplementos'!$B$56:$W$68,BM$7,0)),0)</f>
        <v>0</v>
      </c>
      <c r="BN21"/>
      <c r="BO21"/>
      <c r="BP21"/>
      <c r="BQ21"/>
      <c r="BR21" s="116"/>
      <c r="BS21"/>
      <c r="BT21"/>
      <c r="BU21"/>
      <c r="BV21"/>
      <c r="BW21"/>
      <c r="BX21"/>
      <c r="BY21" s="166"/>
      <c r="BZ21" s="166"/>
      <c r="CA21" s="167"/>
      <c r="CB21" s="168"/>
      <c r="CC21" s="169"/>
      <c r="CD21" s="169"/>
      <c r="CE21" s="166"/>
      <c r="CF21" s="166"/>
      <c r="CG21" s="167"/>
      <c r="CH21" s="167"/>
      <c r="CI21" s="170"/>
      <c r="CJ21" s="170"/>
      <c r="CK21" s="229"/>
      <c r="CL21" s="230"/>
      <c r="CM21" s="231"/>
      <c r="CN21" s="232"/>
      <c r="CO21" s="167"/>
      <c r="CP21" s="213"/>
      <c r="CQ21" s="214"/>
      <c r="CR21" s="233">
        <v>0.56799999999999995</v>
      </c>
      <c r="CS21" s="216"/>
      <c r="CT21" s="217"/>
      <c r="CU21" s="170"/>
      <c r="CV21" s="170"/>
      <c r="CW21" s="210"/>
      <c r="CX21" s="211" t="s">
        <v>267</v>
      </c>
      <c r="CY21" s="218">
        <f>0.353-0.532*CY20+0.01065*CG29+0.3497*CG33</f>
        <v>1.3232725199999997</v>
      </c>
      <c r="CZ21" s="212" t="s">
        <v>256</v>
      </c>
      <c r="DA21" s="170"/>
      <c r="DB21" s="213"/>
      <c r="DC21" s="219"/>
      <c r="DD21" s="233">
        <v>0.56799999999999995</v>
      </c>
      <c r="DE21" s="218"/>
      <c r="DF21" s="217"/>
      <c r="DG21" s="170"/>
      <c r="DH21" s="170"/>
      <c r="DI21" s="170"/>
      <c r="DJ21" s="170"/>
      <c r="DK21" s="170"/>
      <c r="DL21" s="170"/>
      <c r="DM21" s="170"/>
      <c r="DN21" s="117" t="s">
        <v>248</v>
      </c>
      <c r="DO21" s="194">
        <f>(DP20+('Formulação suplementos'!$CM$37-(DP20*0.64))/0.8)/1000</f>
        <v>1.024381997721606</v>
      </c>
      <c r="DP21" s="195">
        <f>-53.07 + (304.89 * (DO21)) + (90.79 *'Formulação suplementos'!$K$10) - (3.13 * 'Formulação suplementos'!$K$10*'Formulação suplementos'!$K$10)</f>
        <v>654.03667961360611</v>
      </c>
      <c r="DR21" s="170"/>
      <c r="DT21" s="194">
        <f>(DU20+('Formulação suplementos'!$CY$36-(DU20*0.64))/0.8)/1000</f>
        <v>0.4399179019822983</v>
      </c>
      <c r="DU21" s="195">
        <f>-53.07 + (304.89 * (DT21-'Formulação suplementos'!$CA$214)) + (90.79 *('Formulação suplementos'!$CY$30)) - (3.13 *('Formulação suplementos'!$CY$30)^2)</f>
        <v>89.688208141428746</v>
      </c>
      <c r="DV21" s="170"/>
      <c r="FB21" s="117" t="s">
        <v>268</v>
      </c>
      <c r="FC21" s="117" t="s">
        <v>269</v>
      </c>
      <c r="FD21" s="117" t="s">
        <v>251</v>
      </c>
      <c r="FE21" s="117">
        <v>2.75</v>
      </c>
      <c r="FF21" s="117">
        <v>2.75</v>
      </c>
      <c r="FG21" s="117">
        <v>55.03</v>
      </c>
      <c r="FH21" s="128">
        <f t="shared" si="13"/>
        <v>20.010909090909092</v>
      </c>
      <c r="FL21" s="117" t="s">
        <v>268</v>
      </c>
      <c r="FM21" s="117" t="s">
        <v>269</v>
      </c>
      <c r="FN21" s="117" t="s">
        <v>251</v>
      </c>
      <c r="FO21" s="117">
        <v>3.42</v>
      </c>
      <c r="FP21" s="117">
        <v>3.42</v>
      </c>
      <c r="FQ21" s="117">
        <v>68.45</v>
      </c>
      <c r="FR21" s="128">
        <f t="shared" si="14"/>
        <v>20.014619883040936</v>
      </c>
      <c r="FU21" s="117" t="s">
        <v>268</v>
      </c>
      <c r="FV21" s="117" t="s">
        <v>269</v>
      </c>
      <c r="FW21" s="117" t="s">
        <v>251</v>
      </c>
      <c r="FX21" s="117">
        <v>3.42</v>
      </c>
      <c r="FY21" s="117">
        <v>3.42</v>
      </c>
      <c r="FZ21" s="117">
        <v>68.45</v>
      </c>
      <c r="GA21" s="128">
        <f t="shared" si="15"/>
        <v>20.014619883040936</v>
      </c>
    </row>
    <row r="22" spans="1:183" s="117" customFormat="1" ht="15.75" customHeight="1" thickBot="1" x14ac:dyDescent="0.3">
      <c r="A22" s="118"/>
      <c r="B22" s="121"/>
      <c r="C22" s="121"/>
      <c r="D22" s="121"/>
      <c r="E22" s="234"/>
      <c r="F22" s="234"/>
      <c r="G22" s="234"/>
      <c r="H22" s="234"/>
      <c r="I22" s="119"/>
      <c r="J22" s="144" t="s">
        <v>270</v>
      </c>
      <c r="K22" s="197">
        <f>IFERROR(IF(C9="Gestante e lactante",ROUND(CS44*1.1,1),ROUND(CS44,1)),"")</f>
        <v>574.79999999999995</v>
      </c>
      <c r="L22" s="197">
        <f>IFERROR(K22*3,"")</f>
        <v>1724.3999999999999</v>
      </c>
      <c r="M22" s="198">
        <f>BH24</f>
        <v>238.71122199093523</v>
      </c>
      <c r="N22" s="122" t="str">
        <f t="shared" si="16"/>
        <v>Aumentar</v>
      </c>
      <c r="O22" s="199">
        <f>IF(M22=0,"",(M22/1000000)/$T$21)</f>
        <v>2.6809999999999999E-5</v>
      </c>
      <c r="P22" s="199">
        <f>IF(M22=0,"",(K22/1000000)/T$21)</f>
        <v>6.4556613097080086E-5</v>
      </c>
      <c r="Q22" s="119"/>
      <c r="R22" s="651" t="str">
        <f>"*% de concentrado na dieta "&amp;ROUND(SUM(V8:V19)*100,1)&amp;"%."</f>
        <v>*% de concentrado na dieta 0%.</v>
      </c>
      <c r="S22" s="651"/>
      <c r="T22" s="651"/>
      <c r="U22" s="651"/>
      <c r="V22" s="651"/>
      <c r="W22" s="651"/>
      <c r="X22" s="651"/>
      <c r="Y22" s="235"/>
      <c r="Z22" s="119"/>
      <c r="AA22" s="119"/>
      <c r="AB22" s="119"/>
      <c r="AC22" s="119"/>
      <c r="AD22" s="119"/>
      <c r="AE22" s="119"/>
      <c r="AF22" s="119"/>
      <c r="AG22" s="119"/>
      <c r="AH22" s="119"/>
      <c r="AI22" s="119"/>
      <c r="AJ22" s="119"/>
      <c r="AK22" s="119"/>
      <c r="AL22" s="119"/>
      <c r="AM22" s="119"/>
      <c r="AN22" s="118"/>
      <c r="AO22" s="116"/>
      <c r="AP22" s="116"/>
      <c r="AQ22" s="116"/>
      <c r="AR22" s="116"/>
      <c r="AS22" s="116"/>
      <c r="AT22" s="116"/>
      <c r="AU22" s="116"/>
      <c r="AV22" s="165">
        <f>IFERROR($T18*(VLOOKUP($R18,'Formulação suplementos'!$B$56:$W$68,AV$7,0))/1000,0)</f>
        <v>0</v>
      </c>
      <c r="AW22" s="165">
        <f>IFERROR($T18*(VLOOKUP($R18,'Formulação suplementos'!$B$56:$W$68,AW$7,0))/1000,0)</f>
        <v>0</v>
      </c>
      <c r="AX22" s="165">
        <f>IFERROR($T18*(VLOOKUP($R18,'Formulação suplementos'!$B$56:$W$68,AX$7,0)),0)</f>
        <v>0</v>
      </c>
      <c r="AY22" s="165">
        <f>IFERROR($T18*(VLOOKUP($R18,'Formulação suplementos'!$B$56:$W$68,AY$7,0)),0)</f>
        <v>0</v>
      </c>
      <c r="AZ22" s="165">
        <f>IFERROR($T18*(VLOOKUP($R18,'Formulação suplementos'!$B$56:$W$68,AZ$7,0)),0)</f>
        <v>0</v>
      </c>
      <c r="BA22" s="165">
        <f>IFERROR($T18*(VLOOKUP($R18,'Formulação suplementos'!$B$56:$W$68,BA$7,0)),0)</f>
        <v>0</v>
      </c>
      <c r="BB22" s="165">
        <f>IFERROR($T18*(VLOOKUP($R18,'Formulação suplementos'!$B$56:$W$68,BB$7,0)),0)</f>
        <v>0</v>
      </c>
      <c r="BC22" s="165">
        <f>IFERROR($T18*(VLOOKUP($R18,'Formulação suplementos'!$B$56:$W$68,BC$7,0)),0)</f>
        <v>0</v>
      </c>
      <c r="BD22" s="165">
        <f>IFERROR($T18*(VLOOKUP($R18,'Formulação suplementos'!$B$56:$W$68,BD$7,0)),0)</f>
        <v>0</v>
      </c>
      <c r="BE22" s="165">
        <f>IFERROR($T18*(VLOOKUP($R18,'Formulação suplementos'!$B$56:$W$68,BE$7,0)),0)</f>
        <v>0</v>
      </c>
      <c r="BF22" s="165">
        <f>IFERROR($T18*(VLOOKUP($R18,'Formulação suplementos'!$B$56:$W$68,BF$7,0)),0)</f>
        <v>0</v>
      </c>
      <c r="BG22" s="165">
        <f>IFERROR($T18*(VLOOKUP($R18,'Formulação suplementos'!$B$56:$W$68,BG$7,0)),0)</f>
        <v>0</v>
      </c>
      <c r="BH22" s="165">
        <f>IFERROR($T18*(VLOOKUP($R18,'Formulação suplementos'!$B$56:$W$68,BH$7,0)),0)</f>
        <v>0</v>
      </c>
      <c r="BI22" s="165">
        <f>IFERROR($T18*(VLOOKUP($R18,'Formulação suplementos'!$B$56:$W$68,BI$7,0)),0)</f>
        <v>0</v>
      </c>
      <c r="BJ22" s="165">
        <f>IFERROR($T18*(VLOOKUP($R18,'Formulação suplementos'!$B$56:$W$68,BJ$7,0)),0)</f>
        <v>0</v>
      </c>
      <c r="BK22" s="165">
        <f>IFERROR($T18*(VLOOKUP($R18,'Formulação suplementos'!$B$56:$W$68,BK$7,0)),0)</f>
        <v>0</v>
      </c>
      <c r="BL22" s="165">
        <f>IFERROR($T18*(VLOOKUP($R18,'Formulação suplementos'!$B$56:$W$68,BL$7,0)),0)</f>
        <v>0</v>
      </c>
      <c r="BM22" s="165">
        <f>IFERROR($T18*(VLOOKUP($R18,'Formulação suplementos'!$B$56:$W$68,BM$7,0)),0)</f>
        <v>0</v>
      </c>
      <c r="BN22"/>
      <c r="BO22"/>
      <c r="BP22"/>
      <c r="BQ22"/>
      <c r="BR22" s="116"/>
      <c r="BS22"/>
      <c r="BT22"/>
      <c r="BU22"/>
      <c r="BV22"/>
      <c r="BW22"/>
      <c r="BX22"/>
      <c r="BY22" s="166"/>
      <c r="BZ22" s="167"/>
      <c r="CA22" s="167"/>
      <c r="CB22" s="168"/>
      <c r="CC22" s="169"/>
      <c r="CD22" s="169"/>
      <c r="CE22" s="166"/>
      <c r="CF22" s="166"/>
      <c r="CG22" s="167"/>
      <c r="CH22" s="167"/>
      <c r="CI22" s="170"/>
      <c r="CJ22" s="170"/>
      <c r="CK22" s="213" t="s">
        <v>271</v>
      </c>
      <c r="CL22" s="211" t="s">
        <v>272</v>
      </c>
      <c r="CM22" s="218">
        <f>IF($C$8="Primípara",CA30,CA29)</f>
        <v>6.0708859495829879</v>
      </c>
      <c r="CN22" s="212" t="s">
        <v>256</v>
      </c>
      <c r="CO22" s="170"/>
      <c r="CP22" s="213"/>
      <c r="CQ22" s="214" t="s">
        <v>222</v>
      </c>
      <c r="CR22" s="215" t="s">
        <v>258</v>
      </c>
      <c r="CS22" s="216">
        <f>CA80</f>
        <v>16.898601617548767</v>
      </c>
      <c r="CT22" s="217" t="s">
        <v>259</v>
      </c>
      <c r="CU22" s="170"/>
      <c r="CV22" s="170"/>
      <c r="CW22" s="210"/>
      <c r="CX22" s="211" t="s">
        <v>273</v>
      </c>
      <c r="CY22" s="218">
        <f>CY21+CY20</f>
        <v>2.15866252</v>
      </c>
      <c r="CZ22" s="212" t="s">
        <v>256</v>
      </c>
      <c r="DA22" s="170"/>
      <c r="DB22" s="213"/>
      <c r="DC22" s="219" t="s">
        <v>222</v>
      </c>
      <c r="DD22" s="215" t="s">
        <v>258</v>
      </c>
      <c r="DE22" s="218">
        <f>CA234</f>
        <v>12.249050685484788</v>
      </c>
      <c r="DF22" s="217" t="s">
        <v>259</v>
      </c>
      <c r="DG22" s="170"/>
      <c r="DH22" s="170"/>
      <c r="DI22" s="170"/>
      <c r="DJ22" s="170"/>
      <c r="DK22" s="170"/>
      <c r="DL22" s="170"/>
      <c r="DM22" s="170"/>
      <c r="DO22" s="194">
        <f>(DP21+('Formulação suplementos'!$CM$37-(DP21*0.64))/0.8)/1000</f>
        <v>1.0243820363356999</v>
      </c>
      <c r="DP22" s="195">
        <f>-53.07 + (304.89 * (DO22)) + (90.79 *'Formulação suplementos'!$K$10) - (3.13 * 'Formulação suplementos'!$K$10*'Formulação suplementos'!$K$10)</f>
        <v>654.03669138665725</v>
      </c>
      <c r="DR22" s="170"/>
      <c r="DT22" s="194">
        <f>(DU21+('Formulação suplementos'!$CY$36-(DU21*0.64))/0.8)/1000</f>
        <v>0.43991745858432391</v>
      </c>
      <c r="DU22" s="195">
        <f>-53.07 + (304.89 * (DT22-'Formulação suplementos'!$CA$214)) + (90.79 *('Formulação suplementos'!$CY$30)) - (3.13 *('Formulação suplementos'!$CY$30)^2)</f>
        <v>89.688072953820338</v>
      </c>
      <c r="DV22" s="170"/>
      <c r="FB22" s="117" t="s">
        <v>274</v>
      </c>
      <c r="FC22" s="117" t="s">
        <v>275</v>
      </c>
      <c r="FD22" s="117" t="s">
        <v>251</v>
      </c>
      <c r="FE22" s="117">
        <v>86.84</v>
      </c>
      <c r="FF22" s="117">
        <v>86.84</v>
      </c>
      <c r="FG22" s="117">
        <v>260.52</v>
      </c>
      <c r="FH22" s="128">
        <f t="shared" si="13"/>
        <v>2.9999999999999996</v>
      </c>
      <c r="FL22" s="117" t="s">
        <v>274</v>
      </c>
      <c r="FM22" s="117" t="s">
        <v>275</v>
      </c>
      <c r="FN22" s="117" t="s">
        <v>251</v>
      </c>
      <c r="FO22" s="117">
        <v>139.01</v>
      </c>
      <c r="FP22" s="117">
        <v>139.01</v>
      </c>
      <c r="FQ22" s="117">
        <v>417.03</v>
      </c>
      <c r="FR22" s="128">
        <f t="shared" si="14"/>
        <v>3</v>
      </c>
      <c r="FU22" s="117" t="s">
        <v>274</v>
      </c>
      <c r="FV22" s="117" t="s">
        <v>275</v>
      </c>
      <c r="FW22" s="117" t="s">
        <v>251</v>
      </c>
      <c r="FX22" s="117">
        <v>139.31</v>
      </c>
      <c r="FY22" s="117">
        <v>139.31</v>
      </c>
      <c r="FZ22" s="117">
        <v>417.92</v>
      </c>
      <c r="GA22" s="128">
        <f t="shared" si="15"/>
        <v>2.9999282176441033</v>
      </c>
    </row>
    <row r="23" spans="1:183" s="117" customFormat="1" ht="15.75" customHeight="1" thickBot="1" x14ac:dyDescent="0.3">
      <c r="A23" s="118"/>
      <c r="B23" s="121"/>
      <c r="C23" s="121"/>
      <c r="D23" s="121"/>
      <c r="E23" s="171" t="s">
        <v>276</v>
      </c>
      <c r="F23" s="203"/>
      <c r="G23" s="171" t="s">
        <v>277</v>
      </c>
      <c r="H23" s="236">
        <f>F23+H21</f>
        <v>0</v>
      </c>
      <c r="I23" s="119"/>
      <c r="J23" s="237" t="s">
        <v>278</v>
      </c>
      <c r="K23" s="238" t="str">
        <f>IF(C6="","","Não consta")</f>
        <v>Não consta</v>
      </c>
      <c r="L23" s="238">
        <f>IF(C6="","", M7*0.01*1000)</f>
        <v>89.038128306950853</v>
      </c>
      <c r="M23" s="239">
        <f>IFERROR((SUMIFS(S7:S20,R7:R20,"Ureia")+SUM(AF14:AF20))*1000,0)</f>
        <v>0</v>
      </c>
      <c r="N23" s="240" t="str">
        <f>IF(L23="","",IF(M23&gt;L23,"Reduzir","Ok"))</f>
        <v>Ok</v>
      </c>
      <c r="O23" s="241" t="str">
        <f>IF(M23=0,"",(M23/1000)/T21)</f>
        <v/>
      </c>
      <c r="P23" s="241" t="str">
        <f>IF(C6="","","Não consta")</f>
        <v>Não consta</v>
      </c>
      <c r="Q23" s="119"/>
      <c r="R23" s="651" t="s">
        <v>279</v>
      </c>
      <c r="S23" s="651"/>
      <c r="T23" s="651"/>
      <c r="U23" s="651"/>
      <c r="V23" s="651"/>
      <c r="W23" s="651"/>
      <c r="X23" s="651"/>
      <c r="Y23" s="235"/>
      <c r="Z23" s="119"/>
      <c r="AA23" s="119"/>
      <c r="AB23" s="119"/>
      <c r="AC23" s="118"/>
      <c r="AD23" s="118"/>
      <c r="AE23" s="119"/>
      <c r="AF23" s="119"/>
      <c r="AG23" s="119"/>
      <c r="AH23" s="119"/>
      <c r="AI23" s="119"/>
      <c r="AJ23" s="119"/>
      <c r="AK23" s="119"/>
      <c r="AL23" s="119"/>
      <c r="AM23" s="119"/>
      <c r="AN23" s="118"/>
      <c r="AO23" s="116"/>
      <c r="AP23" s="116"/>
      <c r="AQ23" s="116"/>
      <c r="AR23" s="116"/>
      <c r="AS23" s="116"/>
      <c r="AT23" s="116"/>
      <c r="AU23" s="116"/>
      <c r="AV23" s="165">
        <f>IFERROR($T19*(VLOOKUP($R19,'Formulação suplementos'!$B$56:$W$68,AV$7,0))/1000,0)</f>
        <v>0</v>
      </c>
      <c r="AW23" s="165">
        <f>IFERROR($T19*(VLOOKUP($R19,'Formulação suplementos'!$B$56:$W$68,AW$7,0))/1000,0)</f>
        <v>0</v>
      </c>
      <c r="AX23" s="165">
        <f>IFERROR($T19*(VLOOKUP($R19,'Formulação suplementos'!$B$56:$W$68,AX$7,0)),0)</f>
        <v>0</v>
      </c>
      <c r="AY23" s="165">
        <f>IFERROR($T19*(VLOOKUP($R19,'Formulação suplementos'!$B$56:$W$68,AY$7,0)),0)</f>
        <v>0</v>
      </c>
      <c r="AZ23" s="165">
        <f>IFERROR($T19*(VLOOKUP($R19,'Formulação suplementos'!$B$56:$W$68,AZ$7,0)),0)</f>
        <v>0</v>
      </c>
      <c r="BA23" s="165">
        <f>IFERROR($T19*(VLOOKUP($R19,'Formulação suplementos'!$B$56:$W$68,BA$7,0)),0)</f>
        <v>0</v>
      </c>
      <c r="BB23" s="165">
        <f>IFERROR($T19*(VLOOKUP($R19,'Formulação suplementos'!$B$56:$W$68,BB$7,0)),0)</f>
        <v>0</v>
      </c>
      <c r="BC23" s="165">
        <f>IFERROR($T19*(VLOOKUP($R19,'Formulação suplementos'!$B$56:$W$68,BC$7,0)),0)</f>
        <v>0</v>
      </c>
      <c r="BD23" s="165">
        <f>IFERROR($T19*(VLOOKUP($R19,'Formulação suplementos'!$B$56:$W$68,BD$7,0)),0)</f>
        <v>0</v>
      </c>
      <c r="BE23" s="165">
        <f>IFERROR($T19*(VLOOKUP($R19,'Formulação suplementos'!$B$56:$W$68,BE$7,0)),0)</f>
        <v>0</v>
      </c>
      <c r="BF23" s="165">
        <f>IFERROR($T19*(VLOOKUP($R19,'Formulação suplementos'!$B$56:$W$68,BF$7,0)),0)</f>
        <v>0</v>
      </c>
      <c r="BG23" s="165">
        <f>IFERROR($T19*(VLOOKUP($R19,'Formulação suplementos'!$B$56:$W$68,BG$7,0)),0)</f>
        <v>0</v>
      </c>
      <c r="BH23" s="165">
        <f>IFERROR($T19*(VLOOKUP($R19,'Formulação suplementos'!$B$56:$W$68,BH$7,0)),0)</f>
        <v>0</v>
      </c>
      <c r="BI23" s="165">
        <f>IFERROR($T19*(VLOOKUP($R19,'Formulação suplementos'!$B$56:$W$68,BI$7,0)),0)</f>
        <v>0</v>
      </c>
      <c r="BJ23" s="165">
        <f>IFERROR($T19*(VLOOKUP($R19,'Formulação suplementos'!$B$56:$W$68,BJ$7,0)),0)</f>
        <v>0</v>
      </c>
      <c r="BK23" s="165">
        <f>IFERROR($T19*(VLOOKUP($R19,'Formulação suplementos'!$B$56:$W$68,BK$7,0)),0)</f>
        <v>0</v>
      </c>
      <c r="BL23" s="165">
        <f>IFERROR($T19*(VLOOKUP($R19,'Formulação suplementos'!$B$56:$W$68,BL$7,0)),0)</f>
        <v>0</v>
      </c>
      <c r="BM23" s="165">
        <f>IFERROR($T19*(VLOOKUP($R19,'Formulação suplementos'!$B$56:$W$68,BM$7,0)),0)</f>
        <v>0</v>
      </c>
      <c r="BN23"/>
      <c r="BO23"/>
      <c r="BP23"/>
      <c r="BQ23"/>
      <c r="BR23" s="116"/>
      <c r="BS23"/>
      <c r="BT23"/>
      <c r="BU23"/>
      <c r="BV23"/>
      <c r="BW23"/>
      <c r="BX23"/>
      <c r="BY23" s="166"/>
      <c r="BZ23" s="167"/>
      <c r="CA23" s="167"/>
      <c r="CB23" s="168"/>
      <c r="CC23" s="169"/>
      <c r="CD23" s="169"/>
      <c r="CE23" s="166"/>
      <c r="CF23" s="166"/>
      <c r="CG23" s="167"/>
      <c r="CH23" s="167"/>
      <c r="CI23" s="170"/>
      <c r="CJ23" s="170"/>
      <c r="CK23" s="229"/>
      <c r="CL23" s="230"/>
      <c r="CM23" s="231"/>
      <c r="CN23" s="232"/>
      <c r="CO23" s="170"/>
      <c r="CP23" s="213"/>
      <c r="CQ23" s="214"/>
      <c r="CR23" s="233">
        <v>0.67800000000000005</v>
      </c>
      <c r="CS23" s="216"/>
      <c r="CT23" s="217"/>
      <c r="CU23" s="170"/>
      <c r="CV23" s="170"/>
      <c r="CW23" s="229"/>
      <c r="CX23" s="230"/>
      <c r="CY23" s="231"/>
      <c r="CZ23" s="232"/>
      <c r="DA23" s="170"/>
      <c r="DB23" s="213"/>
      <c r="DC23" s="219"/>
      <c r="DD23" s="233">
        <v>0.67800000000000005</v>
      </c>
      <c r="DE23" s="218"/>
      <c r="DF23" s="217"/>
      <c r="DG23" s="170"/>
      <c r="DH23" s="170"/>
      <c r="DI23" s="170"/>
      <c r="DJ23" s="170"/>
      <c r="DK23" s="170"/>
      <c r="DL23" s="170"/>
      <c r="DM23" s="170"/>
      <c r="DO23" s="194">
        <f>(DP22+('Formulação suplementos'!$CM$37-(DP22*0.64))/0.8)/1000</f>
        <v>1.0243820386903104</v>
      </c>
      <c r="DP23" s="195">
        <f>-53.07 + (304.89 * (DO23)) + (90.79 *'Formulação suplementos'!$K$10) - (3.13 * 'Formulação suplementos'!$K$10*'Formulação suplementos'!$K$10)</f>
        <v>654.0366921045545</v>
      </c>
      <c r="DR23" s="170"/>
      <c r="DT23" s="194">
        <f>(DU22+('Formulação suplementos'!$CY$36-(DU22*0.64))/0.8)/1000</f>
        <v>0.43991743154680224</v>
      </c>
      <c r="DU23" s="195">
        <f>-53.07 + (304.89 * (DT23-'Formulação suplementos'!$CA$214)) + (90.79 *('Formulação suplementos'!$CY$30)) - (3.13 *('Formulação suplementos'!$CY$30)^2)</f>
        <v>89.688064710350332</v>
      </c>
      <c r="DV23" s="170"/>
      <c r="FB23" s="117" t="s">
        <v>280</v>
      </c>
      <c r="FC23" s="117" t="s">
        <v>281</v>
      </c>
      <c r="FD23" s="117" t="s">
        <v>251</v>
      </c>
      <c r="FE23" s="117">
        <v>3.32</v>
      </c>
      <c r="FF23" s="117">
        <v>3.32</v>
      </c>
      <c r="FG23" s="117">
        <v>66.39</v>
      </c>
      <c r="FH23" s="128">
        <f t="shared" si="13"/>
        <v>19.996987951807231</v>
      </c>
      <c r="FL23" s="117" t="s">
        <v>280</v>
      </c>
      <c r="FM23" s="117" t="s">
        <v>281</v>
      </c>
      <c r="FN23" s="117" t="s">
        <v>251</v>
      </c>
      <c r="FO23" s="117">
        <v>3.73</v>
      </c>
      <c r="FP23" s="117">
        <v>3.73</v>
      </c>
      <c r="FQ23" s="117">
        <v>74.599999999999994</v>
      </c>
      <c r="FR23" s="128">
        <f t="shared" si="14"/>
        <v>20</v>
      </c>
      <c r="FU23" s="117" t="s">
        <v>280</v>
      </c>
      <c r="FV23" s="117" t="s">
        <v>281</v>
      </c>
      <c r="FW23" s="117" t="s">
        <v>251</v>
      </c>
      <c r="FX23" s="117">
        <v>3.73</v>
      </c>
      <c r="FY23" s="117">
        <v>3.73</v>
      </c>
      <c r="FZ23" s="117">
        <v>74.540000000000006</v>
      </c>
      <c r="GA23" s="128">
        <f t="shared" si="15"/>
        <v>19.983914209115284</v>
      </c>
    </row>
    <row r="24" spans="1:183" s="117" customFormat="1" ht="15.75" customHeight="1" thickBot="1" x14ac:dyDescent="0.3">
      <c r="A24" s="118"/>
      <c r="B24" s="121"/>
      <c r="C24" s="121"/>
      <c r="D24" s="121"/>
      <c r="E24" s="242" t="str">
        <f>IF(IFERROR("*suplemento consumo de "&amp;C19*100&amp;"% P.V | Estimativa de "&amp;ROUND((AX27/SUM(T8:T19))*100,1)&amp;"% de PB e "&amp;ROUND((AW27/SUM(T8:T19)*100),1)&amp;"% de NDT","Tabela do suplemento formulado")="Tabela do suplemento formulado","",IFERROR("*suplemento consumo de "&amp;C19*100&amp;"% P.V | Estimativa de "&amp;ROUND((AX27/SUM(T8:T19))*100,1)&amp;"% de PB e "&amp;ROUND((AW27/SUM(T8:T19)*100),1)&amp;"% de NDT","Tabela do suplemento formulado"))</f>
        <v/>
      </c>
      <c r="F24" s="121"/>
      <c r="G24" s="243"/>
      <c r="H24" s="244"/>
      <c r="I24" s="120"/>
      <c r="J24" s="245"/>
      <c r="K24" s="119"/>
      <c r="L24" s="245"/>
      <c r="M24" s="119"/>
      <c r="N24" s="119"/>
      <c r="O24" s="119"/>
      <c r="P24" s="119"/>
      <c r="Q24" s="119"/>
      <c r="R24" s="651" t="s">
        <v>282</v>
      </c>
      <c r="S24" s="651"/>
      <c r="T24" s="651"/>
      <c r="U24" s="651"/>
      <c r="V24" s="651"/>
      <c r="W24" s="651"/>
      <c r="X24" s="651"/>
      <c r="Y24" s="119"/>
      <c r="Z24" s="119"/>
      <c r="AA24" s="119"/>
      <c r="AB24" s="119"/>
      <c r="AC24" s="118"/>
      <c r="AD24" s="118"/>
      <c r="AE24" s="119"/>
      <c r="AF24" s="119"/>
      <c r="AG24" s="119"/>
      <c r="AH24" s="119"/>
      <c r="AI24" s="119"/>
      <c r="AJ24" s="119"/>
      <c r="AK24" s="119"/>
      <c r="AL24" s="119"/>
      <c r="AM24" s="119"/>
      <c r="AN24" s="118"/>
      <c r="AO24" s="116"/>
      <c r="AP24" s="116"/>
      <c r="AQ24" s="116"/>
      <c r="AR24" s="116"/>
      <c r="AS24" s="116"/>
      <c r="AT24" s="116"/>
      <c r="AU24" s="116"/>
      <c r="AV24" s="246">
        <f>SUM(AV9:AV23)</f>
        <v>5.2532495701100999</v>
      </c>
      <c r="AW24" s="246">
        <f>SUM(AW9:AW23)+(((M23*280)/100)/1000)</f>
        <v>1.0684575396834102</v>
      </c>
      <c r="AX24" s="246">
        <f t="shared" ref="AX24:BM24" si="21">SUM(AX9:AX23)</f>
        <v>65.888214947143624</v>
      </c>
      <c r="AY24" s="246">
        <f t="shared" si="21"/>
        <v>16.91724437832066</v>
      </c>
      <c r="AZ24" s="246">
        <f t="shared" si="21"/>
        <v>0</v>
      </c>
      <c r="BA24" s="246">
        <f t="shared" si="21"/>
        <v>4.4519064153475423</v>
      </c>
      <c r="BB24" s="246">
        <f t="shared" si="21"/>
        <v>154.03596197102496</v>
      </c>
      <c r="BC24" s="246">
        <f>SUM(BC12:BD23)</f>
        <v>0</v>
      </c>
      <c r="BD24" s="246">
        <f t="shared" si="21"/>
        <v>0.89038128306950848</v>
      </c>
      <c r="BE24" s="246">
        <f t="shared" si="21"/>
        <v>243.96447156104534</v>
      </c>
      <c r="BF24" s="246">
        <f t="shared" si="21"/>
        <v>12.46533796297312</v>
      </c>
      <c r="BG24" s="246">
        <f t="shared" si="21"/>
        <v>89.66139520509951</v>
      </c>
      <c r="BH24" s="246">
        <f t="shared" si="21"/>
        <v>238.71122199093523</v>
      </c>
      <c r="BI24" s="246">
        <f t="shared" si="21"/>
        <v>0</v>
      </c>
      <c r="BJ24" s="246">
        <f t="shared" si="21"/>
        <v>890.29224494120149</v>
      </c>
      <c r="BK24" s="246">
        <f t="shared" si="21"/>
        <v>0</v>
      </c>
      <c r="BL24" s="246">
        <f t="shared" si="21"/>
        <v>3.6505632605849838</v>
      </c>
      <c r="BM24" s="246">
        <f t="shared" si="21"/>
        <v>0</v>
      </c>
      <c r="BN24"/>
      <c r="BO24"/>
      <c r="BP24"/>
      <c r="BQ24"/>
      <c r="BR24" s="116"/>
      <c r="BS24"/>
      <c r="BT24"/>
      <c r="BU24"/>
      <c r="BV24"/>
      <c r="BW24"/>
      <c r="BX24"/>
      <c r="BY24" s="247" t="s">
        <v>231</v>
      </c>
      <c r="BZ24" s="247"/>
      <c r="CA24" s="248">
        <v>0.2</v>
      </c>
      <c r="CB24" s="168"/>
      <c r="CC24" s="169"/>
      <c r="CD24" s="169"/>
      <c r="CE24" s="166"/>
      <c r="CF24" s="166"/>
      <c r="CG24" s="167"/>
      <c r="CH24" s="167"/>
      <c r="CI24" s="170"/>
      <c r="CJ24" s="170"/>
      <c r="CK24" s="210" t="s">
        <v>283</v>
      </c>
      <c r="CL24" s="211" t="s">
        <v>284</v>
      </c>
      <c r="CM24" s="218">
        <f>(97.8*CA36^0.75)/1000</f>
        <v>9.0252451104821052</v>
      </c>
      <c r="CN24" s="212" t="s">
        <v>285</v>
      </c>
      <c r="CO24" s="170"/>
      <c r="CP24" s="213"/>
      <c r="CQ24" s="214" t="s">
        <v>286</v>
      </c>
      <c r="CR24" s="249">
        <f>CA82</f>
        <v>1.3119510735214142</v>
      </c>
      <c r="CS24" s="249"/>
      <c r="CT24" s="249"/>
      <c r="CU24" s="170"/>
      <c r="CV24" s="170"/>
      <c r="CW24" s="210" t="s">
        <v>283</v>
      </c>
      <c r="CX24" s="211" t="s">
        <v>284</v>
      </c>
      <c r="CY24" s="218">
        <f>70.3*CA187^0.75/1000</f>
        <v>2.1594175619475799</v>
      </c>
      <c r="CZ24" s="212" t="s">
        <v>285</v>
      </c>
      <c r="DA24" s="170"/>
      <c r="DB24" s="213"/>
      <c r="DC24" s="219" t="s">
        <v>286</v>
      </c>
      <c r="DD24" s="249">
        <f>CA236</f>
        <v>1.3933261954880065</v>
      </c>
      <c r="DE24" s="249"/>
      <c r="DF24" s="249"/>
      <c r="DG24" s="170"/>
      <c r="DH24" s="170"/>
      <c r="DI24" s="170"/>
      <c r="DJ24" s="170"/>
      <c r="DK24" s="170"/>
      <c r="DL24" s="170"/>
      <c r="DM24" s="170"/>
      <c r="DO24" s="194">
        <f>(DP23+('Formulação suplementos'!$CM$37-(DP23*0.64))/0.8)/1000</f>
        <v>1.0243820388338896</v>
      </c>
      <c r="DP24" s="195">
        <f>-53.07 + (304.89 * (DO24)) + (90.79 *'Formulação suplementos'!$K$10) - (3.13 * 'Formulação suplementos'!$K$10*'Formulação suplementos'!$K$10)</f>
        <v>654.0366921483303</v>
      </c>
      <c r="DR24" s="170"/>
      <c r="DT24" s="194">
        <f>(DU23+('Formulação suplementos'!$CY$36-(DU23*0.64))/0.8)/1000</f>
        <v>0.43991742989810823</v>
      </c>
      <c r="DU24" s="195">
        <f>-53.07 + (304.89 * (DT24-'Formulação suplementos'!$CA$214)) + (90.79 *('Formulação suplementos'!$CY$30)) - (3.13 *('Formulação suplementos'!$CY$30)^2)</f>
        <v>89.688064207680029</v>
      </c>
      <c r="DV24" s="170"/>
      <c r="FB24" s="117" t="s">
        <v>287</v>
      </c>
      <c r="FC24" s="117" t="s">
        <v>288</v>
      </c>
      <c r="FD24" s="117" t="s">
        <v>251</v>
      </c>
      <c r="FE24" s="117">
        <v>252.29</v>
      </c>
      <c r="FF24" s="117">
        <v>252.29</v>
      </c>
      <c r="FG24" s="117">
        <v>756.87</v>
      </c>
      <c r="FH24" s="128">
        <f t="shared" si="13"/>
        <v>3</v>
      </c>
      <c r="FL24" s="117" t="s">
        <v>287</v>
      </c>
      <c r="FM24" s="117" t="s">
        <v>288</v>
      </c>
      <c r="FN24" s="117" t="s">
        <v>251</v>
      </c>
      <c r="FO24" s="117">
        <v>342.02</v>
      </c>
      <c r="FP24" s="117">
        <v>342.02</v>
      </c>
      <c r="FQ24" s="250">
        <v>1026.05</v>
      </c>
      <c r="FR24" s="128">
        <f t="shared" si="14"/>
        <v>2.9999707619437461</v>
      </c>
      <c r="FU24" s="117" t="s">
        <v>287</v>
      </c>
      <c r="FV24" s="117" t="s">
        <v>288</v>
      </c>
      <c r="FW24" s="117" t="s">
        <v>251</v>
      </c>
      <c r="FX24" s="117">
        <v>346.88</v>
      </c>
      <c r="FY24" s="117">
        <v>346.88</v>
      </c>
      <c r="FZ24" s="250">
        <v>1040.6300000000001</v>
      </c>
      <c r="GA24" s="128">
        <f t="shared" si="15"/>
        <v>2.9999711715867163</v>
      </c>
    </row>
    <row r="25" spans="1:183" s="117" customFormat="1" ht="15.75" customHeight="1" thickBot="1" x14ac:dyDescent="0.3">
      <c r="A25" s="121"/>
      <c r="B25" s="121"/>
      <c r="C25" s="121"/>
      <c r="D25" s="121"/>
      <c r="E25" s="242" t="str">
        <f>IFERROR("**consumo médio do suplemento de "&amp;ROUND(C19*C6,3)&amp;" kg/cab/dia","")</f>
        <v>**consumo médio do suplemento de 0,25 kg/cab/dia</v>
      </c>
      <c r="F25" s="121"/>
      <c r="G25" s="243"/>
      <c r="H25" s="251"/>
      <c r="I25" s="120"/>
      <c r="J25" s="652" t="s">
        <v>289</v>
      </c>
      <c r="K25" s="652"/>
      <c r="L25" s="252">
        <v>0</v>
      </c>
      <c r="M25" s="121"/>
      <c r="N25" s="121"/>
      <c r="O25" s="121"/>
      <c r="P25" s="121"/>
      <c r="Q25" s="119"/>
      <c r="R25" s="119"/>
      <c r="S25" s="119"/>
      <c r="T25" s="119"/>
      <c r="U25" s="120"/>
      <c r="V25" s="120"/>
      <c r="W25" s="120"/>
      <c r="X25" s="253"/>
      <c r="Y25" s="119"/>
      <c r="Z25" s="119"/>
      <c r="AA25" s="119"/>
      <c r="AB25" s="119"/>
      <c r="AC25" s="118"/>
      <c r="AD25" s="118"/>
      <c r="AE25" s="119"/>
      <c r="AF25" s="119"/>
      <c r="AG25" s="119"/>
      <c r="AH25" s="119"/>
      <c r="AI25" s="119"/>
      <c r="AJ25" s="119"/>
      <c r="AK25" s="119"/>
      <c r="AL25" s="119"/>
      <c r="AM25" s="119"/>
      <c r="AN25" s="118"/>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c r="BO25"/>
      <c r="BP25"/>
      <c r="BQ25"/>
      <c r="BR25" s="116"/>
      <c r="BS25"/>
      <c r="BT25"/>
      <c r="BU25"/>
      <c r="BV25"/>
      <c r="BW25"/>
      <c r="BX25"/>
      <c r="BY25" s="167"/>
      <c r="BZ25" s="167"/>
      <c r="CA25" s="167"/>
      <c r="CB25" s="254"/>
      <c r="CC25" s="169"/>
      <c r="CD25" s="169"/>
      <c r="CE25" s="166"/>
      <c r="CF25" s="166"/>
      <c r="CG25" s="167"/>
      <c r="CH25" s="167"/>
      <c r="CI25" s="170"/>
      <c r="CJ25" s="170"/>
      <c r="CK25" s="210"/>
      <c r="CL25" s="211" t="s">
        <v>290</v>
      </c>
      <c r="CM25" s="218">
        <f>CA37*(1.0076*CA36^0.2389)</f>
        <v>3.8253459561981409E-2</v>
      </c>
      <c r="CN25" s="212" t="s">
        <v>285</v>
      </c>
      <c r="CO25" s="170"/>
      <c r="CP25" s="213"/>
      <c r="CQ25" s="214" t="s">
        <v>228</v>
      </c>
      <c r="CR25" s="215" t="s">
        <v>258</v>
      </c>
      <c r="CS25" s="218">
        <f>CA89</f>
        <v>9.5119911785892146</v>
      </c>
      <c r="CT25" s="217" t="s">
        <v>259</v>
      </c>
      <c r="CU25" s="170"/>
      <c r="CV25" s="170"/>
      <c r="CW25" s="210"/>
      <c r="CX25" s="211" t="s">
        <v>290</v>
      </c>
      <c r="CY25" s="218">
        <f>0.0932*CA187^0.75*CA188^0.9157</f>
        <v>2.7525398363191318</v>
      </c>
      <c r="CZ25" s="212" t="s">
        <v>285</v>
      </c>
      <c r="DA25" s="170"/>
      <c r="DB25" s="213"/>
      <c r="DC25" s="219" t="s">
        <v>228</v>
      </c>
      <c r="DD25" s="215" t="s">
        <v>258</v>
      </c>
      <c r="DE25" s="218">
        <f>CA242</f>
        <v>2.5256773891491902</v>
      </c>
      <c r="DF25" s="217" t="s">
        <v>259</v>
      </c>
      <c r="DG25" s="170"/>
      <c r="DH25" s="170"/>
      <c r="DI25" s="170"/>
      <c r="DJ25" s="170"/>
      <c r="DK25" s="170"/>
      <c r="DL25" s="170"/>
      <c r="DM25" s="170"/>
      <c r="DO25" s="194">
        <f>(DP24+('Formulação suplementos'!$CM$37-(DP24*0.64))/0.8)/1000</f>
        <v>1.0243820388426448</v>
      </c>
      <c r="DP25" s="195">
        <f>-53.07 + (304.89 * (DO25)) + (90.79 *'Formulação suplementos'!$K$10) - (3.13 * 'Formulação suplementos'!$K$10*'Formulação suplementos'!$K$10)</f>
        <v>654.03669215099967</v>
      </c>
      <c r="DR25" s="170"/>
      <c r="DT25" s="194">
        <f>(DU24+('Formulação suplementos'!$CY$36-(DU24*0.64))/0.8)/1000</f>
        <v>0.43991742979757426</v>
      </c>
      <c r="DU25" s="195">
        <f>-53.07 + (304.89 * (DT25-'Formulação suplementos'!$CA$214)) + (90.79 *('Formulação suplementos'!$CY$30)) - (3.13 *('Formulação suplementos'!$CY$30)^2)</f>
        <v>89.688064177028238</v>
      </c>
      <c r="DV25" s="170"/>
    </row>
    <row r="26" spans="1:183" s="117" customFormat="1" ht="33" customHeight="1" x14ac:dyDescent="0.25">
      <c r="A26" s="118"/>
      <c r="B26" s="121"/>
      <c r="C26" s="119"/>
      <c r="D26" s="228"/>
      <c r="E26" s="119"/>
      <c r="F26" s="121"/>
      <c r="G26" s="121"/>
      <c r="H26" s="120"/>
      <c r="I26" s="120"/>
      <c r="J26" s="120"/>
      <c r="K26" s="120"/>
      <c r="L26" s="120"/>
      <c r="M26" s="120"/>
      <c r="N26" s="120"/>
      <c r="O26" s="120"/>
      <c r="P26" s="120"/>
      <c r="Q26" s="119"/>
      <c r="R26" s="119"/>
      <c r="S26" s="255"/>
      <c r="T26" s="119"/>
      <c r="U26" s="119"/>
      <c r="V26" s="119"/>
      <c r="W26" s="119"/>
      <c r="X26" s="119"/>
      <c r="Y26" s="119"/>
      <c r="Z26" s="119"/>
      <c r="AA26" s="119"/>
      <c r="AB26" s="119"/>
      <c r="AC26" s="118"/>
      <c r="AD26" s="118"/>
      <c r="AE26" s="119"/>
      <c r="AF26" s="119"/>
      <c r="AG26" s="119"/>
      <c r="AH26" s="119"/>
      <c r="AI26" s="119"/>
      <c r="AJ26" s="119"/>
      <c r="AK26" s="119"/>
      <c r="AL26" s="119"/>
      <c r="AM26" s="119"/>
      <c r="AN26" s="118"/>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c r="BP26"/>
      <c r="BQ26"/>
      <c r="BR26" s="116"/>
      <c r="BS26"/>
      <c r="BT26"/>
      <c r="BU26"/>
      <c r="BV26"/>
      <c r="BW26"/>
      <c r="BX26"/>
      <c r="BY26" s="166"/>
      <c r="BZ26" s="166"/>
      <c r="CA26" s="167"/>
      <c r="CB26" s="254"/>
      <c r="CC26" s="169"/>
      <c r="CD26" s="256" t="s">
        <v>291</v>
      </c>
      <c r="CE26" s="256"/>
      <c r="CF26" s="256"/>
      <c r="CG26" s="256"/>
      <c r="CH26" s="256"/>
      <c r="CI26" s="170"/>
      <c r="CJ26" s="170"/>
      <c r="CK26" s="210"/>
      <c r="CL26" s="211" t="s">
        <v>292</v>
      </c>
      <c r="CM26" s="218">
        <f>(CA45*CM22)</f>
        <v>4.9781264786580497</v>
      </c>
      <c r="CN26" s="212" t="s">
        <v>285</v>
      </c>
      <c r="CO26" s="170"/>
      <c r="CP26" s="213"/>
      <c r="CQ26" s="214"/>
      <c r="CR26" s="233">
        <v>0.35499999999999998</v>
      </c>
      <c r="CS26" s="218"/>
      <c r="CT26" s="217"/>
      <c r="CU26" s="170"/>
      <c r="CV26" s="170"/>
      <c r="CW26" s="210"/>
      <c r="CX26" s="211" t="s">
        <v>293</v>
      </c>
      <c r="CY26" s="218">
        <f>118.6*CA187^0.75/1000</f>
        <v>3.6430572239969132</v>
      </c>
      <c r="CZ26" s="212" t="s">
        <v>285</v>
      </c>
      <c r="DA26" s="170"/>
      <c r="DB26" s="213"/>
      <c r="DC26" s="219"/>
      <c r="DD26" s="233">
        <v>0.35499999999999998</v>
      </c>
      <c r="DE26" s="218"/>
      <c r="DF26" s="217"/>
      <c r="DG26" s="170"/>
      <c r="DH26" s="170"/>
      <c r="DI26" s="170"/>
      <c r="DJ26" s="170"/>
      <c r="DK26" s="170"/>
      <c r="DL26" s="170"/>
      <c r="DM26" s="170"/>
      <c r="DO26" s="194">
        <f>(DP25+('Formulação suplementos'!$CM$37-(DP25*0.64))/0.8)/1000</f>
        <v>1.0243820388431786</v>
      </c>
      <c r="DP26" s="195">
        <f>-53.07 + (304.89 * (DO26)) + (90.79 *'Formulação suplementos'!$K$10) - (3.13 * 'Formulação suplementos'!$K$10*'Formulação suplementos'!$K$10)</f>
        <v>654.03669215116247</v>
      </c>
      <c r="DR26" s="170"/>
      <c r="DT26" s="194">
        <f>(DU25+('Formulação suplementos'!$CY$36-(DU25*0.64))/0.8)/1000</f>
        <v>0.43991742979144383</v>
      </c>
      <c r="DU26" s="195">
        <f>-53.07 + (304.89 * (DT26-'Formulação suplementos'!$CA$214)) + (90.79 *('Formulação suplementos'!$CY$30)) - (3.13 *('Formulação suplementos'!$CY$30)^2)</f>
        <v>89.688064175159113</v>
      </c>
      <c r="DV26" s="170"/>
    </row>
    <row r="27" spans="1:183" s="117" customFormat="1" ht="24" customHeight="1" thickBot="1" x14ac:dyDescent="0.3">
      <c r="A27" s="118"/>
      <c r="B27" s="653" t="s">
        <v>294</v>
      </c>
      <c r="C27" s="653"/>
      <c r="D27" s="653"/>
      <c r="E27" s="653"/>
      <c r="F27" s="653"/>
      <c r="G27" s="653"/>
      <c r="H27" s="653"/>
      <c r="I27" s="653"/>
      <c r="J27" s="653"/>
      <c r="K27" s="653"/>
      <c r="L27" s="653"/>
      <c r="M27" s="653"/>
      <c r="N27" s="653"/>
      <c r="O27" s="653"/>
      <c r="P27" s="653"/>
      <c r="Q27" s="653"/>
      <c r="R27" s="653"/>
      <c r="S27" s="653"/>
      <c r="T27" s="653"/>
      <c r="U27" s="653"/>
      <c r="V27" s="119"/>
      <c r="W27" s="119"/>
      <c r="X27" s="119"/>
      <c r="Y27" s="257"/>
      <c r="Z27" s="258"/>
      <c r="AA27" s="258"/>
      <c r="AB27" s="119"/>
      <c r="AC27" s="119"/>
      <c r="AD27" s="119"/>
      <c r="AE27" s="119"/>
      <c r="AF27" s="119"/>
      <c r="AG27" s="119"/>
      <c r="AH27" s="119"/>
      <c r="AI27" s="119"/>
      <c r="AJ27" s="119"/>
      <c r="AK27" s="119"/>
      <c r="AL27" s="119"/>
      <c r="AM27" s="119"/>
      <c r="AN27" s="118"/>
      <c r="AO27" s="116"/>
      <c r="AP27" s="116"/>
      <c r="AQ27" s="116"/>
      <c r="AR27" s="116"/>
      <c r="AS27" s="116"/>
      <c r="AT27" s="116"/>
      <c r="AU27" s="116"/>
      <c r="AV27" s="116"/>
      <c r="AW27" s="137">
        <f>AV24-AV9</f>
        <v>0</v>
      </c>
      <c r="AX27" s="137">
        <f>AW24-AW9</f>
        <v>0</v>
      </c>
      <c r="AY27" s="116"/>
      <c r="AZ27" s="116"/>
      <c r="BA27" s="116"/>
      <c r="BB27" s="116"/>
      <c r="BC27" s="116"/>
      <c r="BD27" s="116"/>
      <c r="BE27" s="116"/>
      <c r="BF27" s="116"/>
      <c r="BG27" s="116"/>
      <c r="BH27" s="116"/>
      <c r="BI27" s="116"/>
      <c r="BJ27" s="116"/>
      <c r="BK27" s="116"/>
      <c r="BL27" s="116"/>
      <c r="BM27" s="116"/>
      <c r="BN27" s="116"/>
      <c r="BO27" s="116"/>
      <c r="BP27" s="116"/>
      <c r="BQ27" s="116"/>
      <c r="BR27" s="116"/>
      <c r="BS27"/>
      <c r="BT27"/>
      <c r="BU27"/>
      <c r="BV27"/>
      <c r="BW27"/>
      <c r="BX27"/>
      <c r="BY27" s="166"/>
      <c r="BZ27" s="166"/>
      <c r="CA27" s="259"/>
      <c r="CB27" s="168"/>
      <c r="CC27" s="169"/>
      <c r="CD27" s="256"/>
      <c r="CE27" s="256"/>
      <c r="CF27" s="256"/>
      <c r="CG27" s="256"/>
      <c r="CH27" s="256"/>
      <c r="CI27" s="170"/>
      <c r="CJ27" s="170"/>
      <c r="CK27" s="210"/>
      <c r="CL27" s="211" t="s">
        <v>293</v>
      </c>
      <c r="CM27" s="216">
        <f>(135*CA36^0.75)/1000</f>
        <v>12.458160428579593</v>
      </c>
      <c r="CN27" s="212" t="s">
        <v>285</v>
      </c>
      <c r="CO27" s="170"/>
      <c r="CP27" s="213"/>
      <c r="CQ27" s="214" t="s">
        <v>239</v>
      </c>
      <c r="CR27" s="215" t="s">
        <v>258</v>
      </c>
      <c r="CS27" s="216">
        <f>CA96</f>
        <v>11.787242732609265</v>
      </c>
      <c r="CT27" s="217" t="s">
        <v>259</v>
      </c>
      <c r="CU27" s="170"/>
      <c r="CV27" s="170"/>
      <c r="CW27" s="210"/>
      <c r="CX27" s="211" t="s">
        <v>295</v>
      </c>
      <c r="CY27" s="218">
        <f>CY25/CA199</f>
        <v>4.4652243739649151</v>
      </c>
      <c r="CZ27" s="212" t="s">
        <v>285</v>
      </c>
      <c r="DA27" s="170"/>
      <c r="DB27" s="213"/>
      <c r="DC27" s="219" t="s">
        <v>239</v>
      </c>
      <c r="DD27" s="215" t="s">
        <v>258</v>
      </c>
      <c r="DE27" s="218">
        <f>CA248</f>
        <v>4.5124291152887794</v>
      </c>
      <c r="DF27" s="217" t="s">
        <v>259</v>
      </c>
      <c r="DG27" s="170"/>
      <c r="DH27" s="170"/>
      <c r="DI27" s="170"/>
      <c r="DJ27" s="170"/>
      <c r="DK27" s="170"/>
      <c r="DL27" s="170"/>
      <c r="DM27" s="170"/>
      <c r="DO27" s="194">
        <f>(DP26+('Formulação suplementos'!$CM$37-(DP26*0.64))/0.8)/1000</f>
        <v>1.0243820388432112</v>
      </c>
      <c r="DP27" s="195">
        <f>-53.07 + (304.89 * (DO27)) + (90.79 *'Formulação suplementos'!$K$10) - (3.13 * 'Formulação suplementos'!$K$10*'Formulação suplementos'!$K$10)</f>
        <v>654.03669215117247</v>
      </c>
      <c r="DR27" s="170"/>
      <c r="DT27" s="194">
        <f>(DU26+('Formulação suplementos'!$CY$36-(DU26*0.64))/0.8)/1000</f>
        <v>0.43991742979107007</v>
      </c>
      <c r="DU27" s="195">
        <f>-53.07 + (304.89 * (DT27-'Formulação suplementos'!$CA$214)) + (90.79 *('Formulação suplementos'!$CY$30)) - (3.13 *('Formulação suplementos'!$CY$30)^2)</f>
        <v>89.68806417504517</v>
      </c>
      <c r="DV27" s="170"/>
    </row>
    <row r="28" spans="1:183" s="117" customFormat="1" ht="18" customHeight="1" thickBot="1" x14ac:dyDescent="0.3">
      <c r="A28" s="118"/>
      <c r="B28" s="260" t="s">
        <v>240</v>
      </c>
      <c r="C28" s="260" t="s">
        <v>296</v>
      </c>
      <c r="D28" s="260" t="s">
        <v>297</v>
      </c>
      <c r="E28" s="260" t="s">
        <v>298</v>
      </c>
      <c r="F28" s="260" t="s">
        <v>299</v>
      </c>
      <c r="G28" s="260" t="s">
        <v>300</v>
      </c>
      <c r="H28" s="260" t="s">
        <v>301</v>
      </c>
      <c r="I28" s="260" t="s">
        <v>302</v>
      </c>
      <c r="J28" s="260" t="s">
        <v>303</v>
      </c>
      <c r="K28" s="260" t="s">
        <v>304</v>
      </c>
      <c r="L28" s="260" t="s">
        <v>305</v>
      </c>
      <c r="M28" s="260" t="s">
        <v>306</v>
      </c>
      <c r="N28" s="260" t="s">
        <v>307</v>
      </c>
      <c r="O28" s="260" t="s">
        <v>308</v>
      </c>
      <c r="P28" s="260" t="s">
        <v>309</v>
      </c>
      <c r="Q28" s="260" t="s">
        <v>310</v>
      </c>
      <c r="R28" s="260" t="s">
        <v>311</v>
      </c>
      <c r="S28" s="260" t="s">
        <v>312</v>
      </c>
      <c r="T28" s="260" t="s">
        <v>313</v>
      </c>
      <c r="U28" s="260" t="s">
        <v>314</v>
      </c>
      <c r="V28" s="119"/>
      <c r="W28" s="119"/>
      <c r="X28" s="119"/>
      <c r="Y28" s="119"/>
      <c r="Z28" s="119"/>
      <c r="AA28" s="119"/>
      <c r="AB28" s="164"/>
      <c r="AC28" s="119"/>
      <c r="AD28" s="119"/>
      <c r="AE28" s="119"/>
      <c r="AF28" s="119"/>
      <c r="AG28" s="119"/>
      <c r="AH28" s="119"/>
      <c r="AI28" s="118"/>
      <c r="AJ28" s="118"/>
      <c r="AK28" s="118"/>
      <c r="AL28" s="118"/>
      <c r="AM28" s="118"/>
      <c r="AN28" s="118"/>
      <c r="AO28" s="116"/>
      <c r="AP28" s="122"/>
      <c r="AQ28" s="116"/>
      <c r="AR28" s="116"/>
      <c r="AS28" s="116"/>
      <c r="AT28" s="116"/>
      <c r="AU28" s="116"/>
      <c r="AV28" s="116"/>
      <c r="AW28" s="116"/>
      <c r="AX28" s="116"/>
      <c r="AY28" s="116"/>
      <c r="AZ28" s="116"/>
      <c r="BA28" s="116"/>
      <c r="BB28" s="116"/>
      <c r="BC28" s="116"/>
      <c r="BD28"/>
      <c r="BE28"/>
      <c r="BF28"/>
      <c r="BG28"/>
      <c r="BH28"/>
      <c r="BI28"/>
      <c r="BJ28"/>
      <c r="BK28"/>
      <c r="BL28"/>
      <c r="BM28"/>
      <c r="BN28"/>
      <c r="BO28"/>
      <c r="BP28"/>
      <c r="BQ28"/>
      <c r="BR28"/>
      <c r="BS28"/>
      <c r="BT28"/>
      <c r="BU28"/>
      <c r="BV28"/>
      <c r="BW28"/>
      <c r="BX28"/>
      <c r="BY28" s="166"/>
      <c r="BZ28" s="166"/>
      <c r="CA28" s="167"/>
      <c r="CB28" s="168"/>
      <c r="CC28" s="169"/>
      <c r="CD28" s="169"/>
      <c r="CE28" s="169"/>
      <c r="CF28" s="169"/>
      <c r="CG28" s="167"/>
      <c r="CH28" s="170"/>
      <c r="CI28" s="170"/>
      <c r="CJ28" s="170"/>
      <c r="CK28" s="210"/>
      <c r="CL28" s="211" t="s">
        <v>295</v>
      </c>
      <c r="CM28" s="218">
        <f>CM25/CA43</f>
        <v>8.6939680822685023E-2</v>
      </c>
      <c r="CN28" s="212" t="s">
        <v>285</v>
      </c>
      <c r="CO28" s="170"/>
      <c r="CP28" s="213"/>
      <c r="CQ28" s="214"/>
      <c r="CR28" s="233">
        <v>0.371</v>
      </c>
      <c r="CS28" s="216"/>
      <c r="CT28" s="217"/>
      <c r="CU28" s="170"/>
      <c r="CV28" s="170"/>
      <c r="CW28" s="210"/>
      <c r="CX28" s="211" t="s">
        <v>315</v>
      </c>
      <c r="CY28" s="218">
        <f>CY27+CY26</f>
        <v>8.1082815979618275</v>
      </c>
      <c r="CZ28" s="212" t="s">
        <v>285</v>
      </c>
      <c r="DA28" s="170"/>
      <c r="DB28" s="213"/>
      <c r="DC28" s="219"/>
      <c r="DD28" s="233">
        <v>0.371</v>
      </c>
      <c r="DE28" s="218"/>
      <c r="DF28" s="217"/>
      <c r="DG28" s="170"/>
      <c r="DH28" s="170"/>
      <c r="DI28" s="170"/>
      <c r="DJ28" s="170"/>
      <c r="DK28" s="170"/>
      <c r="DL28" s="170"/>
      <c r="DM28" s="170"/>
      <c r="DO28" s="194">
        <f>(DP27+('Formulação suplementos'!$CM$37-(DP27*0.64))/0.8)/1000</f>
        <v>1.0243820388432132</v>
      </c>
      <c r="DP28" s="195">
        <f>-53.07 + (304.89 * (DO28)) + (90.79 *'Formulação suplementos'!$K$10) - (3.13 * 'Formulação suplementos'!$K$10*'Formulação suplementos'!$K$10)</f>
        <v>654.03669215117293</v>
      </c>
      <c r="DR28" s="170"/>
      <c r="DT28" s="194">
        <f>(DU27+('Formulação suplementos'!$CY$36-(DU27*0.64))/0.8)/1000</f>
        <v>0.43991742979104725</v>
      </c>
      <c r="DU28" s="195">
        <f>-53.07 + (304.89 * (DT28-'Formulação suplementos'!$CA$214)) + (90.79 *('Formulação suplementos'!$CY$30)) - (3.13 *('Formulação suplementos'!$CY$30)^2)</f>
        <v>89.688064175038207</v>
      </c>
      <c r="DV28" s="170"/>
    </row>
    <row r="29" spans="1:183" s="117" customFormat="1" ht="15.75" customHeight="1" x14ac:dyDescent="0.25">
      <c r="A29" s="118"/>
      <c r="B29" s="361" t="s">
        <v>316</v>
      </c>
      <c r="C29" s="362">
        <v>0.2555</v>
      </c>
      <c r="D29" s="362">
        <v>0.53560000000000008</v>
      </c>
      <c r="E29" s="362">
        <v>4.4900000000000002E-2</v>
      </c>
      <c r="F29" s="362">
        <v>4.0000000000000002E-4</v>
      </c>
      <c r="G29" s="362">
        <v>0</v>
      </c>
      <c r="H29" s="362"/>
      <c r="I29" s="362">
        <v>0.70129999999999992</v>
      </c>
      <c r="J29" s="362">
        <v>2.1499999999999998E-2</v>
      </c>
      <c r="K29" s="362">
        <v>0</v>
      </c>
      <c r="L29" s="362">
        <v>0</v>
      </c>
      <c r="M29" s="362">
        <v>0</v>
      </c>
      <c r="N29" s="362">
        <v>0</v>
      </c>
      <c r="O29" s="363">
        <v>0</v>
      </c>
      <c r="P29" s="363">
        <v>0</v>
      </c>
      <c r="Q29" s="363"/>
      <c r="R29" s="363">
        <v>0</v>
      </c>
      <c r="S29" s="363"/>
      <c r="T29" s="363">
        <v>0</v>
      </c>
      <c r="U29" s="363"/>
      <c r="V29" s="119"/>
      <c r="W29" s="119"/>
      <c r="X29" s="119"/>
      <c r="Y29" s="119"/>
      <c r="Z29" s="119"/>
      <c r="AA29" s="119"/>
      <c r="AB29" s="261"/>
      <c r="AC29" s="261"/>
      <c r="AD29" s="261"/>
      <c r="AE29" s="164"/>
      <c r="AF29" s="119"/>
      <c r="AG29" s="164"/>
      <c r="AH29" s="119"/>
      <c r="AI29" s="119"/>
      <c r="AJ29" s="119"/>
      <c r="AK29" s="119"/>
      <c r="AL29" s="119"/>
      <c r="AM29" s="119"/>
      <c r="AN29" s="118"/>
      <c r="AO29" s="116"/>
      <c r="AP29" s="116"/>
      <c r="AQ29" s="116"/>
      <c r="AR29" s="116"/>
      <c r="AS29" s="116"/>
      <c r="AT29" s="116"/>
      <c r="AU29" s="116"/>
      <c r="AV29" s="116"/>
      <c r="AW29" s="116"/>
      <c r="AX29" s="116"/>
      <c r="AY29" s="116"/>
      <c r="AZ29" s="116"/>
      <c r="BA29" s="116"/>
      <c r="BB29" s="116"/>
      <c r="BC29" s="116"/>
      <c r="BD29" s="116"/>
      <c r="BE29" s="116"/>
      <c r="BF29" s="116"/>
      <c r="BG29" s="116"/>
      <c r="BH29" s="116"/>
      <c r="BI29"/>
      <c r="BJ29"/>
      <c r="BK29"/>
      <c r="BL29"/>
      <c r="BM29"/>
      <c r="BN29" s="262"/>
      <c r="BO29" s="263"/>
      <c r="BP29" s="264"/>
      <c r="BQ29" s="265"/>
      <c r="BR29" s="266"/>
      <c r="BS29" s="266"/>
      <c r="BT29" s="266"/>
      <c r="BU29" s="122"/>
      <c r="BV29" s="122"/>
      <c r="BW29" s="267"/>
      <c r="BX29" s="122"/>
      <c r="BY29" s="166" t="s">
        <v>317</v>
      </c>
      <c r="BZ29" s="166" t="s">
        <v>318</v>
      </c>
      <c r="CA29" s="268">
        <f>7.996-0.101*C10-7.996*EXP(-1.447*C10)</f>
        <v>7.4852356252270456</v>
      </c>
      <c r="CB29" s="168"/>
      <c r="CC29" s="169"/>
      <c r="CD29" s="169"/>
      <c r="CE29" s="269" t="s">
        <v>319</v>
      </c>
      <c r="CF29" s="269"/>
      <c r="CG29" s="270">
        <v>100</v>
      </c>
      <c r="CH29" s="170"/>
      <c r="CI29" s="170"/>
      <c r="CJ29" s="170"/>
      <c r="CK29" s="210"/>
      <c r="CL29" s="211" t="s">
        <v>320</v>
      </c>
      <c r="CM29" s="218">
        <f>CM26/CA46</f>
        <v>6.9140645536917358</v>
      </c>
      <c r="CN29" s="212" t="s">
        <v>285</v>
      </c>
      <c r="CO29" s="170"/>
      <c r="CP29" s="213"/>
      <c r="CQ29" s="214" t="s">
        <v>234</v>
      </c>
      <c r="CR29" s="215" t="s">
        <v>258</v>
      </c>
      <c r="CS29" s="216">
        <f>CA103</f>
        <v>33.072868173908255</v>
      </c>
      <c r="CT29" s="217" t="s">
        <v>259</v>
      </c>
      <c r="CU29" s="170"/>
      <c r="CV29" s="170"/>
      <c r="CW29" s="210"/>
      <c r="CX29" s="211" t="s">
        <v>321</v>
      </c>
      <c r="CY29" s="218">
        <f>CG31*0.18</f>
        <v>1.0817999999999999</v>
      </c>
      <c r="CZ29" s="212" t="s">
        <v>256</v>
      </c>
      <c r="DA29" s="170"/>
      <c r="DB29" s="213"/>
      <c r="DC29" s="219" t="s">
        <v>234</v>
      </c>
      <c r="DD29" s="215" t="s">
        <v>258</v>
      </c>
      <c r="DE29" s="216">
        <f>CA254</f>
        <v>7.0760288434617804</v>
      </c>
      <c r="DF29" s="217" t="s">
        <v>259</v>
      </c>
      <c r="DG29" s="170"/>
      <c r="DH29" s="170"/>
      <c r="DI29" s="170"/>
      <c r="DJ29" s="170"/>
      <c r="DK29" s="170"/>
      <c r="DL29" s="170"/>
      <c r="DM29" s="170"/>
      <c r="DO29" s="194">
        <f>(DP28+('Formulação suplementos'!$CM$37-(DP28*0.64))/0.8)/1000</f>
        <v>1.0243820388432132</v>
      </c>
      <c r="DP29" s="195">
        <f>-53.07 + (304.89 * (DO29)) + (90.79 *'Formulação suplementos'!$K$10) - (3.13 * 'Formulação suplementos'!$K$10*'Formulação suplementos'!$K$10)</f>
        <v>654.03669215117293</v>
      </c>
      <c r="DR29" s="170"/>
      <c r="DT29" s="194">
        <f>(DU28+('Formulação suplementos'!$CY$36-(DU28*0.64))/0.8)/1000</f>
        <v>0.43991742979104581</v>
      </c>
      <c r="DU29" s="195">
        <f>-53.07 + (304.89 * (DT29-'Formulação suplementos'!$CA$214)) + (90.79 *('Formulação suplementos'!$CY$30)) - (3.13 *('Formulação suplementos'!$CY$30)^2)</f>
        <v>89.688064175037781</v>
      </c>
      <c r="DV29" s="170"/>
    </row>
    <row r="30" spans="1:183" s="117" customFormat="1" ht="15.75" customHeight="1" x14ac:dyDescent="0.25">
      <c r="A30" s="118"/>
      <c r="B30" s="361" t="s">
        <v>322</v>
      </c>
      <c r="C30" s="362">
        <v>0.34090000000000004</v>
      </c>
      <c r="D30" s="362">
        <v>0.56679999999999997</v>
      </c>
      <c r="E30" s="362">
        <v>6.9099999999999995E-2</v>
      </c>
      <c r="F30" s="362">
        <v>3.0999999999999999E-3</v>
      </c>
      <c r="G30" s="362">
        <v>1.1000000000000001E-3</v>
      </c>
      <c r="H30" s="362"/>
      <c r="I30" s="362">
        <v>0.63840000000000008</v>
      </c>
      <c r="J30" s="362">
        <v>1.9599999999999999E-2</v>
      </c>
      <c r="K30" s="362">
        <v>4.0999999999999995E-3</v>
      </c>
      <c r="L30" s="362">
        <v>2.0000000000000001E-4</v>
      </c>
      <c r="M30" s="362">
        <v>1.6500000000000001E-2</v>
      </c>
      <c r="N30" s="362">
        <v>8.9999999999999998E-4</v>
      </c>
      <c r="O30" s="363">
        <v>3.4799999999999995</v>
      </c>
      <c r="P30" s="363">
        <v>26.400000000000002</v>
      </c>
      <c r="Q30" s="363"/>
      <c r="R30" s="363">
        <v>103.19</v>
      </c>
      <c r="S30" s="363"/>
      <c r="T30" s="363">
        <v>7.0000000000000007E-2</v>
      </c>
      <c r="U30" s="363"/>
      <c r="V30" s="119"/>
      <c r="W30" s="119"/>
      <c r="X30" s="119"/>
      <c r="Y30" s="119"/>
      <c r="Z30" s="119"/>
      <c r="AA30" s="119"/>
      <c r="AB30" s="261"/>
      <c r="AC30" s="261"/>
      <c r="AD30" s="261"/>
      <c r="AE30" s="261"/>
      <c r="AF30" s="164"/>
      <c r="AG30" s="119"/>
      <c r="AH30" s="119"/>
      <c r="AI30" s="119"/>
      <c r="AJ30" s="119"/>
      <c r="AK30" s="119"/>
      <c r="AL30" s="119"/>
      <c r="AM30" s="119"/>
      <c r="AN30" s="119"/>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c r="BK30"/>
      <c r="BL30"/>
      <c r="BM30"/>
      <c r="BN30" s="262"/>
      <c r="BO30" s="263"/>
      <c r="BP30" s="264"/>
      <c r="BQ30" s="265"/>
      <c r="BR30" s="266"/>
      <c r="BS30" s="266"/>
      <c r="BT30" s="266"/>
      <c r="BU30" s="266"/>
      <c r="BV30" s="122"/>
      <c r="BW30" s="122"/>
      <c r="BX30" s="267"/>
      <c r="BY30" s="166"/>
      <c r="BZ30" s="166" t="s">
        <v>323</v>
      </c>
      <c r="CA30" s="268">
        <f>6.431-0.072*C10-6.431*EXP(-2.188*C10)</f>
        <v>6.0708859495829879</v>
      </c>
      <c r="CB30" s="168"/>
      <c r="CC30" s="169"/>
      <c r="CD30" s="169"/>
      <c r="CE30" s="271"/>
      <c r="CF30" s="271"/>
      <c r="CG30" s="272"/>
      <c r="CH30" s="170"/>
      <c r="CI30" s="170"/>
      <c r="CJ30" s="170"/>
      <c r="CK30" s="210"/>
      <c r="CL30" s="211" t="s">
        <v>315</v>
      </c>
      <c r="CM30" s="216">
        <f>CM27+CM28+CM29</f>
        <v>19.459164663094015</v>
      </c>
      <c r="CN30" s="212" t="s">
        <v>285</v>
      </c>
      <c r="CO30" s="170"/>
      <c r="CP30" s="213"/>
      <c r="CQ30" s="214"/>
      <c r="CR30" s="233">
        <v>0.48399999999999999</v>
      </c>
      <c r="CS30" s="216"/>
      <c r="CT30" s="217"/>
      <c r="CU30" s="170"/>
      <c r="CV30" s="170"/>
      <c r="CW30" s="210"/>
      <c r="CX30" s="211" t="s">
        <v>324</v>
      </c>
      <c r="CY30" s="218">
        <f>CY31-CY29</f>
        <v>0.83777424194172045</v>
      </c>
      <c r="CZ30" s="212" t="s">
        <v>256</v>
      </c>
      <c r="DA30" s="170"/>
      <c r="DB30" s="213"/>
      <c r="DC30" s="219"/>
      <c r="DD30" s="233">
        <v>0.48399999999999999</v>
      </c>
      <c r="DE30" s="216"/>
      <c r="DF30" s="217"/>
      <c r="DG30" s="170"/>
      <c r="DH30" s="170"/>
      <c r="DI30" s="170"/>
      <c r="DJ30" s="170"/>
      <c r="DK30" s="170"/>
      <c r="DL30" s="170"/>
      <c r="DM30" s="170"/>
      <c r="DO30" s="194">
        <f>(DP29+('Formulação suplementos'!$CM$37-(DP29*0.64))/0.8)/1000</f>
        <v>1.0243820388432132</v>
      </c>
      <c r="DP30" s="195">
        <f>-53.07 + (304.89 * (DO30)) + (90.79 *'Formulação suplementos'!$K$10) - (3.13 * 'Formulação suplementos'!$K$10*'Formulação suplementos'!$K$10)</f>
        <v>654.03669215117293</v>
      </c>
      <c r="DR30" s="170"/>
      <c r="DT30" s="194">
        <f>(DU29+('Formulação suplementos'!$CY$36-(DU29*0.64))/0.8)/1000</f>
        <v>0.43991742979104576</v>
      </c>
      <c r="DU30" s="195">
        <f>-53.07 + (304.89 * (DT30-'Formulação suplementos'!$CA$214)) + (90.79 *('Formulação suplementos'!$CY$30)) - (3.13 *('Formulação suplementos'!$CY$30)^2)</f>
        <v>89.688064175037752</v>
      </c>
      <c r="DV30" s="170"/>
    </row>
    <row r="31" spans="1:183" s="117" customFormat="1" ht="15.75" customHeight="1" x14ac:dyDescent="0.25">
      <c r="A31" s="118"/>
      <c r="B31" s="361" t="s">
        <v>325</v>
      </c>
      <c r="C31" s="362">
        <v>0.33240000000000003</v>
      </c>
      <c r="D31" s="362">
        <v>0.55520000000000003</v>
      </c>
      <c r="E31" s="362">
        <v>7.6799999999999993E-2</v>
      </c>
      <c r="F31" s="362">
        <v>2.8000000000000004E-3</v>
      </c>
      <c r="G31" s="362">
        <v>8.9999999999999998E-4</v>
      </c>
      <c r="H31" s="362"/>
      <c r="I31" s="362">
        <v>0.64150000000000007</v>
      </c>
      <c r="J31" s="362">
        <v>1.95E-2</v>
      </c>
      <c r="K31" s="362">
        <v>1E-3</v>
      </c>
      <c r="L31" s="362">
        <v>2.0000000000000001E-4</v>
      </c>
      <c r="M31" s="362">
        <v>7.1999999999999998E-3</v>
      </c>
      <c r="N31" s="362">
        <v>2.9999999999999997E-4</v>
      </c>
      <c r="O31" s="363">
        <v>15</v>
      </c>
      <c r="P31" s="363">
        <v>10</v>
      </c>
      <c r="Q31" s="363"/>
      <c r="R31" s="363">
        <v>56.000000000000007</v>
      </c>
      <c r="S31" s="363"/>
      <c r="T31" s="363">
        <v>0.45999999999999996</v>
      </c>
      <c r="U31" s="363"/>
      <c r="V31" s="119"/>
      <c r="W31" s="119"/>
      <c r="X31" s="119"/>
      <c r="Y31" s="119"/>
      <c r="Z31" s="119"/>
      <c r="AA31" s="119"/>
      <c r="AB31" s="273"/>
      <c r="AC31" s="175"/>
      <c r="AD31" s="119"/>
      <c r="AE31" s="119"/>
      <c r="AF31" s="164"/>
      <c r="AG31" s="119"/>
      <c r="AH31" s="119"/>
      <c r="AI31" s="119"/>
      <c r="AJ31" s="119"/>
      <c r="AK31" s="119"/>
      <c r="AL31" s="119"/>
      <c r="AM31" s="119"/>
      <c r="AN31" s="119"/>
      <c r="AO31" s="116"/>
      <c r="AP31" s="116"/>
      <c r="AQ31" s="116"/>
      <c r="AR31" s="116"/>
      <c r="AS31" s="116"/>
      <c r="AT31" s="116"/>
      <c r="AU31" s="274"/>
      <c r="AV31" s="116"/>
      <c r="AW31" s="274"/>
      <c r="AX31" s="116"/>
      <c r="AY31" s="116"/>
      <c r="AZ31" s="116"/>
      <c r="BA31" s="116"/>
      <c r="BB31" s="116"/>
      <c r="BC31" s="116"/>
      <c r="BD31" s="116"/>
      <c r="BE31" s="116"/>
      <c r="BF31" s="116"/>
      <c r="BG31" s="116"/>
      <c r="BH31" s="116"/>
      <c r="BI31" s="116"/>
      <c r="BJ31"/>
      <c r="BK31"/>
      <c r="BL31"/>
      <c r="BM31"/>
      <c r="BN31" s="262"/>
      <c r="BO31" s="263"/>
      <c r="BP31" s="264"/>
      <c r="BQ31" s="265"/>
      <c r="BR31" s="266"/>
      <c r="BS31" s="266"/>
      <c r="BT31" s="266"/>
      <c r="BU31" s="266"/>
      <c r="BV31" s="275"/>
      <c r="BW31" s="275"/>
      <c r="BX31" s="275"/>
      <c r="BY31" s="166"/>
      <c r="BZ31" s="276" t="s">
        <v>326</v>
      </c>
      <c r="CA31" s="167"/>
      <c r="CB31" s="168"/>
      <c r="CC31" s="169"/>
      <c r="CD31" s="169"/>
      <c r="CE31" s="269" t="s">
        <v>327</v>
      </c>
      <c r="CF31" s="269"/>
      <c r="CG31" s="249">
        <v>6.01</v>
      </c>
      <c r="CH31" s="170"/>
      <c r="CI31" s="170"/>
      <c r="CJ31" s="170"/>
      <c r="CK31" s="210"/>
      <c r="CL31" s="211" t="s">
        <v>168</v>
      </c>
      <c r="CN31" s="212" t="s">
        <v>328</v>
      </c>
      <c r="CO31" s="170"/>
      <c r="CP31" s="213"/>
      <c r="CQ31" s="214" t="s">
        <v>2</v>
      </c>
      <c r="CR31" s="215" t="s">
        <v>258</v>
      </c>
      <c r="CS31" s="218">
        <f>CA110</f>
        <v>9.1580086250338422</v>
      </c>
      <c r="CT31" s="217" t="s">
        <v>259</v>
      </c>
      <c r="CU31" s="170"/>
      <c r="CV31" s="170"/>
      <c r="CW31" s="210"/>
      <c r="CX31" s="211" t="s">
        <v>329</v>
      </c>
      <c r="CY31" s="218">
        <f>CA202/4.4</f>
        <v>1.9195742419417203</v>
      </c>
      <c r="CZ31" s="212" t="s">
        <v>256</v>
      </c>
      <c r="DA31" s="170"/>
      <c r="DB31" s="213"/>
      <c r="DC31" s="219" t="s">
        <v>2</v>
      </c>
      <c r="DD31" s="215" t="s">
        <v>258</v>
      </c>
      <c r="DE31" s="218">
        <f>CA274</f>
        <v>3.5234598577895033</v>
      </c>
      <c r="DF31" s="217" t="s">
        <v>259</v>
      </c>
      <c r="DG31" s="170"/>
      <c r="DH31" s="170"/>
      <c r="DI31" s="170"/>
      <c r="DJ31" s="170"/>
      <c r="DK31" s="170"/>
      <c r="DL31" s="170"/>
      <c r="DM31" s="170"/>
      <c r="DO31" s="194">
        <f>(DP30+('Formulação suplementos'!$CM$37-(DP30*0.64))/0.8)/1000</f>
        <v>1.0243820388432132</v>
      </c>
      <c r="DP31" s="195">
        <f>-53.07 + (304.89 * (DO31)) + (90.79 *'Formulação suplementos'!$K$10) - (3.13 * 'Formulação suplementos'!$K$10*'Formulação suplementos'!$K$10)</f>
        <v>654.03669215117293</v>
      </c>
      <c r="DR31" s="170"/>
      <c r="DT31" s="194">
        <f>(DU30+('Formulação suplementos'!$CY$36-(DU30*0.64))/0.8)/1000</f>
        <v>0.43991742979104576</v>
      </c>
      <c r="DU31" s="195">
        <f>-53.07 + (304.89 * (DT31-'Formulação suplementos'!$CA$214)) + (90.79 *('Formulação suplementos'!$CY$30)) - (3.13 *('Formulação suplementos'!$CY$30)^2)</f>
        <v>89.688064175037752</v>
      </c>
      <c r="DV31" s="170"/>
    </row>
    <row r="32" spans="1:183" s="117" customFormat="1" ht="15.75" customHeight="1" x14ac:dyDescent="0.25">
      <c r="A32" s="118"/>
      <c r="B32" s="361" t="s">
        <v>330</v>
      </c>
      <c r="C32" s="362">
        <v>0.28489999999999999</v>
      </c>
      <c r="D32" s="362">
        <v>0.55330000000000001</v>
      </c>
      <c r="E32" s="362">
        <v>6.7400000000000002E-2</v>
      </c>
      <c r="F32" s="362">
        <v>4.0000000000000001E-3</v>
      </c>
      <c r="G32" s="362">
        <v>1E-3</v>
      </c>
      <c r="H32" s="362"/>
      <c r="I32" s="362">
        <v>0.66379999999999995</v>
      </c>
      <c r="J32" s="362">
        <v>1.8100000000000002E-2</v>
      </c>
      <c r="K32" s="362">
        <v>8.9999999999999998E-4</v>
      </c>
      <c r="L32" s="362">
        <v>1E-4</v>
      </c>
      <c r="M32" s="362">
        <v>9.3999999999999986E-3</v>
      </c>
      <c r="N32" s="362">
        <v>4.0000000000000002E-4</v>
      </c>
      <c r="O32" s="363">
        <v>3.8</v>
      </c>
      <c r="P32" s="363">
        <v>28.000000000000004</v>
      </c>
      <c r="Q32" s="363"/>
      <c r="R32" s="363">
        <v>85</v>
      </c>
      <c r="S32" s="363"/>
      <c r="T32" s="363">
        <v>0.28000000000000003</v>
      </c>
      <c r="U32" s="363"/>
      <c r="V32" s="119"/>
      <c r="W32" s="119"/>
      <c r="X32" s="119"/>
      <c r="Y32" s="119"/>
      <c r="Z32" s="119"/>
      <c r="AA32" s="119"/>
      <c r="AB32" s="119"/>
      <c r="AC32" s="119"/>
      <c r="AD32" s="119"/>
      <c r="AE32" s="119"/>
      <c r="AF32" s="119"/>
      <c r="AG32" s="119"/>
      <c r="AH32" s="119"/>
      <c r="AI32" s="119"/>
      <c r="AJ32" s="119"/>
      <c r="AK32" s="119"/>
      <c r="AL32" s="119"/>
      <c r="AM32" s="119"/>
      <c r="AN32" s="119"/>
      <c r="AO32" s="122"/>
      <c r="AP32" s="122"/>
      <c r="AQ32" s="122"/>
      <c r="AR32" s="122"/>
      <c r="AS32" s="122"/>
      <c r="AT32" s="122"/>
      <c r="AU32" s="122"/>
      <c r="AV32" s="122"/>
      <c r="AW32" s="122"/>
      <c r="AX32" s="122"/>
      <c r="AY32" s="116"/>
      <c r="AZ32" s="116"/>
      <c r="BA32" s="116"/>
      <c r="BB32"/>
      <c r="BC32"/>
      <c r="BD32"/>
      <c r="BE32"/>
      <c r="BF32"/>
      <c r="BG32" s="262"/>
      <c r="BH32" s="263"/>
      <c r="BI32" s="264"/>
      <c r="BJ32" s="265"/>
      <c r="BK32" s="265"/>
      <c r="BL32" s="265"/>
      <c r="BM32"/>
      <c r="BN32" s="262"/>
      <c r="BO32" s="263"/>
      <c r="BP32" s="264"/>
      <c r="BQ32" s="265"/>
      <c r="BR32" s="266"/>
      <c r="BS32" s="267"/>
      <c r="BT32" s="267"/>
      <c r="BU32" s="277"/>
      <c r="BV32" s="277"/>
      <c r="BW32" s="277"/>
      <c r="BX32" s="277"/>
      <c r="BY32" s="166"/>
      <c r="BZ32" s="166"/>
      <c r="CA32" s="167"/>
      <c r="CB32" s="168"/>
      <c r="CC32" s="169"/>
      <c r="CD32" s="169"/>
      <c r="CE32" s="278"/>
      <c r="CF32" s="278"/>
      <c r="CG32" s="272"/>
      <c r="CH32" s="170"/>
      <c r="CI32" s="170"/>
      <c r="CJ32" s="170"/>
      <c r="CK32" s="210"/>
      <c r="CL32" s="211"/>
      <c r="CM32" s="216">
        <f>K10/K7*100</f>
        <v>59.821323878280509</v>
      </c>
      <c r="CN32" s="212" t="s">
        <v>152</v>
      </c>
      <c r="CO32" s="170"/>
      <c r="CP32" s="213"/>
      <c r="CQ32" s="214"/>
      <c r="CR32" s="233">
        <v>0.77300000000000002</v>
      </c>
      <c r="CS32" s="218"/>
      <c r="CT32" s="217"/>
      <c r="CU32" s="170"/>
      <c r="CV32" s="170"/>
      <c r="CW32" s="210"/>
      <c r="CX32" s="211" t="s">
        <v>329</v>
      </c>
      <c r="CY32" s="216">
        <f>CY31/CY22*100</f>
        <v>88.924240086482826</v>
      </c>
      <c r="CZ32" s="212" t="s">
        <v>152</v>
      </c>
      <c r="DA32" s="170"/>
      <c r="DB32" s="213"/>
      <c r="DC32" s="219"/>
      <c r="DD32" s="233">
        <v>0.77</v>
      </c>
      <c r="DE32" s="218"/>
      <c r="DF32" s="217"/>
      <c r="DG32" s="170"/>
      <c r="DH32" s="170"/>
      <c r="DI32" s="170"/>
      <c r="DJ32" s="170"/>
      <c r="DK32" s="170"/>
      <c r="DL32" s="170"/>
      <c r="DM32" s="170"/>
      <c r="DO32" s="194">
        <f>(DP31+('Formulação suplementos'!$CM$37-(DP31*0.64))/0.8)/1000</f>
        <v>1.0243820388432132</v>
      </c>
      <c r="DP32" s="195">
        <f>-53.07 + (304.89 * (DO32)) + (90.79 *'Formulação suplementos'!$K$10) - (3.13 * 'Formulação suplementos'!$K$10*'Formulação suplementos'!$K$10)</f>
        <v>654.03669215117293</v>
      </c>
      <c r="DR32" s="170"/>
      <c r="DT32" s="194">
        <f>(DU31+('Formulação suplementos'!$CY$36-(DU31*0.64))/0.8)/1000</f>
        <v>0.43991742979104576</v>
      </c>
      <c r="DU32" s="195">
        <f>-53.07 + (304.89 * (DT32-'Formulação suplementos'!$CA$214)) + (90.79 *('Formulação suplementos'!$CY$30)) - (3.13 *('Formulação suplementos'!$CY$30)^2)</f>
        <v>89.688064175037752</v>
      </c>
      <c r="DV32" s="170"/>
    </row>
    <row r="33" spans="1:195" ht="15.75" customHeight="1" x14ac:dyDescent="0.25">
      <c r="A33" s="118"/>
      <c r="B33" s="361" t="s">
        <v>331</v>
      </c>
      <c r="C33" s="362">
        <v>0.28120000000000001</v>
      </c>
      <c r="D33" s="362">
        <v>0.56610000000000005</v>
      </c>
      <c r="E33" s="362">
        <v>7.3800000000000004E-2</v>
      </c>
      <c r="F33" s="362">
        <v>3.8E-3</v>
      </c>
      <c r="G33" s="362">
        <v>1.1999999999999999E-3</v>
      </c>
      <c r="H33" s="362"/>
      <c r="I33" s="362">
        <v>0.71860000000000002</v>
      </c>
      <c r="J33" s="362">
        <v>2.4500000000000001E-2</v>
      </c>
      <c r="K33" s="362">
        <v>2E-3</v>
      </c>
      <c r="L33" s="362">
        <v>2.0000000000000001E-4</v>
      </c>
      <c r="M33" s="362">
        <v>1.9900000000000001E-2</v>
      </c>
      <c r="N33" s="362">
        <v>4.0000000000000002E-4</v>
      </c>
      <c r="O33" s="363">
        <v>13.320000000000002</v>
      </c>
      <c r="P33" s="363">
        <v>19</v>
      </c>
      <c r="Q33" s="363"/>
      <c r="R33" s="363">
        <v>93.82</v>
      </c>
      <c r="S33" s="363"/>
      <c r="T33" s="363">
        <v>0.09</v>
      </c>
      <c r="U33" s="363"/>
      <c r="V33" s="119"/>
      <c r="W33" s="119"/>
      <c r="X33" s="119"/>
      <c r="Y33" s="119"/>
      <c r="Z33" s="119"/>
      <c r="AA33" s="119"/>
      <c r="AB33" s="119"/>
      <c r="AC33" s="118"/>
      <c r="AD33" s="118"/>
      <c r="AE33" s="118"/>
      <c r="AF33" s="118"/>
      <c r="AG33" s="118"/>
      <c r="AH33" s="119"/>
      <c r="AI33" s="118"/>
      <c r="AJ33" s="118"/>
      <c r="AK33" s="118"/>
      <c r="AL33" s="118"/>
      <c r="AM33" s="118"/>
      <c r="AN33" s="118"/>
      <c r="BA33" s="116"/>
      <c r="BG33" s="265"/>
      <c r="BH33" s="263"/>
      <c r="BI33" s="263"/>
      <c r="BJ33" s="265"/>
      <c r="BK33" s="265"/>
      <c r="BL33" s="265"/>
      <c r="BM33" s="279"/>
      <c r="BN33" s="280"/>
      <c r="BO33" s="267"/>
      <c r="BP33" s="281"/>
      <c r="BQ33" s="265"/>
      <c r="BR33" s="266"/>
      <c r="BS33" s="267"/>
      <c r="BT33" s="267"/>
      <c r="BU33" s="277"/>
      <c r="BV33" s="277"/>
      <c r="BW33" s="277"/>
      <c r="BX33" s="277"/>
      <c r="BY33" s="166"/>
      <c r="BZ33" s="166" t="s">
        <v>332</v>
      </c>
      <c r="CA33" s="268">
        <f>6.535-7.558*EXP(-0.578*C10)+0.323*C10+1.66*CM22</f>
        <v>17.807625661390169</v>
      </c>
      <c r="CB33" s="168"/>
      <c r="CC33" s="169"/>
      <c r="CD33" s="169"/>
      <c r="CE33" s="269" t="s">
        <v>333</v>
      </c>
      <c r="CF33" s="269"/>
      <c r="CG33" s="282">
        <v>1</v>
      </c>
      <c r="CH33" s="170"/>
      <c r="CI33" s="170"/>
      <c r="CJ33" s="170"/>
      <c r="CK33" s="229"/>
      <c r="CL33" s="230"/>
      <c r="CM33" s="231"/>
      <c r="CN33" s="232"/>
      <c r="CO33" s="170"/>
      <c r="CP33" s="283"/>
      <c r="CQ33" s="283"/>
      <c r="CR33" s="169"/>
      <c r="CS33" s="278"/>
      <c r="CT33" s="212"/>
      <c r="CU33" s="170"/>
      <c r="CV33" s="170"/>
      <c r="CW33" s="229"/>
      <c r="CX33" s="230"/>
      <c r="CY33" s="231"/>
      <c r="CZ33" s="232"/>
      <c r="DA33" s="170"/>
      <c r="DB33" s="170"/>
      <c r="DC33" s="170"/>
      <c r="DD33" s="170"/>
      <c r="DE33" s="231"/>
      <c r="DF33" s="170"/>
      <c r="DG33" s="170"/>
      <c r="DH33" s="170"/>
      <c r="DI33" s="170"/>
      <c r="DJ33" s="170"/>
      <c r="DK33" s="170"/>
      <c r="DL33" s="170"/>
      <c r="DM33" s="170"/>
      <c r="DO33" s="194">
        <f>(DP32+('Formulação suplementos'!$CM$37-(DP32*0.64))/0.8)/1000</f>
        <v>1.0243820388432132</v>
      </c>
      <c r="DP33" s="195">
        <f>-53.07 + (304.89 * (DO33)) + (90.79 *'Formulação suplementos'!$K$10) - (3.13 * 'Formulação suplementos'!$K$10*'Formulação suplementos'!$K$10)</f>
        <v>654.03669215117293</v>
      </c>
      <c r="DR33" s="170"/>
      <c r="DT33" s="194">
        <f>(DU32+('Formulação suplementos'!$CY$36-(DU32*0.64))/0.8)/1000</f>
        <v>0.43991742979104576</v>
      </c>
      <c r="DU33" s="195">
        <f>-53.07 + (304.89 * (DT33-'Formulação suplementos'!$CA$214)) + (90.79 *('Formulação suplementos'!$CY$30)) - (3.13 *('Formulação suplementos'!$CY$30)^2)</f>
        <v>89.688064175037752</v>
      </c>
      <c r="DV33" s="170"/>
    </row>
    <row r="34" spans="1:195" ht="15.75" customHeight="1" x14ac:dyDescent="0.25">
      <c r="A34" s="118"/>
      <c r="B34" s="361" t="s">
        <v>334</v>
      </c>
      <c r="C34" s="362">
        <v>0.2772</v>
      </c>
      <c r="D34" s="362">
        <v>0.56679999999999997</v>
      </c>
      <c r="E34" s="362">
        <v>6.9199999999999998E-2</v>
      </c>
      <c r="F34" s="362">
        <v>2.3999999999999998E-3</v>
      </c>
      <c r="G34" s="362">
        <v>7.000000000000001E-4</v>
      </c>
      <c r="H34" s="362"/>
      <c r="I34" s="362">
        <v>0.7229000000000001</v>
      </c>
      <c r="J34" s="362">
        <v>1.3000000000000001E-2</v>
      </c>
      <c r="K34" s="362">
        <v>1.4000000000000002E-3</v>
      </c>
      <c r="L34" s="362">
        <v>2.0000000000000001E-4</v>
      </c>
      <c r="M34" s="362">
        <v>6.7000000000000002E-3</v>
      </c>
      <c r="N34" s="362">
        <v>0</v>
      </c>
      <c r="O34" s="363">
        <v>0</v>
      </c>
      <c r="P34" s="363">
        <v>0</v>
      </c>
      <c r="Q34" s="363"/>
      <c r="R34" s="363">
        <v>0</v>
      </c>
      <c r="S34" s="363"/>
      <c r="T34" s="363">
        <v>0</v>
      </c>
      <c r="U34" s="363"/>
      <c r="V34" s="119"/>
      <c r="W34" s="119"/>
      <c r="X34" s="119"/>
      <c r="Y34" s="119"/>
      <c r="Z34" s="119"/>
      <c r="AA34" s="119"/>
      <c r="AB34" s="119"/>
      <c r="AC34" s="118"/>
      <c r="AD34" s="118"/>
      <c r="AE34" s="118"/>
      <c r="AF34" s="118"/>
      <c r="AG34" s="118"/>
      <c r="AH34" s="119"/>
      <c r="AI34" s="118"/>
      <c r="AJ34" s="118"/>
      <c r="AK34" s="118"/>
      <c r="AL34" s="118"/>
      <c r="AM34" s="118"/>
      <c r="AN34" s="118"/>
      <c r="BA34" s="116"/>
      <c r="BG34" s="284"/>
      <c r="BH34" s="263"/>
      <c r="BI34" s="263"/>
      <c r="BJ34" s="265"/>
      <c r="BK34" s="265"/>
      <c r="BL34" s="265"/>
      <c r="BM34" s="279"/>
      <c r="BN34" s="280"/>
      <c r="BO34" s="267"/>
      <c r="BP34" s="281"/>
      <c r="BQ34" s="265"/>
      <c r="BR34" s="266"/>
      <c r="BS34" s="267"/>
      <c r="BT34" s="285"/>
      <c r="BU34" s="277"/>
      <c r="BV34" s="277"/>
      <c r="BW34" s="277"/>
      <c r="BX34" s="277"/>
      <c r="BY34" s="166"/>
      <c r="BZ34" s="166" t="s">
        <v>335</v>
      </c>
      <c r="CA34" s="167"/>
      <c r="CB34" s="168"/>
      <c r="CC34" s="169"/>
      <c r="CD34" s="169"/>
      <c r="CE34" s="169"/>
      <c r="CF34" s="169"/>
      <c r="CG34" s="167"/>
      <c r="CH34" s="167"/>
      <c r="CI34" s="170"/>
      <c r="CJ34" s="170"/>
      <c r="CK34" s="210" t="s">
        <v>336</v>
      </c>
      <c r="CL34" s="211" t="s">
        <v>337</v>
      </c>
      <c r="CM34" s="286">
        <f>3.9*CA35^0.75</f>
        <v>405.92795065295701</v>
      </c>
      <c r="CN34" s="212" t="s">
        <v>259</v>
      </c>
      <c r="CO34" s="170"/>
      <c r="CP34" s="213" t="s">
        <v>338</v>
      </c>
      <c r="CQ34" s="214" t="s">
        <v>263</v>
      </c>
      <c r="CR34" s="215" t="s">
        <v>258</v>
      </c>
      <c r="CS34" s="216">
        <f>CA117</f>
        <v>81.582701025288216</v>
      </c>
      <c r="CT34" s="217" t="s">
        <v>339</v>
      </c>
      <c r="CU34" s="170"/>
      <c r="CV34" s="170"/>
      <c r="CW34" s="210" t="s">
        <v>336</v>
      </c>
      <c r="CX34" s="211" t="s">
        <v>337</v>
      </c>
      <c r="CY34" s="286">
        <f>3.9*CA186^0.75</f>
        <v>123.32882874656683</v>
      </c>
      <c r="CZ34" s="212" t="s">
        <v>259</v>
      </c>
      <c r="DA34" s="170"/>
      <c r="DB34" s="213" t="s">
        <v>338</v>
      </c>
      <c r="DC34" s="219" t="s">
        <v>263</v>
      </c>
      <c r="DD34" s="215" t="s">
        <v>258</v>
      </c>
      <c r="DE34" s="216">
        <f>CA280</f>
        <v>20.221755395483008</v>
      </c>
      <c r="DF34" s="217" t="s">
        <v>339</v>
      </c>
      <c r="DG34" s="170"/>
      <c r="DH34" s="170"/>
      <c r="DI34" s="170"/>
      <c r="DJ34" s="170"/>
      <c r="DK34" s="170"/>
      <c r="DL34" s="170"/>
      <c r="DM34" s="170"/>
      <c r="DO34" s="194">
        <f>(DP33+('Formulação suplementos'!$CM$37-(DP33*0.64))/0.8)/1000</f>
        <v>1.0243820388432132</v>
      </c>
      <c r="DP34" s="195">
        <f>-53.07 + (304.89 * (DO34)) + (90.79 *'Formulação suplementos'!$K$10) - (3.13 * 'Formulação suplementos'!$K$10*'Formulação suplementos'!$K$10)</f>
        <v>654.03669215117293</v>
      </c>
      <c r="DR34" s="170"/>
      <c r="DT34" s="194">
        <f>(DU33+('Formulação suplementos'!$CY$36-(DU33*0.64))/0.8)/1000</f>
        <v>0.43991742979104576</v>
      </c>
      <c r="DU34" s="195">
        <f>-53.07 + (304.89 * (DT34-'Formulação suplementos'!$CA$214)) + (90.79 *('Formulação suplementos'!$CY$30)) - (3.13 *('Formulação suplementos'!$CY$30)^2)</f>
        <v>89.688064175037752</v>
      </c>
      <c r="DV34" s="170"/>
    </row>
    <row r="35" spans="1:195" ht="15.75" customHeight="1" x14ac:dyDescent="0.25">
      <c r="A35" s="118"/>
      <c r="B35" s="361" t="s">
        <v>340</v>
      </c>
      <c r="C35" s="362">
        <v>0.29480000000000001</v>
      </c>
      <c r="D35" s="362">
        <v>0.56200000000000006</v>
      </c>
      <c r="E35" s="362">
        <v>7.9899999999999999E-2</v>
      </c>
      <c r="F35" s="362">
        <v>0</v>
      </c>
      <c r="G35" s="362">
        <v>0</v>
      </c>
      <c r="H35" s="362"/>
      <c r="I35" s="362">
        <v>0.70019999999999993</v>
      </c>
      <c r="J35" s="362">
        <v>2.06E-2</v>
      </c>
      <c r="K35" s="362">
        <v>0</v>
      </c>
      <c r="L35" s="362">
        <v>0</v>
      </c>
      <c r="M35" s="362">
        <v>0</v>
      </c>
      <c r="N35" s="362">
        <v>0</v>
      </c>
      <c r="O35" s="363">
        <v>0</v>
      </c>
      <c r="P35" s="363">
        <v>0</v>
      </c>
      <c r="Q35" s="363"/>
      <c r="R35" s="363">
        <v>0</v>
      </c>
      <c r="S35" s="363"/>
      <c r="T35" s="363">
        <v>0</v>
      </c>
      <c r="U35" s="363"/>
      <c r="V35" s="119"/>
      <c r="W35" s="119"/>
      <c r="X35" s="119"/>
      <c r="Y35" s="119"/>
      <c r="Z35" s="119"/>
      <c r="AA35" s="119"/>
      <c r="AB35" s="119"/>
      <c r="AC35" s="118"/>
      <c r="AD35" s="118"/>
      <c r="AE35" s="118"/>
      <c r="BA35" s="116"/>
      <c r="BG35" s="284"/>
      <c r="BH35" s="263"/>
      <c r="BI35" s="263"/>
      <c r="BJ35" s="265"/>
      <c r="BK35" s="265"/>
      <c r="BL35" s="265"/>
      <c r="BM35" s="279"/>
      <c r="BN35" s="287"/>
      <c r="BO35" s="267"/>
      <c r="BP35" s="281"/>
      <c r="BQ35" s="265"/>
      <c r="BR35" s="266"/>
      <c r="BS35" s="267"/>
      <c r="BT35" s="285"/>
      <c r="BU35" s="277"/>
      <c r="BV35" s="277"/>
      <c r="BW35" s="277"/>
      <c r="BX35" s="277"/>
      <c r="BY35" s="166"/>
      <c r="BZ35" s="166" t="s">
        <v>341</v>
      </c>
      <c r="CA35" s="259">
        <f>0.8915*C6^1.0151</f>
        <v>489.60494881921881</v>
      </c>
      <c r="CB35" s="168"/>
      <c r="CC35" s="169"/>
      <c r="CD35" s="169"/>
      <c r="CE35" s="169"/>
      <c r="CF35" s="169"/>
      <c r="CG35" s="167"/>
      <c r="CH35" s="167"/>
      <c r="CI35" s="170"/>
      <c r="CJ35" s="170"/>
      <c r="CK35" s="210"/>
      <c r="CL35" s="211" t="s">
        <v>342</v>
      </c>
      <c r="CM35" s="216">
        <f>CA56/CA57</f>
        <v>2.3520692234850133</v>
      </c>
      <c r="CN35" s="212" t="s">
        <v>259</v>
      </c>
      <c r="CO35" s="170"/>
      <c r="CP35" s="213"/>
      <c r="CQ35" s="214"/>
      <c r="CR35" s="233">
        <v>0.73499999999999999</v>
      </c>
      <c r="CS35" s="216"/>
      <c r="CT35" s="217"/>
      <c r="CU35" s="170"/>
      <c r="CV35" s="170"/>
      <c r="CW35" s="210"/>
      <c r="CX35" s="211" t="s">
        <v>342</v>
      </c>
      <c r="CY35" s="216">
        <f>CA210/CA211*100</f>
        <v>214.25502481826376</v>
      </c>
      <c r="CZ35" s="212" t="s">
        <v>259</v>
      </c>
      <c r="DA35" s="170"/>
      <c r="DB35" s="213"/>
      <c r="DC35" s="219"/>
      <c r="DD35" s="233">
        <v>0.74</v>
      </c>
      <c r="DE35" s="216"/>
      <c r="DF35" s="217"/>
      <c r="DG35" s="170"/>
      <c r="DH35" s="170"/>
      <c r="DI35" s="170"/>
      <c r="DJ35" s="170"/>
      <c r="DK35" s="170"/>
      <c r="DL35" s="170"/>
      <c r="DM35" s="170"/>
      <c r="DO35" s="194">
        <f>(DP34+('Formulação suplementos'!$CM$37-(DP34*0.64))/0.8)/1000</f>
        <v>1.0243820388432132</v>
      </c>
      <c r="DP35" s="195">
        <f>-53.07 + (304.89 * (DO35)) + (90.79 *'Formulação suplementos'!$K$10) - (3.13 * 'Formulação suplementos'!$K$10*'Formulação suplementos'!$K$10)</f>
        <v>654.03669215117293</v>
      </c>
      <c r="DR35" s="170"/>
      <c r="DT35" s="194">
        <f>(DU34+('Formulação suplementos'!$CY$36-(DU34*0.64))/0.8)/1000</f>
        <v>0.43991742979104576</v>
      </c>
      <c r="DU35" s="195">
        <f>-53.07 + (304.89 * (DT35-'Formulação suplementos'!$CA$214)) + (90.79 *('Formulação suplementos'!$CY$30)) - (3.13 *('Formulação suplementos'!$CY$30)^2)</f>
        <v>89.688064175037752</v>
      </c>
      <c r="DV35" s="170"/>
    </row>
    <row r="36" spans="1:195" ht="15.75" customHeight="1" x14ac:dyDescent="0.25">
      <c r="A36" s="118"/>
      <c r="B36" s="361" t="s">
        <v>241</v>
      </c>
      <c r="C36" s="362">
        <v>0.27</v>
      </c>
      <c r="D36" s="362">
        <v>0.59</v>
      </c>
      <c r="E36" s="362">
        <v>0.12</v>
      </c>
      <c r="F36" s="362">
        <v>7.4000000000000003E-3</v>
      </c>
      <c r="G36" s="362">
        <v>1.9E-3</v>
      </c>
      <c r="H36" s="362"/>
      <c r="I36" s="362">
        <v>0.5</v>
      </c>
      <c r="J36" s="362">
        <v>1.7299999999999999E-2</v>
      </c>
      <c r="K36" s="362">
        <v>2E-3</v>
      </c>
      <c r="L36" s="362">
        <v>1E-4</v>
      </c>
      <c r="M36" s="362">
        <v>2.7400000000000001E-2</v>
      </c>
      <c r="N36" s="362">
        <v>1.4000000000000002E-3</v>
      </c>
      <c r="O36" s="363">
        <v>10.07</v>
      </c>
      <c r="P36" s="363">
        <v>26.810000000000002</v>
      </c>
      <c r="Q36" s="363"/>
      <c r="R36" s="363">
        <v>99.99</v>
      </c>
      <c r="S36" s="363"/>
      <c r="T36" s="363">
        <v>0.40999999999999992</v>
      </c>
      <c r="U36" s="363"/>
      <c r="V36" s="119"/>
      <c r="W36" s="119"/>
      <c r="X36" s="119"/>
      <c r="Y36" s="119"/>
      <c r="Z36" s="119"/>
      <c r="AA36" s="119"/>
      <c r="AB36" s="119"/>
      <c r="AC36" s="118"/>
      <c r="AD36" s="118"/>
      <c r="AE36" s="118"/>
      <c r="BA36" s="116"/>
      <c r="BG36" s="284"/>
      <c r="BH36" s="263"/>
      <c r="BI36" s="263"/>
      <c r="BJ36" s="265"/>
      <c r="BK36" s="265"/>
      <c r="BL36" s="265"/>
      <c r="BM36" s="279"/>
      <c r="BN36" s="287"/>
      <c r="BO36" s="267"/>
      <c r="BP36" s="281"/>
      <c r="BQ36" s="265"/>
      <c r="BR36" s="266"/>
      <c r="BS36" s="267"/>
      <c r="BT36" s="288"/>
      <c r="BU36" s="288"/>
      <c r="BV36" s="288"/>
      <c r="BW36" s="288"/>
      <c r="BX36" s="285"/>
      <c r="BY36" s="166"/>
      <c r="BZ36" s="166" t="s">
        <v>343</v>
      </c>
      <c r="CA36" s="259">
        <f>0.8507*CA35^1.0002</f>
        <v>417.02318500973416</v>
      </c>
      <c r="CB36" s="168"/>
      <c r="CC36" s="169"/>
      <c r="CD36" s="169"/>
      <c r="CE36" s="169"/>
      <c r="CF36" s="169"/>
      <c r="CG36" s="167"/>
      <c r="CH36" s="167"/>
      <c r="CI36" s="170"/>
      <c r="CJ36" s="170"/>
      <c r="CK36" s="210"/>
      <c r="CL36" s="211" t="s">
        <v>344</v>
      </c>
      <c r="CM36" s="286">
        <f>50.5*CM22</f>
        <v>306.57974045394087</v>
      </c>
      <c r="CN36" s="212" t="s">
        <v>259</v>
      </c>
      <c r="CO36" s="170"/>
      <c r="CP36" s="213"/>
      <c r="CQ36" s="214" t="s">
        <v>250</v>
      </c>
      <c r="CR36" s="215" t="s">
        <v>258</v>
      </c>
      <c r="CS36" s="218">
        <f>CA124</f>
        <v>9.3855479638612973</v>
      </c>
      <c r="CT36" s="217" t="s">
        <v>339</v>
      </c>
      <c r="CU36" s="170"/>
      <c r="CV36" s="170"/>
      <c r="CW36" s="210"/>
      <c r="CX36" s="211" t="s">
        <v>345</v>
      </c>
      <c r="CY36" s="286">
        <f>CY35+CY34</f>
        <v>337.58385356483058</v>
      </c>
      <c r="CZ36" s="212" t="s">
        <v>259</v>
      </c>
      <c r="DA36" s="170"/>
      <c r="DB36" s="213"/>
      <c r="DC36" s="219" t="s">
        <v>250</v>
      </c>
      <c r="DD36" s="215" t="s">
        <v>258</v>
      </c>
      <c r="DE36" s="218">
        <f>CA286</f>
        <v>1.5963355267389461</v>
      </c>
      <c r="DF36" s="217" t="s">
        <v>339</v>
      </c>
      <c r="DG36" s="170"/>
      <c r="DH36" s="170"/>
      <c r="DI36" s="170"/>
      <c r="DJ36" s="170"/>
      <c r="DK36" s="170"/>
      <c r="DL36" s="170"/>
      <c r="DM36" s="170"/>
      <c r="DO36" s="194">
        <f>(DP35+('Formulação suplementos'!$CM$37-(DP35*0.64))/0.8)/1000</f>
        <v>1.0243820388432132</v>
      </c>
      <c r="DP36" s="195">
        <f>-53.07 + (304.89 * (DO36)) + (90.79 *'Formulação suplementos'!$K$10) - (3.13 * 'Formulação suplementos'!$K$10*'Formulação suplementos'!$K$10)</f>
        <v>654.03669215117293</v>
      </c>
      <c r="DR36" s="170"/>
      <c r="DT36" s="194">
        <f>(DU35+('Formulação suplementos'!$CY$36-(DU35*0.64))/0.8)/1000</f>
        <v>0.43991742979104576</v>
      </c>
      <c r="DU36" s="195">
        <f>-53.07 + (304.89 * (DT36-'Formulação suplementos'!$CA$214)) + (90.79 *('Formulação suplementos'!$CY$30)) - (3.13 *('Formulação suplementos'!$CY$30)^2)</f>
        <v>89.688064175037752</v>
      </c>
      <c r="DV36" s="170"/>
    </row>
    <row r="37" spans="1:195" ht="15.75" customHeight="1" x14ac:dyDescent="0.25">
      <c r="A37" s="118"/>
      <c r="B37" s="361" t="s">
        <v>346</v>
      </c>
      <c r="C37" s="362">
        <v>0.26960000000000001</v>
      </c>
      <c r="D37" s="362">
        <v>0.56230000000000002</v>
      </c>
      <c r="E37" s="362">
        <v>0.12909999999999999</v>
      </c>
      <c r="F37" s="362">
        <v>5.4000000000000003E-3</v>
      </c>
      <c r="G37" s="362">
        <v>5.0000000000000001E-3</v>
      </c>
      <c r="H37" s="362"/>
      <c r="I37" s="362">
        <v>0.48829999999999996</v>
      </c>
      <c r="J37" s="362">
        <v>0.02</v>
      </c>
      <c r="K37" s="362">
        <v>1.7000000000000001E-3</v>
      </c>
      <c r="L37" s="362">
        <v>0</v>
      </c>
      <c r="M37" s="362">
        <v>1.2800000000000001E-2</v>
      </c>
      <c r="N37" s="362">
        <v>1.8E-3</v>
      </c>
      <c r="O37" s="363">
        <v>10.35</v>
      </c>
      <c r="P37" s="363">
        <v>32.22</v>
      </c>
      <c r="Q37" s="363"/>
      <c r="R37" s="363">
        <v>305</v>
      </c>
      <c r="S37" s="363"/>
      <c r="T37" s="363">
        <v>0</v>
      </c>
      <c r="U37" s="363"/>
      <c r="V37" s="119"/>
      <c r="W37" s="119"/>
      <c r="X37" s="119"/>
      <c r="Y37" s="119"/>
      <c r="Z37" s="119"/>
      <c r="AA37" s="119"/>
      <c r="AB37" s="119"/>
      <c r="AC37" s="118"/>
      <c r="AD37" s="118"/>
      <c r="AE37" s="118"/>
      <c r="BA37" s="116"/>
      <c r="BG37" s="284"/>
      <c r="BH37" s="263"/>
      <c r="BI37" s="263"/>
      <c r="BJ37" s="265"/>
      <c r="BK37" s="265"/>
      <c r="BL37" s="265"/>
      <c r="BM37" s="279"/>
      <c r="BN37" s="287"/>
      <c r="BO37" s="267"/>
      <c r="BP37" s="281"/>
      <c r="BQ37" s="265"/>
      <c r="BR37" s="266"/>
      <c r="BS37" s="267"/>
      <c r="BT37" s="288"/>
      <c r="BU37" s="288"/>
      <c r="BV37" s="288"/>
      <c r="BW37" s="288"/>
      <c r="BX37" s="289"/>
      <c r="BY37" s="166"/>
      <c r="BZ37" s="166" t="s">
        <v>347</v>
      </c>
      <c r="CA37" s="290">
        <f>0.963*C7^1.0151</f>
        <v>8.983101093045915E-3</v>
      </c>
      <c r="CB37" s="168"/>
      <c r="CC37" s="169"/>
      <c r="CD37" s="169"/>
      <c r="CE37" s="169"/>
      <c r="CF37" s="169"/>
      <c r="CG37" s="167"/>
      <c r="CH37" s="167"/>
      <c r="CI37" s="170"/>
      <c r="CJ37" s="170"/>
      <c r="CK37" s="210"/>
      <c r="CL37" s="211" t="s">
        <v>345</v>
      </c>
      <c r="CM37" s="286">
        <f>CM34+CM36+CM35</f>
        <v>714.85976033038298</v>
      </c>
      <c r="CN37" s="212" t="s">
        <v>259</v>
      </c>
      <c r="CO37" s="170"/>
      <c r="CP37" s="213"/>
      <c r="CQ37" s="214"/>
      <c r="CR37" s="233">
        <v>0.86799999999999999</v>
      </c>
      <c r="CS37" s="218"/>
      <c r="CT37" s="217"/>
      <c r="CU37" s="170"/>
      <c r="CV37" s="170"/>
      <c r="CW37" s="210"/>
      <c r="CX37" s="211" t="s">
        <v>348</v>
      </c>
      <c r="CY37" s="216">
        <f>CA216</f>
        <v>100.53290903300646</v>
      </c>
      <c r="CZ37" s="212" t="s">
        <v>259</v>
      </c>
      <c r="DA37" s="170"/>
      <c r="DB37" s="213"/>
      <c r="DC37" s="219"/>
      <c r="DD37" s="233">
        <v>0.87</v>
      </c>
      <c r="DE37" s="218"/>
      <c r="DF37" s="217"/>
      <c r="DG37" s="170"/>
      <c r="DH37" s="170"/>
      <c r="DI37" s="170"/>
      <c r="DJ37" s="170"/>
      <c r="DK37" s="170"/>
      <c r="DL37" s="170"/>
      <c r="DM37" s="170"/>
      <c r="DO37" s="194">
        <f>(DP36+('Formulação suplementos'!$CM$37-(DP36*0.64))/0.8)/1000</f>
        <v>1.0243820388432132</v>
      </c>
      <c r="DP37" s="195">
        <f>-53.07 + (304.89 * (DO37)) + (90.79 *'Formulação suplementos'!$K$10) - (3.13 * 'Formulação suplementos'!$K$10*'Formulação suplementos'!$K$10)</f>
        <v>654.03669215117293</v>
      </c>
      <c r="DR37" s="170"/>
      <c r="DT37" s="194">
        <f>(DU36+('Formulação suplementos'!$CY$36-(DU36*0.64))/0.8)/1000</f>
        <v>0.43991742979104576</v>
      </c>
      <c r="DU37" s="195">
        <f>-53.07 + (304.89 * (DT37-'Formulação suplementos'!$CA$214)) + (90.79 *('Formulação suplementos'!$CY$30)) - (3.13 *('Formulação suplementos'!$CY$30)^2)</f>
        <v>89.688064175037752</v>
      </c>
      <c r="DV37" s="170"/>
    </row>
    <row r="38" spans="1:195" ht="15.75" customHeight="1" x14ac:dyDescent="0.25">
      <c r="A38" s="118"/>
      <c r="B38" s="361" t="s">
        <v>349</v>
      </c>
      <c r="C38" s="362">
        <v>0.19829999999999998</v>
      </c>
      <c r="D38" s="362">
        <v>0.5877</v>
      </c>
      <c r="E38" s="362">
        <v>0.12230000000000001</v>
      </c>
      <c r="F38" s="362">
        <v>7.1999999999999998E-3</v>
      </c>
      <c r="G38" s="362">
        <v>2.5999999999999999E-3</v>
      </c>
      <c r="H38" s="362"/>
      <c r="I38" s="362">
        <v>0.63619999999999999</v>
      </c>
      <c r="J38" s="362">
        <v>3.0600000000000002E-2</v>
      </c>
      <c r="K38" s="362">
        <v>0</v>
      </c>
      <c r="L38" s="362">
        <v>0</v>
      </c>
      <c r="M38" s="362">
        <v>0</v>
      </c>
      <c r="N38" s="362">
        <v>0</v>
      </c>
      <c r="O38" s="363">
        <v>0</v>
      </c>
      <c r="P38" s="363">
        <v>0</v>
      </c>
      <c r="Q38" s="363"/>
      <c r="R38" s="363">
        <v>0</v>
      </c>
      <c r="S38" s="363"/>
      <c r="T38" s="363">
        <v>0</v>
      </c>
      <c r="U38" s="363"/>
      <c r="V38" s="119"/>
      <c r="W38" s="119"/>
      <c r="X38" s="119"/>
      <c r="Y38" s="119"/>
      <c r="Z38" s="119"/>
      <c r="AA38" s="119"/>
      <c r="AB38" s="119"/>
      <c r="AC38" s="118"/>
      <c r="AD38" s="118"/>
      <c r="AE38" s="118"/>
      <c r="BA38" s="116"/>
      <c r="BG38" s="265"/>
      <c r="BH38" s="263"/>
      <c r="BI38" s="263"/>
      <c r="BJ38" s="265"/>
      <c r="BK38" s="265"/>
      <c r="BL38" s="265"/>
      <c r="BM38" s="279"/>
      <c r="BN38" s="287"/>
      <c r="BO38" s="267"/>
      <c r="BP38" s="281"/>
      <c r="BQ38" s="265"/>
      <c r="BR38" s="266"/>
      <c r="BS38" s="267"/>
      <c r="BT38" s="267"/>
      <c r="BU38" s="279"/>
      <c r="BW38" s="267"/>
      <c r="BX38" s="267"/>
      <c r="BY38" s="166"/>
      <c r="BZ38" s="166"/>
      <c r="CA38" s="167"/>
      <c r="CB38" s="168"/>
      <c r="CC38" s="169"/>
      <c r="CD38" s="169"/>
      <c r="CE38" s="169"/>
      <c r="CF38" s="169"/>
      <c r="CG38" s="167"/>
      <c r="CH38" s="167"/>
      <c r="CI38" s="170"/>
      <c r="CJ38" s="170"/>
      <c r="CK38" s="210"/>
      <c r="CL38" s="211" t="s">
        <v>348</v>
      </c>
      <c r="CM38" s="286">
        <f>CA61*1000</f>
        <v>654.03669215117293</v>
      </c>
      <c r="CN38" s="212" t="s">
        <v>259</v>
      </c>
      <c r="CO38" s="170"/>
      <c r="CP38" s="213"/>
      <c r="CQ38" s="214" t="s">
        <v>350</v>
      </c>
      <c r="CR38" s="215" t="s">
        <v>258</v>
      </c>
      <c r="CS38" s="216">
        <f>CA131</f>
        <v>39.488222851967642</v>
      </c>
      <c r="CT38" s="217" t="s">
        <v>339</v>
      </c>
      <c r="CU38" s="170"/>
      <c r="CV38" s="170"/>
      <c r="CW38" s="210"/>
      <c r="CX38" s="211"/>
      <c r="CY38" s="218">
        <f>CY37/CY42*100</f>
        <v>22.74055689439647</v>
      </c>
      <c r="CZ38" s="212" t="s">
        <v>351</v>
      </c>
      <c r="DA38" s="170"/>
      <c r="DB38" s="213"/>
      <c r="DC38" s="219" t="s">
        <v>350</v>
      </c>
      <c r="DD38" s="215" t="s">
        <v>258</v>
      </c>
      <c r="DE38" s="218">
        <f>CA292</f>
        <v>7.5145272970127168</v>
      </c>
      <c r="DF38" s="217" t="s">
        <v>339</v>
      </c>
      <c r="DG38" s="170"/>
      <c r="DH38" s="170"/>
      <c r="DI38" s="170"/>
      <c r="DJ38" s="170"/>
      <c r="DK38" s="170"/>
      <c r="DL38" s="170"/>
      <c r="DM38" s="170"/>
      <c r="DO38" s="194">
        <f>(DP37+('Formulação suplementos'!$CM$37-(DP37*0.64))/0.8)/1000</f>
        <v>1.0243820388432132</v>
      </c>
      <c r="DP38" s="195">
        <f>-53.07 + (304.89 * (DO38)) + (90.79 *'Formulação suplementos'!$K$10) - (3.13 * 'Formulação suplementos'!$K$10*'Formulação suplementos'!$K$10)</f>
        <v>654.03669215117293</v>
      </c>
      <c r="DR38" s="170"/>
      <c r="DT38" s="194">
        <f>(DU37+('Formulação suplementos'!$CY$36-(DU37*0.64))/0.8)/1000</f>
        <v>0.43991742979104576</v>
      </c>
      <c r="DU38" s="195">
        <f>-53.07 + (304.89 * (DT38-'Formulação suplementos'!$CA$214)) + (90.79 *('Formulação suplementos'!$CY$30)) - (3.13 *('Formulação suplementos'!$CY$30)^2)</f>
        <v>89.688064175037752</v>
      </c>
      <c r="DV38" s="170"/>
      <c r="GM38">
        <v>9.94</v>
      </c>
    </row>
    <row r="39" spans="1:195" ht="15.75" customHeight="1" x14ac:dyDescent="0.25">
      <c r="A39" s="118"/>
      <c r="B39" s="361" t="s">
        <v>352</v>
      </c>
      <c r="C39" s="362">
        <v>0.24109999999999998</v>
      </c>
      <c r="D39" s="362">
        <v>0.57899999999999996</v>
      </c>
      <c r="E39" s="362">
        <v>6.8400000000000002E-2</v>
      </c>
      <c r="F39" s="362">
        <v>1.2999999999999999E-3</v>
      </c>
      <c r="G39" s="362">
        <v>1.2999999999999999E-3</v>
      </c>
      <c r="H39" s="362"/>
      <c r="I39" s="362">
        <v>0.63350000000000006</v>
      </c>
      <c r="J39" s="362">
        <v>3.04E-2</v>
      </c>
      <c r="K39" s="362">
        <v>2.5999999999999999E-3</v>
      </c>
      <c r="L39" s="362">
        <v>0</v>
      </c>
      <c r="M39" s="362">
        <v>0</v>
      </c>
      <c r="N39" s="362">
        <v>0</v>
      </c>
      <c r="O39" s="363">
        <v>0</v>
      </c>
      <c r="P39" s="363">
        <v>0</v>
      </c>
      <c r="Q39" s="363"/>
      <c r="R39" s="363">
        <v>0</v>
      </c>
      <c r="S39" s="363"/>
      <c r="T39" s="363">
        <v>0</v>
      </c>
      <c r="U39" s="363"/>
      <c r="V39" s="119"/>
      <c r="W39" s="119"/>
      <c r="X39" s="119"/>
      <c r="Y39" s="119"/>
      <c r="Z39" s="119"/>
      <c r="AA39" s="119"/>
      <c r="AB39" s="119"/>
      <c r="AC39" s="118"/>
      <c r="AD39" s="118"/>
      <c r="AE39" s="118"/>
      <c r="BA39" s="116"/>
      <c r="BG39" s="265"/>
      <c r="BH39" s="263"/>
      <c r="BI39" s="263"/>
      <c r="BJ39" s="265"/>
      <c r="BK39" s="265"/>
      <c r="BL39" s="265"/>
      <c r="BN39" s="291"/>
      <c r="BO39" s="292"/>
      <c r="BP39" s="281"/>
      <c r="BQ39" s="265"/>
      <c r="BR39" s="266"/>
      <c r="BS39" s="267"/>
      <c r="BT39" s="267"/>
      <c r="BU39" s="144"/>
      <c r="BV39" s="293"/>
      <c r="BW39" s="267"/>
      <c r="BX39" s="267"/>
      <c r="BY39" s="166" t="s">
        <v>283</v>
      </c>
      <c r="BZ39" s="166" t="s">
        <v>353</v>
      </c>
      <c r="CA39" s="167"/>
      <c r="CB39" s="168"/>
      <c r="CC39" s="169"/>
      <c r="CD39" s="169"/>
      <c r="CE39" s="169"/>
      <c r="CF39" s="169"/>
      <c r="CG39" s="167"/>
      <c r="CH39" s="167"/>
      <c r="CI39" s="170"/>
      <c r="CJ39" s="170"/>
      <c r="CK39" s="210"/>
      <c r="CL39" s="211"/>
      <c r="CM39" s="216">
        <f>CM38/K11*100</f>
        <v>63.846950390671239</v>
      </c>
      <c r="CN39" s="212" t="s">
        <v>351</v>
      </c>
      <c r="CO39" s="170"/>
      <c r="CP39" s="213"/>
      <c r="CQ39" s="214"/>
      <c r="CR39" s="233">
        <v>0.78400000000000003</v>
      </c>
      <c r="CS39" s="216"/>
      <c r="CT39" s="217"/>
      <c r="CU39" s="170"/>
      <c r="CV39" s="170"/>
      <c r="CW39" s="210"/>
      <c r="CX39" s="211" t="s">
        <v>354</v>
      </c>
      <c r="CY39" s="286">
        <f>(CY36-(CA216*0.64))/0.8</f>
        <v>341.55348972963299</v>
      </c>
      <c r="CZ39" s="212" t="s">
        <v>259</v>
      </c>
      <c r="DA39" s="170"/>
      <c r="DB39" s="213"/>
      <c r="DC39" s="219"/>
      <c r="DD39" s="233">
        <v>0.78</v>
      </c>
      <c r="DE39" s="218"/>
      <c r="DF39" s="217"/>
      <c r="DG39" s="170"/>
      <c r="DH39" s="170"/>
      <c r="DI39" s="170"/>
      <c r="DJ39" s="170"/>
      <c r="DK39" s="170"/>
      <c r="DL39" s="170"/>
      <c r="DM39" s="170"/>
      <c r="DO39" s="194">
        <f>(DP38+('Formulação suplementos'!$CM$37-(DP38*0.64))/0.8)/1000</f>
        <v>1.0243820388432132</v>
      </c>
      <c r="DP39" s="195">
        <f>-53.07 + (304.89 * (DO39)) + (90.79 *'Formulação suplementos'!$K$10) - (3.13 * 'Formulação suplementos'!$K$10*'Formulação suplementos'!$K$10)</f>
        <v>654.03669215117293</v>
      </c>
      <c r="DR39" s="170"/>
      <c r="DT39" s="194">
        <f>(DU38+('Formulação suplementos'!$CY$36-(DU38*0.64))/0.8)/1000</f>
        <v>0.43991742979104576</v>
      </c>
      <c r="DU39" s="195">
        <f>-53.07 + (304.89 * (DT39-'Formulação suplementos'!$CA$214)) + (90.79 *('Formulação suplementos'!$CY$30)) - (3.13 *('Formulação suplementos'!$CY$30)^2)</f>
        <v>89.688064175037752</v>
      </c>
      <c r="DV39" s="170"/>
    </row>
    <row r="40" spans="1:195" ht="15.75" customHeight="1" thickBot="1" x14ac:dyDescent="0.3">
      <c r="A40" s="118"/>
      <c r="B40" s="364"/>
      <c r="C40" s="365"/>
      <c r="D40" s="365"/>
      <c r="E40" s="365"/>
      <c r="F40" s="365"/>
      <c r="G40" s="365"/>
      <c r="H40" s="365"/>
      <c r="I40" s="365"/>
      <c r="J40" s="365"/>
      <c r="K40" s="365"/>
      <c r="L40" s="365"/>
      <c r="M40" s="365"/>
      <c r="N40" s="365"/>
      <c r="O40" s="366"/>
      <c r="P40" s="366"/>
      <c r="Q40" s="366"/>
      <c r="R40" s="366"/>
      <c r="S40" s="366"/>
      <c r="T40" s="366"/>
      <c r="U40" s="366"/>
      <c r="V40" s="119"/>
      <c r="W40" s="119"/>
      <c r="X40" s="119"/>
      <c r="Y40" s="119"/>
      <c r="Z40" s="119"/>
      <c r="AA40" s="119"/>
      <c r="AB40" s="119"/>
      <c r="AC40" s="118"/>
      <c r="AD40" s="118"/>
      <c r="AE40" s="118"/>
      <c r="BA40" s="116"/>
      <c r="BG40" s="265"/>
      <c r="BH40" s="263"/>
      <c r="BI40" s="263"/>
      <c r="BJ40" s="265"/>
      <c r="BK40" s="265"/>
      <c r="BL40" s="265"/>
      <c r="BM40" s="275"/>
      <c r="BN40" s="294"/>
      <c r="BO40" s="292"/>
      <c r="BP40" s="281"/>
      <c r="BQ40" s="265"/>
      <c r="BR40" s="266"/>
      <c r="BS40" s="267"/>
      <c r="BT40" s="267"/>
      <c r="BU40" s="144"/>
      <c r="BV40" s="293"/>
      <c r="BW40" s="267"/>
      <c r="BX40" s="267"/>
      <c r="BY40" s="166"/>
      <c r="BZ40" s="166" t="s">
        <v>293</v>
      </c>
      <c r="CA40" s="167"/>
      <c r="CB40" s="168"/>
      <c r="CC40" s="169"/>
      <c r="CD40" s="169"/>
      <c r="CE40" s="169"/>
      <c r="CF40" s="169"/>
      <c r="CG40" s="167"/>
      <c r="CH40" s="167"/>
      <c r="CI40" s="170"/>
      <c r="CJ40" s="170"/>
      <c r="CK40" s="210"/>
      <c r="CL40" s="211" t="s">
        <v>354</v>
      </c>
      <c r="CM40" s="286">
        <f>(CM37-((CA61*1000)*0.64))/0.8</f>
        <v>370.34534669204032</v>
      </c>
      <c r="CN40" s="212" t="s">
        <v>259</v>
      </c>
      <c r="CO40" s="170"/>
      <c r="CP40" s="213"/>
      <c r="CQ40" s="214" t="s">
        <v>355</v>
      </c>
      <c r="CR40" s="215" t="s">
        <v>258</v>
      </c>
      <c r="CS40" s="286">
        <f>CA138</f>
        <v>2251.9304552382823</v>
      </c>
      <c r="CT40" s="217" t="s">
        <v>339</v>
      </c>
      <c r="CU40" s="170"/>
      <c r="CV40" s="170"/>
      <c r="CW40" s="210"/>
      <c r="CX40" s="211"/>
      <c r="CY40" s="216">
        <f>CY39/CY42*100</f>
        <v>77.259443105603538</v>
      </c>
      <c r="CZ40" s="212" t="s">
        <v>351</v>
      </c>
      <c r="DA40" s="170"/>
      <c r="DB40" s="213"/>
      <c r="DC40" s="219" t="s">
        <v>355</v>
      </c>
      <c r="DD40" s="215" t="s">
        <v>258</v>
      </c>
      <c r="DE40" s="286">
        <f>CA298</f>
        <v>443.84921066368622</v>
      </c>
      <c r="DF40" s="217" t="s">
        <v>339</v>
      </c>
      <c r="DG40" s="170"/>
      <c r="DH40" s="170"/>
      <c r="DI40" s="170"/>
      <c r="DJ40" s="170"/>
      <c r="DK40" s="170"/>
      <c r="DL40" s="170"/>
      <c r="DM40" s="170"/>
      <c r="DO40" s="194">
        <f>(DP39+('Formulação suplementos'!$CM$37-(DP39*0.64))/0.8)/1000</f>
        <v>1.0243820388432132</v>
      </c>
      <c r="DP40" s="195">
        <f>-53.07 + (304.89 * (DO40)) + (90.79 *'Formulação suplementos'!$K$10) - (3.13 * 'Formulação suplementos'!$K$10*'Formulação suplementos'!$K$10)</f>
        <v>654.03669215117293</v>
      </c>
      <c r="DR40" s="170"/>
      <c r="DT40" s="194">
        <f>(DU39+('Formulação suplementos'!$CY$36-(DU39*0.64))/0.8)/1000</f>
        <v>0.43991742979104576</v>
      </c>
      <c r="DU40" s="195">
        <f>-53.07 + (304.89 * (DT40-'Formulação suplementos'!$CA$214)) + (90.79 *('Formulação suplementos'!$CY$30)) - (3.13 *('Formulação suplementos'!$CY$30)^2)</f>
        <v>89.688064175037752</v>
      </c>
      <c r="DV40" s="170"/>
    </row>
    <row r="41" spans="1:195" ht="27.75" customHeight="1" thickBot="1" x14ac:dyDescent="0.3">
      <c r="A41" s="118"/>
      <c r="B41" s="295"/>
      <c r="C41" s="295"/>
      <c r="D41" s="295"/>
      <c r="E41" s="295"/>
      <c r="F41" s="295"/>
      <c r="G41" s="295"/>
      <c r="H41" s="295"/>
      <c r="I41" s="295"/>
      <c r="J41" s="295"/>
      <c r="K41" s="295"/>
      <c r="L41" s="295"/>
      <c r="M41" s="295"/>
      <c r="N41" s="295"/>
      <c r="O41" s="295"/>
      <c r="P41" s="295"/>
      <c r="Q41" s="295"/>
      <c r="R41" s="295"/>
      <c r="S41" s="295"/>
      <c r="T41" s="295"/>
      <c r="U41" s="295"/>
      <c r="V41" s="296"/>
      <c r="W41" s="296"/>
      <c r="X41" s="296"/>
      <c r="Y41" s="119"/>
      <c r="Z41" s="119"/>
      <c r="AA41" s="119"/>
      <c r="AB41" s="119"/>
      <c r="AC41" s="118"/>
      <c r="AD41" s="118"/>
      <c r="AE41" s="118"/>
      <c r="BA41" s="116"/>
      <c r="BG41" s="265"/>
      <c r="BH41" s="263"/>
      <c r="BI41" s="263"/>
      <c r="BJ41" s="265"/>
      <c r="BK41" s="265"/>
      <c r="BL41" s="265"/>
      <c r="BM41" s="275"/>
      <c r="BN41" s="294"/>
      <c r="BO41" s="292"/>
      <c r="BP41" s="281"/>
      <c r="BQ41" s="265"/>
      <c r="BR41" s="266"/>
      <c r="BS41" s="267"/>
      <c r="BT41" s="267"/>
      <c r="BU41" s="144"/>
      <c r="BV41" s="267"/>
      <c r="BW41" s="267"/>
      <c r="BX41" s="267"/>
      <c r="BY41" s="166"/>
      <c r="BZ41" s="166" t="s">
        <v>356</v>
      </c>
      <c r="CA41" s="167"/>
      <c r="CB41" s="168"/>
      <c r="CC41" s="169"/>
      <c r="CD41" s="169"/>
      <c r="CE41" s="169"/>
      <c r="CF41" s="169"/>
      <c r="CG41" s="167"/>
      <c r="CH41" s="167"/>
      <c r="CI41" s="170"/>
      <c r="CJ41" s="170"/>
      <c r="CK41" s="210"/>
      <c r="CL41" s="211"/>
      <c r="CM41" s="216">
        <f>CM40/K11*100</f>
        <v>36.153049609328761</v>
      </c>
      <c r="CN41" s="212" t="s">
        <v>351</v>
      </c>
      <c r="CO41" s="170"/>
      <c r="CP41" s="213"/>
      <c r="CQ41" s="214"/>
      <c r="CR41" s="233">
        <v>0.73399999999999999</v>
      </c>
      <c r="CS41" s="286"/>
      <c r="CT41" s="217"/>
      <c r="CU41" s="170"/>
      <c r="CV41" s="170"/>
      <c r="CW41" s="210"/>
      <c r="CX41" s="211" t="s">
        <v>357</v>
      </c>
      <c r="CY41" s="286">
        <f>CA214*1000</f>
        <v>213.95599999999999</v>
      </c>
      <c r="CZ41" s="212" t="s">
        <v>259</v>
      </c>
      <c r="DA41" s="170"/>
      <c r="DB41" s="213"/>
      <c r="DC41" s="219"/>
      <c r="DD41" s="233">
        <v>0.73</v>
      </c>
      <c r="DE41" s="286"/>
      <c r="DF41" s="217"/>
      <c r="DG41" s="170"/>
      <c r="DH41" s="170"/>
      <c r="DI41" s="170"/>
      <c r="DJ41" s="170"/>
      <c r="DK41" s="170"/>
      <c r="DL41" s="170"/>
      <c r="DM41" s="170"/>
      <c r="DO41" s="194">
        <f>(DP40+('Formulação suplementos'!$CM$37-(DP40*0.64))/0.8)/1000</f>
        <v>1.0243820388432132</v>
      </c>
      <c r="DP41" s="195">
        <f>-53.07 + (304.89 * (DO41)) + (90.79 *'Formulação suplementos'!$K$10) - (3.13 * 'Formulação suplementos'!$K$10*'Formulação suplementos'!$K$10)</f>
        <v>654.03669215117293</v>
      </c>
      <c r="DR41" s="170"/>
      <c r="DT41" s="194">
        <f>(DU40+('Formulação suplementos'!$CY$36-(DU40*0.64))/0.8)/1000</f>
        <v>0.43991742979104576</v>
      </c>
      <c r="DU41" s="195">
        <f>-53.07 + (304.89 * (DT41-'Formulação suplementos'!$CA$214)) + (90.79 *('Formulação suplementos'!$CY$30)) - (3.13 *('Formulação suplementos'!$CY$30)^2)</f>
        <v>89.688064175037752</v>
      </c>
      <c r="DV41" s="170"/>
    </row>
    <row r="42" spans="1:195" ht="18.75" customHeight="1" thickBot="1" x14ac:dyDescent="0.3">
      <c r="A42" s="118"/>
      <c r="B42" s="297" t="s">
        <v>358</v>
      </c>
      <c r="C42" s="297" t="s">
        <v>359</v>
      </c>
      <c r="D42" s="297" t="s">
        <v>297</v>
      </c>
      <c r="E42" s="297" t="s">
        <v>298</v>
      </c>
      <c r="F42" s="297" t="s">
        <v>299</v>
      </c>
      <c r="G42" s="297" t="s">
        <v>300</v>
      </c>
      <c r="H42" s="297" t="s">
        <v>360</v>
      </c>
      <c r="I42" s="297" t="s">
        <v>361</v>
      </c>
      <c r="J42" s="297" t="s">
        <v>362</v>
      </c>
      <c r="K42" s="297" t="s">
        <v>363</v>
      </c>
      <c r="L42" s="297" t="s">
        <v>364</v>
      </c>
      <c r="M42" s="297" t="s">
        <v>365</v>
      </c>
      <c r="N42" s="297" t="s">
        <v>366</v>
      </c>
      <c r="O42" s="297" t="s">
        <v>189</v>
      </c>
      <c r="P42" s="297" t="s">
        <v>190</v>
      </c>
      <c r="Q42" s="297" t="s">
        <v>191</v>
      </c>
      <c r="R42" s="297" t="s">
        <v>192</v>
      </c>
      <c r="S42" s="297" t="s">
        <v>193</v>
      </c>
      <c r="T42" s="297" t="s">
        <v>194</v>
      </c>
      <c r="U42" s="297" t="s">
        <v>195</v>
      </c>
      <c r="V42" s="298" t="s">
        <v>153</v>
      </c>
      <c r="W42" s="297" t="s">
        <v>367</v>
      </c>
      <c r="X42" s="297" t="s">
        <v>368</v>
      </c>
      <c r="Y42" s="119"/>
      <c r="Z42" s="119"/>
      <c r="AA42" s="119"/>
      <c r="AB42" s="119"/>
      <c r="AC42" s="118"/>
      <c r="AD42" s="118"/>
      <c r="AE42" s="118"/>
      <c r="BA42" s="116"/>
      <c r="BG42" s="262"/>
      <c r="BH42" s="263"/>
      <c r="BI42" s="264"/>
      <c r="BJ42" s="265"/>
      <c r="BK42" s="265"/>
      <c r="BL42" s="265"/>
      <c r="BM42" s="275"/>
      <c r="BN42" s="294"/>
      <c r="BO42" s="292"/>
      <c r="BP42" s="281"/>
      <c r="BQ42" s="265"/>
      <c r="BR42" s="266"/>
      <c r="BS42" s="267"/>
      <c r="BT42" s="299"/>
      <c r="BX42" s="267"/>
      <c r="BY42" s="166"/>
      <c r="BZ42" s="166" t="s">
        <v>290</v>
      </c>
      <c r="CA42" s="167"/>
      <c r="CB42" s="168"/>
      <c r="CC42" s="169"/>
      <c r="CD42" s="169"/>
      <c r="CE42" s="169"/>
      <c r="CF42" s="169"/>
      <c r="CG42" s="167"/>
      <c r="CH42" s="167"/>
      <c r="CI42" s="170"/>
      <c r="CJ42" s="170"/>
      <c r="CK42" s="210"/>
      <c r="CL42" s="211" t="s">
        <v>169</v>
      </c>
      <c r="CN42" s="212" t="s">
        <v>259</v>
      </c>
      <c r="CO42" s="170"/>
      <c r="CP42" s="213"/>
      <c r="CQ42" s="214" t="s">
        <v>275</v>
      </c>
      <c r="CR42" s="215" t="s">
        <v>258</v>
      </c>
      <c r="CS42" s="286">
        <f>CA145</f>
        <v>230.26972652576106</v>
      </c>
      <c r="CT42" s="217" t="s">
        <v>339</v>
      </c>
      <c r="CU42" s="170"/>
      <c r="CV42" s="170"/>
      <c r="CW42" s="210"/>
      <c r="CX42" s="211" t="s">
        <v>369</v>
      </c>
      <c r="CY42" s="286">
        <f>CY39+CY37</f>
        <v>442.08639876263942</v>
      </c>
      <c r="CZ42" s="212" t="s">
        <v>259</v>
      </c>
      <c r="DA42" s="170"/>
      <c r="DB42" s="213"/>
      <c r="DC42" s="219" t="s">
        <v>275</v>
      </c>
      <c r="DD42" s="215" t="s">
        <v>258</v>
      </c>
      <c r="DE42" s="216">
        <f>CA304</f>
        <v>47.905078204087786</v>
      </c>
      <c r="DF42" s="217" t="s">
        <v>339</v>
      </c>
      <c r="DG42" s="170"/>
      <c r="DH42" s="170"/>
      <c r="DI42" s="170"/>
      <c r="DJ42" s="170"/>
      <c r="DK42" s="170"/>
      <c r="DL42" s="170"/>
      <c r="DM42" s="170"/>
      <c r="DO42" s="194">
        <f>(DP41+('Formulação suplementos'!$CM$37-(DP41*0.64))/0.8)/1000</f>
        <v>1.0243820388432132</v>
      </c>
      <c r="DP42" s="195">
        <f>-53.07 + (304.89 * (DO42)) + (90.79 *'Formulação suplementos'!$K$10) - (3.13 * 'Formulação suplementos'!$K$10*'Formulação suplementos'!$K$10)</f>
        <v>654.03669215117293</v>
      </c>
      <c r="DR42" s="170"/>
      <c r="DT42" s="194">
        <f>(DU41+('Formulação suplementos'!$CY$36-(DU41*0.64))/0.8)/1000</f>
        <v>0.43991742979104576</v>
      </c>
      <c r="DU42" s="195">
        <f>-53.07 + (304.89 * (DT42-'Formulação suplementos'!$CA$214)) + (90.79 *('Formulação suplementos'!$CY$30)) - (3.13 *('Formulação suplementos'!$CY$30)^2)</f>
        <v>89.688064175037752</v>
      </c>
      <c r="DV42" s="170"/>
    </row>
    <row r="43" spans="1:195" ht="15.75" customHeight="1" x14ac:dyDescent="0.25">
      <c r="A43" s="118"/>
      <c r="B43" s="361" t="s">
        <v>370</v>
      </c>
      <c r="C43" s="362">
        <v>0.87879999999999991</v>
      </c>
      <c r="D43" s="362">
        <v>0.86919999999999997</v>
      </c>
      <c r="E43" s="362">
        <v>8.9600000000000013E-2</v>
      </c>
      <c r="F43" s="362">
        <v>2.9999999999999997E-4</v>
      </c>
      <c r="G43" s="362">
        <v>2.5999999999999999E-3</v>
      </c>
      <c r="H43" s="362"/>
      <c r="I43" s="362">
        <v>0.12390000000000001</v>
      </c>
      <c r="J43" s="362">
        <v>0.04</v>
      </c>
      <c r="K43" s="362">
        <v>1.1000000000000001E-3</v>
      </c>
      <c r="L43" s="362">
        <v>2.9999999999999997E-4</v>
      </c>
      <c r="M43" s="362">
        <v>3.4999999999999996E-3</v>
      </c>
      <c r="N43" s="362">
        <v>4.0000000000000002E-4</v>
      </c>
      <c r="O43" s="363">
        <v>3.48</v>
      </c>
      <c r="P43" s="363">
        <v>18.850000000000001</v>
      </c>
      <c r="Q43" s="363"/>
      <c r="R43" s="363">
        <v>8.8000000000000007</v>
      </c>
      <c r="S43" s="363"/>
      <c r="T43" s="363">
        <v>0.02</v>
      </c>
      <c r="U43" s="363">
        <v>7.0000000000000007E-2</v>
      </c>
      <c r="V43" s="367"/>
      <c r="W43" s="300" t="str">
        <f>IFERROR(IF(V43/D43=0,"",V43/D43),"")</f>
        <v/>
      </c>
      <c r="X43" s="300" t="str">
        <f>IFERROR(IF(V43/E43=0,"",V43/E43),"")</f>
        <v/>
      </c>
      <c r="Y43" s="119"/>
      <c r="Z43" s="119"/>
      <c r="AA43" s="119"/>
      <c r="AB43" s="119"/>
      <c r="AC43" s="118"/>
      <c r="AD43" s="118"/>
      <c r="AE43" s="118"/>
      <c r="BA43" s="116"/>
      <c r="BG43" s="262"/>
      <c r="BH43" s="263"/>
      <c r="BI43" s="264"/>
      <c r="BJ43" s="265"/>
      <c r="BK43" s="265"/>
      <c r="BL43" s="265"/>
      <c r="BM43" s="275"/>
      <c r="BN43" s="294"/>
      <c r="BO43" s="292"/>
      <c r="BP43" s="281"/>
      <c r="BQ43" s="265"/>
      <c r="BR43" s="266"/>
      <c r="BS43" s="267"/>
      <c r="BT43" s="299"/>
      <c r="BX43" s="267"/>
      <c r="BY43" s="166"/>
      <c r="BZ43" s="166" t="s">
        <v>256</v>
      </c>
      <c r="CA43" s="301">
        <v>0.44</v>
      </c>
      <c r="CB43" s="168"/>
      <c r="CC43" s="169"/>
      <c r="CD43" s="169"/>
      <c r="CE43" s="169"/>
      <c r="CF43" s="169"/>
      <c r="CG43" s="167"/>
      <c r="CH43" s="167"/>
      <c r="CI43" s="170"/>
      <c r="CJ43" s="170"/>
      <c r="CK43" s="210"/>
      <c r="CL43" s="211"/>
      <c r="CM43" s="216">
        <f>CA65</f>
        <v>11.504981723242759</v>
      </c>
      <c r="CN43" s="212" t="s">
        <v>152</v>
      </c>
      <c r="CO43" s="170"/>
      <c r="CP43" s="213"/>
      <c r="CQ43" s="214"/>
      <c r="CR43" s="233">
        <v>0.439</v>
      </c>
      <c r="CS43" s="286"/>
      <c r="CT43" s="217"/>
      <c r="CU43" s="170"/>
      <c r="CV43" s="170"/>
      <c r="CW43" s="210"/>
      <c r="CX43" s="211"/>
      <c r="CY43" s="216">
        <f>CY42/CY22/10</f>
        <v>20.47964397707889</v>
      </c>
      <c r="CZ43" s="212" t="s">
        <v>152</v>
      </c>
      <c r="DA43" s="170"/>
      <c r="DB43" s="213"/>
      <c r="DC43" s="219"/>
      <c r="DD43" s="233">
        <v>0.44</v>
      </c>
      <c r="DE43" s="216"/>
      <c r="DF43" s="217"/>
      <c r="DG43" s="170"/>
      <c r="DH43" s="170"/>
      <c r="DI43" s="170"/>
      <c r="DJ43" s="170"/>
      <c r="DK43" s="170"/>
      <c r="DL43" s="170"/>
      <c r="DM43" s="170"/>
      <c r="DO43" s="194">
        <f>(DP42+('Formulação suplementos'!$CM$37-(DP42*0.64))/0.8)/1000</f>
        <v>1.0243820388432132</v>
      </c>
      <c r="DP43" s="195">
        <f>-53.07 + (304.89 * (DO43)) + (90.79 *'Formulação suplementos'!$K$10) - (3.13 * 'Formulação suplementos'!$K$10*'Formulação suplementos'!$K$10)</f>
        <v>654.03669215117293</v>
      </c>
      <c r="DR43" s="170"/>
      <c r="DT43" s="194">
        <f>(DU42+('Formulação suplementos'!$CY$36-(DU42*0.64))/0.8)/1000</f>
        <v>0.43991742979104576</v>
      </c>
      <c r="DU43" s="195">
        <f>-53.07 + (304.89 * (DT43-'Formulação suplementos'!$CA$214)) + (90.79 *('Formulação suplementos'!$CY$30)) - (3.13 *('Formulação suplementos'!$CY$30)^2)</f>
        <v>89.688064175037752</v>
      </c>
      <c r="DV43" s="170"/>
    </row>
    <row r="44" spans="1:195" ht="15.75" customHeight="1" x14ac:dyDescent="0.25">
      <c r="A44" s="118"/>
      <c r="B44" s="361" t="s">
        <v>371</v>
      </c>
      <c r="C44" s="362">
        <v>0.90099999999999991</v>
      </c>
      <c r="D44" s="362">
        <v>0.73109999999999997</v>
      </c>
      <c r="E44" s="362">
        <v>0.12670000000000001</v>
      </c>
      <c r="F44" s="362">
        <v>5.1999999999999998E-3</v>
      </c>
      <c r="G44" s="362">
        <v>1.6000000000000001E-3</v>
      </c>
      <c r="H44" s="362"/>
      <c r="I44" s="362">
        <v>0.60980000000000001</v>
      </c>
      <c r="J44" s="362">
        <v>2.2200000000000001E-2</v>
      </c>
      <c r="K44" s="362">
        <v>3.4000000000000002E-3</v>
      </c>
      <c r="L44" s="362">
        <v>8.0000000000000004E-4</v>
      </c>
      <c r="M44" s="362">
        <v>8.6999999999999994E-3</v>
      </c>
      <c r="N44" s="362">
        <v>8.9999999999999998E-4</v>
      </c>
      <c r="O44" s="363">
        <v>6.46</v>
      </c>
      <c r="P44" s="363">
        <v>48.07</v>
      </c>
      <c r="Q44" s="363"/>
      <c r="R44" s="363">
        <v>17.55</v>
      </c>
      <c r="S44" s="363"/>
      <c r="T44" s="363">
        <v>5.01</v>
      </c>
      <c r="U44" s="363"/>
      <c r="V44" s="367"/>
      <c r="W44" s="300" t="str">
        <f>IFERROR(IF(V44/D44=0,"",V44/D44),"")</f>
        <v/>
      </c>
      <c r="X44" s="300" t="str">
        <f t="shared" ref="X44:X54" si="22">IFERROR(IF(V44/E44=0,"",V44/E44),"")</f>
        <v/>
      </c>
      <c r="Y44" s="119"/>
      <c r="Z44" s="119"/>
      <c r="AA44" s="119"/>
      <c r="AB44" s="119"/>
      <c r="AC44" s="118"/>
      <c r="AD44" s="118"/>
      <c r="AE44" s="118"/>
      <c r="BA44" s="116"/>
      <c r="BG44" s="262"/>
      <c r="BH44" s="263"/>
      <c r="BI44" s="264"/>
      <c r="BJ44" s="265"/>
      <c r="BK44" s="265"/>
      <c r="BL44" s="265"/>
      <c r="BM44" s="275"/>
      <c r="BN44" s="294"/>
      <c r="BO44" s="292"/>
      <c r="BP44" s="281"/>
      <c r="BQ44" s="265"/>
      <c r="BR44" s="266"/>
      <c r="BS44" s="267"/>
      <c r="BT44" s="299"/>
      <c r="BX44" s="267"/>
      <c r="BY44" s="166"/>
      <c r="BZ44" s="166" t="s">
        <v>295</v>
      </c>
      <c r="CA44" s="167"/>
      <c r="CB44" s="168"/>
      <c r="CC44" s="169"/>
      <c r="CD44" s="169"/>
      <c r="CE44" s="169"/>
      <c r="CF44" s="169"/>
      <c r="CG44" s="167"/>
      <c r="CH44" s="167"/>
      <c r="CI44" s="170"/>
      <c r="CJ44" s="170"/>
      <c r="CK44" s="167"/>
      <c r="CL44" s="170"/>
      <c r="CM44" s="170"/>
      <c r="CN44" s="170"/>
      <c r="CO44" s="170"/>
      <c r="CP44" s="213"/>
      <c r="CQ44" s="214" t="s">
        <v>288</v>
      </c>
      <c r="CR44" s="215" t="s">
        <v>258</v>
      </c>
      <c r="CS44" s="286">
        <f>CA152</f>
        <v>574.81541437973772</v>
      </c>
      <c r="CT44" s="217" t="s">
        <v>339</v>
      </c>
      <c r="CU44" s="170"/>
      <c r="CV44" s="170"/>
      <c r="CW44" s="167"/>
      <c r="CX44" s="170"/>
      <c r="CY44" s="170"/>
      <c r="CZ44" s="170"/>
      <c r="DA44" s="170"/>
      <c r="DB44" s="213"/>
      <c r="DC44" s="219" t="s">
        <v>372</v>
      </c>
      <c r="DD44" s="215" t="s">
        <v>258</v>
      </c>
      <c r="DE44" s="218">
        <f>CA310</f>
        <v>0.69760791561543734</v>
      </c>
      <c r="DF44" s="217" t="s">
        <v>339</v>
      </c>
      <c r="DG44" s="170"/>
      <c r="DH44" s="170"/>
      <c r="DI44" s="170"/>
      <c r="DJ44" s="170"/>
      <c r="DK44" s="170"/>
      <c r="DL44" s="170"/>
      <c r="DM44" s="170"/>
      <c r="DO44" s="194">
        <f>(DP43+('Formulação suplementos'!$CM$37-(DP43*0.64))/0.8)/1000</f>
        <v>1.0243820388432132</v>
      </c>
      <c r="DP44" s="195">
        <f>-53.07 + (304.89 * (DO44)) + (90.79 *'Formulação suplementos'!$K$10) - (3.13 * 'Formulação suplementos'!$K$10*'Formulação suplementos'!$K$10)</f>
        <v>654.03669215117293</v>
      </c>
      <c r="DR44" s="170"/>
      <c r="DT44" s="194">
        <f>(DU43+('Formulação suplementos'!$CY$36-(DU43*0.64))/0.8)/1000</f>
        <v>0.43991742979104576</v>
      </c>
      <c r="DU44" s="195">
        <f>-53.07 + (304.89 * (DT44-'Formulação suplementos'!$CA$214)) + (90.79 *('Formulação suplementos'!$CY$30)) - (3.13 *('Formulação suplementos'!$CY$30)^2)</f>
        <v>89.688064175037752</v>
      </c>
      <c r="DV44" s="170"/>
    </row>
    <row r="45" spans="1:195" ht="15.75" customHeight="1" x14ac:dyDescent="0.25">
      <c r="A45" s="118"/>
      <c r="B45" s="361" t="s">
        <v>373</v>
      </c>
      <c r="C45" s="362">
        <v>0.8801000000000001</v>
      </c>
      <c r="D45" s="362">
        <v>0.84189999999999998</v>
      </c>
      <c r="E45" s="362">
        <v>9.3299999999999994E-2</v>
      </c>
      <c r="F45" s="362">
        <v>7.000000000000001E-4</v>
      </c>
      <c r="G45" s="362">
        <v>2.8999999999999998E-3</v>
      </c>
      <c r="H45" s="362"/>
      <c r="I45" s="362">
        <v>0.10580000000000001</v>
      </c>
      <c r="J45" s="362">
        <v>2.9100000000000001E-2</v>
      </c>
      <c r="K45" s="362">
        <v>1.9E-3</v>
      </c>
      <c r="L45" s="362">
        <v>2.9999999999999997E-4</v>
      </c>
      <c r="M45" s="362">
        <v>7.3000000000000001E-3</v>
      </c>
      <c r="N45" s="362">
        <v>2.9999999999999997E-4</v>
      </c>
      <c r="O45" s="363">
        <v>4.87</v>
      </c>
      <c r="P45" s="363">
        <v>15.5</v>
      </c>
      <c r="Q45" s="363"/>
      <c r="R45" s="363">
        <v>17.14</v>
      </c>
      <c r="S45" s="363"/>
      <c r="T45" s="363">
        <v>0.04</v>
      </c>
      <c r="U45" s="363">
        <v>0.06</v>
      </c>
      <c r="V45" s="367"/>
      <c r="W45" s="300" t="str">
        <f t="shared" ref="W45:W54" si="23">IFERROR(IF(V45/D45=0,"",V45/D45),"")</f>
        <v/>
      </c>
      <c r="X45" s="300" t="str">
        <f t="shared" si="22"/>
        <v/>
      </c>
      <c r="Y45" s="119"/>
      <c r="Z45" s="119"/>
      <c r="AA45" s="119"/>
      <c r="AB45" s="119"/>
      <c r="AC45" s="118"/>
      <c r="AD45" s="118"/>
      <c r="AE45" s="118"/>
      <c r="AZ45" s="302"/>
      <c r="BA45" s="116"/>
      <c r="BG45" s="262"/>
      <c r="BH45" s="263"/>
      <c r="BI45" s="264"/>
      <c r="BJ45" s="265"/>
      <c r="BK45" s="265"/>
      <c r="BL45" s="265"/>
      <c r="BM45" s="275"/>
      <c r="BN45" s="294"/>
      <c r="BO45" s="292"/>
      <c r="BP45" s="281"/>
      <c r="BQ45" s="265"/>
      <c r="BR45" s="266"/>
      <c r="BS45" s="267"/>
      <c r="BT45" s="299"/>
      <c r="BX45" s="267"/>
      <c r="BY45" s="166"/>
      <c r="BZ45" s="166" t="s">
        <v>374</v>
      </c>
      <c r="CA45" s="290">
        <v>0.82</v>
      </c>
      <c r="CB45" s="168"/>
      <c r="CC45" s="169"/>
      <c r="CD45" s="169"/>
      <c r="CE45" s="169"/>
      <c r="CF45" s="169"/>
      <c r="CG45" s="167"/>
      <c r="CH45" s="170"/>
      <c r="CI45" s="170"/>
      <c r="CJ45" s="170"/>
      <c r="CK45" s="167"/>
      <c r="CL45" s="170"/>
      <c r="CM45" s="170"/>
      <c r="CN45" s="170"/>
      <c r="CO45" s="170"/>
      <c r="CP45" s="213"/>
      <c r="CQ45" s="214"/>
      <c r="CR45" s="233">
        <v>0.66800000000000004</v>
      </c>
      <c r="CS45" s="286"/>
      <c r="CT45" s="217"/>
      <c r="CU45" s="170"/>
      <c r="CV45" s="170"/>
      <c r="CW45" s="167"/>
      <c r="CX45" s="170"/>
      <c r="CY45" s="170"/>
      <c r="CZ45" s="170"/>
      <c r="DA45" s="170"/>
      <c r="DB45" s="213"/>
      <c r="DC45" s="219"/>
      <c r="DD45" s="233">
        <v>0.5</v>
      </c>
      <c r="DE45" s="218"/>
      <c r="DF45" s="217"/>
      <c r="DG45" s="170"/>
      <c r="DH45" s="170"/>
      <c r="DI45" s="170"/>
      <c r="DJ45" s="170"/>
      <c r="DK45" s="170"/>
      <c r="DL45" s="170"/>
      <c r="DM45" s="170"/>
      <c r="DO45" s="194">
        <f>(DP44+('Formulação suplementos'!$CM$37-(DP44*0.64))/0.8)/1000</f>
        <v>1.0243820388432132</v>
      </c>
      <c r="DP45" s="195">
        <f>-53.07 + (304.89 * (DO45)) + (90.79 *'Formulação suplementos'!$K$10) - (3.13 * 'Formulação suplementos'!$K$10*'Formulação suplementos'!$K$10)</f>
        <v>654.03669215117293</v>
      </c>
      <c r="DR45" s="170"/>
      <c r="DT45" s="194">
        <f>(DU44+('Formulação suplementos'!$CY$36-(DU44*0.64))/0.8)/1000</f>
        <v>0.43991742979104576</v>
      </c>
      <c r="DU45" s="195">
        <f>-53.07 + (304.89 * (DT45-'Formulação suplementos'!$CA$214)) + (90.79 *('Formulação suplementos'!$CY$30)) - (3.13 *('Formulação suplementos'!$CY$30)^2)</f>
        <v>89.688064175037752</v>
      </c>
      <c r="DV45" s="170"/>
    </row>
    <row r="46" spans="1:195" ht="15.75" customHeight="1" x14ac:dyDescent="0.25">
      <c r="A46" s="118"/>
      <c r="B46" s="368" t="s">
        <v>375</v>
      </c>
      <c r="C46" s="369">
        <v>0.90659999999999996</v>
      </c>
      <c r="D46" s="369">
        <v>0.95620000000000005</v>
      </c>
      <c r="E46" s="369">
        <v>0.22940000000000002</v>
      </c>
      <c r="F46" s="369">
        <v>2.7000000000000001E-3</v>
      </c>
      <c r="G46" s="369">
        <v>7.4000000000000003E-3</v>
      </c>
      <c r="H46" s="369"/>
      <c r="I46" s="369">
        <v>0.41700000000000004</v>
      </c>
      <c r="J46" s="369">
        <v>0.2006</v>
      </c>
      <c r="K46" s="369">
        <v>5.1999999999999998E-3</v>
      </c>
      <c r="L46" s="369">
        <v>1.1999999999999999E-3</v>
      </c>
      <c r="M46" s="369">
        <v>9.1000000000000004E-3</v>
      </c>
      <c r="N46" s="369">
        <v>0</v>
      </c>
      <c r="O46" s="370"/>
      <c r="P46" s="370"/>
      <c r="Q46" s="370"/>
      <c r="R46" s="370"/>
      <c r="S46" s="370"/>
      <c r="T46" s="370"/>
      <c r="U46" s="370"/>
      <c r="V46" s="371"/>
      <c r="W46" s="300" t="str">
        <f t="shared" si="23"/>
        <v/>
      </c>
      <c r="X46" s="300" t="str">
        <f t="shared" si="22"/>
        <v/>
      </c>
      <c r="Y46" s="119"/>
      <c r="Z46" s="119"/>
      <c r="AA46" s="119"/>
      <c r="AB46" s="119"/>
      <c r="AC46" s="118"/>
      <c r="AD46" s="118"/>
      <c r="AE46" s="118"/>
      <c r="BA46" s="116"/>
      <c r="BG46" s="262"/>
      <c r="BH46" s="263"/>
      <c r="BI46" s="264"/>
      <c r="BJ46" s="265"/>
      <c r="BK46" s="265"/>
      <c r="BL46" s="265"/>
      <c r="BM46" s="275"/>
      <c r="BN46" s="294"/>
      <c r="BO46" s="292"/>
      <c r="BP46" s="281"/>
      <c r="BQ46" s="265"/>
      <c r="BR46" s="266"/>
      <c r="BS46" s="267"/>
      <c r="BT46" s="299"/>
      <c r="BX46" s="267"/>
      <c r="BY46" s="166"/>
      <c r="BZ46" s="166" t="s">
        <v>376</v>
      </c>
      <c r="CA46" s="290">
        <v>0.72</v>
      </c>
      <c r="CB46" s="168"/>
      <c r="CC46" s="169"/>
      <c r="CD46" s="169"/>
      <c r="CE46" s="169"/>
      <c r="CF46" s="169"/>
      <c r="CG46" s="167"/>
      <c r="CH46" s="170"/>
      <c r="CI46" s="170"/>
      <c r="CJ46" s="170"/>
      <c r="CK46" s="167"/>
      <c r="CL46" s="170"/>
      <c r="CM46" s="170"/>
      <c r="CN46" s="170"/>
      <c r="CO46" s="170"/>
      <c r="CP46" s="213"/>
      <c r="CQ46" s="214" t="s">
        <v>372</v>
      </c>
      <c r="CR46" s="215" t="s">
        <v>258</v>
      </c>
      <c r="CS46" s="218">
        <f>CA160</f>
        <v>3.2707460879220043</v>
      </c>
      <c r="CT46" s="217" t="s">
        <v>339</v>
      </c>
      <c r="CU46" s="170"/>
      <c r="CV46" s="170"/>
      <c r="CW46" s="167"/>
      <c r="CX46" s="170"/>
      <c r="CY46" s="170"/>
      <c r="CZ46" s="170"/>
      <c r="DA46" s="170"/>
      <c r="DB46" s="213"/>
      <c r="DC46" s="219" t="s">
        <v>281</v>
      </c>
      <c r="DD46" s="215" t="s">
        <v>258</v>
      </c>
      <c r="DE46" s="218">
        <f>CA316</f>
        <v>2.2787895056623038</v>
      </c>
      <c r="DF46" s="217" t="s">
        <v>339</v>
      </c>
      <c r="DG46" s="170"/>
      <c r="DH46" s="170"/>
      <c r="DI46" s="170"/>
      <c r="DJ46" s="170"/>
      <c r="DK46" s="170"/>
      <c r="DL46" s="170"/>
      <c r="DM46" s="170"/>
      <c r="DO46" s="194">
        <f>(DP45+('Formulação suplementos'!$CM$37-(DP45*0.64))/0.8)/1000</f>
        <v>1.0243820388432132</v>
      </c>
      <c r="DP46" s="195">
        <f>-53.07 + (304.89 * (DO46)) + (90.79 *'Formulação suplementos'!$K$10) - (3.13 * 'Formulação suplementos'!$K$10*'Formulação suplementos'!$K$10)</f>
        <v>654.03669215117293</v>
      </c>
      <c r="DR46" s="170"/>
      <c r="DT46" s="194">
        <f>(DU45+('Formulação suplementos'!$CY$36-(DU45*0.64))/0.8)/1000</f>
        <v>0.43991742979104576</v>
      </c>
      <c r="DU46" s="195">
        <f>-53.07 + (304.89 * (DT46-'Formulação suplementos'!$CA$214)) + (90.79 *('Formulação suplementos'!$CY$30)) - (3.13 *('Formulação suplementos'!$CY$30)^2)</f>
        <v>89.688064175037752</v>
      </c>
      <c r="DV46" s="170"/>
    </row>
    <row r="47" spans="1:195" ht="15.75" customHeight="1" x14ac:dyDescent="0.25">
      <c r="A47" s="118"/>
      <c r="B47" s="368" t="s">
        <v>377</v>
      </c>
      <c r="C47" s="369">
        <v>0.8970999999999999</v>
      </c>
      <c r="D47" s="369">
        <v>0.77079999999999993</v>
      </c>
      <c r="E47" s="369">
        <v>0.31480000000000002</v>
      </c>
      <c r="F47" s="369">
        <v>2.5999999999999999E-3</v>
      </c>
      <c r="G47" s="369">
        <v>7.8000000000000005E-3</v>
      </c>
      <c r="H47" s="369"/>
      <c r="I47" s="369">
        <v>0.33260000000000001</v>
      </c>
      <c r="J47" s="369">
        <v>1.9900000000000001E-2</v>
      </c>
      <c r="K47" s="369">
        <v>5.4000000000000003E-3</v>
      </c>
      <c r="L47" s="369">
        <v>4.0000000000000002E-4</v>
      </c>
      <c r="M47" s="369">
        <v>1.2699999999999999E-2</v>
      </c>
      <c r="N47" s="369">
        <v>2.2000000000000001E-3</v>
      </c>
      <c r="O47" s="370">
        <v>18.79</v>
      </c>
      <c r="P47" s="370">
        <v>62.42</v>
      </c>
      <c r="Q47" s="370"/>
      <c r="R47" s="370">
        <v>23.68</v>
      </c>
      <c r="S47" s="370"/>
      <c r="T47" s="370">
        <v>0.51</v>
      </c>
      <c r="U47" s="370"/>
      <c r="V47" s="371"/>
      <c r="W47" s="300" t="str">
        <f t="shared" si="23"/>
        <v/>
      </c>
      <c r="X47" s="300" t="str">
        <f t="shared" si="22"/>
        <v/>
      </c>
      <c r="Y47" s="119"/>
      <c r="Z47" s="119"/>
      <c r="AA47" s="119"/>
      <c r="AB47" s="119"/>
      <c r="AC47" s="118"/>
      <c r="AD47" s="118"/>
      <c r="AE47" s="118"/>
      <c r="BA47" s="116"/>
      <c r="BG47" s="265"/>
      <c r="BH47" s="265"/>
      <c r="BI47" s="265"/>
      <c r="BJ47" s="265"/>
      <c r="BK47" s="265"/>
      <c r="BL47" s="265"/>
      <c r="BM47" s="275"/>
      <c r="BN47" s="294"/>
      <c r="BO47" s="292"/>
      <c r="BP47" s="281"/>
      <c r="BQ47" s="265"/>
      <c r="BR47" s="266"/>
      <c r="BS47" s="267"/>
      <c r="BT47" s="299"/>
      <c r="BX47" s="267"/>
      <c r="BY47" s="166"/>
      <c r="BZ47" s="166" t="s">
        <v>378</v>
      </c>
      <c r="CA47" s="167"/>
      <c r="CB47" s="168"/>
      <c r="CC47" s="169"/>
      <c r="CD47" s="169"/>
      <c r="CE47" s="169"/>
      <c r="CF47" s="169"/>
      <c r="CG47" s="167"/>
      <c r="CH47" s="170"/>
      <c r="CI47" s="170"/>
      <c r="CJ47" s="170"/>
      <c r="CK47" s="167"/>
      <c r="CL47" s="170"/>
      <c r="CM47" s="170"/>
      <c r="CN47" s="170"/>
      <c r="CO47" s="170"/>
      <c r="CP47" s="213"/>
      <c r="CQ47" s="214"/>
      <c r="CR47" s="233">
        <v>0.5</v>
      </c>
      <c r="CS47" s="218"/>
      <c r="CT47" s="217"/>
      <c r="CU47" s="170"/>
      <c r="CV47" s="170"/>
      <c r="CW47" s="167"/>
      <c r="CX47" s="170"/>
      <c r="CY47" s="170"/>
      <c r="CZ47" s="170"/>
      <c r="DA47" s="170"/>
      <c r="DB47" s="213"/>
      <c r="DC47" s="219"/>
      <c r="DD47" s="233">
        <v>0.49</v>
      </c>
      <c r="DE47" s="218"/>
      <c r="DF47" s="217"/>
      <c r="DG47" s="170"/>
      <c r="DH47" s="170"/>
      <c r="DI47" s="170"/>
      <c r="DJ47" s="170"/>
      <c r="DK47" s="170"/>
      <c r="DL47" s="170"/>
      <c r="DM47" s="170"/>
      <c r="DO47" s="194">
        <f>(DP46+('Formulação suplementos'!$CM$37-(DP46*0.64))/0.8)/1000</f>
        <v>1.0243820388432132</v>
      </c>
      <c r="DP47" s="195">
        <f>-53.07 + (304.89 * (DO47)) + (90.79 *'Formulação suplementos'!$K$10) - (3.13 * 'Formulação suplementos'!$K$10*'Formulação suplementos'!$K$10)</f>
        <v>654.03669215117293</v>
      </c>
      <c r="DR47" s="170"/>
      <c r="DT47" s="194">
        <f>(DU46+('Formulação suplementos'!$CY$36-(DU46*0.64))/0.8)/1000</f>
        <v>0.43991742979104576</v>
      </c>
      <c r="DU47" s="195">
        <f>-53.07 + (304.89 * (DT47-'Formulação suplementos'!$CA$214)) + (90.79 *('Formulação suplementos'!$CY$30)) - (3.13 *('Formulação suplementos'!$CY$30)^2)</f>
        <v>89.688064175037752</v>
      </c>
      <c r="DV47" s="170"/>
    </row>
    <row r="48" spans="1:195" ht="15.75" customHeight="1" x14ac:dyDescent="0.25">
      <c r="A48" s="118"/>
      <c r="B48" s="368" t="s">
        <v>379</v>
      </c>
      <c r="C48" s="369">
        <v>0.89739999999999998</v>
      </c>
      <c r="D48" s="369">
        <v>0.75709999999999988</v>
      </c>
      <c r="E48" s="369">
        <v>0.39630000000000004</v>
      </c>
      <c r="F48" s="369">
        <v>2.3999999999999998E-3</v>
      </c>
      <c r="G48" s="369">
        <v>9.7000000000000003E-3</v>
      </c>
      <c r="H48" s="369"/>
      <c r="I48" s="369">
        <v>0.29460000000000003</v>
      </c>
      <c r="J48" s="369">
        <v>1.46E-2</v>
      </c>
      <c r="K48" s="369"/>
      <c r="L48" s="369"/>
      <c r="M48" s="369"/>
      <c r="N48" s="369"/>
      <c r="O48" s="370">
        <v>11.19</v>
      </c>
      <c r="P48" s="370">
        <v>11.8</v>
      </c>
      <c r="Q48" s="370"/>
      <c r="R48" s="370">
        <v>33.93</v>
      </c>
      <c r="S48" s="370"/>
      <c r="T48" s="370"/>
      <c r="U48" s="370"/>
      <c r="V48" s="371"/>
      <c r="W48" s="300" t="str">
        <f t="shared" si="23"/>
        <v/>
      </c>
      <c r="X48" s="300" t="str">
        <f t="shared" si="22"/>
        <v/>
      </c>
      <c r="Y48" s="119"/>
      <c r="Z48" s="119"/>
      <c r="AA48" s="119"/>
      <c r="AB48" s="119"/>
      <c r="AC48" s="118"/>
      <c r="AD48" s="118"/>
      <c r="AE48" s="118"/>
      <c r="BA48" s="116"/>
      <c r="BG48" s="262"/>
      <c r="BH48" s="263"/>
      <c r="BI48" s="264"/>
      <c r="BJ48" s="265"/>
      <c r="BK48" s="265"/>
      <c r="BL48" s="265"/>
      <c r="BM48" s="275"/>
      <c r="BN48" s="294"/>
      <c r="BO48" s="292"/>
      <c r="BP48" s="281"/>
      <c r="BQ48" s="265"/>
      <c r="BR48" s="266"/>
      <c r="BS48" s="267"/>
      <c r="BT48" s="299"/>
      <c r="BU48" s="279"/>
      <c r="BW48" s="267"/>
      <c r="BX48" s="267"/>
      <c r="BY48" s="166"/>
      <c r="BZ48" s="166" t="s">
        <v>380</v>
      </c>
      <c r="CA48" s="167"/>
      <c r="CB48" s="168"/>
      <c r="CC48" s="169"/>
      <c r="CD48" s="169"/>
      <c r="CE48" s="169"/>
      <c r="CF48" s="169"/>
      <c r="CG48" s="167"/>
      <c r="CH48" s="170"/>
      <c r="CI48" s="170"/>
      <c r="CJ48" s="170"/>
      <c r="CK48" s="167"/>
      <c r="CL48" s="170"/>
      <c r="CM48" s="170"/>
      <c r="CN48" s="170"/>
      <c r="CO48" s="170"/>
      <c r="CP48" s="213"/>
      <c r="CQ48" s="214" t="s">
        <v>281</v>
      </c>
      <c r="CR48" s="215" t="s">
        <v>258</v>
      </c>
      <c r="CS48" s="218">
        <f>CA166</f>
        <v>3.8087772363102665</v>
      </c>
      <c r="CT48" s="217" t="s">
        <v>339</v>
      </c>
      <c r="CU48" s="170"/>
      <c r="CV48" s="170"/>
      <c r="CW48" s="167"/>
      <c r="CX48" s="170"/>
      <c r="CY48" s="170"/>
      <c r="CZ48" s="170"/>
      <c r="DA48" s="170"/>
      <c r="DB48" s="213"/>
      <c r="DC48" s="219" t="s">
        <v>288</v>
      </c>
      <c r="DD48" s="215" t="s">
        <v>258</v>
      </c>
      <c r="DE48" s="286">
        <f>CA322</f>
        <v>134.10408223372545</v>
      </c>
      <c r="DF48" s="217" t="s">
        <v>339</v>
      </c>
      <c r="DG48" s="170"/>
      <c r="DH48" s="170"/>
      <c r="DI48" s="170"/>
      <c r="DJ48" s="170"/>
      <c r="DK48" s="170"/>
      <c r="DL48" s="170"/>
      <c r="DM48" s="170"/>
      <c r="DO48" s="194">
        <f>(DP47+('Formulação suplementos'!$CM$37-(DP47*0.64))/0.8)/1000</f>
        <v>1.0243820388432132</v>
      </c>
      <c r="DP48" s="195">
        <f>-53.07 + (304.89 * (DO48)) + (90.79 *'Formulação suplementos'!$K$10) - (3.13 * 'Formulação suplementos'!$K$10*'Formulação suplementos'!$K$10)</f>
        <v>654.03669215117293</v>
      </c>
      <c r="DR48" s="170"/>
      <c r="DT48" s="194">
        <f>(DU47+('Formulação suplementos'!$CY$36-(DU47*0.64))/0.8)/1000</f>
        <v>0.43991742979104576</v>
      </c>
      <c r="DU48" s="195">
        <f>-53.07 + (304.89 * (DT48-'Formulação suplementos'!$CA$214)) + (90.79 *('Formulação suplementos'!$CY$30)) - (3.13 *('Formulação suplementos'!$CY$30)^2)</f>
        <v>89.688064175037752</v>
      </c>
      <c r="DV48" s="170"/>
    </row>
    <row r="49" spans="1:126" s="117" customFormat="1" ht="15.75" customHeight="1" x14ac:dyDescent="0.25">
      <c r="A49" s="118"/>
      <c r="B49" s="368" t="s">
        <v>381</v>
      </c>
      <c r="C49" s="369">
        <v>0.90480000000000005</v>
      </c>
      <c r="D49" s="369">
        <v>0.81879999999999997</v>
      </c>
      <c r="E49" s="369">
        <v>0.29719999999999996</v>
      </c>
      <c r="F49" s="369">
        <v>2.8000000000000004E-3</v>
      </c>
      <c r="G49" s="369">
        <v>5.7999999999999996E-3</v>
      </c>
      <c r="H49" s="369"/>
      <c r="I49" s="369">
        <v>0.4521</v>
      </c>
      <c r="J49" s="369">
        <v>9.3000000000000013E-2</v>
      </c>
      <c r="K49" s="369"/>
      <c r="L49" s="369"/>
      <c r="M49" s="369"/>
      <c r="N49" s="369"/>
      <c r="O49" s="370"/>
      <c r="P49" s="370"/>
      <c r="Q49" s="370"/>
      <c r="R49" s="370"/>
      <c r="S49" s="370"/>
      <c r="T49" s="370"/>
      <c r="U49" s="370"/>
      <c r="V49" s="371"/>
      <c r="W49" s="300" t="str">
        <f t="shared" si="23"/>
        <v/>
      </c>
      <c r="X49" s="300" t="str">
        <f t="shared" si="22"/>
        <v/>
      </c>
      <c r="Y49" s="119"/>
      <c r="Z49" s="119"/>
      <c r="AA49" s="119"/>
      <c r="AB49" s="119"/>
      <c r="AC49" s="118"/>
      <c r="AD49" s="118"/>
      <c r="AE49" s="118"/>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c r="BC49"/>
      <c r="BD49"/>
      <c r="BE49"/>
      <c r="BF49"/>
      <c r="BG49" s="262"/>
      <c r="BH49" s="263"/>
      <c r="BI49" s="263"/>
      <c r="BJ49" s="265"/>
      <c r="BK49" s="265"/>
      <c r="BL49" s="265"/>
      <c r="BM49" s="275"/>
      <c r="BN49" s="294"/>
      <c r="BO49" s="292"/>
      <c r="BP49" s="281"/>
      <c r="BQ49" s="265"/>
      <c r="BR49" s="266"/>
      <c r="BS49" s="303"/>
      <c r="BT49" s="299"/>
      <c r="BU49" s="279"/>
      <c r="BV49" s="287"/>
      <c r="BW49" s="267"/>
      <c r="BX49" s="303"/>
      <c r="BY49" s="166"/>
      <c r="BZ49" s="166" t="s">
        <v>382</v>
      </c>
      <c r="CA49" s="167"/>
      <c r="CB49" s="168"/>
      <c r="CC49" s="169"/>
      <c r="CD49" s="169"/>
      <c r="CE49" s="169"/>
      <c r="CF49" s="169"/>
      <c r="CG49" s="167"/>
      <c r="CH49" s="170"/>
      <c r="CI49" s="170"/>
      <c r="CJ49" s="170"/>
      <c r="CK49" s="167"/>
      <c r="CL49" s="170"/>
      <c r="CM49" s="170"/>
      <c r="CN49" s="170"/>
      <c r="CO49" s="170"/>
      <c r="CP49" s="213"/>
      <c r="CQ49" s="214"/>
      <c r="CR49" s="233">
        <v>0.49</v>
      </c>
      <c r="CS49" s="218"/>
      <c r="CT49" s="217"/>
      <c r="CU49" s="170"/>
      <c r="CV49" s="170"/>
      <c r="CW49" s="167"/>
      <c r="CX49" s="170"/>
      <c r="CY49" s="170"/>
      <c r="CZ49" s="170"/>
      <c r="DA49" s="170"/>
      <c r="DB49" s="213"/>
      <c r="DC49" s="219"/>
      <c r="DD49" s="233">
        <v>0.67</v>
      </c>
      <c r="DE49" s="286"/>
      <c r="DF49" s="217"/>
      <c r="DG49" s="170"/>
      <c r="DH49" s="170"/>
      <c r="DI49" s="170"/>
      <c r="DJ49" s="170"/>
      <c r="DK49" s="170"/>
      <c r="DL49" s="170"/>
      <c r="DM49" s="170"/>
      <c r="DO49" s="194">
        <f>(DP48+('Formulação suplementos'!$CM$37-(DP48*0.64))/0.8)/1000</f>
        <v>1.0243820388432132</v>
      </c>
      <c r="DP49" s="195">
        <f>-53.07 + (304.89 * (DO49)) + (90.79 *'Formulação suplementos'!$K$10) - (3.13 * 'Formulação suplementos'!$K$10*'Formulação suplementos'!$K$10)</f>
        <v>654.03669215117293</v>
      </c>
      <c r="DR49" s="170"/>
      <c r="DT49" s="194">
        <f>(DU48+('Formulação suplementos'!$CY$36-(DU48*0.64))/0.8)/1000</f>
        <v>0.43991742979104576</v>
      </c>
      <c r="DU49" s="195">
        <f>-53.07 + (304.89 * (DT49-'Formulação suplementos'!$CA$214)) + (90.79 *('Formulação suplementos'!$CY$30)) - (3.13 *('Formulação suplementos'!$CY$30)^2)</f>
        <v>89.688064175037752</v>
      </c>
      <c r="DV49" s="170"/>
    </row>
    <row r="50" spans="1:126" s="117" customFormat="1" ht="15.75" customHeight="1" x14ac:dyDescent="0.25">
      <c r="A50" s="118"/>
      <c r="B50" s="368" t="s">
        <v>383</v>
      </c>
      <c r="C50" s="369">
        <v>0.89280000000000004</v>
      </c>
      <c r="D50" s="369">
        <v>0.81090000000000007</v>
      </c>
      <c r="E50" s="369">
        <v>0.17929999999999999</v>
      </c>
      <c r="F50" s="369">
        <v>4.0000000000000002E-4</v>
      </c>
      <c r="G50" s="369">
        <v>6.7000000000000002E-3</v>
      </c>
      <c r="H50" s="369"/>
      <c r="I50" s="369">
        <v>0.42670000000000002</v>
      </c>
      <c r="J50" s="369">
        <v>8.6099999999999996E-2</v>
      </c>
      <c r="K50" s="369"/>
      <c r="L50" s="369"/>
      <c r="M50" s="369"/>
      <c r="N50" s="369"/>
      <c r="O50" s="370"/>
      <c r="P50" s="370"/>
      <c r="Q50" s="370"/>
      <c r="R50" s="370"/>
      <c r="S50" s="370"/>
      <c r="T50" s="370"/>
      <c r="U50" s="370"/>
      <c r="V50" s="371"/>
      <c r="W50" s="300" t="str">
        <f t="shared" si="23"/>
        <v/>
      </c>
      <c r="X50" s="300" t="str">
        <f t="shared" si="22"/>
        <v/>
      </c>
      <c r="Y50" s="119"/>
      <c r="Z50" s="119"/>
      <c r="AA50" s="119"/>
      <c r="AB50" s="119"/>
      <c r="AC50" s="118"/>
      <c r="AD50" s="118"/>
      <c r="AE50" s="118"/>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c r="BC50"/>
      <c r="BD50"/>
      <c r="BE50"/>
      <c r="BF50"/>
      <c r="BG50" s="262"/>
      <c r="BH50" s="304"/>
      <c r="BI50" s="304"/>
      <c r="BJ50" s="305"/>
      <c r="BK50" s="265"/>
      <c r="BL50" s="265"/>
      <c r="BM50" s="275"/>
      <c r="BN50" s="294"/>
      <c r="BO50" s="292"/>
      <c r="BP50" s="281"/>
      <c r="BQ50" s="265"/>
      <c r="BR50" s="266"/>
      <c r="BS50" s="267"/>
      <c r="BT50" s="267"/>
      <c r="BU50" s="144"/>
      <c r="BV50" s="267"/>
      <c r="BW50" s="267"/>
      <c r="BX50" s="267"/>
      <c r="BY50" s="166"/>
      <c r="BZ50" s="166" t="s">
        <v>384</v>
      </c>
      <c r="CA50" s="268">
        <f>(((CM30/K7)+0.3032)/0.9455)*K7</f>
        <v>23.436066328250412</v>
      </c>
      <c r="CB50" s="168"/>
      <c r="CC50" s="169"/>
      <c r="CD50" s="169"/>
      <c r="CE50" s="169"/>
      <c r="CF50" s="169"/>
      <c r="CG50" s="167"/>
      <c r="CH50" s="170"/>
      <c r="CI50" s="170"/>
      <c r="CJ50" s="170"/>
      <c r="CK50" s="167"/>
      <c r="CL50" s="170"/>
      <c r="CM50" s="170"/>
      <c r="CN50" s="170"/>
      <c r="CO50" s="170"/>
      <c r="CP50" s="170"/>
      <c r="CQ50" s="170"/>
      <c r="CR50" s="170"/>
      <c r="CS50" s="170"/>
      <c r="CT50" s="170"/>
      <c r="CU50" s="170"/>
      <c r="CV50" s="170"/>
      <c r="CW50" s="167"/>
      <c r="CX50" s="170"/>
      <c r="CY50" s="170"/>
      <c r="CZ50" s="170"/>
      <c r="DA50" s="170"/>
      <c r="DB50" s="170"/>
      <c r="DC50" s="170"/>
      <c r="DD50" s="170"/>
      <c r="DE50" s="170"/>
      <c r="DF50" s="170"/>
      <c r="DG50" s="170"/>
      <c r="DH50" s="170"/>
      <c r="DI50" s="170"/>
      <c r="DJ50" s="170"/>
      <c r="DK50" s="170"/>
      <c r="DL50" s="170"/>
      <c r="DM50" s="170"/>
      <c r="DO50" s="194">
        <f>(DP49+('Formulação suplementos'!$CM$37-(DP49*0.64))/0.8)/1000</f>
        <v>1.0243820388432132</v>
      </c>
      <c r="DP50" s="195">
        <f>-53.07 + (304.89 * (DO50)) + (90.79 *'Formulação suplementos'!$K$10) - (3.13 * 'Formulação suplementos'!$K$10*'Formulação suplementos'!$K$10)</f>
        <v>654.03669215117293</v>
      </c>
      <c r="DR50" s="170"/>
      <c r="DT50" s="194">
        <f>(DU49+('Formulação suplementos'!$CY$36-(DU49*0.64))/0.8)/1000</f>
        <v>0.43991742979104576</v>
      </c>
      <c r="DU50" s="195">
        <f>-53.07 + (304.89 * (DT50-'Formulação suplementos'!$CA$214)) + (90.79 *('Formulação suplementos'!$CY$30)) - (3.13 *('Formulação suplementos'!$CY$30)^2)</f>
        <v>89.688064175037752</v>
      </c>
      <c r="DV50" s="170"/>
    </row>
    <row r="51" spans="1:126" s="117" customFormat="1" ht="15.75" customHeight="1" x14ac:dyDescent="0.25">
      <c r="A51" s="118"/>
      <c r="B51" s="368" t="s">
        <v>385</v>
      </c>
      <c r="C51" s="369">
        <v>0.88560000000000005</v>
      </c>
      <c r="D51" s="369">
        <v>0.7409</v>
      </c>
      <c r="E51" s="369">
        <v>0.32270000000000004</v>
      </c>
      <c r="F51" s="369">
        <v>2.2499999999999999E-2</v>
      </c>
      <c r="G51" s="369">
        <v>3.4000000000000002E-3</v>
      </c>
      <c r="H51" s="369"/>
      <c r="I51" s="369">
        <v>0.52390000000000003</v>
      </c>
      <c r="J51" s="369">
        <v>5.28E-2</v>
      </c>
      <c r="K51" s="369"/>
      <c r="L51" s="369"/>
      <c r="M51" s="369"/>
      <c r="N51" s="369"/>
      <c r="O51" s="370"/>
      <c r="P51" s="370"/>
      <c r="Q51" s="370"/>
      <c r="R51" s="370"/>
      <c r="S51" s="370"/>
      <c r="T51" s="370"/>
      <c r="U51" s="370"/>
      <c r="V51" s="371"/>
      <c r="W51" s="300" t="str">
        <f t="shared" si="23"/>
        <v/>
      </c>
      <c r="X51" s="300" t="str">
        <f t="shared" si="22"/>
        <v/>
      </c>
      <c r="Y51" s="119"/>
      <c r="Z51" s="119"/>
      <c r="AA51" s="119"/>
      <c r="AB51" s="119"/>
      <c r="AC51" s="118"/>
      <c r="AD51" s="118"/>
      <c r="AE51" s="118"/>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c r="BC51"/>
      <c r="BD51"/>
      <c r="BE51"/>
      <c r="BF51"/>
      <c r="BG51" s="262"/>
      <c r="BH51" s="263"/>
      <c r="BI51" s="264"/>
      <c r="BJ51" s="265"/>
      <c r="BK51" s="265"/>
      <c r="BL51" s="265"/>
      <c r="BM51" s="275"/>
      <c r="BN51" s="294"/>
      <c r="BO51" s="292"/>
      <c r="BP51" s="281"/>
      <c r="BQ51" s="265"/>
      <c r="BR51" s="266"/>
      <c r="BS51" s="267"/>
      <c r="BT51" s="267"/>
      <c r="BU51" s="144"/>
      <c r="BV51" s="267"/>
      <c r="BW51" s="267"/>
      <c r="BX51" s="267"/>
      <c r="BY51" s="166"/>
      <c r="BZ51" s="166" t="s">
        <v>386</v>
      </c>
      <c r="CA51" s="167"/>
      <c r="CB51" s="168"/>
      <c r="CC51" s="169"/>
      <c r="CD51" s="169"/>
      <c r="CE51" s="169"/>
      <c r="CF51" s="169"/>
      <c r="CG51" s="167"/>
      <c r="CH51" s="170"/>
      <c r="CI51" s="170"/>
      <c r="CJ51" s="170"/>
      <c r="CK51" s="167"/>
      <c r="CL51" s="170"/>
      <c r="CM51" s="170"/>
      <c r="CN51" s="170"/>
      <c r="CO51" s="170"/>
      <c r="CP51" s="170"/>
      <c r="CQ51" s="170"/>
      <c r="CR51" s="170"/>
      <c r="CS51" s="170"/>
      <c r="CT51" s="170"/>
      <c r="CU51" s="170"/>
      <c r="CV51" s="170"/>
      <c r="CW51" s="167"/>
      <c r="CX51" s="170"/>
      <c r="CY51" s="170"/>
      <c r="CZ51" s="170"/>
      <c r="DA51" s="170"/>
      <c r="DB51" s="170"/>
      <c r="DC51" s="170"/>
      <c r="DD51" s="170"/>
      <c r="DE51" s="170"/>
      <c r="DF51" s="170"/>
      <c r="DG51" s="170"/>
      <c r="DH51" s="170"/>
      <c r="DI51" s="170"/>
      <c r="DJ51" s="170"/>
      <c r="DK51" s="170"/>
      <c r="DL51" s="170"/>
      <c r="DM51" s="170"/>
      <c r="DO51" s="194">
        <f>(DP50+('Formulação suplementos'!$CM$37-(DP50*0.64))/0.8)/1000</f>
        <v>1.0243820388432132</v>
      </c>
      <c r="DP51" s="195">
        <f>-53.07 + (304.89 * (DO51)) + (90.79 *'Formulação suplementos'!$K$10) - (3.13 * 'Formulação suplementos'!$K$10*'Formulação suplementos'!$K$10)</f>
        <v>654.03669215117293</v>
      </c>
      <c r="DR51" s="170"/>
      <c r="DT51" s="194">
        <f>(DU50+('Formulação suplementos'!$CY$36-(DU50*0.64))/0.8)/1000</f>
        <v>0.43991742979104576</v>
      </c>
      <c r="DU51" s="195">
        <f>-53.07 + (304.89 * (DT51-'Formulação suplementos'!$CA$214)) + (90.79 *('Formulação suplementos'!$CY$30)) - (3.13 *('Formulação suplementos'!$CY$30)^2)</f>
        <v>89.688064175037752</v>
      </c>
      <c r="DV51" s="170"/>
    </row>
    <row r="52" spans="1:126" s="117" customFormat="1" ht="15.75" customHeight="1" x14ac:dyDescent="0.25">
      <c r="A52" s="118"/>
      <c r="B52" s="361" t="s">
        <v>387</v>
      </c>
      <c r="C52" s="362">
        <v>0.88650000000000007</v>
      </c>
      <c r="D52" s="362">
        <v>0.79449999999999998</v>
      </c>
      <c r="E52" s="362">
        <v>0.48849999999999999</v>
      </c>
      <c r="F52" s="362">
        <v>3.4000000000000002E-3</v>
      </c>
      <c r="G52" s="362">
        <v>5.8999999999999999E-3</v>
      </c>
      <c r="H52" s="362"/>
      <c r="I52" s="362">
        <v>0.13100000000000001</v>
      </c>
      <c r="J52" s="362">
        <v>1.9299999999999998E-2</v>
      </c>
      <c r="K52" s="362">
        <v>2.8999999999999998E-3</v>
      </c>
      <c r="L52" s="362">
        <v>5.9999999999999995E-4</v>
      </c>
      <c r="M52" s="362">
        <v>2.0199999999999999E-2</v>
      </c>
      <c r="N52" s="362">
        <v>2.5999999999999999E-3</v>
      </c>
      <c r="O52" s="363">
        <v>18.96</v>
      </c>
      <c r="P52" s="363">
        <v>53.79</v>
      </c>
      <c r="Q52" s="363"/>
      <c r="R52" s="363">
        <v>35.380000000000003</v>
      </c>
      <c r="S52" s="363"/>
      <c r="T52" s="363">
        <v>0.27</v>
      </c>
      <c r="U52" s="363">
        <v>0.13</v>
      </c>
      <c r="V52" s="367"/>
      <c r="W52" s="300" t="str">
        <f t="shared" si="23"/>
        <v/>
      </c>
      <c r="X52" s="300" t="str">
        <f t="shared" si="22"/>
        <v/>
      </c>
      <c r="Y52" s="119"/>
      <c r="Z52" s="119"/>
      <c r="AA52" s="119"/>
      <c r="AB52" s="119"/>
      <c r="AC52" s="118"/>
      <c r="AD52" s="118"/>
      <c r="AE52" s="118"/>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c r="BC52"/>
      <c r="BD52"/>
      <c r="BE52"/>
      <c r="BF52"/>
      <c r="BG52" s="262"/>
      <c r="BH52" s="263"/>
      <c r="BI52" s="263"/>
      <c r="BJ52" s="265"/>
      <c r="BK52" s="265"/>
      <c r="BL52" s="265"/>
      <c r="BM52" s="275"/>
      <c r="BN52" s="294"/>
      <c r="BO52" s="292"/>
      <c r="BP52" s="281"/>
      <c r="BQ52" s="265"/>
      <c r="BR52" s="266"/>
      <c r="BS52" s="267"/>
      <c r="BT52" s="299"/>
      <c r="BU52"/>
      <c r="BV52"/>
      <c r="BW52"/>
      <c r="BX52" s="267"/>
      <c r="BY52" s="166"/>
      <c r="BZ52" s="166" t="s">
        <v>388</v>
      </c>
      <c r="CA52" s="167"/>
      <c r="CB52" s="168"/>
      <c r="CC52" s="169"/>
      <c r="CD52" s="169"/>
      <c r="CE52" s="169"/>
      <c r="CF52" s="169"/>
      <c r="CG52" s="167"/>
      <c r="CH52" s="170"/>
      <c r="CI52" s="170"/>
      <c r="CJ52" s="170"/>
      <c r="CK52" s="167"/>
      <c r="CL52" s="170"/>
      <c r="CM52" s="170"/>
      <c r="CN52" s="170"/>
      <c r="CO52" s="170"/>
      <c r="CP52" s="170"/>
      <c r="CQ52" s="170"/>
      <c r="CR52" s="170"/>
      <c r="CS52" s="170"/>
      <c r="CT52" s="170"/>
      <c r="CU52" s="170"/>
      <c r="CV52" s="170"/>
      <c r="CW52" s="167"/>
      <c r="CX52" s="170"/>
      <c r="CY52" s="170"/>
      <c r="CZ52" s="170"/>
      <c r="DA52" s="170"/>
      <c r="DB52" s="170"/>
      <c r="DC52" s="170"/>
      <c r="DD52" s="170"/>
      <c r="DE52" s="170"/>
      <c r="DF52" s="170"/>
      <c r="DG52" s="170"/>
      <c r="DH52" s="170"/>
      <c r="DI52" s="170"/>
      <c r="DJ52" s="170"/>
      <c r="DK52" s="170"/>
      <c r="DL52" s="170"/>
      <c r="DM52" s="170"/>
      <c r="DO52" s="194">
        <f>(DP51+('Formulação suplementos'!$CM$37-(DP51*0.64))/0.8)/1000</f>
        <v>1.0243820388432132</v>
      </c>
      <c r="DP52" s="195">
        <f>-53.07 + (304.89 * (DO52)) + (90.79 *'Formulação suplementos'!$K$10) - (3.13 * 'Formulação suplementos'!$K$10*'Formulação suplementos'!$K$10)</f>
        <v>654.03669215117293</v>
      </c>
      <c r="DR52" s="170"/>
      <c r="DT52" s="194">
        <f>(DU51+('Formulação suplementos'!$CY$36-(DU51*0.64))/0.8)/1000</f>
        <v>0.43991742979104576</v>
      </c>
      <c r="DU52" s="195">
        <f>-53.07 + (304.89 * (DT52-'Formulação suplementos'!$CA$214)) + (90.79 *('Formulação suplementos'!$CY$30)) - (3.13 *('Formulação suplementos'!$CY$30)^2)</f>
        <v>89.688064175037752</v>
      </c>
      <c r="DV52" s="170"/>
    </row>
    <row r="53" spans="1:126" s="117" customFormat="1" ht="15.75" customHeight="1" x14ac:dyDescent="0.25">
      <c r="A53" s="118"/>
      <c r="B53" s="361" t="s">
        <v>389</v>
      </c>
      <c r="C53" s="362">
        <v>0.99</v>
      </c>
      <c r="D53" s="362"/>
      <c r="E53" s="362"/>
      <c r="F53" s="362"/>
      <c r="G53" s="362"/>
      <c r="H53" s="362"/>
      <c r="I53" s="362"/>
      <c r="J53" s="362"/>
      <c r="K53" s="362"/>
      <c r="L53" s="362">
        <v>0.39</v>
      </c>
      <c r="M53" s="362"/>
      <c r="N53" s="362"/>
      <c r="O53" s="363">
        <v>1.34</v>
      </c>
      <c r="P53" s="363">
        <v>9.9</v>
      </c>
      <c r="Q53" s="363"/>
      <c r="R53" s="363">
        <v>2.71</v>
      </c>
      <c r="S53" s="363"/>
      <c r="T53" s="363"/>
      <c r="U53" s="363"/>
      <c r="V53" s="367"/>
      <c r="W53" s="300" t="str">
        <f t="shared" si="23"/>
        <v/>
      </c>
      <c r="X53" s="300" t="str">
        <f t="shared" si="22"/>
        <v/>
      </c>
      <c r="Y53" s="119"/>
      <c r="Z53" s="119"/>
      <c r="AA53" s="119"/>
      <c r="AB53" s="119"/>
      <c r="AC53" s="118"/>
      <c r="AD53" s="118"/>
      <c r="AE53" s="118"/>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c r="BC53"/>
      <c r="BD53"/>
      <c r="BE53"/>
      <c r="BF53"/>
      <c r="BG53" s="262"/>
      <c r="BH53" s="263"/>
      <c r="BI53" s="263"/>
      <c r="BJ53" s="265"/>
      <c r="BK53" s="265"/>
      <c r="BL53" s="265"/>
      <c r="BM53" s="275"/>
      <c r="BN53" s="294"/>
      <c r="BO53" s="292"/>
      <c r="BP53" s="281"/>
      <c r="BQ53" s="265"/>
      <c r="BR53" s="266"/>
      <c r="BS53" s="267"/>
      <c r="BT53" s="299"/>
      <c r="BU53"/>
      <c r="BV53"/>
      <c r="BW53"/>
      <c r="BX53" s="267"/>
      <c r="BY53" s="166"/>
      <c r="BZ53" s="166"/>
      <c r="CA53" s="167"/>
      <c r="CB53" s="168"/>
      <c r="CC53" s="169"/>
      <c r="CD53" s="169"/>
      <c r="CE53" s="169"/>
      <c r="CF53" s="169"/>
      <c r="CG53" s="167"/>
      <c r="CH53" s="170"/>
      <c r="CI53" s="170"/>
      <c r="CJ53" s="170"/>
      <c r="CK53" s="170"/>
      <c r="CL53" s="170"/>
      <c r="CM53" s="170"/>
      <c r="CN53" s="170"/>
      <c r="CO53" s="170"/>
      <c r="CP53" s="170"/>
      <c r="CQ53" s="170"/>
      <c r="CR53" s="170"/>
      <c r="CS53" s="170"/>
      <c r="CT53" s="170"/>
      <c r="CU53" s="170"/>
      <c r="CV53" s="170"/>
      <c r="CW53" s="167"/>
      <c r="CX53" s="170"/>
      <c r="CY53" s="170"/>
      <c r="CZ53" s="170"/>
      <c r="DA53" s="170"/>
      <c r="DB53" s="170"/>
      <c r="DC53" s="170"/>
      <c r="DD53" s="170"/>
      <c r="DE53" s="170"/>
      <c r="DF53" s="170"/>
      <c r="DG53" s="170"/>
      <c r="DH53" s="170"/>
      <c r="DI53" s="170"/>
      <c r="DJ53" s="170"/>
      <c r="DK53" s="170"/>
      <c r="DL53" s="170"/>
      <c r="DM53" s="170"/>
      <c r="DO53" s="194">
        <f>(DP52+('Formulação suplementos'!$CM$37-(DP52*0.64))/0.8)/1000</f>
        <v>1.0243820388432132</v>
      </c>
      <c r="DP53" s="195">
        <f>-53.07 + (304.89 * (DO53)) + (90.79 *'Formulação suplementos'!$K$10) - (3.13 * 'Formulação suplementos'!$K$10*'Formulação suplementos'!$K$10)</f>
        <v>654.03669215117293</v>
      </c>
      <c r="DR53" s="170"/>
      <c r="DT53" s="194">
        <f>(DU52+('Formulação suplementos'!$CY$36-(DU52*0.64))/0.8)/1000</f>
        <v>0.43991742979104576</v>
      </c>
      <c r="DU53" s="195">
        <f>-53.07 + (304.89 * (DT53-'Formulação suplementos'!$CA$214)) + (90.79 *('Formulação suplementos'!$CY$30)) - (3.13 *('Formulação suplementos'!$CY$30)^2)</f>
        <v>89.688064175037752</v>
      </c>
      <c r="DV53" s="170"/>
    </row>
    <row r="54" spans="1:126" s="117" customFormat="1" ht="15.75" customHeight="1" thickBot="1" x14ac:dyDescent="0.3">
      <c r="A54" s="118"/>
      <c r="B54" s="372"/>
      <c r="C54" s="373"/>
      <c r="D54" s="373"/>
      <c r="E54" s="373"/>
      <c r="F54" s="373"/>
      <c r="G54" s="373"/>
      <c r="H54" s="373"/>
      <c r="I54" s="373"/>
      <c r="J54" s="373"/>
      <c r="K54" s="373"/>
      <c r="L54" s="373"/>
      <c r="M54" s="373"/>
      <c r="N54" s="373"/>
      <c r="O54" s="374"/>
      <c r="P54" s="374"/>
      <c r="Q54" s="374"/>
      <c r="R54" s="374"/>
      <c r="S54" s="374"/>
      <c r="T54" s="374"/>
      <c r="U54" s="374"/>
      <c r="V54" s="375"/>
      <c r="W54" s="306" t="str">
        <f t="shared" si="23"/>
        <v/>
      </c>
      <c r="X54" s="306" t="str">
        <f t="shared" si="22"/>
        <v/>
      </c>
      <c r="Y54" s="119"/>
      <c r="Z54" s="119"/>
      <c r="AA54" s="119"/>
      <c r="AB54" s="119"/>
      <c r="AC54" s="118"/>
      <c r="AD54" s="118"/>
      <c r="AE54" s="118"/>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c r="BC54"/>
      <c r="BD54"/>
      <c r="BE54"/>
      <c r="BF54"/>
      <c r="BG54" s="262"/>
      <c r="BH54" s="263"/>
      <c r="BI54" s="264"/>
      <c r="BJ54" s="265"/>
      <c r="BK54" s="265"/>
      <c r="BL54" s="265"/>
      <c r="BM54"/>
      <c r="BN54" s="291"/>
      <c r="BO54" s="292"/>
      <c r="BP54" s="281"/>
      <c r="BQ54" s="265"/>
      <c r="BR54" s="266"/>
      <c r="BS54" s="267"/>
      <c r="BT54" s="299"/>
      <c r="BU54"/>
      <c r="BV54"/>
      <c r="BW54"/>
      <c r="BX54" s="267"/>
      <c r="BY54" s="166"/>
      <c r="BZ54" s="166"/>
      <c r="CA54" s="167"/>
      <c r="CB54" s="168"/>
      <c r="CC54" s="169"/>
      <c r="CD54" s="169"/>
      <c r="CE54" s="169"/>
      <c r="CF54" s="169"/>
      <c r="CG54" s="167"/>
      <c r="CH54" s="170"/>
      <c r="CI54" s="170"/>
      <c r="CJ54" s="170"/>
      <c r="CK54" s="307"/>
      <c r="CL54" s="308"/>
      <c r="CM54" s="309"/>
      <c r="CN54" s="170"/>
      <c r="CO54" s="170"/>
      <c r="CP54" s="170"/>
      <c r="CQ54" s="170"/>
      <c r="CR54" s="170"/>
      <c r="CS54" s="170"/>
      <c r="CT54" s="170"/>
      <c r="CU54" s="170"/>
      <c r="CV54" s="170"/>
      <c r="CW54" s="167"/>
      <c r="CX54" s="170"/>
      <c r="CY54" s="170"/>
      <c r="CZ54" s="170"/>
      <c r="DA54" s="170"/>
      <c r="DB54" s="170"/>
      <c r="DC54" s="170"/>
      <c r="DD54" s="170"/>
      <c r="DE54" s="170"/>
      <c r="DF54" s="170"/>
      <c r="DG54" s="170"/>
      <c r="DH54" s="170"/>
      <c r="DI54" s="170"/>
      <c r="DJ54" s="170"/>
      <c r="DK54" s="170"/>
      <c r="DL54" s="170"/>
      <c r="DM54" s="170"/>
      <c r="DO54" s="194">
        <f>(DP53+('Formulação suplementos'!$CM$37-(DP53*0.64))/0.8)/1000</f>
        <v>1.0243820388432132</v>
      </c>
      <c r="DP54" s="195">
        <f>-53.07 + (304.89 * (DO54)) + (90.79 *'Formulação suplementos'!$K$10) - (3.13 * 'Formulação suplementos'!$K$10*'Formulação suplementos'!$K$10)</f>
        <v>654.03669215117293</v>
      </c>
      <c r="DR54" s="170"/>
      <c r="DT54" s="194">
        <f>(DU53+('Formulação suplementos'!$CY$36-(DU53*0.64))/0.8)/1000</f>
        <v>0.43991742979104576</v>
      </c>
      <c r="DU54" s="195">
        <f>-53.07 + (304.89 * (DT54-'Formulação suplementos'!$CA$214)) + (90.79 *('Formulação suplementos'!$CY$30)) - (3.13 *('Formulação suplementos'!$CY$30)^2)</f>
        <v>89.688064175037752</v>
      </c>
      <c r="DV54" s="170"/>
    </row>
    <row r="55" spans="1:126" s="117" customFormat="1" ht="29.25" customHeight="1" thickBot="1" x14ac:dyDescent="0.3">
      <c r="A55" s="118"/>
      <c r="B55" s="310" t="s">
        <v>278</v>
      </c>
      <c r="C55" s="296"/>
      <c r="D55" s="296"/>
      <c r="E55" s="296"/>
      <c r="F55" s="296"/>
      <c r="G55" s="296"/>
      <c r="H55" s="296"/>
      <c r="I55" s="296"/>
      <c r="J55" s="296"/>
      <c r="K55" s="296"/>
      <c r="L55" s="296"/>
      <c r="M55" s="296"/>
      <c r="N55" s="296"/>
      <c r="O55" s="296"/>
      <c r="P55" s="296"/>
      <c r="Q55" s="296"/>
      <c r="R55" s="296"/>
      <c r="S55" s="296"/>
      <c r="T55" s="296"/>
      <c r="U55" s="296"/>
      <c r="V55" s="296"/>
      <c r="W55" s="296"/>
      <c r="X55" s="119"/>
      <c r="Y55" s="119"/>
      <c r="Z55" s="119"/>
      <c r="AA55" s="119"/>
      <c r="AB55" s="119"/>
      <c r="AC55" s="118"/>
      <c r="AD55" s="118"/>
      <c r="AE55" s="118"/>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c r="BC55"/>
      <c r="BD55"/>
      <c r="BE55"/>
      <c r="BF55"/>
      <c r="BG55" s="262"/>
      <c r="BH55" s="263"/>
      <c r="BI55" s="263"/>
      <c r="BJ55" s="265"/>
      <c r="BK55" s="265"/>
      <c r="BL55" s="265"/>
      <c r="BM55" s="279"/>
      <c r="BN55" s="311"/>
      <c r="BO55" s="267"/>
      <c r="BP55" s="267"/>
      <c r="BQ55" s="312"/>
      <c r="BR55" s="122"/>
      <c r="BS55" s="267"/>
      <c r="BT55" s="299"/>
      <c r="BU55"/>
      <c r="BV55"/>
      <c r="BW55"/>
      <c r="BX55" s="267"/>
      <c r="BY55" s="166" t="s">
        <v>336</v>
      </c>
      <c r="BZ55" s="166" t="s">
        <v>337</v>
      </c>
      <c r="CA55" s="167"/>
      <c r="CB55" s="168"/>
      <c r="CC55" s="169"/>
      <c r="CD55" s="169"/>
      <c r="CE55" s="169"/>
      <c r="CF55" s="169"/>
      <c r="CG55" s="167"/>
      <c r="CH55" s="170"/>
      <c r="CI55" s="170"/>
      <c r="CJ55" s="170"/>
      <c r="CK55" s="167"/>
      <c r="CL55" s="170"/>
      <c r="CM55" s="170"/>
      <c r="CN55" s="170"/>
      <c r="CO55" s="170"/>
      <c r="CP55" s="170"/>
      <c r="CQ55" s="170"/>
      <c r="CR55" s="170"/>
      <c r="CS55" s="170"/>
      <c r="CT55" s="170"/>
      <c r="CU55" s="170"/>
      <c r="CV55" s="170"/>
      <c r="CW55" s="167"/>
      <c r="CX55" s="170"/>
      <c r="CY55" s="170"/>
      <c r="CZ55" s="170"/>
      <c r="DA55" s="170"/>
      <c r="DB55" s="170"/>
      <c r="DC55" s="170"/>
      <c r="DD55" s="170"/>
      <c r="DE55" s="170"/>
      <c r="DF55" s="170"/>
      <c r="DG55" s="170"/>
      <c r="DH55" s="170"/>
      <c r="DI55" s="170"/>
      <c r="DJ55" s="170"/>
      <c r="DK55" s="170"/>
      <c r="DL55" s="170"/>
      <c r="DM55" s="170"/>
      <c r="DO55" s="194">
        <f>(DP54+('Formulação suplementos'!$CM$37-(DP54*0.64))/0.8)/1000</f>
        <v>1.0243820388432132</v>
      </c>
      <c r="DP55" s="195">
        <f>-53.07 + (304.89 * (DO55)) + (90.79 *'Formulação suplementos'!$K$10) - (3.13 * 'Formulação suplementos'!$K$10*'Formulação suplementos'!$K$10)</f>
        <v>654.03669215117293</v>
      </c>
      <c r="DR55" s="170"/>
      <c r="DT55" s="194">
        <f>(DU54+('Formulação suplementos'!$CY$36-(DU54*0.64))/0.8)/1000</f>
        <v>0.43991742979104576</v>
      </c>
      <c r="DU55" s="195">
        <f>-53.07 + (304.89 * (DT55-'Formulação suplementos'!$CA$214)) + (90.79 *('Formulação suplementos'!$CY$30)) - (3.13 *('Formulação suplementos'!$CY$30)^2)</f>
        <v>89.688064175037752</v>
      </c>
      <c r="DV55" s="170"/>
    </row>
    <row r="56" spans="1:126" s="117" customFormat="1" ht="15.75" thickBot="1" x14ac:dyDescent="0.3">
      <c r="A56" s="118"/>
      <c r="B56" s="313" t="s">
        <v>390</v>
      </c>
      <c r="C56" s="313" t="s">
        <v>391</v>
      </c>
      <c r="D56" s="313" t="s">
        <v>392</v>
      </c>
      <c r="E56" s="313" t="s">
        <v>393</v>
      </c>
      <c r="F56" s="313" t="s">
        <v>394</v>
      </c>
      <c r="G56" s="313" t="s">
        <v>395</v>
      </c>
      <c r="H56" s="313" t="s">
        <v>396</v>
      </c>
      <c r="I56" s="313" t="s">
        <v>397</v>
      </c>
      <c r="J56" s="313" t="s">
        <v>398</v>
      </c>
      <c r="K56" s="313" t="s">
        <v>399</v>
      </c>
      <c r="L56" s="313" t="s">
        <v>400</v>
      </c>
      <c r="M56" s="313" t="s">
        <v>401</v>
      </c>
      <c r="N56" s="313" t="s">
        <v>402</v>
      </c>
      <c r="O56" s="313" t="s">
        <v>308</v>
      </c>
      <c r="P56" s="313" t="s">
        <v>309</v>
      </c>
      <c r="Q56" s="313" t="s">
        <v>403</v>
      </c>
      <c r="R56" s="313" t="s">
        <v>311</v>
      </c>
      <c r="S56" s="313" t="s">
        <v>312</v>
      </c>
      <c r="T56" s="313" t="s">
        <v>313</v>
      </c>
      <c r="U56" s="313" t="s">
        <v>314</v>
      </c>
      <c r="V56" s="313" t="s">
        <v>404</v>
      </c>
      <c r="W56" s="313" t="s">
        <v>405</v>
      </c>
      <c r="X56" s="119"/>
      <c r="Y56" s="119"/>
      <c r="Z56" s="119"/>
      <c r="AA56" s="119"/>
      <c r="AB56" s="119"/>
      <c r="AC56" s="118"/>
      <c r="AD56" s="118"/>
      <c r="AE56" s="118"/>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c r="BC56"/>
      <c r="BD56"/>
      <c r="BE56"/>
      <c r="BF56"/>
      <c r="BG56" s="262"/>
      <c r="BH56" s="263"/>
      <c r="BI56" s="263"/>
      <c r="BJ56" s="305"/>
      <c r="BK56" s="265"/>
      <c r="BL56" s="265"/>
      <c r="BM56" s="279"/>
      <c r="BN56" s="311"/>
      <c r="BO56" s="267"/>
      <c r="BP56" s="267"/>
      <c r="BQ56" s="314"/>
      <c r="BR56" s="315"/>
      <c r="BS56" s="267"/>
      <c r="BT56" s="299"/>
      <c r="BU56"/>
      <c r="BV56"/>
      <c r="BW56"/>
      <c r="BX56" s="267"/>
      <c r="BY56" s="166"/>
      <c r="BZ56" s="166" t="s">
        <v>406</v>
      </c>
      <c r="CA56" s="268">
        <f>CA37*(376.4*CA36^-0.1839)</f>
        <v>1.1148808119318963</v>
      </c>
      <c r="CB56" s="168"/>
      <c r="CC56" s="169"/>
      <c r="CD56" s="169"/>
      <c r="CE56" s="169"/>
      <c r="CF56" s="169"/>
      <c r="CG56" s="167"/>
      <c r="CH56" s="170"/>
      <c r="CI56" s="170"/>
      <c r="CJ56" s="170"/>
      <c r="CK56" s="167"/>
      <c r="CL56" s="170"/>
      <c r="CM56" s="170"/>
      <c r="CN56" s="170"/>
      <c r="CO56" s="170"/>
      <c r="CP56" s="170"/>
      <c r="CQ56" s="170"/>
      <c r="CR56" s="170"/>
      <c r="CS56" s="170"/>
      <c r="CT56" s="170"/>
      <c r="CU56" s="170"/>
      <c r="CV56" s="170"/>
      <c r="CW56" s="167"/>
      <c r="CX56" s="170"/>
      <c r="CY56" s="170"/>
      <c r="CZ56" s="170"/>
      <c r="DA56" s="170"/>
      <c r="DB56" s="170"/>
      <c r="DC56" s="170"/>
      <c r="DD56" s="170"/>
      <c r="DE56" s="170"/>
      <c r="DF56" s="170"/>
      <c r="DG56" s="170"/>
      <c r="DH56" s="170"/>
      <c r="DI56" s="170"/>
      <c r="DJ56" s="170"/>
      <c r="DK56" s="170"/>
      <c r="DL56" s="170"/>
      <c r="DM56" s="170"/>
      <c r="DO56" s="194">
        <f>(DP55+('Formulação suplementos'!$CM$37-(DP55*0.64))/0.8)/1000</f>
        <v>1.0243820388432132</v>
      </c>
      <c r="DP56" s="195">
        <f>-53.07 + (304.89 * (DO56)) + (90.79 *'Formulação suplementos'!$K$10) - (3.13 * 'Formulação suplementos'!$K$10*'Formulação suplementos'!$K$10)</f>
        <v>654.03669215117293</v>
      </c>
      <c r="DR56" s="170"/>
      <c r="DT56" s="194">
        <f>(DU55+('Formulação suplementos'!$CY$36-(DU55*0.64))/0.8)/1000</f>
        <v>0.43991742979104576</v>
      </c>
      <c r="DU56" s="195">
        <f>-53.07 + (304.89 * (DT56-'Formulação suplementos'!$CA$214)) + (90.79 *('Formulação suplementos'!$CY$30)) - (3.13 *('Formulação suplementos'!$CY$30)^2)</f>
        <v>89.688064175037752</v>
      </c>
      <c r="DV56" s="170"/>
    </row>
    <row r="57" spans="1:126" s="117" customFormat="1" ht="15.75" customHeight="1" x14ac:dyDescent="0.25">
      <c r="A57" s="118"/>
      <c r="B57" s="140" t="s">
        <v>407</v>
      </c>
      <c r="C57" s="376">
        <v>1</v>
      </c>
      <c r="D57" s="363"/>
      <c r="E57" s="363"/>
      <c r="F57" s="377">
        <v>160</v>
      </c>
      <c r="G57" s="377">
        <v>120</v>
      </c>
      <c r="H57" s="377"/>
      <c r="I57" s="377"/>
      <c r="J57" s="377"/>
      <c r="K57" s="377"/>
      <c r="L57" s="377"/>
      <c r="M57" s="377"/>
      <c r="N57" s="377">
        <v>80</v>
      </c>
      <c r="O57" s="377">
        <v>1250</v>
      </c>
      <c r="P57" s="377">
        <v>5000</v>
      </c>
      <c r="Q57" s="377"/>
      <c r="R57" s="377">
        <v>2500</v>
      </c>
      <c r="S57" s="377">
        <v>0.62</v>
      </c>
      <c r="T57" s="377">
        <v>12.5</v>
      </c>
      <c r="U57" s="377">
        <v>25</v>
      </c>
      <c r="V57" s="378"/>
      <c r="W57" s="316" t="str">
        <f>IF('Formulação suplementos'!$V57/28.125/100=0,"",'Formulação suplementos'!$V57/28.125/100)</f>
        <v/>
      </c>
      <c r="X57" s="119"/>
      <c r="Y57" s="119"/>
      <c r="Z57" s="119"/>
      <c r="AA57" s="119"/>
      <c r="AB57" s="119"/>
      <c r="AC57" s="118"/>
      <c r="AD57" s="118"/>
      <c r="AE57" s="118"/>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c r="BC57"/>
      <c r="BD57"/>
      <c r="BE57"/>
      <c r="BF57"/>
      <c r="BG57" s="262"/>
      <c r="BH57" s="263"/>
      <c r="BI57" s="263"/>
      <c r="BJ57" s="305"/>
      <c r="BK57" s="265"/>
      <c r="BL57" s="265"/>
      <c r="BM57" s="279"/>
      <c r="BN57" s="311"/>
      <c r="BO57" s="267"/>
      <c r="BP57" s="267"/>
      <c r="BQ57" s="314"/>
      <c r="BR57" s="315"/>
      <c r="BS57" s="267"/>
      <c r="BT57" s="299"/>
      <c r="BU57"/>
      <c r="BV57"/>
      <c r="BW57"/>
      <c r="BX57" s="267"/>
      <c r="BY57" s="166"/>
      <c r="BZ57" s="166" t="s">
        <v>408</v>
      </c>
      <c r="CA57" s="301">
        <v>0.47399999999999998</v>
      </c>
      <c r="CB57" s="168"/>
      <c r="CC57" s="169"/>
      <c r="CD57" s="169"/>
      <c r="CE57" s="169"/>
      <c r="CF57" s="169"/>
      <c r="CG57" s="167"/>
      <c r="CH57" s="170"/>
      <c r="CI57" s="170"/>
      <c r="CJ57" s="170"/>
      <c r="CK57" s="167"/>
      <c r="CL57" s="170"/>
      <c r="CM57" s="170"/>
      <c r="CN57" s="170"/>
      <c r="CO57" s="170"/>
      <c r="CP57" s="170"/>
      <c r="CQ57" s="170"/>
      <c r="CR57" s="170"/>
      <c r="CS57" s="170"/>
      <c r="CT57" s="170"/>
      <c r="CU57" s="170"/>
      <c r="CV57" s="170"/>
      <c r="CW57" s="167"/>
      <c r="CX57" s="170"/>
      <c r="CY57" s="170"/>
      <c r="CZ57" s="170"/>
      <c r="DA57" s="170"/>
      <c r="DB57" s="170"/>
      <c r="DC57" s="170"/>
      <c r="DD57" s="170"/>
      <c r="DE57" s="170"/>
      <c r="DF57" s="170"/>
      <c r="DG57" s="170"/>
      <c r="DH57" s="170"/>
      <c r="DI57" s="170"/>
      <c r="DJ57" s="170"/>
      <c r="DK57" s="170"/>
      <c r="DL57" s="170"/>
      <c r="DM57" s="170"/>
      <c r="DO57" s="194">
        <f>(DP56+('Formulação suplementos'!$CM$37-(DP56*0.64))/0.8)/1000</f>
        <v>1.0243820388432132</v>
      </c>
      <c r="DP57" s="195">
        <f>-53.07 + (304.89 * (DO57)) + (90.79 *'Formulação suplementos'!$K$10) - (3.13 * 'Formulação suplementos'!$K$10*'Formulação suplementos'!$K$10)</f>
        <v>654.03669215117293</v>
      </c>
      <c r="DR57" s="170"/>
      <c r="DT57" s="194">
        <f>(DU56+('Formulação suplementos'!$CY$36-(DU56*0.64))/0.8)/1000</f>
        <v>0.43991742979104576</v>
      </c>
      <c r="DU57" s="195">
        <f>-53.07 + (304.89 * (DT57-'Formulação suplementos'!$CA$214)) + (90.79 *('Formulação suplementos'!$CY$30)) - (3.13 *('Formulação suplementos'!$CY$30)^2)</f>
        <v>89.688064175037752</v>
      </c>
      <c r="DV57" s="170"/>
    </row>
    <row r="58" spans="1:126" s="117" customFormat="1" ht="15.75" customHeight="1" x14ac:dyDescent="0.25">
      <c r="A58" s="118"/>
      <c r="B58" s="140" t="s">
        <v>409</v>
      </c>
      <c r="C58" s="376">
        <v>1</v>
      </c>
      <c r="D58" s="363"/>
      <c r="E58" s="363"/>
      <c r="F58" s="377">
        <v>180</v>
      </c>
      <c r="G58" s="377">
        <v>29</v>
      </c>
      <c r="H58" s="377"/>
      <c r="I58" s="377"/>
      <c r="J58" s="377"/>
      <c r="K58" s="377">
        <v>10</v>
      </c>
      <c r="L58" s="377"/>
      <c r="M58" s="377"/>
      <c r="N58" s="377">
        <v>10</v>
      </c>
      <c r="O58" s="377">
        <v>1000</v>
      </c>
      <c r="P58" s="377">
        <v>3000</v>
      </c>
      <c r="Q58" s="377"/>
      <c r="R58" s="377">
        <v>300</v>
      </c>
      <c r="S58" s="377">
        <v>50</v>
      </c>
      <c r="T58" s="377">
        <v>90</v>
      </c>
      <c r="U58" s="377">
        <v>6.6</v>
      </c>
      <c r="V58" s="378"/>
      <c r="W58" s="317" t="str">
        <f>IF('Formulação suplementos'!$V58/28.125/100=0,"",'Formulação suplementos'!$V58/28.125/100)</f>
        <v/>
      </c>
      <c r="X58" s="119"/>
      <c r="Y58" s="119"/>
      <c r="Z58" s="119"/>
      <c r="AA58" s="119"/>
      <c r="AB58" s="119"/>
      <c r="AC58" s="118"/>
      <c r="AD58" s="118"/>
      <c r="AE58" s="118"/>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c r="BC58"/>
      <c r="BD58"/>
      <c r="BE58"/>
      <c r="BF58"/>
      <c r="BG58" s="262"/>
      <c r="BH58" s="263"/>
      <c r="BI58" s="264"/>
      <c r="BJ58" s="265"/>
      <c r="BK58" s="265"/>
      <c r="BL58" s="265"/>
      <c r="BM58" s="279"/>
      <c r="BN58" s="311"/>
      <c r="BO58" s="267"/>
      <c r="BP58" s="267"/>
      <c r="BQ58" s="318"/>
      <c r="BR58" s="319"/>
      <c r="BS58" s="267"/>
      <c r="BT58" s="299"/>
      <c r="BU58"/>
      <c r="BV58"/>
      <c r="BW58"/>
      <c r="BX58" s="267"/>
      <c r="BY58" s="166"/>
      <c r="BZ58" s="166" t="s">
        <v>342</v>
      </c>
      <c r="CA58" s="167"/>
      <c r="CB58" s="168"/>
      <c r="CC58" s="169"/>
      <c r="CD58" s="169"/>
      <c r="CE58" s="169"/>
      <c r="CF58" s="169"/>
      <c r="CG58" s="167"/>
      <c r="CH58" s="170"/>
      <c r="CI58" s="170"/>
      <c r="CJ58" s="170"/>
      <c r="CK58" s="167"/>
      <c r="CL58" s="170"/>
      <c r="CM58" s="170"/>
      <c r="CN58" s="170"/>
      <c r="CO58" s="170"/>
      <c r="CP58" s="170"/>
      <c r="CQ58" s="170"/>
      <c r="CR58" s="170"/>
      <c r="CS58" s="170"/>
      <c r="CT58" s="170"/>
      <c r="CU58" s="170"/>
      <c r="CV58" s="170"/>
      <c r="CW58" s="167"/>
      <c r="CX58" s="170"/>
      <c r="CY58" s="170"/>
      <c r="CZ58" s="170"/>
      <c r="DA58" s="170"/>
      <c r="DB58" s="170"/>
      <c r="DC58" s="170"/>
      <c r="DD58" s="170"/>
      <c r="DE58" s="170"/>
      <c r="DF58" s="170"/>
      <c r="DG58" s="170"/>
      <c r="DH58" s="170"/>
      <c r="DI58" s="170"/>
      <c r="DJ58" s="170"/>
      <c r="DK58" s="170"/>
      <c r="DL58" s="170"/>
      <c r="DM58" s="170"/>
      <c r="DO58" s="194">
        <f>(DP57+('Formulação suplementos'!$CM$37-(DP57*0.64))/0.8)/1000</f>
        <v>1.0243820388432132</v>
      </c>
      <c r="DP58" s="195">
        <f>-53.07 + (304.89 * (DO58)) + (90.79 *'Formulação suplementos'!$K$10) - (3.13 * 'Formulação suplementos'!$K$10*'Formulação suplementos'!$K$10)</f>
        <v>654.03669215117293</v>
      </c>
      <c r="DR58" s="170"/>
      <c r="DT58" s="194">
        <f>(DU57+('Formulação suplementos'!$CY$36-(DU57*0.64))/0.8)/1000</f>
        <v>0.43991742979104576</v>
      </c>
      <c r="DU58" s="195">
        <f>-53.07 + (304.89 * (DT58-'Formulação suplementos'!$CA$214)) + (90.79 *('Formulação suplementos'!$CY$30)) - (3.13 *('Formulação suplementos'!$CY$30)^2)</f>
        <v>89.688064175037752</v>
      </c>
      <c r="DV58" s="170"/>
    </row>
    <row r="59" spans="1:126" s="117" customFormat="1" ht="15.75" customHeight="1" x14ac:dyDescent="0.25">
      <c r="A59" s="118"/>
      <c r="B59" s="140"/>
      <c r="C59" s="376"/>
      <c r="D59" s="363"/>
      <c r="E59" s="363"/>
      <c r="F59" s="377"/>
      <c r="G59" s="377"/>
      <c r="H59" s="377"/>
      <c r="I59" s="377"/>
      <c r="J59" s="377"/>
      <c r="K59" s="377"/>
      <c r="L59" s="377"/>
      <c r="M59" s="377"/>
      <c r="N59" s="377"/>
      <c r="O59" s="377"/>
      <c r="P59" s="377"/>
      <c r="Q59" s="377"/>
      <c r="R59" s="377"/>
      <c r="S59" s="377"/>
      <c r="T59" s="377"/>
      <c r="U59" s="377"/>
      <c r="V59" s="378"/>
      <c r="W59" s="316" t="str">
        <f>IF('Formulação suplementos'!$V59/28.125/100=0,"",'Formulação suplementos'!$V59/28.125/100)</f>
        <v/>
      </c>
      <c r="X59" s="119"/>
      <c r="Y59" s="119"/>
      <c r="Z59" s="119"/>
      <c r="AA59" s="119"/>
      <c r="AB59" s="119"/>
      <c r="AC59" s="118"/>
      <c r="AD59" s="118"/>
      <c r="AE59" s="118"/>
      <c r="AF59" s="116"/>
      <c r="AG59" s="116"/>
      <c r="AH59" s="116"/>
      <c r="AI59" s="116"/>
      <c r="AJ59" s="116"/>
      <c r="AK59" s="116"/>
      <c r="AL59" s="116"/>
      <c r="AM59" s="116"/>
      <c r="AN59" s="116"/>
      <c r="AO59" s="116"/>
      <c r="AP59" s="116"/>
      <c r="AQ59" s="116"/>
      <c r="AR59" s="116"/>
      <c r="AS59" s="116"/>
      <c r="AT59" s="116"/>
      <c r="AU59" s="116"/>
      <c r="AV59" s="116"/>
      <c r="AW59" s="116"/>
      <c r="AX59" s="116"/>
      <c r="AY59" s="116"/>
      <c r="AZ59" s="116"/>
      <c r="BA59" s="116"/>
      <c r="BB59"/>
      <c r="BC59"/>
      <c r="BD59"/>
      <c r="BE59"/>
      <c r="BF59"/>
      <c r="BG59" s="262"/>
      <c r="BH59" s="263"/>
      <c r="BI59" s="263"/>
      <c r="BJ59" s="265"/>
      <c r="BK59" s="265"/>
      <c r="BL59" s="265"/>
      <c r="BM59" s="279"/>
      <c r="BN59" s="311"/>
      <c r="BO59" s="267"/>
      <c r="BP59" s="267"/>
      <c r="BQ59" s="312"/>
      <c r="BR59" s="122"/>
      <c r="BS59" s="267"/>
      <c r="BT59" s="299"/>
      <c r="BU59"/>
      <c r="BV59"/>
      <c r="BW59"/>
      <c r="BX59" s="267"/>
      <c r="BY59" s="166"/>
      <c r="BZ59" s="166" t="s">
        <v>410</v>
      </c>
      <c r="CA59" s="167"/>
      <c r="CB59" s="168"/>
      <c r="CC59" s="169"/>
      <c r="CD59" s="169"/>
      <c r="CE59" s="169"/>
      <c r="CF59" s="169"/>
      <c r="CG59" s="167"/>
      <c r="CH59" s="170"/>
      <c r="CI59" s="170"/>
      <c r="CJ59" s="170"/>
      <c r="CK59" s="167"/>
      <c r="CL59" s="170"/>
      <c r="CM59" s="170"/>
      <c r="CN59" s="170"/>
      <c r="CO59" s="170"/>
      <c r="CP59" s="170"/>
      <c r="CQ59" s="170"/>
      <c r="CR59" s="170"/>
      <c r="CS59" s="170"/>
      <c r="CT59" s="170"/>
      <c r="CU59" s="170"/>
      <c r="CV59" s="170"/>
      <c r="CW59" s="167"/>
      <c r="CX59" s="170"/>
      <c r="CY59" s="170"/>
      <c r="CZ59" s="170"/>
      <c r="DA59" s="170"/>
      <c r="DB59" s="170"/>
      <c r="DC59" s="170"/>
      <c r="DD59" s="170"/>
      <c r="DE59" s="170"/>
      <c r="DF59" s="170"/>
      <c r="DG59" s="170"/>
      <c r="DH59" s="170"/>
      <c r="DI59" s="170"/>
      <c r="DJ59" s="170"/>
      <c r="DK59" s="170"/>
      <c r="DL59" s="170"/>
      <c r="DM59" s="170"/>
      <c r="DO59" s="194">
        <f>(DP58+('Formulação suplementos'!$CM$37-(DP58*0.64))/0.8)/1000</f>
        <v>1.0243820388432132</v>
      </c>
      <c r="DP59" s="195">
        <f>-53.07 + (304.89 * (DO59)) + (90.79 *'Formulação suplementos'!$K$10) - (3.13 * 'Formulação suplementos'!$K$10*'Formulação suplementos'!$K$10)</f>
        <v>654.03669215117293</v>
      </c>
      <c r="DR59" s="170"/>
      <c r="DT59" s="194">
        <f>(DU58+('Formulação suplementos'!$CY$36-(DU58*0.64))/0.8)/1000</f>
        <v>0.43991742979104576</v>
      </c>
      <c r="DU59" s="195">
        <f>-53.07 + (304.89 * (DT59-'Formulação suplementos'!$CA$214)) + (90.79 *('Formulação suplementos'!$CY$30)) - (3.13 *('Formulação suplementos'!$CY$30)^2)</f>
        <v>89.688064175037752</v>
      </c>
      <c r="DV59" s="170"/>
    </row>
    <row r="60" spans="1:126" s="117" customFormat="1" ht="15.75" customHeight="1" x14ac:dyDescent="0.25">
      <c r="A60" s="118"/>
      <c r="B60" s="140"/>
      <c r="C60" s="376"/>
      <c r="D60" s="363"/>
      <c r="E60" s="363"/>
      <c r="F60" s="377"/>
      <c r="G60" s="377"/>
      <c r="H60" s="377"/>
      <c r="I60" s="377"/>
      <c r="J60" s="377"/>
      <c r="K60" s="377"/>
      <c r="L60" s="377"/>
      <c r="M60" s="377"/>
      <c r="N60" s="377"/>
      <c r="O60" s="377"/>
      <c r="P60" s="377"/>
      <c r="Q60" s="377"/>
      <c r="R60" s="377"/>
      <c r="S60" s="377"/>
      <c r="T60" s="377"/>
      <c r="U60" s="377"/>
      <c r="V60" s="378"/>
      <c r="W60" s="316" t="str">
        <f>IF('Formulação suplementos'!$V60/28.125/100=0,"",'Formulação suplementos'!$V60/28.125/100)</f>
        <v/>
      </c>
      <c r="X60" s="119"/>
      <c r="Y60" s="119"/>
      <c r="Z60" s="119"/>
      <c r="AA60" s="119"/>
      <c r="AB60" s="119"/>
      <c r="AC60" s="118"/>
      <c r="AD60" s="118"/>
      <c r="AE60" s="118"/>
      <c r="AF60" s="116"/>
      <c r="AG60" s="116"/>
      <c r="AH60" s="116"/>
      <c r="AI60" s="116"/>
      <c r="AJ60" s="116"/>
      <c r="AK60" s="116"/>
      <c r="AL60" s="116"/>
      <c r="AM60" s="116"/>
      <c r="AN60" s="116"/>
      <c r="AO60" s="116"/>
      <c r="AP60" s="116"/>
      <c r="AQ60" s="116"/>
      <c r="AR60" s="116"/>
      <c r="AS60" s="116"/>
      <c r="AT60" s="116"/>
      <c r="AU60" s="116"/>
      <c r="AV60" s="116"/>
      <c r="AW60" s="116"/>
      <c r="AX60" s="116"/>
      <c r="AY60" s="320"/>
      <c r="AZ60" s="116"/>
      <c r="BA60" s="116"/>
      <c r="BB60"/>
      <c r="BC60"/>
      <c r="BD60"/>
      <c r="BE60"/>
      <c r="BF60"/>
      <c r="BG60" s="262"/>
      <c r="BH60" s="263"/>
      <c r="BI60" s="263"/>
      <c r="BJ60" s="305"/>
      <c r="BK60" s="265"/>
      <c r="BL60" s="265"/>
      <c r="BM60" s="279"/>
      <c r="BN60" s="311"/>
      <c r="BO60" s="267"/>
      <c r="BP60" s="267"/>
      <c r="BQ60" s="312"/>
      <c r="BR60" s="122"/>
      <c r="BS60" s="267"/>
      <c r="BT60" s="299"/>
      <c r="BU60"/>
      <c r="BV60"/>
      <c r="BW60"/>
      <c r="BX60" s="267"/>
      <c r="BY60" s="166"/>
      <c r="BZ60" s="166" t="s">
        <v>411</v>
      </c>
      <c r="CA60" s="167"/>
      <c r="CB60" s="168"/>
      <c r="CC60" s="169"/>
      <c r="CD60" s="169"/>
      <c r="CE60" s="169"/>
      <c r="CF60" s="169"/>
      <c r="CG60" s="167"/>
      <c r="CH60" s="170"/>
      <c r="CI60" s="170"/>
      <c r="CJ60" s="170"/>
      <c r="CK60" s="167"/>
      <c r="CL60" s="170"/>
      <c r="CM60" s="170"/>
      <c r="CN60" s="170"/>
      <c r="CO60" s="170"/>
      <c r="CP60" s="170"/>
      <c r="CQ60" s="170"/>
      <c r="CR60" s="170"/>
      <c r="CS60" s="170"/>
      <c r="CT60" s="170"/>
      <c r="CU60" s="170"/>
      <c r="CV60" s="170"/>
      <c r="CW60" s="167"/>
      <c r="CX60" s="170"/>
      <c r="CY60" s="170"/>
      <c r="CZ60" s="170"/>
      <c r="DA60" s="170"/>
      <c r="DB60" s="170"/>
      <c r="DC60" s="170"/>
      <c r="DD60" s="170"/>
      <c r="DE60" s="170"/>
      <c r="DF60" s="170"/>
      <c r="DG60" s="170"/>
      <c r="DH60" s="170"/>
      <c r="DI60" s="170"/>
      <c r="DJ60" s="170"/>
      <c r="DK60" s="170"/>
      <c r="DL60" s="170"/>
      <c r="DM60" s="170"/>
      <c r="DO60" s="194">
        <f>(DP59+('Formulação suplementos'!$CM$37-(DP59*0.64))/0.8)/1000</f>
        <v>1.0243820388432132</v>
      </c>
      <c r="DP60" s="195">
        <f>-53.07 + (304.89 * (DO60)) + (90.79 *'Formulação suplementos'!$K$10) - (3.13 * 'Formulação suplementos'!$K$10*'Formulação suplementos'!$K$10)</f>
        <v>654.03669215117293</v>
      </c>
      <c r="DR60" s="170"/>
      <c r="DT60" s="194">
        <f>(DU59+('Formulação suplementos'!$CY$36-(DU59*0.64))/0.8)/1000</f>
        <v>0.43991742979104576</v>
      </c>
      <c r="DU60" s="195">
        <f>-53.07 + (304.89 * (DT60-'Formulação suplementos'!$CA$214)) + (90.79 *('Formulação suplementos'!$CY$30)) - (3.13 *('Formulação suplementos'!$CY$30)^2)</f>
        <v>89.688064175037752</v>
      </c>
      <c r="DV60" s="170"/>
    </row>
    <row r="61" spans="1:126" s="117" customFormat="1" ht="15.75" customHeight="1" x14ac:dyDescent="0.25">
      <c r="A61" s="118"/>
      <c r="B61" s="140"/>
      <c r="C61" s="376"/>
      <c r="D61" s="363"/>
      <c r="E61" s="363"/>
      <c r="F61" s="377"/>
      <c r="G61" s="377"/>
      <c r="H61" s="377"/>
      <c r="I61" s="377"/>
      <c r="J61" s="377"/>
      <c r="K61" s="377"/>
      <c r="L61" s="377"/>
      <c r="M61" s="377"/>
      <c r="N61" s="377"/>
      <c r="O61" s="377"/>
      <c r="P61" s="377"/>
      <c r="Q61" s="377"/>
      <c r="R61" s="377"/>
      <c r="S61" s="377"/>
      <c r="T61" s="377"/>
      <c r="U61" s="377"/>
      <c r="V61" s="378"/>
      <c r="W61" s="316" t="str">
        <f>IF('Formulação suplementos'!$V61/28.125/100=0,"",'Formulação suplementos'!$V61/28.125/100)</f>
        <v/>
      </c>
      <c r="X61" s="119"/>
      <c r="Y61" s="119"/>
      <c r="Z61" s="119"/>
      <c r="AA61" s="119"/>
      <c r="AB61" s="119"/>
      <c r="AC61" s="118"/>
      <c r="AD61" s="118"/>
      <c r="AE61" s="118"/>
      <c r="AF61" s="116"/>
      <c r="AG61" s="116"/>
      <c r="AH61" s="116"/>
      <c r="AI61" s="116"/>
      <c r="AJ61" s="116"/>
      <c r="AK61" s="116"/>
      <c r="AL61" s="116"/>
      <c r="AM61" s="116"/>
      <c r="AN61" s="116"/>
      <c r="AO61" s="116"/>
      <c r="AP61" s="116"/>
      <c r="AQ61" s="116"/>
      <c r="AR61" s="116"/>
      <c r="AS61" s="116"/>
      <c r="AT61" s="116"/>
      <c r="AU61" s="116"/>
      <c r="AV61" s="116"/>
      <c r="AW61" s="116"/>
      <c r="AX61" s="116"/>
      <c r="AY61" s="321"/>
      <c r="AZ61" s="116"/>
      <c r="BA61" s="116"/>
      <c r="BB61"/>
      <c r="BC61"/>
      <c r="BD61"/>
      <c r="BE61"/>
      <c r="BF61"/>
      <c r="BG61" s="262"/>
      <c r="BH61" s="263"/>
      <c r="BI61" s="264"/>
      <c r="BJ61" s="265"/>
      <c r="BK61" s="265"/>
      <c r="BL61" s="322"/>
      <c r="BM61" s="279"/>
      <c r="BN61" s="311"/>
      <c r="BO61" s="267"/>
      <c r="BP61" s="267"/>
      <c r="BQ61" s="312"/>
      <c r="BR61" s="122"/>
      <c r="BS61" s="267"/>
      <c r="BT61" s="299"/>
      <c r="BU61"/>
      <c r="BV61"/>
      <c r="BW61"/>
      <c r="BX61" s="267"/>
      <c r="BY61" s="166"/>
      <c r="BZ61" s="166" t="s">
        <v>412</v>
      </c>
      <c r="CA61" s="290">
        <f>('Formulação suplementos'!DP116)/1000</f>
        <v>0.65403669215117288</v>
      </c>
      <c r="CB61" s="168"/>
      <c r="CC61" s="169"/>
      <c r="CD61" s="169"/>
      <c r="CE61" s="169"/>
      <c r="CF61" s="169"/>
      <c r="CG61" s="167"/>
      <c r="CH61" s="170"/>
      <c r="CI61" s="170"/>
      <c r="CJ61" s="170"/>
      <c r="CK61" s="167"/>
      <c r="CL61" s="170"/>
      <c r="CM61" s="170"/>
      <c r="CN61" s="170"/>
      <c r="CO61" s="170"/>
      <c r="CP61" s="170"/>
      <c r="CQ61" s="170"/>
      <c r="CR61" s="170"/>
      <c r="CS61" s="170"/>
      <c r="CT61" s="170"/>
      <c r="CU61" s="170"/>
      <c r="CV61" s="170"/>
      <c r="CW61" s="167"/>
      <c r="CX61" s="170"/>
      <c r="CY61" s="170"/>
      <c r="CZ61" s="170"/>
      <c r="DA61" s="170"/>
      <c r="DB61" s="170"/>
      <c r="DC61" s="170"/>
      <c r="DD61" s="170"/>
      <c r="DE61" s="170"/>
      <c r="DF61" s="170"/>
      <c r="DG61" s="170"/>
      <c r="DH61" s="170"/>
      <c r="DI61" s="170"/>
      <c r="DJ61" s="170"/>
      <c r="DK61" s="170"/>
      <c r="DL61" s="170"/>
      <c r="DM61" s="170"/>
      <c r="DO61" s="194">
        <f>(DP60+('Formulação suplementos'!$CM$37-(DP60*0.64))/0.8)/1000</f>
        <v>1.0243820388432132</v>
      </c>
      <c r="DP61" s="195">
        <f>-53.07 + (304.89 * (DO61)) + (90.79 *'Formulação suplementos'!$K$10) - (3.13 * 'Formulação suplementos'!$K$10*'Formulação suplementos'!$K$10)</f>
        <v>654.03669215117293</v>
      </c>
      <c r="DR61" s="170"/>
      <c r="DT61" s="194">
        <f>(DU60+('Formulação suplementos'!$CY$36-(DU60*0.64))/0.8)/1000</f>
        <v>0.43991742979104576</v>
      </c>
      <c r="DU61" s="195">
        <f>-53.07 + (304.89 * (DT61-'Formulação suplementos'!$CA$214)) + (90.79 *('Formulação suplementos'!$CY$30)) - (3.13 *('Formulação suplementos'!$CY$30)^2)</f>
        <v>89.688064175037752</v>
      </c>
      <c r="DV61" s="170"/>
    </row>
    <row r="62" spans="1:126" s="117" customFormat="1" ht="15.75" customHeight="1" x14ac:dyDescent="0.25">
      <c r="A62" s="118"/>
      <c r="B62" s="140"/>
      <c r="C62" s="376"/>
      <c r="D62" s="363"/>
      <c r="E62" s="363"/>
      <c r="F62" s="377"/>
      <c r="G62" s="377"/>
      <c r="H62" s="377"/>
      <c r="I62" s="377"/>
      <c r="J62" s="377"/>
      <c r="K62" s="377"/>
      <c r="L62" s="377"/>
      <c r="M62" s="377"/>
      <c r="N62" s="377"/>
      <c r="O62" s="377"/>
      <c r="P62" s="377"/>
      <c r="Q62" s="377"/>
      <c r="R62" s="377"/>
      <c r="S62" s="377"/>
      <c r="T62" s="377"/>
      <c r="U62" s="377"/>
      <c r="V62" s="378"/>
      <c r="W62" s="316" t="str">
        <f>IF('Formulação suplementos'!$V62/28.125/100=0,"",'Formulação suplementos'!$V62/28.125/100)</f>
        <v/>
      </c>
      <c r="X62" s="119"/>
      <c r="Y62" s="119"/>
      <c r="Z62" s="119"/>
      <c r="AA62" s="119"/>
      <c r="AB62" s="119"/>
      <c r="AC62" s="118"/>
      <c r="AD62" s="118"/>
      <c r="AE62" s="118"/>
      <c r="AF62" s="116"/>
      <c r="AG62" s="116"/>
      <c r="AH62" s="116"/>
      <c r="AI62" s="116"/>
      <c r="AJ62" s="116"/>
      <c r="AK62" s="116"/>
      <c r="AL62" s="116"/>
      <c r="AM62" s="116"/>
      <c r="AN62" s="116"/>
      <c r="AO62" s="116"/>
      <c r="AP62" s="116"/>
      <c r="AQ62" s="116"/>
      <c r="AR62" s="116"/>
      <c r="AS62" s="116"/>
      <c r="AT62" s="116"/>
      <c r="AU62" s="116"/>
      <c r="AV62" s="116"/>
      <c r="AW62" s="116"/>
      <c r="AX62" s="116"/>
      <c r="AY62" s="321"/>
      <c r="AZ62" s="116"/>
      <c r="BA62" s="116"/>
      <c r="BB62"/>
      <c r="BC62"/>
      <c r="BD62"/>
      <c r="BE62"/>
      <c r="BF62"/>
      <c r="BG62" s="262"/>
      <c r="BH62" s="263"/>
      <c r="BI62" s="264"/>
      <c r="BJ62" s="265"/>
      <c r="BK62" s="265"/>
      <c r="BL62" s="265"/>
      <c r="BM62"/>
      <c r="BN62"/>
      <c r="BO62"/>
      <c r="BP62" s="267"/>
      <c r="BQ62" s="312"/>
      <c r="BR62" s="122"/>
      <c r="BS62" s="267"/>
      <c r="BT62" s="299"/>
      <c r="BU62"/>
      <c r="BV62"/>
      <c r="BW62"/>
      <c r="BX62" s="267"/>
      <c r="BY62" s="166"/>
      <c r="BZ62" s="166" t="s">
        <v>348</v>
      </c>
      <c r="CA62" s="167"/>
      <c r="CB62" s="168"/>
      <c r="CC62" s="169"/>
      <c r="CD62" s="169"/>
      <c r="CE62" s="169"/>
      <c r="CF62" s="169"/>
      <c r="CG62" s="167"/>
      <c r="CH62" s="170"/>
      <c r="CI62" s="170"/>
      <c r="CJ62" s="170"/>
      <c r="CK62" s="167"/>
      <c r="CL62" s="170"/>
      <c r="CM62" s="170"/>
      <c r="CN62" s="170"/>
      <c r="CO62" s="170"/>
      <c r="CP62" s="170"/>
      <c r="CQ62" s="170"/>
      <c r="CR62" s="170"/>
      <c r="CS62" s="170"/>
      <c r="CT62" s="170"/>
      <c r="CU62" s="170"/>
      <c r="CV62" s="170"/>
      <c r="CW62" s="167"/>
      <c r="CX62" s="170"/>
      <c r="CY62" s="170"/>
      <c r="CZ62" s="170"/>
      <c r="DA62" s="170"/>
      <c r="DB62" s="170"/>
      <c r="DC62" s="170"/>
      <c r="DD62" s="170"/>
      <c r="DE62" s="170"/>
      <c r="DF62" s="170"/>
      <c r="DG62" s="170"/>
      <c r="DH62" s="170"/>
      <c r="DI62" s="170"/>
      <c r="DJ62" s="170"/>
      <c r="DK62" s="170"/>
      <c r="DL62" s="170"/>
      <c r="DM62" s="170"/>
      <c r="DO62" s="194">
        <f>(DP61+('Formulação suplementos'!$CM$37-(DP61*0.64))/0.8)/1000</f>
        <v>1.0243820388432132</v>
      </c>
      <c r="DP62" s="195">
        <f>-53.07 + (304.89 * (DO62)) + (90.79 *'Formulação suplementos'!$K$10) - (3.13 * 'Formulação suplementos'!$K$10*'Formulação suplementos'!$K$10)</f>
        <v>654.03669215117293</v>
      </c>
      <c r="DR62" s="170"/>
      <c r="DT62" s="194">
        <f>(DU61+('Formulação suplementos'!$CY$36-(DU61*0.64))/0.8)/1000</f>
        <v>0.43991742979104576</v>
      </c>
      <c r="DU62" s="195">
        <f>-53.07 + (304.89 * (DT62-'Formulação suplementos'!$CA$214)) + (90.79 *('Formulação suplementos'!$CY$30)) - (3.13 *('Formulação suplementos'!$CY$30)^2)</f>
        <v>89.688064175037752</v>
      </c>
      <c r="DV62" s="170"/>
    </row>
    <row r="63" spans="1:126" s="117" customFormat="1" ht="15.75" customHeight="1" x14ac:dyDescent="0.25">
      <c r="A63" s="118"/>
      <c r="B63" s="140"/>
      <c r="C63" s="376"/>
      <c r="D63" s="363"/>
      <c r="E63" s="363"/>
      <c r="F63" s="377"/>
      <c r="G63" s="377"/>
      <c r="H63" s="377"/>
      <c r="I63" s="377"/>
      <c r="J63" s="377"/>
      <c r="K63" s="377"/>
      <c r="L63" s="377"/>
      <c r="M63" s="377"/>
      <c r="N63" s="377"/>
      <c r="O63" s="377"/>
      <c r="P63" s="377"/>
      <c r="Q63" s="377"/>
      <c r="R63" s="377"/>
      <c r="S63" s="377"/>
      <c r="T63" s="377"/>
      <c r="U63" s="377"/>
      <c r="V63" s="378"/>
      <c r="W63" s="316" t="str">
        <f>IF('Formulação suplementos'!$V63/28.125/100=0,"",'Formulação suplementos'!$V63/28.125/100)</f>
        <v/>
      </c>
      <c r="X63" s="119"/>
      <c r="Y63" s="119"/>
      <c r="Z63" s="119"/>
      <c r="AA63" s="119"/>
      <c r="AB63" s="119"/>
      <c r="AC63" s="118"/>
      <c r="AD63" s="118"/>
      <c r="AE63" s="118"/>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c r="BC63"/>
      <c r="BD63"/>
      <c r="BE63"/>
      <c r="BF63"/>
      <c r="BG63" s="262"/>
      <c r="BH63" s="263"/>
      <c r="BI63" s="263"/>
      <c r="BJ63" s="265"/>
      <c r="BK63" s="265"/>
      <c r="BL63" s="265"/>
      <c r="BM63" s="267"/>
      <c r="BN63" s="267"/>
      <c r="BO63" s="267"/>
      <c r="BP63" s="267"/>
      <c r="BQ63" s="312"/>
      <c r="BR63" s="122"/>
      <c r="BS63" s="267"/>
      <c r="BT63" s="267"/>
      <c r="BU63" s="267"/>
      <c r="BV63" s="267"/>
      <c r="BW63" s="267"/>
      <c r="BX63" s="267"/>
      <c r="BY63" s="166"/>
      <c r="BZ63" s="166" t="s">
        <v>354</v>
      </c>
      <c r="CA63" s="167"/>
      <c r="CB63" s="168"/>
      <c r="CC63" s="169"/>
      <c r="CD63" s="169"/>
      <c r="CE63" s="169"/>
      <c r="CF63" s="169"/>
      <c r="CG63" s="167"/>
      <c r="CH63" s="170"/>
      <c r="CI63" s="170"/>
      <c r="CJ63" s="170"/>
      <c r="CK63" s="167"/>
      <c r="CL63" s="170"/>
      <c r="CM63" s="170"/>
      <c r="CN63" s="170"/>
      <c r="CO63" s="170"/>
      <c r="CP63" s="170"/>
      <c r="CQ63" s="170"/>
      <c r="CR63" s="170"/>
      <c r="CS63" s="170"/>
      <c r="CT63" s="170"/>
      <c r="CU63" s="170"/>
      <c r="CV63" s="170"/>
      <c r="CW63" s="167"/>
      <c r="CX63" s="170"/>
      <c r="CY63" s="170"/>
      <c r="CZ63" s="170"/>
      <c r="DA63" s="170"/>
      <c r="DB63" s="170"/>
      <c r="DC63" s="170"/>
      <c r="DD63" s="170"/>
      <c r="DE63" s="170"/>
      <c r="DF63" s="170"/>
      <c r="DG63" s="170"/>
      <c r="DH63" s="170"/>
      <c r="DI63" s="170"/>
      <c r="DJ63" s="170"/>
      <c r="DK63" s="170"/>
      <c r="DL63" s="170"/>
      <c r="DM63" s="170"/>
      <c r="DO63" s="194">
        <f>(DP62+('Formulação suplementos'!$CM$37-(DP62*0.64))/0.8)/1000</f>
        <v>1.0243820388432132</v>
      </c>
      <c r="DP63" s="195">
        <f>-53.07 + (304.89 * (DO63)) + (90.79 *'Formulação suplementos'!$K$10) - (3.13 * 'Formulação suplementos'!$K$10*'Formulação suplementos'!$K$10)</f>
        <v>654.03669215117293</v>
      </c>
      <c r="DR63" s="170"/>
      <c r="DT63" s="194">
        <f>(DU62+('Formulação suplementos'!$CY$36-(DU62*0.64))/0.8)/1000</f>
        <v>0.43991742979104576</v>
      </c>
      <c r="DU63" s="195">
        <f>-53.07 + (304.89 * (DT63-'Formulação suplementos'!$CA$214)) + (90.79 *('Formulação suplementos'!$CY$30)) - (3.13 *('Formulação suplementos'!$CY$30)^2)</f>
        <v>89.688064175037752</v>
      </c>
      <c r="DV63" s="170"/>
    </row>
    <row r="64" spans="1:126" s="117" customFormat="1" ht="15.75" customHeight="1" x14ac:dyDescent="0.25">
      <c r="A64" s="118"/>
      <c r="B64" s="140"/>
      <c r="C64" s="376"/>
      <c r="D64" s="363"/>
      <c r="E64" s="363"/>
      <c r="F64" s="377"/>
      <c r="G64" s="377"/>
      <c r="H64" s="377"/>
      <c r="I64" s="377"/>
      <c r="J64" s="377"/>
      <c r="K64" s="377"/>
      <c r="L64" s="377"/>
      <c r="M64" s="377"/>
      <c r="N64" s="377"/>
      <c r="O64" s="377"/>
      <c r="P64" s="377"/>
      <c r="Q64" s="377"/>
      <c r="R64" s="377"/>
      <c r="S64" s="377"/>
      <c r="T64" s="377"/>
      <c r="U64" s="377"/>
      <c r="V64" s="378"/>
      <c r="W64" s="316" t="str">
        <f>IF('Formulação suplementos'!$V64/28.125/100=0,"",'Formulação suplementos'!$V64/28.125/100)</f>
        <v/>
      </c>
      <c r="X64" s="119"/>
      <c r="Y64" s="119"/>
      <c r="Z64" s="119"/>
      <c r="AA64" s="119"/>
      <c r="AB64" s="119"/>
      <c r="AC64" s="118"/>
      <c r="AD64" s="118"/>
      <c r="AE64" s="118"/>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c r="BC64"/>
      <c r="BD64"/>
      <c r="BE64"/>
      <c r="BF64"/>
      <c r="BG64" s="262"/>
      <c r="BH64" s="263"/>
      <c r="BI64" s="263"/>
      <c r="BJ64" s="265"/>
      <c r="BK64" s="265"/>
      <c r="BL64" s="265"/>
      <c r="BM64" s="266"/>
      <c r="BN64" s="266"/>
      <c r="BO64" s="266"/>
      <c r="BP64" s="267"/>
      <c r="BQ64" s="312"/>
      <c r="BR64" s="122"/>
      <c r="BS64" s="267"/>
      <c r="BT64" s="267"/>
      <c r="BU64" s="267"/>
      <c r="BV64" s="267"/>
      <c r="BW64" s="267"/>
      <c r="BX64" s="267"/>
      <c r="BY64" s="166"/>
      <c r="BZ64" s="166" t="s">
        <v>169</v>
      </c>
      <c r="CA64" s="167"/>
      <c r="CB64" s="168"/>
      <c r="CC64" s="169"/>
      <c r="CD64" s="169"/>
      <c r="CE64" s="169"/>
      <c r="CF64" s="169"/>
      <c r="CG64" s="167"/>
      <c r="CH64" s="170"/>
      <c r="CI64" s="170"/>
      <c r="CJ64" s="170"/>
      <c r="CK64" s="167"/>
      <c r="CL64" s="170"/>
      <c r="CM64" s="170"/>
      <c r="CN64" s="170"/>
      <c r="CO64" s="170"/>
      <c r="CP64" s="170"/>
      <c r="CQ64" s="170"/>
      <c r="CR64" s="170"/>
      <c r="CS64" s="170"/>
      <c r="CT64" s="170"/>
      <c r="CU64" s="170"/>
      <c r="CV64" s="170"/>
      <c r="CW64" s="167"/>
      <c r="CX64" s="170"/>
      <c r="CY64" s="170"/>
      <c r="CZ64" s="170"/>
      <c r="DA64" s="170"/>
      <c r="DB64" s="170"/>
      <c r="DC64" s="170"/>
      <c r="DD64" s="170"/>
      <c r="DE64" s="170"/>
      <c r="DF64" s="170"/>
      <c r="DG64" s="170"/>
      <c r="DH64" s="170"/>
      <c r="DI64" s="170"/>
      <c r="DJ64" s="170"/>
      <c r="DK64" s="170"/>
      <c r="DL64" s="170"/>
      <c r="DM64" s="170"/>
      <c r="DO64" s="194">
        <f>(DP63+('Formulação suplementos'!$CM$37-(DP63*0.64))/0.8)/1000</f>
        <v>1.0243820388432132</v>
      </c>
      <c r="DP64" s="195">
        <f>-53.07 + (304.89 * (DO64)) + (90.79 *'Formulação suplementos'!$K$10) - (3.13 * 'Formulação suplementos'!$K$10*'Formulação suplementos'!$K$10)</f>
        <v>654.03669215117293</v>
      </c>
      <c r="DR64" s="170"/>
      <c r="DT64" s="194">
        <f>(DU63+('Formulação suplementos'!$CY$36-(DU63*0.64))/0.8)/1000</f>
        <v>0.43991742979104576</v>
      </c>
      <c r="DU64" s="195">
        <f>-53.07 + (304.89 * (DT64-'Formulação suplementos'!$CA$214)) + (90.79 *('Formulação suplementos'!$CY$30)) - (3.13 *('Formulação suplementos'!$CY$30)^2)</f>
        <v>89.688064175037752</v>
      </c>
      <c r="DV64" s="170"/>
    </row>
    <row r="65" spans="1:126" s="117" customFormat="1" ht="15.75" customHeight="1" x14ac:dyDescent="0.25">
      <c r="A65" s="118"/>
      <c r="B65" s="140"/>
      <c r="C65" s="376"/>
      <c r="D65" s="363"/>
      <c r="E65" s="363"/>
      <c r="F65" s="377"/>
      <c r="G65" s="377"/>
      <c r="H65" s="377"/>
      <c r="I65" s="377"/>
      <c r="J65" s="377"/>
      <c r="K65" s="377"/>
      <c r="L65" s="377"/>
      <c r="M65" s="377"/>
      <c r="N65" s="377"/>
      <c r="O65" s="377"/>
      <c r="P65" s="377"/>
      <c r="Q65" s="377"/>
      <c r="R65" s="377"/>
      <c r="S65" s="377"/>
      <c r="T65" s="377"/>
      <c r="U65" s="377"/>
      <c r="V65" s="378"/>
      <c r="W65" s="316" t="str">
        <f>IF('Formulação suplementos'!$V65/28.125/100=0,"",'Formulação suplementos'!$V65/28.125/100)</f>
        <v/>
      </c>
      <c r="X65" s="119"/>
      <c r="Y65" s="119"/>
      <c r="Z65" s="119"/>
      <c r="AA65" s="119"/>
      <c r="AB65" s="119"/>
      <c r="AC65" s="118"/>
      <c r="AD65" s="118"/>
      <c r="AE65" s="118"/>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c r="BC65"/>
      <c r="BD65"/>
      <c r="BE65"/>
      <c r="BF65"/>
      <c r="BG65" s="262"/>
      <c r="BH65" s="263"/>
      <c r="BI65" s="263"/>
      <c r="BJ65" s="323"/>
      <c r="BK65" s="265"/>
      <c r="BL65" s="265"/>
      <c r="BM65" s="266"/>
      <c r="BN65" s="266"/>
      <c r="BO65" s="266"/>
      <c r="BP65" s="267"/>
      <c r="BQ65" s="312"/>
      <c r="BR65" s="122"/>
      <c r="BS65" s="267"/>
      <c r="BT65" s="267"/>
      <c r="BU65" s="267"/>
      <c r="BV65" s="267"/>
      <c r="BW65" s="267"/>
      <c r="BX65" s="267"/>
      <c r="BY65" s="166"/>
      <c r="BZ65" s="166" t="s">
        <v>413</v>
      </c>
      <c r="CA65" s="268">
        <f>(K11/1000)/K7*100</f>
        <v>11.504981723242759</v>
      </c>
      <c r="CB65" s="168"/>
      <c r="CC65" s="169"/>
      <c r="CD65" s="169"/>
      <c r="CE65" s="169"/>
      <c r="CF65" s="169"/>
      <c r="CG65" s="167"/>
      <c r="CH65" s="170"/>
      <c r="CI65" s="170"/>
      <c r="CJ65" s="170"/>
      <c r="CK65" s="167"/>
      <c r="CL65" s="170"/>
      <c r="CM65" s="170"/>
      <c r="CN65" s="170"/>
      <c r="CO65" s="170"/>
      <c r="CP65" s="170"/>
      <c r="CQ65" s="170"/>
      <c r="CR65" s="170"/>
      <c r="CS65" s="170"/>
      <c r="CT65" s="170"/>
      <c r="CU65" s="170"/>
      <c r="CV65" s="170"/>
      <c r="CW65" s="167"/>
      <c r="CX65" s="170"/>
      <c r="CY65" s="170"/>
      <c r="CZ65" s="170"/>
      <c r="DA65" s="170"/>
      <c r="DB65" s="170"/>
      <c r="DC65" s="170"/>
      <c r="DD65" s="170"/>
      <c r="DE65" s="170"/>
      <c r="DF65" s="170"/>
      <c r="DG65" s="170"/>
      <c r="DH65" s="170"/>
      <c r="DI65" s="170"/>
      <c r="DJ65" s="170"/>
      <c r="DK65" s="170"/>
      <c r="DL65" s="170"/>
      <c r="DM65" s="170"/>
      <c r="DO65" s="194">
        <f>(DP64+('Formulação suplementos'!$CM$37-(DP64*0.64))/0.8)/1000</f>
        <v>1.0243820388432132</v>
      </c>
      <c r="DP65" s="195">
        <f>-53.07 + (304.89 * (DO65)) + (90.79 *'Formulação suplementos'!$K$10) - (3.13 * 'Formulação suplementos'!$K$10*'Formulação suplementos'!$K$10)</f>
        <v>654.03669215117293</v>
      </c>
      <c r="DR65" s="170"/>
      <c r="DT65" s="194">
        <f>(DU64+('Formulação suplementos'!$CY$36-(DU64*0.64))/0.8)/1000</f>
        <v>0.43991742979104576</v>
      </c>
      <c r="DU65" s="195">
        <f>-53.07 + (304.89 * (DT65-'Formulação suplementos'!$CA$214)) + (90.79 *('Formulação suplementos'!$CY$30)) - (3.13 *('Formulação suplementos'!$CY$30)^2)</f>
        <v>89.688064175037752</v>
      </c>
      <c r="DV65" s="170"/>
    </row>
    <row r="66" spans="1:126" s="117" customFormat="1" ht="15.75" customHeight="1" x14ac:dyDescent="0.25">
      <c r="A66" s="118"/>
      <c r="B66" s="379"/>
      <c r="C66" s="380"/>
      <c r="D66" s="370"/>
      <c r="E66" s="370"/>
      <c r="F66" s="381"/>
      <c r="G66" s="381"/>
      <c r="H66" s="381"/>
      <c r="I66" s="381"/>
      <c r="J66" s="381"/>
      <c r="K66" s="381"/>
      <c r="L66" s="381"/>
      <c r="M66" s="381"/>
      <c r="N66" s="381"/>
      <c r="O66" s="381"/>
      <c r="P66" s="381"/>
      <c r="Q66" s="381"/>
      <c r="R66" s="381"/>
      <c r="S66" s="381"/>
      <c r="T66" s="381"/>
      <c r="U66" s="381"/>
      <c r="V66" s="382"/>
      <c r="W66" s="316" t="str">
        <f>IF('Formulação suplementos'!$V66/28.125/100=0,"",'Formulação suplementos'!$V66/28.125/100)</f>
        <v/>
      </c>
      <c r="X66" s="119"/>
      <c r="Y66" s="119"/>
      <c r="Z66" s="119"/>
      <c r="AA66" s="119"/>
      <c r="AB66" s="119"/>
      <c r="AC66" s="118"/>
      <c r="AD66" s="118"/>
      <c r="AE66" s="118"/>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c r="BC66"/>
      <c r="BD66"/>
      <c r="BE66"/>
      <c r="BF66"/>
      <c r="BG66" s="262"/>
      <c r="BH66" s="263"/>
      <c r="BI66" s="263"/>
      <c r="BJ66" s="265"/>
      <c r="BK66" s="265"/>
      <c r="BL66" s="265"/>
      <c r="BM66" s="266"/>
      <c r="BN66" s="122"/>
      <c r="BO66" s="122"/>
      <c r="BP66" s="267"/>
      <c r="BQ66" s="312"/>
      <c r="BR66" s="122"/>
      <c r="BS66" s="267"/>
      <c r="BT66" s="267"/>
      <c r="BU66" s="267"/>
      <c r="BV66" s="267"/>
      <c r="BW66" s="267"/>
      <c r="BX66" s="267"/>
      <c r="BY66" s="166"/>
      <c r="BZ66" s="166"/>
      <c r="CA66" s="167"/>
      <c r="CB66" s="168"/>
      <c r="CC66" s="169"/>
      <c r="CD66" s="169"/>
      <c r="CE66" s="169"/>
      <c r="CF66" s="169"/>
      <c r="CG66" s="167"/>
      <c r="CH66" s="170"/>
      <c r="CI66" s="170"/>
      <c r="CJ66" s="170"/>
      <c r="CK66" s="167"/>
      <c r="CL66" s="170"/>
      <c r="CM66" s="170"/>
      <c r="CN66" s="170"/>
      <c r="CO66" s="170"/>
      <c r="CP66" s="170"/>
      <c r="CQ66" s="170"/>
      <c r="CR66" s="170"/>
      <c r="CS66" s="170"/>
      <c r="CT66" s="170"/>
      <c r="CU66" s="170"/>
      <c r="CV66" s="170"/>
      <c r="CW66" s="167"/>
      <c r="CX66" s="170"/>
      <c r="CY66" s="170"/>
      <c r="CZ66" s="170"/>
      <c r="DA66" s="170"/>
      <c r="DB66" s="170"/>
      <c r="DC66" s="170"/>
      <c r="DD66" s="170"/>
      <c r="DE66" s="170"/>
      <c r="DF66" s="170"/>
      <c r="DG66" s="170"/>
      <c r="DH66" s="170"/>
      <c r="DI66" s="170"/>
      <c r="DJ66" s="170"/>
      <c r="DK66" s="170"/>
      <c r="DL66" s="170"/>
      <c r="DM66" s="170"/>
      <c r="DO66" s="194">
        <f>(DP65+('Formulação suplementos'!$CM$37-(DP65*0.64))/0.8)/1000</f>
        <v>1.0243820388432132</v>
      </c>
      <c r="DP66" s="195">
        <f>-53.07 + (304.89 * (DO66)) + (90.79 *'Formulação suplementos'!$K$10) - (3.13 * 'Formulação suplementos'!$K$10*'Formulação suplementos'!$K$10)</f>
        <v>654.03669215117293</v>
      </c>
      <c r="DR66" s="170"/>
      <c r="DT66" s="194">
        <f>(DU65+('Formulação suplementos'!$CY$36-(DU65*0.64))/0.8)/1000</f>
        <v>0.43991742979104576</v>
      </c>
      <c r="DU66" s="195">
        <f>-53.07 + (304.89 * (DT66-'Formulação suplementos'!$CA$214)) + (90.79 *('Formulação suplementos'!$CY$30)) - (3.13 *('Formulação suplementos'!$CY$30)^2)</f>
        <v>89.688064175037752</v>
      </c>
      <c r="DV66" s="170"/>
    </row>
    <row r="67" spans="1:126" s="117" customFormat="1" ht="15.75" customHeight="1" x14ac:dyDescent="0.25">
      <c r="A67" s="118"/>
      <c r="B67" s="140"/>
      <c r="C67" s="376"/>
      <c r="D67" s="363"/>
      <c r="E67" s="363"/>
      <c r="F67" s="377"/>
      <c r="G67" s="377"/>
      <c r="H67" s="377"/>
      <c r="I67" s="377"/>
      <c r="J67" s="377"/>
      <c r="K67" s="377"/>
      <c r="L67" s="377"/>
      <c r="M67" s="377"/>
      <c r="N67" s="377"/>
      <c r="O67" s="377"/>
      <c r="P67" s="377"/>
      <c r="Q67" s="377"/>
      <c r="R67" s="377"/>
      <c r="S67" s="377"/>
      <c r="T67" s="377"/>
      <c r="U67" s="377"/>
      <c r="V67" s="378"/>
      <c r="W67" s="316" t="str">
        <f>IF('Formulação suplementos'!$V67/28.125/100=0,"",'Formulação suplementos'!$V67/28.125/100)</f>
        <v/>
      </c>
      <c r="X67" s="119"/>
      <c r="Y67" s="119"/>
      <c r="Z67" s="119"/>
      <c r="AA67" s="119"/>
      <c r="AB67" s="119"/>
      <c r="AC67" s="118"/>
      <c r="AD67" s="118"/>
      <c r="AE67" s="118"/>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c r="BB67"/>
      <c r="BC67"/>
      <c r="BD67"/>
      <c r="BE67"/>
      <c r="BF67"/>
      <c r="BG67" s="262"/>
      <c r="BH67" s="263"/>
      <c r="BI67" s="263"/>
      <c r="BJ67" s="305"/>
      <c r="BK67" s="265"/>
      <c r="BL67" s="265"/>
      <c r="BM67" s="266"/>
      <c r="BN67" s="122"/>
      <c r="BO67" s="122"/>
      <c r="BP67" s="267"/>
      <c r="BQ67" s="312"/>
      <c r="BR67" s="122"/>
      <c r="BS67" s="267"/>
      <c r="BT67" s="267"/>
      <c r="BU67" s="267"/>
      <c r="BV67" s="267"/>
      <c r="BW67" s="267"/>
      <c r="BX67" s="267"/>
      <c r="BY67" s="166"/>
      <c r="BZ67" s="166"/>
      <c r="CA67" s="167"/>
      <c r="CB67" s="168"/>
      <c r="CC67" s="169"/>
      <c r="CD67" s="169"/>
      <c r="CE67" s="169"/>
      <c r="CF67" s="169"/>
      <c r="CG67" s="167"/>
      <c r="CH67" s="170"/>
      <c r="CI67" s="170"/>
      <c r="CJ67" s="170"/>
      <c r="CK67" s="167"/>
      <c r="CL67" s="170"/>
      <c r="CM67" s="170"/>
      <c r="CN67" s="170"/>
      <c r="CO67" s="170"/>
      <c r="CP67" s="170"/>
      <c r="CQ67" s="170"/>
      <c r="CR67" s="170"/>
      <c r="CS67" s="170"/>
      <c r="CT67" s="170"/>
      <c r="CU67" s="170"/>
      <c r="CV67" s="170"/>
      <c r="CW67" s="167"/>
      <c r="CX67" s="170"/>
      <c r="CY67" s="170"/>
      <c r="CZ67" s="170"/>
      <c r="DA67" s="170"/>
      <c r="DB67" s="170"/>
      <c r="DC67" s="170"/>
      <c r="DD67" s="170"/>
      <c r="DE67" s="170"/>
      <c r="DF67" s="170"/>
      <c r="DG67" s="170"/>
      <c r="DH67" s="170"/>
      <c r="DI67" s="170"/>
      <c r="DJ67" s="170"/>
      <c r="DK67" s="170"/>
      <c r="DL67" s="170"/>
      <c r="DM67" s="170"/>
      <c r="DO67" s="194">
        <f>(DP66+('Formulação suplementos'!$CM$37-(DP66*0.64))/0.8)/1000</f>
        <v>1.0243820388432132</v>
      </c>
      <c r="DP67" s="195">
        <f>-53.07 + (304.89 * (DO67)) + (90.79 *'Formulação suplementos'!$K$10) - (3.13 * 'Formulação suplementos'!$K$10*'Formulação suplementos'!$K$10)</f>
        <v>654.03669215117293</v>
      </c>
      <c r="DR67" s="170"/>
      <c r="DT67" s="194">
        <f>(DU66+('Formulação suplementos'!$CY$36-(DU66*0.64))/0.8)/1000</f>
        <v>0.43991742979104576</v>
      </c>
      <c r="DU67" s="195">
        <f>-53.07 + (304.89 * (DT67-'Formulação suplementos'!$CA$214)) + (90.79 *('Formulação suplementos'!$CY$30)) - (3.13 *('Formulação suplementos'!$CY$30)^2)</f>
        <v>89.688064175037752</v>
      </c>
      <c r="DV67" s="170"/>
    </row>
    <row r="68" spans="1:126" s="117" customFormat="1" ht="15.75" customHeight="1" thickBot="1" x14ac:dyDescent="0.3">
      <c r="A68" s="118"/>
      <c r="B68" s="383"/>
      <c r="C68" s="384"/>
      <c r="D68" s="366"/>
      <c r="E68" s="366"/>
      <c r="F68" s="385"/>
      <c r="G68" s="385"/>
      <c r="H68" s="385"/>
      <c r="I68" s="385"/>
      <c r="J68" s="385"/>
      <c r="K68" s="385"/>
      <c r="L68" s="385"/>
      <c r="M68" s="385"/>
      <c r="N68" s="385"/>
      <c r="O68" s="385"/>
      <c r="P68" s="385"/>
      <c r="Q68" s="385"/>
      <c r="R68" s="385"/>
      <c r="S68" s="385"/>
      <c r="T68" s="385"/>
      <c r="U68" s="385"/>
      <c r="V68" s="386"/>
      <c r="W68" s="324" t="str">
        <f>IF('Formulação suplementos'!$V68/28.125/100=0,"",'Formulação suplementos'!$V68/28.125/100)</f>
        <v/>
      </c>
      <c r="X68" s="119"/>
      <c r="Y68" s="119"/>
      <c r="Z68" s="119"/>
      <c r="AA68" s="119"/>
      <c r="AB68" s="119"/>
      <c r="AC68" s="118"/>
      <c r="AD68" s="118"/>
      <c r="AE68" s="118"/>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c r="BB68"/>
      <c r="BC68"/>
      <c r="BD68"/>
      <c r="BE68"/>
      <c r="BF68"/>
      <c r="BG68" s="262"/>
      <c r="BH68" s="263"/>
      <c r="BI68" s="263"/>
      <c r="BJ68" s="305"/>
      <c r="BK68" s="265"/>
      <c r="BL68" s="265"/>
      <c r="BM68" s="265"/>
      <c r="BN68" s="312"/>
      <c r="BO68" s="312"/>
      <c r="BP68" s="322"/>
      <c r="BQ68" s="312"/>
      <c r="BR68" s="122"/>
      <c r="BS68" s="267"/>
      <c r="BT68" s="267"/>
      <c r="BU68" s="267"/>
      <c r="BV68" s="267"/>
      <c r="BW68" s="267"/>
      <c r="BX68" s="267"/>
      <c r="BY68" s="166"/>
      <c r="BZ68" s="166" t="s">
        <v>414</v>
      </c>
      <c r="CA68" s="248">
        <f>IF(CA36&lt;462,CA37*(147*CA36^-0.5),0)</f>
        <v>6.466414229007747E-2</v>
      </c>
      <c r="CB68" s="168"/>
      <c r="CC68" s="169"/>
      <c r="CD68" s="169"/>
      <c r="CE68" s="169"/>
      <c r="CF68" s="169"/>
      <c r="CG68" s="167"/>
      <c r="CH68" s="170"/>
      <c r="CI68" s="170"/>
      <c r="CJ68" s="170"/>
      <c r="CK68" s="167"/>
      <c r="CL68" s="170"/>
      <c r="CM68" s="170"/>
      <c r="CN68" s="170"/>
      <c r="CO68" s="170"/>
      <c r="CP68" s="170"/>
      <c r="CQ68" s="170"/>
      <c r="CR68" s="170"/>
      <c r="CS68" s="170"/>
      <c r="CT68" s="170"/>
      <c r="CU68" s="170"/>
      <c r="CV68" s="170"/>
      <c r="CW68" s="167"/>
      <c r="CX68" s="170"/>
      <c r="CY68" s="170"/>
      <c r="CZ68" s="170"/>
      <c r="DA68" s="170"/>
      <c r="DB68" s="170"/>
      <c r="DC68" s="170"/>
      <c r="DD68" s="170"/>
      <c r="DE68" s="170"/>
      <c r="DF68" s="170"/>
      <c r="DG68" s="170"/>
      <c r="DH68" s="170"/>
      <c r="DI68" s="170"/>
      <c r="DJ68" s="170"/>
      <c r="DK68" s="170"/>
      <c r="DL68" s="170"/>
      <c r="DM68" s="170"/>
      <c r="DO68" s="194">
        <f>(DP67+('Formulação suplementos'!$CM$37-(DP67*0.64))/0.8)/1000</f>
        <v>1.0243820388432132</v>
      </c>
      <c r="DP68" s="195">
        <f>-53.07 + (304.89 * (DO68)) + (90.79 *'Formulação suplementos'!$K$10) - (3.13 * 'Formulação suplementos'!$K$10*'Formulação suplementos'!$K$10)</f>
        <v>654.03669215117293</v>
      </c>
      <c r="DR68" s="170"/>
      <c r="DT68" s="194">
        <f>(DU67+('Formulação suplementos'!$CY$36-(DU67*0.64))/0.8)/1000</f>
        <v>0.43991742979104576</v>
      </c>
      <c r="DU68" s="195">
        <f>-53.07 + (304.89 * (DT68-'Formulação suplementos'!$CA$214)) + (90.79 *('Formulação suplementos'!$CY$30)) - (3.13 *('Formulação suplementos'!$CY$30)^2)</f>
        <v>89.688064175037752</v>
      </c>
      <c r="DV68" s="170"/>
    </row>
    <row r="69" spans="1:126" s="117" customFormat="1" ht="15" x14ac:dyDescent="0.25">
      <c r="A69" s="118"/>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8"/>
      <c r="AD69" s="118"/>
      <c r="AE69" s="118"/>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c r="BB69"/>
      <c r="BC69"/>
      <c r="BD69"/>
      <c r="BE69"/>
      <c r="BF69"/>
      <c r="BG69" s="262"/>
      <c r="BH69" s="263"/>
      <c r="BI69" s="264"/>
      <c r="BJ69" s="325"/>
      <c r="BK69" s="265"/>
      <c r="BL69" s="265"/>
      <c r="BM69" s="265"/>
      <c r="BN69" s="312"/>
      <c r="BO69" s="312"/>
      <c r="BP69" s="322"/>
      <c r="BQ69" s="312"/>
      <c r="BR69" s="122"/>
      <c r="BS69" s="267"/>
      <c r="BT69" s="267"/>
      <c r="BU69" s="267"/>
      <c r="BV69" s="267"/>
      <c r="BW69" s="267"/>
      <c r="BX69" s="267"/>
      <c r="BY69" s="326" t="s">
        <v>217</v>
      </c>
      <c r="BZ69" s="326" t="s">
        <v>415</v>
      </c>
      <c r="CA69" s="248">
        <f>11.7*C6/1000</f>
        <v>5.85</v>
      </c>
      <c r="CB69" s="168"/>
      <c r="CC69" s="169"/>
      <c r="CD69" s="169"/>
      <c r="CE69" s="169"/>
      <c r="CF69" s="169"/>
      <c r="CG69" s="167"/>
      <c r="CH69" s="170"/>
      <c r="CI69" s="170"/>
      <c r="CJ69" s="170"/>
      <c r="CK69" s="167"/>
      <c r="CL69" s="170"/>
      <c r="CM69" s="170"/>
      <c r="CN69" s="170"/>
      <c r="CO69" s="170"/>
      <c r="CP69" s="170"/>
      <c r="CQ69" s="170"/>
      <c r="CR69" s="170"/>
      <c r="CS69" s="170"/>
      <c r="CT69" s="170"/>
      <c r="CU69" s="170"/>
      <c r="CV69" s="170"/>
      <c r="CW69" s="167"/>
      <c r="CX69" s="170"/>
      <c r="CY69" s="170"/>
      <c r="CZ69" s="170"/>
      <c r="DA69" s="170"/>
      <c r="DB69" s="170"/>
      <c r="DC69" s="170"/>
      <c r="DD69" s="170"/>
      <c r="DE69" s="170"/>
      <c r="DF69" s="170"/>
      <c r="DG69" s="170"/>
      <c r="DH69" s="170"/>
      <c r="DI69" s="170"/>
      <c r="DJ69" s="170"/>
      <c r="DK69" s="170"/>
      <c r="DL69" s="170"/>
      <c r="DM69" s="170"/>
      <c r="DO69" s="194">
        <f>(DP68+('Formulação suplementos'!$CM$37-(DP68*0.64))/0.8)/1000</f>
        <v>1.0243820388432132</v>
      </c>
      <c r="DP69" s="195">
        <f>-53.07 + (304.89 * (DO69)) + (90.79 *'Formulação suplementos'!$K$10) - (3.13 * 'Formulação suplementos'!$K$10*'Formulação suplementos'!$K$10)</f>
        <v>654.03669215117293</v>
      </c>
      <c r="DR69" s="170"/>
      <c r="DT69" s="194">
        <f>(DU68+('Formulação suplementos'!$CY$36-(DU68*0.64))/0.8)/1000</f>
        <v>0.43991742979104576</v>
      </c>
      <c r="DU69" s="195">
        <f>-53.07 + (304.89 * (DT69-'Formulação suplementos'!$CA$214)) + (90.79 *('Formulação suplementos'!$CY$30)) - (3.13 *('Formulação suplementos'!$CY$30)^2)</f>
        <v>89.688064175037752</v>
      </c>
      <c r="DV69" s="170"/>
    </row>
    <row r="70" spans="1:126" s="117" customFormat="1" ht="15" x14ac:dyDescent="0.25">
      <c r="A70" s="118"/>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8"/>
      <c r="AD70" s="118"/>
      <c r="AE70" s="118"/>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c r="BB70"/>
      <c r="BC70"/>
      <c r="BD70"/>
      <c r="BE70"/>
      <c r="BF70"/>
      <c r="BG70" s="262"/>
      <c r="BH70" s="263"/>
      <c r="BI70" s="264"/>
      <c r="BJ70" s="325"/>
      <c r="BK70" s="265"/>
      <c r="BL70" s="265"/>
      <c r="BM70" s="265"/>
      <c r="BN70" s="312"/>
      <c r="BO70" s="312"/>
      <c r="BP70" s="322"/>
      <c r="BQ70" s="312"/>
      <c r="BR70" s="122"/>
      <c r="BS70" s="267"/>
      <c r="BT70" s="267"/>
      <c r="BU70" s="267"/>
      <c r="BV70" s="267"/>
      <c r="BW70" s="267"/>
      <c r="BX70" s="267"/>
      <c r="BY70" s="326"/>
      <c r="BZ70" s="326" t="s">
        <v>416</v>
      </c>
      <c r="CA70" s="248">
        <f>1.1*CM22</f>
        <v>6.6779745445412875</v>
      </c>
      <c r="CB70" s="168"/>
      <c r="CC70" s="169"/>
      <c r="CD70" s="169"/>
      <c r="CE70" s="169"/>
      <c r="CF70" s="169"/>
      <c r="CG70" s="167"/>
      <c r="CH70" s="170"/>
      <c r="CI70" s="170"/>
      <c r="CJ70" s="170"/>
      <c r="CK70" s="167"/>
      <c r="CL70" s="170"/>
      <c r="CM70" s="170"/>
      <c r="CN70" s="170"/>
      <c r="CO70" s="170"/>
      <c r="CP70" s="170"/>
      <c r="CQ70" s="170"/>
      <c r="CR70" s="170"/>
      <c r="CS70" s="170"/>
      <c r="CT70" s="170"/>
      <c r="CU70" s="170"/>
      <c r="CV70" s="170"/>
      <c r="CW70" s="167"/>
      <c r="CX70" s="170"/>
      <c r="CY70" s="170"/>
      <c r="CZ70" s="170"/>
      <c r="DA70" s="170"/>
      <c r="DB70" s="170"/>
      <c r="DC70" s="170"/>
      <c r="DD70" s="170"/>
      <c r="DE70" s="170"/>
      <c r="DF70" s="170"/>
      <c r="DG70" s="170"/>
      <c r="DH70" s="170"/>
      <c r="DI70" s="170"/>
      <c r="DJ70" s="170"/>
      <c r="DK70" s="170"/>
      <c r="DL70" s="170"/>
      <c r="DM70" s="170"/>
      <c r="DO70" s="194">
        <f>(DP69+('Formulação suplementos'!$CM$37-(DP69*0.64))/0.8)/1000</f>
        <v>1.0243820388432132</v>
      </c>
      <c r="DP70" s="195">
        <f>-53.07 + (304.89 * (DO70)) + (90.79 *'Formulação suplementos'!$K$10) - (3.13 * 'Formulação suplementos'!$K$10*'Formulação suplementos'!$K$10)</f>
        <v>654.03669215117293</v>
      </c>
      <c r="DR70" s="170"/>
      <c r="DT70" s="194">
        <f>(DU69+('Formulação suplementos'!$CY$36-(DU69*0.64))/0.8)/1000</f>
        <v>0.43991742979104576</v>
      </c>
      <c r="DU70" s="195">
        <f>-53.07 + (304.89 * (DT70-'Formulação suplementos'!$CA$214)) + (90.79 *('Formulação suplementos'!$CY$30)) - (3.13 *('Formulação suplementos'!$CY$30)^2)</f>
        <v>89.688064175037752</v>
      </c>
      <c r="DV70" s="170"/>
    </row>
    <row r="71" spans="1:126" s="117" customFormat="1" ht="15" x14ac:dyDescent="0.25">
      <c r="A71" s="118"/>
      <c r="B71" s="327" t="s">
        <v>417</v>
      </c>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8"/>
      <c r="AD71" s="118"/>
      <c r="AE71" s="118"/>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c r="BB71"/>
      <c r="BC71"/>
      <c r="BD71"/>
      <c r="BE71"/>
      <c r="BF71"/>
      <c r="BG71" s="262"/>
      <c r="BH71" s="264"/>
      <c r="BI71" s="264"/>
      <c r="BJ71" s="328"/>
      <c r="BK71" s="265"/>
      <c r="BL71" s="265"/>
      <c r="BM71" s="265"/>
      <c r="BN71" s="312"/>
      <c r="BO71" s="312"/>
      <c r="BP71" s="322"/>
      <c r="BQ71" s="312"/>
      <c r="BR71" s="122"/>
      <c r="BS71" s="267"/>
      <c r="BT71" s="267"/>
      <c r="BU71" s="267"/>
      <c r="BV71" s="267"/>
      <c r="BW71" s="267"/>
      <c r="BX71" s="267"/>
      <c r="BY71" s="326"/>
      <c r="BZ71" s="326" t="s">
        <v>418</v>
      </c>
      <c r="CA71" s="248">
        <f>CA70+CA69+CA68</f>
        <v>12.592638686831364</v>
      </c>
      <c r="CB71" s="168"/>
      <c r="CC71" s="169"/>
      <c r="CD71" s="169"/>
      <c r="CE71" s="169"/>
      <c r="CF71" s="169"/>
      <c r="CG71" s="167"/>
      <c r="CH71" s="170"/>
      <c r="CI71" s="170"/>
      <c r="CJ71" s="170"/>
      <c r="CK71" s="167"/>
      <c r="CL71" s="170"/>
      <c r="CM71" s="170"/>
      <c r="CN71" s="170"/>
      <c r="CO71" s="170"/>
      <c r="CP71" s="170"/>
      <c r="CQ71" s="170"/>
      <c r="CR71" s="170"/>
      <c r="CS71" s="170"/>
      <c r="CT71" s="170"/>
      <c r="CU71" s="170"/>
      <c r="CV71" s="170"/>
      <c r="CW71" s="167"/>
      <c r="CX71" s="170"/>
      <c r="CY71" s="170"/>
      <c r="CZ71" s="170"/>
      <c r="DA71" s="170"/>
      <c r="DB71" s="170"/>
      <c r="DC71" s="170"/>
      <c r="DD71" s="170"/>
      <c r="DE71" s="170"/>
      <c r="DF71" s="170"/>
      <c r="DG71" s="170"/>
      <c r="DH71" s="170"/>
      <c r="DI71" s="170"/>
      <c r="DJ71" s="170"/>
      <c r="DK71" s="170"/>
      <c r="DL71" s="170"/>
      <c r="DM71" s="170"/>
      <c r="DO71" s="194">
        <f>(DP70+('Formulação suplementos'!$CM$37-(DP70*0.64))/0.8)/1000</f>
        <v>1.0243820388432132</v>
      </c>
      <c r="DP71" s="195">
        <f>-53.07 + (304.89 * (DO71)) + (90.79 *'Formulação suplementos'!$K$10) - (3.13 * 'Formulação suplementos'!$K$10*'Formulação suplementos'!$K$10)</f>
        <v>654.03669215117293</v>
      </c>
      <c r="DR71" s="170"/>
      <c r="DT71" s="194">
        <f>(DU70+('Formulação suplementos'!$CY$36-(DU70*0.64))/0.8)/1000</f>
        <v>0.43991742979104576</v>
      </c>
      <c r="DU71" s="195">
        <f>-53.07 + (304.89 * (DT71-'Formulação suplementos'!$CA$214)) + (90.79 *('Formulação suplementos'!$CY$30)) - (3.13 *('Formulação suplementos'!$CY$30)^2)</f>
        <v>89.688064175037752</v>
      </c>
      <c r="DV71" s="170"/>
    </row>
    <row r="72" spans="1:126" s="117" customFormat="1" ht="15" x14ac:dyDescent="0.25">
      <c r="A72" s="118"/>
      <c r="B72" s="329" t="s">
        <v>419</v>
      </c>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8"/>
      <c r="AD72" s="118"/>
      <c r="AE72" s="118"/>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c r="BB72"/>
      <c r="BC72"/>
      <c r="BD72"/>
      <c r="BE72"/>
      <c r="BF72"/>
      <c r="BG72" s="262"/>
      <c r="BH72" s="263"/>
      <c r="BI72" s="263"/>
      <c r="BJ72" s="305"/>
      <c r="BK72" s="265"/>
      <c r="BL72" s="265"/>
      <c r="BM72" s="265"/>
      <c r="BN72" s="312"/>
      <c r="BO72" s="312"/>
      <c r="BP72" s="322"/>
      <c r="BQ72" s="312"/>
      <c r="BR72" s="122"/>
      <c r="BS72" s="267"/>
      <c r="BT72" s="267"/>
      <c r="BU72" s="267"/>
      <c r="BV72" s="267"/>
      <c r="BW72" s="267"/>
      <c r="BX72" s="267"/>
      <c r="BY72" s="326"/>
      <c r="BZ72" s="326" t="s">
        <v>420</v>
      </c>
      <c r="CA72" s="167"/>
      <c r="CB72" s="168"/>
      <c r="CC72" s="169"/>
      <c r="CD72" s="169"/>
      <c r="CE72" s="169"/>
      <c r="CF72" s="169"/>
      <c r="CG72" s="167"/>
      <c r="CH72" s="170"/>
      <c r="CI72" s="170"/>
      <c r="CJ72" s="170"/>
      <c r="CK72" s="167"/>
      <c r="CL72" s="170"/>
      <c r="CM72" s="170"/>
      <c r="CN72" s="170"/>
      <c r="CO72" s="170"/>
      <c r="CP72" s="170"/>
      <c r="CQ72" s="170"/>
      <c r="CR72" s="170"/>
      <c r="CS72" s="170"/>
      <c r="CT72" s="170"/>
      <c r="CU72" s="170"/>
      <c r="CV72" s="170"/>
      <c r="CW72" s="167"/>
      <c r="CX72" s="170"/>
      <c r="CY72" s="170"/>
      <c r="CZ72" s="170"/>
      <c r="DA72" s="170"/>
      <c r="DB72" s="170"/>
      <c r="DC72" s="170"/>
      <c r="DD72" s="170"/>
      <c r="DE72" s="170"/>
      <c r="DF72" s="170"/>
      <c r="DG72" s="170"/>
      <c r="DH72" s="170"/>
      <c r="DI72" s="170"/>
      <c r="DJ72" s="170"/>
      <c r="DK72" s="170"/>
      <c r="DL72" s="170"/>
      <c r="DM72" s="170"/>
      <c r="DO72" s="194">
        <f>(DP71+('Formulação suplementos'!$CM$37-(DP71*0.64))/0.8)/1000</f>
        <v>1.0243820388432132</v>
      </c>
      <c r="DP72" s="195">
        <f>-53.07 + (304.89 * (DO72)) + (90.79 *'Formulação suplementos'!$K$10) - (3.13 * 'Formulação suplementos'!$K$10*'Formulação suplementos'!$K$10)</f>
        <v>654.03669215117293</v>
      </c>
      <c r="DR72" s="170"/>
      <c r="DT72" s="194">
        <f>(DU71+('Formulação suplementos'!$CY$36-(DU71*0.64))/0.8)/1000</f>
        <v>0.43991742979104576</v>
      </c>
      <c r="DU72" s="195">
        <f>-53.07 + (304.89 * (DT72-'Formulação suplementos'!$CA$214)) + (90.79 *('Formulação suplementos'!$CY$30)) - (3.13 *('Formulação suplementos'!$CY$30)^2)</f>
        <v>89.688064175037752</v>
      </c>
      <c r="DV72" s="170"/>
    </row>
    <row r="73" spans="1:126" s="117" customFormat="1" ht="15" x14ac:dyDescent="0.25">
      <c r="A73" s="118"/>
      <c r="B73" s="329" t="s">
        <v>421</v>
      </c>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8"/>
      <c r="AD73" s="118"/>
      <c r="AE73" s="118"/>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c r="BB73"/>
      <c r="BC73"/>
      <c r="BD73"/>
      <c r="BE73"/>
      <c r="BF73"/>
      <c r="BG73" s="262"/>
      <c r="BH73" s="263"/>
      <c r="BI73" s="263"/>
      <c r="BJ73" s="305"/>
      <c r="BK73" s="265"/>
      <c r="BL73" s="265"/>
      <c r="BM73" s="265"/>
      <c r="BN73" s="312"/>
      <c r="BO73" s="312"/>
      <c r="BP73" s="322"/>
      <c r="BQ73" s="312"/>
      <c r="BR73" s="122"/>
      <c r="BS73" s="267"/>
      <c r="BT73" s="267"/>
      <c r="BU73" s="267"/>
      <c r="BV73" s="267"/>
      <c r="BW73" s="267"/>
      <c r="BX73" s="267"/>
      <c r="BY73" s="326"/>
      <c r="BZ73" s="330" t="s">
        <v>422</v>
      </c>
      <c r="CA73" s="331">
        <f>CA71/CR21</f>
        <v>22.170138533153811</v>
      </c>
      <c r="CB73" s="168"/>
      <c r="CC73" s="169"/>
      <c r="CD73" s="169"/>
      <c r="CE73" s="169"/>
      <c r="CF73" s="169"/>
      <c r="CG73" s="167"/>
      <c r="CH73" s="170"/>
      <c r="CI73" s="170"/>
      <c r="CJ73" s="170"/>
      <c r="CK73" s="167"/>
      <c r="CL73" s="170"/>
      <c r="CM73" s="170"/>
      <c r="CN73" s="170"/>
      <c r="CO73" s="170"/>
      <c r="CP73" s="170"/>
      <c r="CQ73" s="170"/>
      <c r="CR73" s="170"/>
      <c r="CS73" s="170"/>
      <c r="CT73" s="170"/>
      <c r="CU73" s="170"/>
      <c r="CV73" s="170"/>
      <c r="CW73" s="167"/>
      <c r="CX73" s="170"/>
      <c r="CY73" s="170"/>
      <c r="CZ73" s="170"/>
      <c r="DA73" s="170"/>
      <c r="DB73" s="170"/>
      <c r="DC73" s="170"/>
      <c r="DD73" s="170"/>
      <c r="DE73" s="170"/>
      <c r="DF73" s="170"/>
      <c r="DG73" s="170"/>
      <c r="DH73" s="170"/>
      <c r="DI73" s="170"/>
      <c r="DJ73" s="170"/>
      <c r="DK73" s="170"/>
      <c r="DL73" s="170"/>
      <c r="DM73" s="170"/>
      <c r="DO73" s="194">
        <f>(DP72+('Formulação suplementos'!$CM$37-(DP72*0.64))/0.8)/1000</f>
        <v>1.0243820388432132</v>
      </c>
      <c r="DP73" s="195">
        <f>-53.07 + (304.89 * (DO73)) + (90.79 *'Formulação suplementos'!$K$10) - (3.13 * 'Formulação suplementos'!$K$10*'Formulação suplementos'!$K$10)</f>
        <v>654.03669215117293</v>
      </c>
      <c r="DR73" s="170"/>
      <c r="DT73" s="194">
        <f>(DU72+('Formulação suplementos'!$CY$36-(DU72*0.64))/0.8)/1000</f>
        <v>0.43991742979104576</v>
      </c>
      <c r="DU73" s="195">
        <f>-53.07 + (304.89 * (DT73-'Formulação suplementos'!$CA$214)) + (90.79 *('Formulação suplementos'!$CY$30)) - (3.13 *('Formulação suplementos'!$CY$30)^2)</f>
        <v>89.688064175037752</v>
      </c>
      <c r="DV73" s="170"/>
    </row>
    <row r="74" spans="1:126" s="117" customFormat="1" ht="15" x14ac:dyDescent="0.25">
      <c r="A74" s="118"/>
      <c r="B74" s="329" t="s">
        <v>423</v>
      </c>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8"/>
      <c r="AD74" s="118"/>
      <c r="AE74" s="118"/>
      <c r="AF74" s="116"/>
      <c r="AG74" s="116"/>
      <c r="AH74" s="116"/>
      <c r="AI74" s="116"/>
      <c r="AJ74" s="116"/>
      <c r="AK74" s="116"/>
      <c r="AL74" s="116"/>
      <c r="AM74" s="116"/>
      <c r="AN74" s="116"/>
      <c r="AO74" s="116"/>
      <c r="AP74" s="116"/>
      <c r="AQ74" s="116"/>
      <c r="AR74" s="116"/>
      <c r="AS74" s="116"/>
      <c r="AT74" s="116"/>
      <c r="AU74" s="116"/>
      <c r="AV74" s="116"/>
      <c r="AW74" s="116"/>
      <c r="AX74" s="116"/>
      <c r="AY74" s="116"/>
      <c r="AZ74" s="116"/>
      <c r="BA74"/>
      <c r="BB74"/>
      <c r="BC74"/>
      <c r="BD74"/>
      <c r="BE74"/>
      <c r="BF74"/>
      <c r="BG74" s="262"/>
      <c r="BH74" s="263"/>
      <c r="BI74" s="263"/>
      <c r="BJ74" s="305"/>
      <c r="BK74" s="265"/>
      <c r="BL74" s="265"/>
      <c r="BM74" s="265"/>
      <c r="BN74" s="312"/>
      <c r="BO74" s="312"/>
      <c r="BP74" s="322"/>
      <c r="BQ74" s="312"/>
      <c r="BR74" s="122"/>
      <c r="BS74" s="267"/>
      <c r="BT74" s="267"/>
      <c r="BU74" s="267"/>
      <c r="BV74" s="267"/>
      <c r="BW74" s="267"/>
      <c r="BX74" s="267"/>
      <c r="BY74" s="326"/>
      <c r="BZ74" s="326"/>
      <c r="CA74" s="167"/>
      <c r="CB74" s="168"/>
      <c r="CC74" s="169"/>
      <c r="CD74" s="169"/>
      <c r="CE74" s="169"/>
      <c r="CF74" s="169"/>
      <c r="CG74" s="167"/>
      <c r="CH74" s="170"/>
      <c r="CI74" s="170"/>
      <c r="CJ74" s="170"/>
      <c r="CK74" s="167"/>
      <c r="CL74" s="170"/>
      <c r="CM74" s="170"/>
      <c r="CN74" s="170"/>
      <c r="CO74" s="170"/>
      <c r="CP74" s="170"/>
      <c r="CQ74" s="170"/>
      <c r="CR74" s="170"/>
      <c r="CS74" s="170"/>
      <c r="CT74" s="170"/>
      <c r="CU74" s="170"/>
      <c r="CV74" s="170"/>
      <c r="CW74" s="167"/>
      <c r="CX74" s="170"/>
      <c r="CY74" s="170"/>
      <c r="CZ74" s="170"/>
      <c r="DA74" s="170"/>
      <c r="DB74" s="170"/>
      <c r="DC74" s="170"/>
      <c r="DD74" s="170"/>
      <c r="DE74" s="170"/>
      <c r="DF74" s="170"/>
      <c r="DG74" s="170"/>
      <c r="DH74" s="170"/>
      <c r="DI74" s="170"/>
      <c r="DJ74" s="170"/>
      <c r="DK74" s="170"/>
      <c r="DL74" s="170"/>
      <c r="DM74" s="170"/>
      <c r="DO74" s="194">
        <f>(DP73+('Formulação suplementos'!$CM$37-(DP73*0.64))/0.8)/1000</f>
        <v>1.0243820388432132</v>
      </c>
      <c r="DP74" s="195">
        <f>-53.07 + (304.89 * (DO74)) + (90.79 *'Formulação suplementos'!$K$10) - (3.13 * 'Formulação suplementos'!$K$10*'Formulação suplementos'!$K$10)</f>
        <v>654.03669215117293</v>
      </c>
      <c r="DR74" s="170"/>
      <c r="DT74" s="194">
        <f>(DU73+('Formulação suplementos'!$CY$36-(DU73*0.64))/0.8)/1000</f>
        <v>0.43991742979104576</v>
      </c>
      <c r="DU74" s="195">
        <f>-53.07 + (304.89 * (DT74-'Formulação suplementos'!$CA$214)) + (90.79 *('Formulação suplementos'!$CY$30)) - (3.13 *('Formulação suplementos'!$CY$30)^2)</f>
        <v>89.688064175037752</v>
      </c>
      <c r="DV74" s="170"/>
    </row>
    <row r="75" spans="1:126" s="117" customFormat="1" ht="15" x14ac:dyDescent="0.25">
      <c r="A75" s="118"/>
      <c r="B75" s="329" t="s">
        <v>424</v>
      </c>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8"/>
      <c r="AD75" s="118"/>
      <c r="AE75" s="118"/>
      <c r="AF75" s="116"/>
      <c r="AG75" s="116"/>
      <c r="AH75" s="116"/>
      <c r="AI75" s="116"/>
      <c r="AJ75" s="116"/>
      <c r="AK75" s="116"/>
      <c r="AL75" s="116"/>
      <c r="AM75" s="116"/>
      <c r="AN75" s="116"/>
      <c r="AO75" s="116"/>
      <c r="AP75" s="116"/>
      <c r="AQ75" s="116"/>
      <c r="AR75" s="116"/>
      <c r="AS75" s="116"/>
      <c r="AT75" s="116"/>
      <c r="AU75" s="116"/>
      <c r="AV75" s="116"/>
      <c r="AW75" s="116"/>
      <c r="AX75" s="116"/>
      <c r="AY75" s="116"/>
      <c r="AZ75" s="116"/>
      <c r="BA75"/>
      <c r="BB75"/>
      <c r="BC75"/>
      <c r="BD75"/>
      <c r="BE75"/>
      <c r="BF75"/>
      <c r="BG75" s="262"/>
      <c r="BH75" s="263"/>
      <c r="BI75" s="264"/>
      <c r="BJ75" s="325"/>
      <c r="BK75" s="265"/>
      <c r="BL75" s="265"/>
      <c r="BM75" s="265"/>
      <c r="BN75" s="312"/>
      <c r="BO75" s="312"/>
      <c r="BP75" s="322"/>
      <c r="BQ75" s="312"/>
      <c r="BR75" s="122"/>
      <c r="BS75" s="267"/>
      <c r="BT75" s="267"/>
      <c r="BU75" s="267"/>
      <c r="BV75" s="267"/>
      <c r="BW75" s="267"/>
      <c r="BX75" s="267"/>
      <c r="BY75" s="326" t="s">
        <v>425</v>
      </c>
      <c r="BZ75" s="326" t="s">
        <v>426</v>
      </c>
      <c r="CA75" s="248">
        <f>13.5*C6/1000</f>
        <v>6.75</v>
      </c>
      <c r="CB75" s="168"/>
      <c r="CC75" s="169"/>
      <c r="CD75" s="169"/>
      <c r="CE75" s="169"/>
      <c r="CF75" s="169"/>
      <c r="CG75" s="167"/>
      <c r="CH75" s="170"/>
      <c r="CI75" s="170"/>
      <c r="CJ75" s="170"/>
      <c r="CK75" s="167"/>
      <c r="CL75" s="170"/>
      <c r="CM75" s="170"/>
      <c r="CN75" s="170"/>
      <c r="CO75" s="170"/>
      <c r="CP75" s="170"/>
      <c r="CQ75" s="170"/>
      <c r="CR75" s="170"/>
      <c r="CS75" s="170"/>
      <c r="CT75" s="170"/>
      <c r="CU75" s="170"/>
      <c r="CV75" s="170"/>
      <c r="CW75" s="167"/>
      <c r="CX75" s="170"/>
      <c r="CY75" s="170"/>
      <c r="CZ75" s="170"/>
      <c r="DA75" s="170"/>
      <c r="DB75" s="170"/>
      <c r="DC75" s="170"/>
      <c r="DD75" s="170"/>
      <c r="DE75" s="170"/>
      <c r="DF75" s="170"/>
      <c r="DG75" s="170"/>
      <c r="DH75" s="170"/>
      <c r="DI75" s="170"/>
      <c r="DJ75" s="170"/>
      <c r="DK75" s="170"/>
      <c r="DL75" s="170"/>
      <c r="DM75" s="170"/>
      <c r="DO75" s="194">
        <f>(DP74+('Formulação suplementos'!$CM$37-(DP74*0.64))/0.8)/1000</f>
        <v>1.0243820388432132</v>
      </c>
      <c r="DP75" s="195">
        <f>-53.07 + (304.89 * (DO75)) + (90.79 *'Formulação suplementos'!$K$10) - (3.13 * 'Formulação suplementos'!$K$10*'Formulação suplementos'!$K$10)</f>
        <v>654.03669215117293</v>
      </c>
      <c r="DR75" s="170"/>
      <c r="DT75" s="194">
        <f>(DU74+('Formulação suplementos'!$CY$36-(DU74*0.64))/0.8)/1000</f>
        <v>0.43991742979104576</v>
      </c>
      <c r="DU75" s="195">
        <f>-53.07 + (304.89 * (DT75-'Formulação suplementos'!$CA$214)) + (90.79 *('Formulação suplementos'!$CY$30)) - (3.13 *('Formulação suplementos'!$CY$30)^2)</f>
        <v>89.688064175037752</v>
      </c>
      <c r="DV75" s="170"/>
    </row>
    <row r="76" spans="1:126" s="117" customFormat="1" ht="15" x14ac:dyDescent="0.25">
      <c r="A76" s="118"/>
      <c r="B76" s="329" t="s">
        <v>427</v>
      </c>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8"/>
      <c r="AD76" s="118"/>
      <c r="AE76" s="118"/>
      <c r="AF76" s="116"/>
      <c r="AG76" s="116"/>
      <c r="AH76" s="116"/>
      <c r="AI76" s="116"/>
      <c r="AJ76" s="116"/>
      <c r="AK76" s="116"/>
      <c r="AL76" s="116"/>
      <c r="AM76" s="116"/>
      <c r="AN76" s="116"/>
      <c r="AO76" s="116"/>
      <c r="AP76" s="116"/>
      <c r="AQ76" s="116"/>
      <c r="AR76" s="116"/>
      <c r="AS76" s="116"/>
      <c r="AT76" s="116"/>
      <c r="AU76" s="116"/>
      <c r="AV76" s="116"/>
      <c r="AW76" s="116"/>
      <c r="AX76" s="116"/>
      <c r="AY76" s="116"/>
      <c r="AZ76" s="116"/>
      <c r="BA76"/>
      <c r="BB76"/>
      <c r="BC76"/>
      <c r="BD76"/>
      <c r="BE76"/>
      <c r="BF76"/>
      <c r="BG76" s="262"/>
      <c r="BH76" s="264"/>
      <c r="BI76" s="264"/>
      <c r="BJ76" s="265"/>
      <c r="BK76" s="265"/>
      <c r="BL76" s="265"/>
      <c r="BM76" s="265"/>
      <c r="BN76" s="312"/>
      <c r="BO76" s="312"/>
      <c r="BP76" s="322"/>
      <c r="BQ76" s="312"/>
      <c r="BR76" s="122"/>
      <c r="BS76" s="267"/>
      <c r="BT76" s="267"/>
      <c r="BU76" s="267"/>
      <c r="BV76" s="267"/>
      <c r="BW76" s="267"/>
      <c r="BX76" s="267"/>
      <c r="BY76" s="326"/>
      <c r="BZ76" s="326" t="s">
        <v>428</v>
      </c>
      <c r="CA76" s="248">
        <f>CA37*(54.4*CA36^-0.4484)</f>
        <v>3.2669715519163332E-2</v>
      </c>
      <c r="CB76" s="168"/>
      <c r="CC76" s="169"/>
      <c r="CD76" s="169"/>
      <c r="CE76" s="169"/>
      <c r="CF76" s="169"/>
      <c r="CG76" s="167"/>
      <c r="CH76" s="170"/>
      <c r="CI76" s="170"/>
      <c r="CJ76" s="170"/>
      <c r="CK76" s="167"/>
      <c r="CL76" s="170"/>
      <c r="CM76" s="170"/>
      <c r="CN76" s="170"/>
      <c r="CO76" s="170"/>
      <c r="CP76" s="170"/>
      <c r="CQ76" s="170"/>
      <c r="CR76" s="170"/>
      <c r="CS76" s="170"/>
      <c r="CT76" s="170"/>
      <c r="CU76" s="170"/>
      <c r="CV76" s="170"/>
      <c r="CW76" s="167"/>
      <c r="CX76" s="170"/>
      <c r="CY76" s="170"/>
      <c r="CZ76" s="170"/>
      <c r="DA76" s="170"/>
      <c r="DB76" s="170"/>
      <c r="DC76" s="170"/>
      <c r="DD76" s="170"/>
      <c r="DE76" s="170"/>
      <c r="DF76" s="170"/>
      <c r="DG76" s="170"/>
      <c r="DH76" s="170"/>
      <c r="DI76" s="170"/>
      <c r="DJ76" s="170"/>
      <c r="DK76" s="170"/>
      <c r="DL76" s="170"/>
      <c r="DM76" s="170"/>
      <c r="DO76" s="194">
        <f>(DP75+('Formulação suplementos'!$CM$37-(DP75*0.64))/0.8)/1000</f>
        <v>1.0243820388432132</v>
      </c>
      <c r="DP76" s="195">
        <f>-53.07 + (304.89 * (DO76)) + (90.79 *'Formulação suplementos'!$K$10) - (3.13 * 'Formulação suplementos'!$K$10*'Formulação suplementos'!$K$10)</f>
        <v>654.03669215117293</v>
      </c>
      <c r="DR76" s="170"/>
      <c r="DT76" s="194">
        <f>(DU75+('Formulação suplementos'!$CY$36-(DU75*0.64))/0.8)/1000</f>
        <v>0.43991742979104576</v>
      </c>
      <c r="DU76" s="195">
        <f>-53.07 + (304.89 * (DT76-'Formulação suplementos'!$CA$214)) + (90.79 *('Formulação suplementos'!$CY$30)) - (3.13 *('Formulação suplementos'!$CY$30)^2)</f>
        <v>89.688064175037752</v>
      </c>
      <c r="DV76" s="170"/>
    </row>
    <row r="77" spans="1:126" s="117" customFormat="1" ht="15" x14ac:dyDescent="0.25">
      <c r="A77" s="118"/>
      <c r="B77" s="32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8"/>
      <c r="AD77" s="118"/>
      <c r="AE77" s="118"/>
      <c r="AF77" s="116"/>
      <c r="AG77" s="116"/>
      <c r="AH77" s="116"/>
      <c r="AI77" s="116"/>
      <c r="AJ77" s="116"/>
      <c r="AK77" s="116"/>
      <c r="AL77" s="116"/>
      <c r="AM77" s="116"/>
      <c r="AN77" s="116"/>
      <c r="AO77" s="116"/>
      <c r="AP77" s="116"/>
      <c r="AQ77" s="116"/>
      <c r="AR77" s="116"/>
      <c r="AS77" s="116"/>
      <c r="AT77" s="116"/>
      <c r="AU77" s="116"/>
      <c r="AV77" s="116"/>
      <c r="AW77" s="116"/>
      <c r="AX77" s="116"/>
      <c r="AY77" s="116"/>
      <c r="AZ77" s="116"/>
      <c r="BA77"/>
      <c r="BB77"/>
      <c r="BC77"/>
      <c r="BD77"/>
      <c r="BE77"/>
      <c r="BF77"/>
      <c r="BG77" s="262"/>
      <c r="BH77" s="263"/>
      <c r="BI77" s="263"/>
      <c r="BJ77" s="265"/>
      <c r="BK77" s="265"/>
      <c r="BL77" s="265"/>
      <c r="BM77" s="265"/>
      <c r="BN77" s="312"/>
      <c r="BO77" s="312"/>
      <c r="BP77" s="322"/>
      <c r="BQ77" s="312"/>
      <c r="BR77" s="122"/>
      <c r="BS77" s="267"/>
      <c r="BT77" s="267"/>
      <c r="BU77" s="267"/>
      <c r="BV77" s="267"/>
      <c r="BW77" s="267"/>
      <c r="BX77" s="267"/>
      <c r="BY77" s="326"/>
      <c r="BZ77" s="326" t="s">
        <v>429</v>
      </c>
      <c r="CA77" s="332">
        <f>0.77*CM22</f>
        <v>4.6745821811789003</v>
      </c>
      <c r="CB77" s="168"/>
      <c r="CC77" s="169"/>
      <c r="CD77" s="169"/>
      <c r="CE77" s="169"/>
      <c r="CF77" s="169"/>
      <c r="CG77" s="167"/>
      <c r="CH77" s="170"/>
      <c r="CI77" s="170"/>
      <c r="CJ77" s="170"/>
      <c r="CK77" s="167"/>
      <c r="CL77" s="170"/>
      <c r="CM77" s="170"/>
      <c r="CN77" s="170"/>
      <c r="CO77" s="170"/>
      <c r="CP77" s="170"/>
      <c r="CQ77" s="170"/>
      <c r="CR77" s="170"/>
      <c r="CS77" s="170"/>
      <c r="CT77" s="170"/>
      <c r="CU77" s="170"/>
      <c r="CV77" s="170"/>
      <c r="CW77" s="167"/>
      <c r="CX77" s="170"/>
      <c r="CY77" s="170"/>
      <c r="CZ77" s="170"/>
      <c r="DA77" s="170"/>
      <c r="DB77" s="170"/>
      <c r="DC77" s="170"/>
      <c r="DD77" s="170"/>
      <c r="DE77" s="170"/>
      <c r="DF77" s="170"/>
      <c r="DG77" s="170"/>
      <c r="DH77" s="170"/>
      <c r="DI77" s="170"/>
      <c r="DJ77" s="170"/>
      <c r="DK77" s="170"/>
      <c r="DL77" s="170"/>
      <c r="DM77" s="170"/>
      <c r="DO77" s="194">
        <f>(DP76+('Formulação suplementos'!$CM$37-(DP76*0.64))/0.8)/1000</f>
        <v>1.0243820388432132</v>
      </c>
      <c r="DP77" s="195">
        <f>-53.07 + (304.89 * (DO77)) + (90.79 *'Formulação suplementos'!$K$10) - (3.13 * 'Formulação suplementos'!$K$10*'Formulação suplementos'!$K$10)</f>
        <v>654.03669215117293</v>
      </c>
      <c r="DR77" s="170"/>
      <c r="DT77" s="194">
        <f>(DU76+('Formulação suplementos'!$CY$36-(DU76*0.64))/0.8)/1000</f>
        <v>0.43991742979104576</v>
      </c>
      <c r="DU77" s="195">
        <f>-53.07 + (304.89 * (DT77-'Formulação suplementos'!$CA$214)) + (90.79 *('Formulação suplementos'!$CY$30)) - (3.13 *('Formulação suplementos'!$CY$30)^2)</f>
        <v>89.688064175037752</v>
      </c>
      <c r="DV77" s="170"/>
    </row>
    <row r="78" spans="1:126" s="117" customFormat="1" ht="15" hidden="1" x14ac:dyDescent="0.25">
      <c r="A78" s="118"/>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8"/>
      <c r="AD78" s="118"/>
      <c r="AE78" s="118"/>
      <c r="AF78" s="116"/>
      <c r="AG78" s="116"/>
      <c r="AH78" s="116"/>
      <c r="AI78" s="116"/>
      <c r="AJ78" s="116"/>
      <c r="AK78" s="116"/>
      <c r="AL78" s="116"/>
      <c r="AM78" s="116"/>
      <c r="AN78" s="116"/>
      <c r="AO78" s="116"/>
      <c r="AP78" s="116"/>
      <c r="AQ78" s="116"/>
      <c r="AR78" s="116"/>
      <c r="AS78" s="116"/>
      <c r="AT78" s="116"/>
      <c r="AU78" s="116"/>
      <c r="AV78" s="116"/>
      <c r="AW78" s="116"/>
      <c r="AX78" s="116"/>
      <c r="AY78" s="116"/>
      <c r="AZ78" s="116"/>
      <c r="BA78"/>
      <c r="BB78"/>
      <c r="BC78"/>
      <c r="BD78"/>
      <c r="BE78"/>
      <c r="BF78"/>
      <c r="BG78" s="262"/>
      <c r="BH78" s="263"/>
      <c r="BI78" s="263"/>
      <c r="BJ78" s="333"/>
      <c r="BK78" s="265"/>
      <c r="BL78" s="265"/>
      <c r="BM78" s="265"/>
      <c r="BN78" s="312"/>
      <c r="BO78" s="312"/>
      <c r="BP78" s="322"/>
      <c r="BQ78" s="312"/>
      <c r="BR78" s="122"/>
      <c r="BS78" s="267"/>
      <c r="BT78" s="267"/>
      <c r="BU78" s="267"/>
      <c r="BV78" s="267"/>
      <c r="BW78" s="267"/>
      <c r="BX78" s="267"/>
      <c r="BY78" s="326"/>
      <c r="BZ78" s="326" t="s">
        <v>430</v>
      </c>
      <c r="CA78" s="332">
        <f>CA77+CA76+CA75</f>
        <v>11.457251896698065</v>
      </c>
      <c r="CB78" s="168"/>
      <c r="CC78" s="169"/>
      <c r="CD78" s="169"/>
      <c r="CE78" s="169"/>
      <c r="CF78" s="169"/>
      <c r="CG78" s="167"/>
      <c r="CH78" s="170"/>
      <c r="CI78" s="170"/>
      <c r="CJ78" s="170"/>
      <c r="CK78" s="167"/>
      <c r="CL78" s="170"/>
      <c r="CM78" s="170"/>
      <c r="CN78" s="170"/>
      <c r="CO78" s="170"/>
      <c r="CP78" s="170"/>
      <c r="CQ78" s="170"/>
      <c r="CR78" s="170"/>
      <c r="CS78" s="170"/>
      <c r="CT78" s="170"/>
      <c r="CU78" s="170"/>
      <c r="CV78" s="170"/>
      <c r="CW78" s="167"/>
      <c r="CX78" s="170"/>
      <c r="CY78" s="170"/>
      <c r="CZ78" s="170"/>
      <c r="DA78" s="170"/>
      <c r="DB78" s="170"/>
      <c r="DC78" s="170"/>
      <c r="DD78" s="170"/>
      <c r="DE78" s="170"/>
      <c r="DF78" s="170"/>
      <c r="DG78" s="170"/>
      <c r="DH78" s="170"/>
      <c r="DI78" s="170"/>
      <c r="DJ78" s="170"/>
      <c r="DK78" s="170"/>
      <c r="DL78" s="170"/>
      <c r="DM78" s="170"/>
      <c r="DO78" s="194">
        <f>(DP77+('Formulação suplementos'!$CM$37-(DP77*0.64))/0.8)/1000</f>
        <v>1.0243820388432132</v>
      </c>
      <c r="DP78" s="195">
        <f>-53.07 + (304.89 * (DO78)) + (90.79 *'Formulação suplementos'!$K$10) - (3.13 * 'Formulação suplementos'!$K$10*'Formulação suplementos'!$K$10)</f>
        <v>654.03669215117293</v>
      </c>
      <c r="DR78" s="170"/>
      <c r="DT78" s="194">
        <f>(DU77+('Formulação suplementos'!$CY$36-(DU77*0.64))/0.8)/1000</f>
        <v>0.43991742979104576</v>
      </c>
      <c r="DU78" s="195">
        <f>-53.07 + (304.89 * (DT78-'Formulação suplementos'!$CA$214)) + (90.79 *('Formulação suplementos'!$CY$30)) - (3.13 *('Formulação suplementos'!$CY$30)^2)</f>
        <v>89.688064175037752</v>
      </c>
      <c r="DV78" s="170"/>
    </row>
    <row r="79" spans="1:126" s="117" customFormat="1" ht="15" hidden="1" x14ac:dyDescent="0.25">
      <c r="A79" s="118"/>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8"/>
      <c r="AD79" s="118"/>
      <c r="AE79" s="118"/>
      <c r="AF79" s="116"/>
      <c r="AG79" s="116"/>
      <c r="AH79" s="116"/>
      <c r="AI79" s="116"/>
      <c r="AJ79" s="116"/>
      <c r="AK79" s="116"/>
      <c r="AL79" s="116"/>
      <c r="AM79" s="116"/>
      <c r="AN79" s="116"/>
      <c r="AO79" s="116"/>
      <c r="AP79" s="116"/>
      <c r="AQ79" s="116"/>
      <c r="AR79" s="116"/>
      <c r="AS79" s="116"/>
      <c r="AT79" s="116"/>
      <c r="AU79" s="116"/>
      <c r="AV79" s="116"/>
      <c r="AW79" s="116"/>
      <c r="AX79" s="116"/>
      <c r="AY79" s="116"/>
      <c r="AZ79" s="116"/>
      <c r="BA79"/>
      <c r="BB79"/>
      <c r="BC79"/>
      <c r="BD79"/>
      <c r="BE79"/>
      <c r="BF79"/>
      <c r="BG79" s="262"/>
      <c r="BH79" s="263"/>
      <c r="BI79" s="263"/>
      <c r="BJ79" s="333"/>
      <c r="BK79" s="265"/>
      <c r="BL79" s="265"/>
      <c r="BM79" s="265"/>
      <c r="BN79" s="312"/>
      <c r="BO79" s="312"/>
      <c r="BP79" s="322"/>
      <c r="BQ79" s="312"/>
      <c r="BR79" s="122"/>
      <c r="BS79" s="267"/>
      <c r="BT79" s="267"/>
      <c r="BU79" s="267"/>
      <c r="BV79" s="267"/>
      <c r="BW79" s="267"/>
      <c r="BX79" s="267"/>
      <c r="BY79" s="326"/>
      <c r="BZ79" s="326" t="s">
        <v>258</v>
      </c>
      <c r="CA79" s="167"/>
      <c r="CB79" s="168"/>
      <c r="CC79" s="169"/>
      <c r="CD79" s="169"/>
      <c r="CE79" s="169"/>
      <c r="CF79" s="169"/>
      <c r="CG79" s="167"/>
      <c r="CH79" s="170"/>
      <c r="CI79" s="170"/>
      <c r="CJ79" s="170"/>
      <c r="CK79" s="167"/>
      <c r="CL79" s="170"/>
      <c r="CM79" s="170"/>
      <c r="CN79" s="170"/>
      <c r="CO79" s="170"/>
      <c r="CP79" s="170"/>
      <c r="CQ79" s="170"/>
      <c r="CR79" s="170"/>
      <c r="CS79" s="170"/>
      <c r="CT79" s="170"/>
      <c r="CU79" s="170"/>
      <c r="CV79" s="170"/>
      <c r="CW79" s="167"/>
      <c r="CX79" s="170"/>
      <c r="CY79" s="170"/>
      <c r="CZ79" s="170"/>
      <c r="DA79" s="170"/>
      <c r="DB79" s="170"/>
      <c r="DC79" s="170"/>
      <c r="DD79" s="170"/>
      <c r="DE79" s="170"/>
      <c r="DF79" s="170"/>
      <c r="DG79" s="170"/>
      <c r="DH79" s="170"/>
      <c r="DI79" s="170"/>
      <c r="DJ79" s="170"/>
      <c r="DK79" s="170"/>
      <c r="DL79" s="170"/>
      <c r="DM79" s="170"/>
      <c r="DO79" s="194">
        <f>(DP78+('Formulação suplementos'!$CM$37-(DP78*0.64))/0.8)/1000</f>
        <v>1.0243820388432132</v>
      </c>
      <c r="DP79" s="195">
        <f>-53.07 + (304.89 * (DO79)) + (90.79 *'Formulação suplementos'!$K$10) - (3.13 * 'Formulação suplementos'!$K$10*'Formulação suplementos'!$K$10)</f>
        <v>654.03669215117293</v>
      </c>
      <c r="DR79" s="170"/>
      <c r="DT79" s="194">
        <f>(DU78+('Formulação suplementos'!$CY$36-(DU78*0.64))/0.8)/1000</f>
        <v>0.43991742979104576</v>
      </c>
      <c r="DU79" s="195">
        <f>-53.07 + (304.89 * (DT79-'Formulação suplementos'!$CA$214)) + (90.79 *('Formulação suplementos'!$CY$30)) - (3.13 *('Formulação suplementos'!$CY$30)^2)</f>
        <v>89.688064175037752</v>
      </c>
      <c r="DV79" s="170"/>
    </row>
    <row r="80" spans="1:126" s="117" customFormat="1" ht="15" hidden="1" x14ac:dyDescent="0.25">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8"/>
      <c r="AD80" s="118"/>
      <c r="AE80" s="118"/>
      <c r="AF80" s="116"/>
      <c r="AG80" s="116"/>
      <c r="AH80" s="116"/>
      <c r="AI80" s="116"/>
      <c r="AJ80" s="116"/>
      <c r="AK80" s="116"/>
      <c r="AL80" s="116"/>
      <c r="AM80" s="116"/>
      <c r="AN80" s="116"/>
      <c r="AO80" s="116"/>
      <c r="AP80" s="116"/>
      <c r="AQ80" s="116"/>
      <c r="AR80" s="116"/>
      <c r="AS80" s="116"/>
      <c r="AT80" s="116"/>
      <c r="AU80" s="116"/>
      <c r="AV80" s="116"/>
      <c r="AW80" s="116"/>
      <c r="AX80" s="116"/>
      <c r="AY80" s="116"/>
      <c r="AZ80" s="116"/>
      <c r="BA80"/>
      <c r="BB80"/>
      <c r="BC80"/>
      <c r="BD80"/>
      <c r="BE80"/>
      <c r="BF80"/>
      <c r="BG80" s="262"/>
      <c r="BH80" s="263"/>
      <c r="BI80" s="264"/>
      <c r="BJ80" s="265"/>
      <c r="BK80" s="265"/>
      <c r="BL80" s="265"/>
      <c r="BM80" s="265"/>
      <c r="BN80" s="312"/>
      <c r="BO80" s="312"/>
      <c r="BP80" s="322"/>
      <c r="BQ80" s="312"/>
      <c r="BR80" s="122"/>
      <c r="BS80" s="267"/>
      <c r="BT80" s="267"/>
      <c r="BU80" s="267"/>
      <c r="BV80" s="267"/>
      <c r="BW80" s="267"/>
      <c r="BX80" s="267"/>
      <c r="BY80" s="326"/>
      <c r="BZ80" s="330" t="s">
        <v>431</v>
      </c>
      <c r="CA80" s="331">
        <f>CA78/CR23</f>
        <v>16.898601617548767</v>
      </c>
      <c r="CB80" s="168"/>
      <c r="CC80" s="169"/>
      <c r="CD80" s="169"/>
      <c r="CE80" s="169"/>
      <c r="CF80" s="169"/>
      <c r="CG80" s="167"/>
      <c r="CH80" s="170"/>
      <c r="CI80" s="170"/>
      <c r="CJ80" s="170"/>
      <c r="CK80" s="167"/>
      <c r="CL80" s="170"/>
      <c r="CM80" s="170"/>
      <c r="CN80" s="170"/>
      <c r="CO80" s="170"/>
      <c r="CP80" s="170"/>
      <c r="CQ80" s="170"/>
      <c r="CR80" s="170"/>
      <c r="CS80" s="170"/>
      <c r="CT80" s="170"/>
      <c r="CU80" s="170"/>
      <c r="CV80" s="170"/>
      <c r="CW80" s="167"/>
      <c r="CX80" s="170"/>
      <c r="CY80" s="170"/>
      <c r="CZ80" s="170"/>
      <c r="DA80" s="170"/>
      <c r="DB80" s="170"/>
      <c r="DC80" s="170"/>
      <c r="DD80" s="170"/>
      <c r="DE80" s="170"/>
      <c r="DF80" s="170"/>
      <c r="DG80" s="170"/>
      <c r="DH80" s="170"/>
      <c r="DI80" s="170"/>
      <c r="DJ80" s="170"/>
      <c r="DK80" s="170"/>
      <c r="DL80" s="170"/>
      <c r="DM80" s="170"/>
      <c r="DO80" s="194">
        <f>(DP79+('Formulação suplementos'!$CM$37-(DP79*0.64))/0.8)/1000</f>
        <v>1.0243820388432132</v>
      </c>
      <c r="DP80" s="195">
        <f>-53.07 + (304.89 * (DO80)) + (90.79 *'Formulação suplementos'!$K$10) - (3.13 * 'Formulação suplementos'!$K$10*'Formulação suplementos'!$K$10)</f>
        <v>654.03669215117293</v>
      </c>
      <c r="DR80" s="170"/>
      <c r="DT80" s="194">
        <f>(DU79+('Formulação suplementos'!$CY$36-(DU79*0.64))/0.8)/1000</f>
        <v>0.43991742979104576</v>
      </c>
      <c r="DU80" s="195">
        <f>-53.07 + (304.89 * (DT80-'Formulação suplementos'!$CA$214)) + (90.79 *('Formulação suplementos'!$CY$30)) - (3.13 *('Formulação suplementos'!$CY$30)^2)</f>
        <v>89.688064175037752</v>
      </c>
      <c r="DV80" s="170"/>
    </row>
    <row r="81" spans="1:126" s="117" customFormat="1" ht="15" hidden="1" x14ac:dyDescent="0.25">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8"/>
      <c r="AD81" s="118"/>
      <c r="AE81" s="118"/>
      <c r="AF81" s="116"/>
      <c r="AG81" s="116"/>
      <c r="AH81" s="116"/>
      <c r="AI81" s="116"/>
      <c r="AJ81" s="116"/>
      <c r="AK81" s="116"/>
      <c r="AL81" s="116"/>
      <c r="AM81" s="116"/>
      <c r="AN81" s="116"/>
      <c r="AO81" s="116"/>
      <c r="AP81" s="116"/>
      <c r="AQ81" s="116"/>
      <c r="AR81" s="116"/>
      <c r="AS81" s="116"/>
      <c r="AT81" s="116"/>
      <c r="AU81" s="116"/>
      <c r="AV81" s="116"/>
      <c r="AW81" s="116"/>
      <c r="AX81" s="116"/>
      <c r="AY81" s="116"/>
      <c r="AZ81" s="116"/>
      <c r="BA81"/>
      <c r="BB81"/>
      <c r="BC81"/>
      <c r="BD81"/>
      <c r="BE81"/>
      <c r="BF81"/>
      <c r="BG81" s="262"/>
      <c r="BH81" s="263"/>
      <c r="BI81" s="263"/>
      <c r="BJ81" s="265"/>
      <c r="BK81" s="265"/>
      <c r="BL81" s="265"/>
      <c r="BM81" s="265"/>
      <c r="BN81" s="312"/>
      <c r="BO81" s="312"/>
      <c r="BP81" s="322"/>
      <c r="BQ81" s="312"/>
      <c r="BR81" s="312"/>
      <c r="BS81" s="322"/>
      <c r="BT81" s="322"/>
      <c r="BU81" s="322"/>
      <c r="BV81" s="322"/>
      <c r="BW81" s="322"/>
      <c r="BX81" s="322"/>
      <c r="BY81" s="330"/>
      <c r="BZ81" s="330"/>
      <c r="CA81" s="167"/>
      <c r="CB81" s="168"/>
      <c r="CC81" s="169"/>
      <c r="CD81" s="169"/>
      <c r="CE81" s="169"/>
      <c r="CF81" s="169"/>
      <c r="CG81" s="167"/>
      <c r="CH81" s="170"/>
      <c r="CI81" s="170"/>
      <c r="CJ81" s="170"/>
      <c r="CK81" s="167"/>
      <c r="CL81" s="170"/>
      <c r="CM81" s="170"/>
      <c r="CN81" s="170"/>
      <c r="CO81" s="170"/>
      <c r="CP81" s="170"/>
      <c r="CQ81" s="170"/>
      <c r="CR81" s="170"/>
      <c r="CS81" s="170"/>
      <c r="CT81" s="170"/>
      <c r="CU81" s="170"/>
      <c r="CV81" s="170"/>
      <c r="CW81" s="167"/>
      <c r="CX81" s="170"/>
      <c r="CY81" s="170"/>
      <c r="CZ81" s="170"/>
      <c r="DA81" s="170"/>
      <c r="DB81" s="170"/>
      <c r="DC81" s="170"/>
      <c r="DD81" s="170"/>
      <c r="DE81" s="170"/>
      <c r="DF81" s="170"/>
      <c r="DG81" s="170"/>
      <c r="DH81" s="170"/>
      <c r="DI81" s="170"/>
      <c r="DJ81" s="170"/>
      <c r="DK81" s="170"/>
      <c r="DL81" s="170"/>
      <c r="DM81" s="170"/>
      <c r="DO81" s="194">
        <f>(DP80+('Formulação suplementos'!$CM$37-(DP80*0.64))/0.8)/1000</f>
        <v>1.0243820388432132</v>
      </c>
      <c r="DP81" s="195">
        <f>-53.07 + (304.89 * (DO81)) + (90.79 *'Formulação suplementos'!$K$10) - (3.13 * 'Formulação suplementos'!$K$10*'Formulação suplementos'!$K$10)</f>
        <v>654.03669215117293</v>
      </c>
      <c r="DR81" s="170"/>
      <c r="DT81" s="194">
        <f>(DU80+('Formulação suplementos'!$CY$36-(DU80*0.64))/0.8)/1000</f>
        <v>0.43991742979104576</v>
      </c>
      <c r="DU81" s="195">
        <f>-53.07 + (304.89 * (DT81-'Formulação suplementos'!$CA$214)) + (90.79 *('Formulação suplementos'!$CY$30)) - (3.13 *('Formulação suplementos'!$CY$30)^2)</f>
        <v>89.688064175037752</v>
      </c>
      <c r="DV81" s="170"/>
    </row>
    <row r="82" spans="1:126" s="117" customFormat="1" ht="15" hidden="1" x14ac:dyDescent="0.25">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8"/>
      <c r="AD82" s="118"/>
      <c r="AE82" s="118"/>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c r="BB82"/>
      <c r="BC82"/>
      <c r="BD82"/>
      <c r="BE82"/>
      <c r="BF82"/>
      <c r="BG82" s="262"/>
      <c r="BH82" s="263"/>
      <c r="BI82" s="263"/>
      <c r="BJ82" s="333"/>
      <c r="BK82" s="265"/>
      <c r="BL82" s="265"/>
      <c r="BM82" s="265"/>
      <c r="BN82" s="312"/>
      <c r="BO82" s="312"/>
      <c r="BP82" s="322"/>
      <c r="BQ82" s="312"/>
      <c r="BR82" s="312"/>
      <c r="BS82" s="322"/>
      <c r="BT82" s="322"/>
      <c r="BU82" s="322"/>
      <c r="BV82" s="322"/>
      <c r="BW82" s="322"/>
      <c r="BX82" s="322"/>
      <c r="BY82" s="334" t="s">
        <v>432</v>
      </c>
      <c r="BZ82" s="334"/>
      <c r="CA82" s="335">
        <f>CA73/CA80</f>
        <v>1.3119510735214142</v>
      </c>
      <c r="CB82" s="168"/>
      <c r="CC82" s="169"/>
      <c r="CD82" s="169"/>
      <c r="CE82" s="169"/>
      <c r="CF82" s="169"/>
      <c r="CG82" s="167"/>
      <c r="CH82" s="170"/>
      <c r="CI82" s="170"/>
      <c r="CJ82" s="170"/>
      <c r="CK82" s="167"/>
      <c r="CL82" s="170"/>
      <c r="CM82" s="170"/>
      <c r="CN82" s="170"/>
      <c r="CO82" s="170"/>
      <c r="CP82" s="170"/>
      <c r="CQ82" s="170"/>
      <c r="CR82" s="170"/>
      <c r="CS82" s="170"/>
      <c r="CT82" s="170"/>
      <c r="CU82" s="170"/>
      <c r="CV82" s="170"/>
      <c r="CW82" s="167"/>
      <c r="CX82" s="170"/>
      <c r="CY82" s="170"/>
      <c r="CZ82" s="170"/>
      <c r="DA82" s="170"/>
      <c r="DB82" s="170"/>
      <c r="DC82" s="170"/>
      <c r="DD82" s="170"/>
      <c r="DE82" s="170"/>
      <c r="DF82" s="170"/>
      <c r="DG82" s="170"/>
      <c r="DH82" s="170"/>
      <c r="DI82" s="170"/>
      <c r="DJ82" s="170"/>
      <c r="DK82" s="170"/>
      <c r="DL82" s="170"/>
      <c r="DM82" s="170"/>
      <c r="DO82" s="194">
        <f>(DP81+('Formulação suplementos'!$CM$37-(DP81*0.64))/0.8)/1000</f>
        <v>1.0243820388432132</v>
      </c>
      <c r="DP82" s="195">
        <f>-53.07 + (304.89 * (DO82)) + (90.79 *'Formulação suplementos'!$K$10) - (3.13 * 'Formulação suplementos'!$K$10*'Formulação suplementos'!$K$10)</f>
        <v>654.03669215117293</v>
      </c>
      <c r="DR82" s="170"/>
      <c r="DT82" s="194">
        <f>(DU81+('Formulação suplementos'!$CY$36-(DU81*0.64))/0.8)/1000</f>
        <v>0.43991742979104576</v>
      </c>
      <c r="DU82" s="195">
        <f>-53.07 + (304.89 * (DT82-'Formulação suplementos'!$CA$214)) + (90.79 *('Formulação suplementos'!$CY$30)) - (3.13 *('Formulação suplementos'!$CY$30)^2)</f>
        <v>89.688064175037752</v>
      </c>
      <c r="DV82" s="170"/>
    </row>
    <row r="83" spans="1:126" s="117" customFormat="1" ht="15" hidden="1" x14ac:dyDescent="0.25">
      <c r="A83" s="118"/>
      <c r="B83"/>
      <c r="C83"/>
      <c r="D83"/>
      <c r="E83"/>
      <c r="F83"/>
      <c r="G83"/>
      <c r="H83"/>
      <c r="I83"/>
      <c r="J83"/>
      <c r="K83"/>
      <c r="L83"/>
      <c r="M83"/>
      <c r="N83"/>
      <c r="O83"/>
      <c r="P83"/>
      <c r="Q83"/>
      <c r="R83"/>
      <c r="S83"/>
      <c r="T83" s="122"/>
      <c r="U83" s="122"/>
      <c r="V83" s="122"/>
      <c r="W83" s="122"/>
      <c r="X83" s="122"/>
      <c r="Y83" s="122"/>
      <c r="Z83" s="122"/>
      <c r="AA83" s="122"/>
      <c r="AB83" s="119"/>
      <c r="AC83" s="118"/>
      <c r="AD83" s="118"/>
      <c r="AE83" s="118"/>
      <c r="AF83" s="116"/>
      <c r="AG83" s="116"/>
      <c r="AH83" s="116"/>
      <c r="AI83" s="116"/>
      <c r="AJ83" s="116"/>
      <c r="AK83" s="116"/>
      <c r="AL83" s="116"/>
      <c r="AM83" s="116"/>
      <c r="AN83" s="116"/>
      <c r="AO83" s="116"/>
      <c r="AP83" s="116"/>
      <c r="AQ83" s="116"/>
      <c r="AR83" s="116"/>
      <c r="AS83" s="116"/>
      <c r="AT83" s="116"/>
      <c r="AU83" s="116"/>
      <c r="AV83" s="116"/>
      <c r="AW83" s="116"/>
      <c r="AX83" s="116"/>
      <c r="AY83" s="116"/>
      <c r="AZ83" s="116"/>
      <c r="BA83"/>
      <c r="BB83"/>
      <c r="BC83"/>
      <c r="BD83"/>
      <c r="BE83"/>
      <c r="BF83"/>
      <c r="BG83" s="262"/>
      <c r="BH83" s="263"/>
      <c r="BI83" s="263"/>
      <c r="BJ83" s="333"/>
      <c r="BK83" s="265"/>
      <c r="BL83" s="265"/>
      <c r="BM83" s="265"/>
      <c r="BN83" s="312"/>
      <c r="BO83" s="312"/>
      <c r="BP83" s="322"/>
      <c r="BQ83" s="312"/>
      <c r="BR83" s="312"/>
      <c r="BS83" s="322"/>
      <c r="BT83" s="322"/>
      <c r="BU83" s="322"/>
      <c r="BV83" s="322"/>
      <c r="BW83" s="322"/>
      <c r="BX83" s="322"/>
      <c r="BY83" s="326"/>
      <c r="BZ83" s="326"/>
      <c r="CA83" s="167"/>
      <c r="CB83" s="168"/>
      <c r="CC83" s="169"/>
      <c r="CD83" s="169"/>
      <c r="CE83" s="169"/>
      <c r="CF83" s="169"/>
      <c r="CG83" s="167"/>
      <c r="CH83" s="170"/>
      <c r="CI83" s="170"/>
      <c r="CJ83" s="170"/>
      <c r="CK83" s="167"/>
      <c r="CL83" s="170"/>
      <c r="CM83" s="170"/>
      <c r="CN83" s="170"/>
      <c r="CO83" s="170"/>
      <c r="CP83" s="170"/>
      <c r="CQ83" s="170"/>
      <c r="CR83" s="170"/>
      <c r="CS83" s="170"/>
      <c r="CT83" s="170"/>
      <c r="CU83" s="170"/>
      <c r="CV83" s="170"/>
      <c r="CW83" s="167"/>
      <c r="CX83" s="170"/>
      <c r="CY83" s="170"/>
      <c r="CZ83" s="170"/>
      <c r="DA83" s="170"/>
      <c r="DB83" s="170"/>
      <c r="DC83" s="170"/>
      <c r="DD83" s="170"/>
      <c r="DE83" s="170"/>
      <c r="DF83" s="170"/>
      <c r="DG83" s="170"/>
      <c r="DH83" s="170"/>
      <c r="DI83" s="170"/>
      <c r="DJ83" s="170"/>
      <c r="DK83" s="170"/>
      <c r="DL83" s="170"/>
      <c r="DM83" s="170"/>
      <c r="DO83" s="194">
        <f>(DP82+('Formulação suplementos'!$CM$37-(DP82*0.64))/0.8)/1000</f>
        <v>1.0243820388432132</v>
      </c>
      <c r="DP83" s="195">
        <f>-53.07 + (304.89 * (DO83)) + (90.79 *'Formulação suplementos'!$K$10) - (3.13 * 'Formulação suplementos'!$K$10*'Formulação suplementos'!$K$10)</f>
        <v>654.03669215117293</v>
      </c>
      <c r="DR83" s="170"/>
      <c r="DT83" s="194">
        <f>(DU82+('Formulação suplementos'!$CY$36-(DU82*0.64))/0.8)/1000</f>
        <v>0.43991742979104576</v>
      </c>
      <c r="DU83" s="195">
        <f>-53.07 + (304.89 * (DT83-'Formulação suplementos'!$CA$214)) + (90.79 *('Formulação suplementos'!$CY$30)) - (3.13 *('Formulação suplementos'!$CY$30)^2)</f>
        <v>89.688064175037752</v>
      </c>
      <c r="DV83" s="170"/>
    </row>
    <row r="84" spans="1:126" s="117" customFormat="1" ht="15" hidden="1" x14ac:dyDescent="0.25">
      <c r="A84" s="118"/>
      <c r="B84"/>
      <c r="C84"/>
      <c r="D84"/>
      <c r="E84"/>
      <c r="F84"/>
      <c r="G84"/>
      <c r="H84"/>
      <c r="I84"/>
      <c r="J84"/>
      <c r="K84"/>
      <c r="L84"/>
      <c r="M84"/>
      <c r="N84"/>
      <c r="O84"/>
      <c r="P84"/>
      <c r="Q84"/>
      <c r="R84"/>
      <c r="S84"/>
      <c r="T84" s="122"/>
      <c r="U84" s="122"/>
      <c r="V84" s="122"/>
      <c r="W84" s="122"/>
      <c r="X84" s="122"/>
      <c r="Y84" s="122"/>
      <c r="Z84" s="122"/>
      <c r="AA84" s="122"/>
      <c r="AB84" s="119"/>
      <c r="AC84" s="118"/>
      <c r="AD84" s="118"/>
      <c r="AE84" s="118"/>
      <c r="AF84" s="116"/>
      <c r="AG84" s="116"/>
      <c r="AH84" s="116"/>
      <c r="AI84" s="116"/>
      <c r="AJ84" s="116"/>
      <c r="AK84" s="116"/>
      <c r="AL84" s="116"/>
      <c r="AM84" s="116"/>
      <c r="AN84" s="116"/>
      <c r="AO84" s="116"/>
      <c r="AP84" s="116"/>
      <c r="AQ84" s="116"/>
      <c r="AR84" s="116"/>
      <c r="AS84" s="116"/>
      <c r="AT84" s="116"/>
      <c r="AU84" s="116"/>
      <c r="AV84" s="116"/>
      <c r="AW84" s="116"/>
      <c r="AX84" s="116"/>
      <c r="AY84" s="116"/>
      <c r="AZ84" s="116"/>
      <c r="BA84"/>
      <c r="BB84"/>
      <c r="BC84"/>
      <c r="BD84"/>
      <c r="BE84"/>
      <c r="BF84"/>
      <c r="BG84" s="262"/>
      <c r="BH84" s="263"/>
      <c r="BI84" s="263"/>
      <c r="BJ84" s="333"/>
      <c r="BK84" s="265"/>
      <c r="BL84" s="265"/>
      <c r="BM84" s="265"/>
      <c r="BN84" s="312"/>
      <c r="BO84" s="312"/>
      <c r="BP84" s="322"/>
      <c r="BQ84" s="312"/>
      <c r="BR84" s="312"/>
      <c r="BS84" s="322"/>
      <c r="BT84" s="322"/>
      <c r="BU84" s="322"/>
      <c r="BV84" s="322"/>
      <c r="BW84" s="322"/>
      <c r="BX84" s="322"/>
      <c r="BY84" s="326" t="s">
        <v>227</v>
      </c>
      <c r="BZ84" s="326" t="s">
        <v>433</v>
      </c>
      <c r="CA84" s="248">
        <f>C6*5.9/1000</f>
        <v>2.95</v>
      </c>
      <c r="CB84" s="168"/>
      <c r="CC84" s="169"/>
      <c r="CD84" s="169"/>
      <c r="CE84" s="169"/>
      <c r="CF84" s="169"/>
      <c r="CG84" s="167"/>
      <c r="CH84" s="167"/>
      <c r="CI84" s="170"/>
      <c r="CJ84" s="170"/>
      <c r="CK84" s="167"/>
      <c r="CL84" s="170"/>
      <c r="CM84" s="170"/>
      <c r="CN84" s="170"/>
      <c r="CO84" s="170"/>
      <c r="CP84" s="170"/>
      <c r="CQ84" s="170"/>
      <c r="CR84" s="170"/>
      <c r="CS84" s="170"/>
      <c r="CT84" s="170"/>
      <c r="CU84" s="170"/>
      <c r="CV84" s="170"/>
      <c r="CW84" s="167"/>
      <c r="CX84" s="170"/>
      <c r="CY84" s="170"/>
      <c r="CZ84" s="170"/>
      <c r="DA84" s="170"/>
      <c r="DB84" s="170"/>
      <c r="DC84" s="170"/>
      <c r="DD84" s="170"/>
      <c r="DE84" s="170"/>
      <c r="DF84" s="170"/>
      <c r="DG84" s="170"/>
      <c r="DH84" s="170"/>
      <c r="DI84" s="170"/>
      <c r="DJ84" s="170"/>
      <c r="DK84" s="170"/>
      <c r="DL84" s="170"/>
      <c r="DM84" s="170"/>
      <c r="DO84" s="194">
        <f>(DP83+('Formulação suplementos'!$CM$37-(DP83*0.64))/0.8)/1000</f>
        <v>1.0243820388432132</v>
      </c>
      <c r="DP84" s="195">
        <f>-53.07 + (304.89 * (DO84)) + (90.79 *'Formulação suplementos'!$K$10) - (3.13 * 'Formulação suplementos'!$K$10*'Formulação suplementos'!$K$10)</f>
        <v>654.03669215117293</v>
      </c>
      <c r="DR84" s="170"/>
      <c r="DT84" s="194">
        <f>(DU83+('Formulação suplementos'!$CY$36-(DU83*0.64))/0.8)/1000</f>
        <v>0.43991742979104576</v>
      </c>
      <c r="DU84" s="195">
        <f>-53.07 + (304.89 * (DT84-'Formulação suplementos'!$CA$214)) + (90.79 *('Formulação suplementos'!$CY$30)) - (3.13 *('Formulação suplementos'!$CY$30)^2)</f>
        <v>89.688064175037752</v>
      </c>
      <c r="DV84" s="170"/>
    </row>
    <row r="85" spans="1:126" s="117" customFormat="1" ht="15" hidden="1" x14ac:dyDescent="0.25">
      <c r="A85" s="118"/>
      <c r="B85"/>
      <c r="C85"/>
      <c r="D85"/>
      <c r="E85"/>
      <c r="F85"/>
      <c r="G85"/>
      <c r="H85"/>
      <c r="I85"/>
      <c r="J85"/>
      <c r="K85"/>
      <c r="L85"/>
      <c r="M85"/>
      <c r="N85"/>
      <c r="O85"/>
      <c r="P85"/>
      <c r="Q85"/>
      <c r="R85"/>
      <c r="S85"/>
      <c r="T85" s="122"/>
      <c r="U85" s="122"/>
      <c r="V85" s="122"/>
      <c r="W85" s="122"/>
      <c r="X85" s="122"/>
      <c r="Y85" s="122"/>
      <c r="Z85" s="122"/>
      <c r="AA85" s="122"/>
      <c r="AB85" s="119"/>
      <c r="AC85" s="118"/>
      <c r="AD85" s="118"/>
      <c r="AE85" s="118"/>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c r="BB85"/>
      <c r="BC85"/>
      <c r="BD85"/>
      <c r="BE85"/>
      <c r="BF85"/>
      <c r="BG85" s="262"/>
      <c r="BH85" s="263"/>
      <c r="BI85" s="263"/>
      <c r="BJ85" s="333"/>
      <c r="BK85" s="265"/>
      <c r="BL85" s="265"/>
      <c r="BM85" s="265"/>
      <c r="BN85" s="312"/>
      <c r="BO85" s="312"/>
      <c r="BP85" s="322"/>
      <c r="BQ85" s="312"/>
      <c r="BR85" s="312"/>
      <c r="BS85" s="322"/>
      <c r="BT85" s="322"/>
      <c r="BU85" s="322"/>
      <c r="BV85" s="322"/>
      <c r="BW85" s="322"/>
      <c r="BX85" s="322"/>
      <c r="BY85" s="326"/>
      <c r="BZ85" s="326" t="s">
        <v>434</v>
      </c>
      <c r="CA85" s="248">
        <f>CA37*(1.4*CA36^-0.3227)</f>
        <v>1.7948519283618742E-3</v>
      </c>
      <c r="CB85" s="168"/>
      <c r="CC85" s="169"/>
      <c r="CD85" s="169"/>
      <c r="CE85" s="169"/>
      <c r="CF85" s="169"/>
      <c r="CG85" s="167"/>
      <c r="CH85" s="167"/>
      <c r="CI85" s="170"/>
      <c r="CJ85" s="170"/>
      <c r="CK85" s="167"/>
      <c r="CL85" s="170"/>
      <c r="CM85" s="170"/>
      <c r="CN85" s="170"/>
      <c r="CO85" s="170"/>
      <c r="CP85" s="170"/>
      <c r="CQ85" s="170"/>
      <c r="CR85" s="170"/>
      <c r="CS85" s="170"/>
      <c r="CT85" s="170"/>
      <c r="CU85" s="170"/>
      <c r="CV85" s="170"/>
      <c r="CW85" s="167"/>
      <c r="CX85" s="170"/>
      <c r="CY85" s="170"/>
      <c r="CZ85" s="170"/>
      <c r="DA85" s="170"/>
      <c r="DB85" s="170"/>
      <c r="DC85" s="170"/>
      <c r="DD85" s="170"/>
      <c r="DE85" s="170"/>
      <c r="DF85" s="170"/>
      <c r="DG85" s="170"/>
      <c r="DH85" s="170"/>
      <c r="DI85" s="170"/>
      <c r="DJ85" s="170"/>
      <c r="DK85" s="170"/>
      <c r="DL85" s="170"/>
      <c r="DM85" s="170"/>
      <c r="DO85" s="194">
        <f>(DP84+('Formulação suplementos'!$CM$37-(DP84*0.64))/0.8)/1000</f>
        <v>1.0243820388432132</v>
      </c>
      <c r="DP85" s="195">
        <f>-53.07 + (304.89 * (DO85)) + (90.79 *'Formulação suplementos'!$K$10) - (3.13 * 'Formulação suplementos'!$K$10*'Formulação suplementos'!$K$10)</f>
        <v>654.03669215117293</v>
      </c>
      <c r="DR85" s="170"/>
      <c r="DT85" s="194">
        <f>(DU84+('Formulação suplementos'!$CY$36-(DU84*0.64))/0.8)/1000</f>
        <v>0.43991742979104576</v>
      </c>
      <c r="DU85" s="195">
        <f>-53.07 + (304.89 * (DT85-'Formulação suplementos'!$CA$214)) + (90.79 *('Formulação suplementos'!$CY$30)) - (3.13 *('Formulação suplementos'!$CY$30)^2)</f>
        <v>89.688064175037752</v>
      </c>
      <c r="DV85" s="170"/>
    </row>
    <row r="86" spans="1:126" s="117" customFormat="1" ht="15" hidden="1" x14ac:dyDescent="0.25">
      <c r="A86" s="118"/>
      <c r="B86"/>
      <c r="C86"/>
      <c r="D86"/>
      <c r="E86"/>
      <c r="F86"/>
      <c r="G86"/>
      <c r="H86"/>
      <c r="I86"/>
      <c r="J86"/>
      <c r="K86"/>
      <c r="L86"/>
      <c r="M86"/>
      <c r="N86"/>
      <c r="O86"/>
      <c r="P86"/>
      <c r="Q86"/>
      <c r="R86"/>
      <c r="S86"/>
      <c r="T86" s="122"/>
      <c r="U86" s="122"/>
      <c r="V86" s="122"/>
      <c r="W86" s="122"/>
      <c r="X86" s="122"/>
      <c r="Y86" s="122"/>
      <c r="Z86" s="122"/>
      <c r="AA86" s="122"/>
      <c r="AB86" s="119"/>
      <c r="AC86" s="118"/>
      <c r="AD86" s="118"/>
      <c r="AE86" s="118"/>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c r="BB86"/>
      <c r="BC86"/>
      <c r="BD86"/>
      <c r="BE86"/>
      <c r="BF86"/>
      <c r="BG86" s="262"/>
      <c r="BH86" s="263"/>
      <c r="BI86" s="264"/>
      <c r="BJ86" s="328"/>
      <c r="BK86" s="265"/>
      <c r="BL86" s="265"/>
      <c r="BM86" s="265"/>
      <c r="BN86" s="312"/>
      <c r="BO86" s="312"/>
      <c r="BP86" s="322"/>
      <c r="BQ86" s="312"/>
      <c r="BR86" s="312"/>
      <c r="BS86" s="322"/>
      <c r="BT86" s="322"/>
      <c r="BU86" s="322"/>
      <c r="BV86" s="322"/>
      <c r="BW86" s="322"/>
      <c r="BX86" s="322"/>
      <c r="BY86" s="326"/>
      <c r="BZ86" s="326" t="s">
        <v>435</v>
      </c>
      <c r="CA86" s="332">
        <f>0.07*CM22</f>
        <v>0.42496201647080917</v>
      </c>
      <c r="CB86" s="168"/>
      <c r="CC86" s="169"/>
      <c r="CD86" s="169"/>
      <c r="CE86" s="169"/>
      <c r="CF86" s="169"/>
      <c r="CG86" s="167"/>
      <c r="CH86" s="167"/>
      <c r="CI86" s="170"/>
      <c r="CJ86" s="170"/>
      <c r="CK86" s="167"/>
      <c r="CL86" s="170"/>
      <c r="CM86" s="170"/>
      <c r="CN86" s="170"/>
      <c r="CO86" s="170"/>
      <c r="CP86" s="170"/>
      <c r="CQ86" s="170"/>
      <c r="CR86" s="170"/>
      <c r="CS86" s="170"/>
      <c r="CT86" s="170"/>
      <c r="CU86" s="170"/>
      <c r="CV86" s="170"/>
      <c r="CW86" s="167"/>
      <c r="CX86" s="170"/>
      <c r="CY86" s="170"/>
      <c r="CZ86" s="170"/>
      <c r="DA86" s="170"/>
      <c r="DB86" s="170"/>
      <c r="DC86" s="170"/>
      <c r="DD86" s="170"/>
      <c r="DE86" s="170"/>
      <c r="DF86" s="170"/>
      <c r="DG86" s="170"/>
      <c r="DH86" s="170"/>
      <c r="DI86" s="170"/>
      <c r="DJ86" s="170"/>
      <c r="DK86" s="170"/>
      <c r="DL86" s="170"/>
      <c r="DM86" s="170"/>
      <c r="DO86" s="194">
        <f>(DP85+('Formulação suplementos'!$CM$37-(DP85*0.64))/0.8)/1000</f>
        <v>1.0243820388432132</v>
      </c>
      <c r="DP86" s="195">
        <f>-53.07 + (304.89 * (DO86)) + (90.79 *'Formulação suplementos'!$K$10) - (3.13 * 'Formulação suplementos'!$K$10*'Formulação suplementos'!$K$10)</f>
        <v>654.03669215117293</v>
      </c>
      <c r="DR86" s="170"/>
      <c r="DT86" s="194">
        <f>(DU85+('Formulação suplementos'!$CY$36-(DU85*0.64))/0.8)/1000</f>
        <v>0.43991742979104576</v>
      </c>
      <c r="DU86" s="195">
        <f>-53.07 + (304.89 * (DT86-'Formulação suplementos'!$CA$214)) + (90.79 *('Formulação suplementos'!$CY$30)) - (3.13 *('Formulação suplementos'!$CY$30)^2)</f>
        <v>89.688064175037752</v>
      </c>
      <c r="DV86" s="170"/>
    </row>
    <row r="87" spans="1:126" s="117" customFormat="1" ht="15" hidden="1" x14ac:dyDescent="0.25">
      <c r="A87" s="118"/>
      <c r="B87"/>
      <c r="C87"/>
      <c r="D87"/>
      <c r="E87"/>
      <c r="F87"/>
      <c r="G87"/>
      <c r="H87"/>
      <c r="I87"/>
      <c r="J87"/>
      <c r="K87"/>
      <c r="L87"/>
      <c r="M87"/>
      <c r="N87"/>
      <c r="O87"/>
      <c r="P87"/>
      <c r="Q87"/>
      <c r="R87"/>
      <c r="S87"/>
      <c r="T87" s="122"/>
      <c r="U87" s="122"/>
      <c r="V87" s="122"/>
      <c r="W87" s="122"/>
      <c r="X87" s="122"/>
      <c r="Y87" s="122"/>
      <c r="Z87" s="122"/>
      <c r="AA87" s="122"/>
      <c r="AB87" s="119"/>
      <c r="AC87" s="118"/>
      <c r="AD87" s="118"/>
      <c r="AE87" s="118"/>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c r="BB87"/>
      <c r="BC87"/>
      <c r="BD87"/>
      <c r="BE87"/>
      <c r="BF87"/>
      <c r="BG87" s="262"/>
      <c r="BH87" s="263"/>
      <c r="BI87" s="263"/>
      <c r="BJ87" s="265"/>
      <c r="BK87" s="265"/>
      <c r="BL87" s="265"/>
      <c r="BM87" s="265"/>
      <c r="BN87" s="312"/>
      <c r="BO87" s="312"/>
      <c r="BP87" s="322"/>
      <c r="BQ87" s="312"/>
      <c r="BR87" s="312"/>
      <c r="BS87" s="322"/>
      <c r="BT87" s="322"/>
      <c r="BU87" s="322"/>
      <c r="BV87" s="322"/>
      <c r="BW87" s="322"/>
      <c r="BX87" s="322"/>
      <c r="BY87" s="326"/>
      <c r="BZ87" s="326" t="s">
        <v>436</v>
      </c>
      <c r="CA87" s="332">
        <f>CA86+CA85+CA84</f>
        <v>3.3767568683991711</v>
      </c>
      <c r="CB87" s="168"/>
      <c r="CC87" s="169"/>
      <c r="CD87" s="169"/>
      <c r="CE87" s="169"/>
      <c r="CF87" s="169"/>
      <c r="CG87" s="167"/>
      <c r="CH87" s="167"/>
      <c r="CI87" s="170"/>
      <c r="CJ87" s="170"/>
      <c r="CK87" s="167"/>
      <c r="CL87" s="170"/>
      <c r="CM87" s="170"/>
      <c r="CN87" s="170"/>
      <c r="CO87" s="170"/>
      <c r="CP87" s="170"/>
      <c r="CQ87" s="170"/>
      <c r="CR87" s="170"/>
      <c r="CS87" s="170"/>
      <c r="CT87" s="170"/>
      <c r="CU87" s="170"/>
      <c r="CV87" s="170"/>
      <c r="CW87" s="167"/>
      <c r="CX87" s="170"/>
      <c r="CY87" s="170"/>
      <c r="CZ87" s="170"/>
      <c r="DA87" s="170"/>
      <c r="DB87" s="170"/>
      <c r="DC87" s="170"/>
      <c r="DD87" s="170"/>
      <c r="DE87" s="170"/>
      <c r="DF87" s="170"/>
      <c r="DG87" s="170"/>
      <c r="DH87" s="170"/>
      <c r="DI87" s="170"/>
      <c r="DJ87" s="170"/>
      <c r="DK87" s="170"/>
      <c r="DL87" s="170"/>
      <c r="DM87" s="170"/>
      <c r="DO87" s="194">
        <f>(DP86+('Formulação suplementos'!$CM$37-(DP86*0.64))/0.8)/1000</f>
        <v>1.0243820388432132</v>
      </c>
      <c r="DP87" s="195">
        <f>-53.07 + (304.89 * (DO87)) + (90.79 *'Formulação suplementos'!$K$10) - (3.13 * 'Formulação suplementos'!$K$10*'Formulação suplementos'!$K$10)</f>
        <v>654.03669215117293</v>
      </c>
      <c r="DR87" s="170"/>
      <c r="DT87" s="194">
        <f>(DU86+('Formulação suplementos'!$CY$36-(DU86*0.64))/0.8)/1000</f>
        <v>0.43991742979104576</v>
      </c>
      <c r="DU87" s="195">
        <f>-53.07 + (304.89 * (DT87-'Formulação suplementos'!$CA$214)) + (90.79 *('Formulação suplementos'!$CY$30)) - (3.13 *('Formulação suplementos'!$CY$30)^2)</f>
        <v>89.688064175037752</v>
      </c>
      <c r="DV87" s="170"/>
    </row>
    <row r="88" spans="1:126" s="117" customFormat="1" ht="15" hidden="1" x14ac:dyDescent="0.25">
      <c r="A88" s="118"/>
      <c r="B88"/>
      <c r="C88"/>
      <c r="D88"/>
      <c r="E88"/>
      <c r="F88"/>
      <c r="G88"/>
      <c r="H88"/>
      <c r="I88"/>
      <c r="J88"/>
      <c r="K88"/>
      <c r="L88"/>
      <c r="M88"/>
      <c r="N88"/>
      <c r="O88"/>
      <c r="P88"/>
      <c r="Q88"/>
      <c r="R88"/>
      <c r="S88"/>
      <c r="T88" s="122"/>
      <c r="U88" s="122"/>
      <c r="V88" s="122"/>
      <c r="W88" s="122"/>
      <c r="X88" s="122"/>
      <c r="Y88" s="122"/>
      <c r="Z88" s="122"/>
      <c r="AA88" s="122"/>
      <c r="AB88" s="119"/>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c r="BB88"/>
      <c r="BC88"/>
      <c r="BD88"/>
      <c r="BE88"/>
      <c r="BF88"/>
      <c r="BG88" s="262"/>
      <c r="BH88" s="263"/>
      <c r="BI88" s="263"/>
      <c r="BJ88" s="265"/>
      <c r="BK88" s="265"/>
      <c r="BL88" s="265"/>
      <c r="BM88" s="265"/>
      <c r="BN88" s="312"/>
      <c r="BO88" s="312"/>
      <c r="BP88" s="322"/>
      <c r="BQ88" s="312"/>
      <c r="BR88" s="312"/>
      <c r="BS88" s="322"/>
      <c r="BT88" s="322"/>
      <c r="BU88" s="322"/>
      <c r="BV88" s="322"/>
      <c r="BW88" s="322"/>
      <c r="BX88" s="322"/>
      <c r="BY88" s="326"/>
      <c r="BZ88" s="326" t="s">
        <v>258</v>
      </c>
      <c r="CA88" s="167"/>
      <c r="CB88" s="168"/>
      <c r="CC88" s="169"/>
      <c r="CD88" s="169"/>
      <c r="CE88" s="169"/>
      <c r="CF88" s="169"/>
      <c r="CG88" s="167"/>
      <c r="CH88" s="167"/>
      <c r="CI88" s="170"/>
      <c r="CJ88" s="170"/>
      <c r="CK88" s="167"/>
      <c r="CL88" s="170"/>
      <c r="CM88" s="170"/>
      <c r="CN88" s="170"/>
      <c r="CO88" s="170"/>
      <c r="CP88" s="170"/>
      <c r="CQ88" s="170"/>
      <c r="CR88" s="170"/>
      <c r="CS88" s="170"/>
      <c r="CT88" s="170"/>
      <c r="CU88" s="170"/>
      <c r="CV88" s="170"/>
      <c r="CW88" s="167"/>
      <c r="CX88" s="170"/>
      <c r="CY88" s="170"/>
      <c r="CZ88" s="170"/>
      <c r="DA88" s="170"/>
      <c r="DB88" s="170"/>
      <c r="DC88" s="170"/>
      <c r="DD88" s="170"/>
      <c r="DE88" s="170"/>
      <c r="DF88" s="170"/>
      <c r="DG88" s="170"/>
      <c r="DH88" s="170"/>
      <c r="DI88" s="170"/>
      <c r="DJ88" s="170"/>
      <c r="DK88" s="170"/>
      <c r="DL88" s="170"/>
      <c r="DM88" s="170"/>
      <c r="DO88" s="194">
        <f>(DP87+('Formulação suplementos'!$CM$37-(DP87*0.64))/0.8)/1000</f>
        <v>1.0243820388432132</v>
      </c>
      <c r="DP88" s="195">
        <f>-53.07 + (304.89 * (DO88)) + (90.79 *'Formulação suplementos'!$K$10) - (3.13 * 'Formulação suplementos'!$K$10*'Formulação suplementos'!$K$10)</f>
        <v>654.03669215117293</v>
      </c>
      <c r="DR88" s="170"/>
      <c r="DT88" s="194">
        <f>(DU87+('Formulação suplementos'!$CY$36-(DU87*0.64))/0.8)/1000</f>
        <v>0.43991742979104576</v>
      </c>
      <c r="DU88" s="195">
        <f>-53.07 + (304.89 * (DT88-'Formulação suplementos'!$CA$214)) + (90.79 *('Formulação suplementos'!$CY$30)) - (3.13 *('Formulação suplementos'!$CY$30)^2)</f>
        <v>89.688064175037752</v>
      </c>
      <c r="DV88" s="170"/>
    </row>
    <row r="89" spans="1:126" s="117" customFormat="1" ht="15" hidden="1" x14ac:dyDescent="0.25">
      <c r="A89" s="118"/>
      <c r="B89"/>
      <c r="C89"/>
      <c r="D89"/>
      <c r="E89"/>
      <c r="F89"/>
      <c r="G89"/>
      <c r="H89"/>
      <c r="I89"/>
      <c r="J89"/>
      <c r="K89"/>
      <c r="L89"/>
      <c r="M89"/>
      <c r="N89"/>
      <c r="O89"/>
      <c r="P89"/>
      <c r="Q89"/>
      <c r="R89"/>
      <c r="S89"/>
      <c r="T89" s="122"/>
      <c r="U89" s="122"/>
      <c r="V89" s="122"/>
      <c r="W89" s="122"/>
      <c r="X89" s="122"/>
      <c r="Y89" s="122"/>
      <c r="Z89" s="122"/>
      <c r="AA89" s="122"/>
      <c r="AB89" s="119"/>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c r="BB89"/>
      <c r="BC89"/>
      <c r="BD89"/>
      <c r="BE89"/>
      <c r="BF89"/>
      <c r="BG89" s="262"/>
      <c r="BH89" s="263"/>
      <c r="BI89" s="263"/>
      <c r="BJ89" s="265"/>
      <c r="BK89" s="265"/>
      <c r="BL89" s="265"/>
      <c r="BM89" s="265"/>
      <c r="BN89" s="312"/>
      <c r="BO89" s="312"/>
      <c r="BP89" s="322"/>
      <c r="BQ89" s="312"/>
      <c r="BR89" s="312"/>
      <c r="BS89" s="322"/>
      <c r="BT89" s="322"/>
      <c r="BU89" s="322"/>
      <c r="BV89" s="322"/>
      <c r="BW89" s="322"/>
      <c r="BX89" s="322"/>
      <c r="BY89" s="326"/>
      <c r="BZ89" s="330" t="s">
        <v>437</v>
      </c>
      <c r="CA89" s="335">
        <f>CA87/CR26</f>
        <v>9.5119911785892146</v>
      </c>
      <c r="CB89" s="336"/>
      <c r="CC89" s="169"/>
      <c r="CD89" s="169"/>
      <c r="CE89" s="169"/>
      <c r="CF89" s="169"/>
      <c r="CG89" s="167"/>
      <c r="CH89" s="167"/>
      <c r="CI89" s="170"/>
      <c r="CJ89" s="170"/>
      <c r="CK89" s="167"/>
      <c r="CL89" s="170"/>
      <c r="CM89" s="170"/>
      <c r="CN89" s="170"/>
      <c r="CO89" s="170"/>
      <c r="CP89" s="170"/>
      <c r="CQ89" s="170"/>
      <c r="CR89" s="170"/>
      <c r="CS89" s="170"/>
      <c r="CT89" s="170"/>
      <c r="CU89" s="170"/>
      <c r="CV89" s="170"/>
      <c r="CW89" s="167"/>
      <c r="CX89" s="170"/>
      <c r="CY89" s="170"/>
      <c r="CZ89" s="170"/>
      <c r="DA89" s="170"/>
      <c r="DB89" s="170"/>
      <c r="DC89" s="170"/>
      <c r="DD89" s="170"/>
      <c r="DE89" s="170"/>
      <c r="DF89" s="170"/>
      <c r="DG89" s="170"/>
      <c r="DH89" s="170"/>
      <c r="DI89" s="170"/>
      <c r="DJ89" s="170"/>
      <c r="DK89" s="170"/>
      <c r="DL89" s="170"/>
      <c r="DM89" s="170"/>
      <c r="DO89" s="194">
        <f>(DP88+('Formulação suplementos'!$CM$37-(DP88*0.64))/0.8)/1000</f>
        <v>1.0243820388432132</v>
      </c>
      <c r="DP89" s="195">
        <f>-53.07 + (304.89 * (DO89)) + (90.79 *'Formulação suplementos'!$K$10) - (3.13 * 'Formulação suplementos'!$K$10*'Formulação suplementos'!$K$10)</f>
        <v>654.03669215117293</v>
      </c>
      <c r="DR89" s="170"/>
      <c r="DT89" s="194">
        <f>(DU88+('Formulação suplementos'!$CY$36-(DU88*0.64))/0.8)/1000</f>
        <v>0.43991742979104576</v>
      </c>
      <c r="DU89" s="195">
        <f>-53.07 + (304.89 * (DT89-'Formulação suplementos'!$CA$214)) + (90.79 *('Formulação suplementos'!$CY$30)) - (3.13 *('Formulação suplementos'!$CY$30)^2)</f>
        <v>89.688064175037752</v>
      </c>
      <c r="DV89" s="170"/>
    </row>
    <row r="90" spans="1:126" s="117" customFormat="1" ht="15" hidden="1" x14ac:dyDescent="0.25">
      <c r="A90" s="118"/>
      <c r="B90"/>
      <c r="C90"/>
      <c r="D90"/>
      <c r="E90"/>
      <c r="F90"/>
      <c r="G90"/>
      <c r="H90"/>
      <c r="I90"/>
      <c r="J90"/>
      <c r="K90"/>
      <c r="L90"/>
      <c r="M90"/>
      <c r="N90"/>
      <c r="O90"/>
      <c r="P90"/>
      <c r="Q90"/>
      <c r="R90"/>
      <c r="S90"/>
      <c r="T90" s="122"/>
      <c r="U90" s="122"/>
      <c r="V90" s="122"/>
      <c r="W90" s="122"/>
      <c r="X90" s="122"/>
      <c r="Y90" s="122"/>
      <c r="Z90" s="122"/>
      <c r="AA90" s="122"/>
      <c r="AB90" s="119"/>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c r="BB90"/>
      <c r="BC90"/>
      <c r="BD90"/>
      <c r="BE90"/>
      <c r="BF90"/>
      <c r="BG90" s="262"/>
      <c r="BH90" s="263"/>
      <c r="BI90" s="263"/>
      <c r="BJ90" s="337"/>
      <c r="BK90" s="265"/>
      <c r="BL90" s="265"/>
      <c r="BM90" s="265"/>
      <c r="BN90" s="312"/>
      <c r="BO90" s="312"/>
      <c r="BP90" s="322"/>
      <c r="BQ90" s="312"/>
      <c r="BR90" s="312"/>
      <c r="BS90" s="322"/>
      <c r="BT90" s="322"/>
      <c r="BU90" s="322"/>
      <c r="BV90" s="322"/>
      <c r="BW90" s="322"/>
      <c r="BX90" s="322"/>
      <c r="BY90" s="326"/>
      <c r="BZ90" s="330"/>
      <c r="CA90" s="167"/>
      <c r="CB90" s="168"/>
      <c r="CC90" s="169"/>
      <c r="CD90" s="169"/>
      <c r="CE90" s="169"/>
      <c r="CF90" s="169"/>
      <c r="CG90" s="167"/>
      <c r="CH90" s="167"/>
      <c r="CI90" s="170"/>
      <c r="CJ90" s="170"/>
      <c r="CK90" s="167"/>
      <c r="CL90" s="170"/>
      <c r="CM90" s="170"/>
      <c r="CN90" s="170"/>
      <c r="CO90" s="170"/>
      <c r="CP90" s="170"/>
      <c r="CQ90" s="170"/>
      <c r="CR90" s="170"/>
      <c r="CS90" s="170"/>
      <c r="CT90" s="170"/>
      <c r="CU90" s="170"/>
      <c r="CV90" s="170"/>
      <c r="CW90" s="167"/>
      <c r="CX90" s="170"/>
      <c r="CY90" s="170"/>
      <c r="CZ90" s="170"/>
      <c r="DA90" s="170"/>
      <c r="DB90" s="170"/>
      <c r="DC90" s="170"/>
      <c r="DD90" s="170"/>
      <c r="DE90" s="170"/>
      <c r="DF90" s="170"/>
      <c r="DG90" s="170"/>
      <c r="DH90" s="170"/>
      <c r="DI90" s="170"/>
      <c r="DJ90" s="170"/>
      <c r="DK90" s="170"/>
      <c r="DL90" s="170"/>
      <c r="DM90" s="170"/>
      <c r="DO90" s="194">
        <f>(DP89+('Formulação suplementos'!$CM$37-(DP89*0.64))/0.8)/1000</f>
        <v>1.0243820388432132</v>
      </c>
      <c r="DP90" s="195">
        <f>-53.07 + (304.89 * (DO90)) + (90.79 *'Formulação suplementos'!$K$10) - (3.13 * 'Formulação suplementos'!$K$10*'Formulação suplementos'!$K$10)</f>
        <v>654.03669215117293</v>
      </c>
      <c r="DR90" s="170"/>
      <c r="DT90" s="194">
        <f>(DU89+('Formulação suplementos'!$CY$36-(DU89*0.64))/0.8)/1000</f>
        <v>0.43991742979104576</v>
      </c>
      <c r="DU90" s="195">
        <f>-53.07 + (304.89 * (DT90-'Formulação suplementos'!$CA$214)) + (90.79 *('Formulação suplementos'!$CY$30)) - (3.13 *('Formulação suplementos'!$CY$30)^2)</f>
        <v>89.688064175037752</v>
      </c>
      <c r="DV90" s="170"/>
    </row>
    <row r="91" spans="1:126" s="117" customFormat="1" ht="15" hidden="1" x14ac:dyDescent="0.25">
      <c r="A91" s="118"/>
      <c r="B91"/>
      <c r="C91"/>
      <c r="D91"/>
      <c r="E91"/>
      <c r="F91"/>
      <c r="G91"/>
      <c r="H91"/>
      <c r="I91"/>
      <c r="J91"/>
      <c r="K91"/>
      <c r="L91"/>
      <c r="M91"/>
      <c r="N91"/>
      <c r="O91"/>
      <c r="P91"/>
      <c r="Q91"/>
      <c r="R91"/>
      <c r="S91"/>
      <c r="T91" s="122"/>
      <c r="U91" s="122"/>
      <c r="V91" s="122"/>
      <c r="W91" s="122"/>
      <c r="X91" s="122"/>
      <c r="Y91" s="122"/>
      <c r="Z91" s="122"/>
      <c r="AA91" s="122"/>
      <c r="AB91" s="119"/>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c r="BB91"/>
      <c r="BC91"/>
      <c r="BD91"/>
      <c r="BE91"/>
      <c r="BF91"/>
      <c r="BG91" s="262"/>
      <c r="BH91" s="263"/>
      <c r="BI91" s="263"/>
      <c r="BJ91" s="265"/>
      <c r="BK91" s="265"/>
      <c r="BL91" s="265"/>
      <c r="BM91" s="265"/>
      <c r="BN91" s="312"/>
      <c r="BO91" s="312"/>
      <c r="BP91" s="322"/>
      <c r="BQ91" s="312"/>
      <c r="BR91" s="312"/>
      <c r="BS91" s="322"/>
      <c r="BT91" s="322"/>
      <c r="BU91" s="322"/>
      <c r="BV91" s="322"/>
      <c r="BW91" s="322"/>
      <c r="BX91" s="322"/>
      <c r="BY91" s="326" t="s">
        <v>238</v>
      </c>
      <c r="BZ91" s="326" t="s">
        <v>438</v>
      </c>
      <c r="CA91" s="248">
        <f>C6*6.3/1000</f>
        <v>3.15</v>
      </c>
      <c r="CB91" s="168"/>
      <c r="CC91" s="169"/>
      <c r="CD91" s="169"/>
      <c r="CE91" s="169"/>
      <c r="CF91" s="169"/>
      <c r="CG91" s="167"/>
      <c r="CH91" s="167"/>
      <c r="CI91" s="170"/>
      <c r="CJ91" s="170"/>
      <c r="CK91" s="167"/>
      <c r="CL91" s="170"/>
      <c r="CM91" s="170"/>
      <c r="CN91" s="170"/>
      <c r="CO91" s="170"/>
      <c r="CP91" s="170"/>
      <c r="CQ91" s="170"/>
      <c r="CR91" s="170"/>
      <c r="CS91" s="170"/>
      <c r="CT91" s="170"/>
      <c r="CU91" s="170"/>
      <c r="CV91" s="170"/>
      <c r="CW91" s="167"/>
      <c r="CX91" s="170"/>
      <c r="CY91" s="170"/>
      <c r="CZ91" s="170"/>
      <c r="DA91" s="170"/>
      <c r="DB91" s="170"/>
      <c r="DC91" s="170"/>
      <c r="DD91" s="170"/>
      <c r="DE91" s="170"/>
      <c r="DF91" s="170"/>
      <c r="DG91" s="170"/>
      <c r="DH91" s="170"/>
      <c r="DI91" s="170"/>
      <c r="DJ91" s="170"/>
      <c r="DK91" s="170"/>
      <c r="DL91" s="170"/>
      <c r="DM91" s="170"/>
      <c r="DO91" s="194">
        <f>(DP90+('Formulação suplementos'!$CM$37-(DP90*0.64))/0.8)/1000</f>
        <v>1.0243820388432132</v>
      </c>
      <c r="DP91" s="195">
        <f>-53.07 + (304.89 * (DO91)) + (90.79 *'Formulação suplementos'!$K$10) - (3.13 * 'Formulação suplementos'!$K$10*'Formulação suplementos'!$K$10)</f>
        <v>654.03669215117293</v>
      </c>
      <c r="DR91" s="170"/>
      <c r="DT91" s="194">
        <f>(DU90+('Formulação suplementos'!$CY$36-(DU90*0.64))/0.8)/1000</f>
        <v>0.43991742979104576</v>
      </c>
      <c r="DU91" s="195">
        <f>-53.07 + (304.89 * (DT91-'Formulação suplementos'!$CA$214)) + (90.79 *('Formulação suplementos'!$CY$30)) - (3.13 *('Formulação suplementos'!$CY$30)^2)</f>
        <v>89.688064175037752</v>
      </c>
      <c r="DV91" s="170"/>
    </row>
    <row r="92" spans="1:126" s="117" customFormat="1" ht="15" hidden="1" x14ac:dyDescent="0.25">
      <c r="A92" s="118"/>
      <c r="B92"/>
      <c r="C92"/>
      <c r="D92"/>
      <c r="E92"/>
      <c r="F92"/>
      <c r="G92"/>
      <c r="H92"/>
      <c r="I92"/>
      <c r="J92"/>
      <c r="K92"/>
      <c r="L92"/>
      <c r="M92"/>
      <c r="N92"/>
      <c r="O92"/>
      <c r="P92"/>
      <c r="Q92"/>
      <c r="R92"/>
      <c r="S92"/>
      <c r="T92" s="122"/>
      <c r="U92" s="122"/>
      <c r="V92" s="122"/>
      <c r="W92" s="122"/>
      <c r="X92" s="122"/>
      <c r="Y92" s="122"/>
      <c r="Z92" s="122"/>
      <c r="AA92" s="122"/>
      <c r="AB92" s="119"/>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c r="BB92"/>
      <c r="BC92"/>
      <c r="BD92"/>
      <c r="BE92"/>
      <c r="BF92"/>
      <c r="BG92" s="262"/>
      <c r="BH92" s="263"/>
      <c r="BI92" s="263"/>
      <c r="BJ92" s="265"/>
      <c r="BK92" s="265"/>
      <c r="BL92" s="265"/>
      <c r="BM92" s="265"/>
      <c r="BN92" s="312"/>
      <c r="BO92" s="312"/>
      <c r="BP92" s="322"/>
      <c r="BQ92" s="312"/>
      <c r="BR92" s="312"/>
      <c r="BS92" s="322"/>
      <c r="BT92" s="322"/>
      <c r="BU92" s="322"/>
      <c r="BV92" s="322"/>
      <c r="BW92" s="322"/>
      <c r="BX92" s="322"/>
      <c r="BY92" s="326"/>
      <c r="BZ92" s="326" t="s">
        <v>439</v>
      </c>
      <c r="CA92" s="248">
        <f>CA37*(1.4*CA36^-0.0575)</f>
        <v>8.8898638814398547E-3</v>
      </c>
      <c r="CB92" s="168"/>
      <c r="CC92" s="169"/>
      <c r="CD92" s="169"/>
      <c r="CE92" s="169"/>
      <c r="CF92" s="169"/>
      <c r="CG92" s="167"/>
      <c r="CH92" s="167"/>
      <c r="CI92" s="170"/>
      <c r="CJ92" s="170"/>
      <c r="CK92" s="167"/>
      <c r="CL92" s="170"/>
      <c r="CM92" s="170"/>
      <c r="CN92" s="170"/>
      <c r="CO92" s="170"/>
      <c r="CP92" s="170"/>
      <c r="CQ92" s="170"/>
      <c r="CR92" s="170"/>
      <c r="CS92" s="170"/>
      <c r="CT92" s="170"/>
      <c r="CU92" s="170"/>
      <c r="CV92" s="170"/>
      <c r="CW92" s="167"/>
      <c r="CX92" s="170"/>
      <c r="CY92" s="170"/>
      <c r="CZ92" s="170"/>
      <c r="DA92" s="170"/>
      <c r="DB92" s="170"/>
      <c r="DC92" s="170"/>
      <c r="DD92" s="170"/>
      <c r="DE92" s="170"/>
      <c r="DF92" s="170"/>
      <c r="DG92" s="170"/>
      <c r="DH92" s="170"/>
      <c r="DI92" s="170"/>
      <c r="DJ92" s="170"/>
      <c r="DK92" s="170"/>
      <c r="DL92" s="170"/>
      <c r="DM92" s="170"/>
      <c r="DO92" s="194">
        <f>(DP91+('Formulação suplementos'!$CM$37-(DP91*0.64))/0.8)/1000</f>
        <v>1.0243820388432132</v>
      </c>
      <c r="DP92" s="195">
        <f>-53.07 + (304.89 * (DO92)) + (90.79 *'Formulação suplementos'!$K$10) - (3.13 * 'Formulação suplementos'!$K$10*'Formulação suplementos'!$K$10)</f>
        <v>654.03669215117293</v>
      </c>
      <c r="DR92" s="170"/>
      <c r="DT92" s="194">
        <f>(DU91+('Formulação suplementos'!$CY$36-(DU91*0.64))/0.8)/1000</f>
        <v>0.43991742979104576</v>
      </c>
      <c r="DU92" s="195">
        <f>-53.07 + (304.89 * (DT92-'Formulação suplementos'!$CA$214)) + (90.79 *('Formulação suplementos'!$CY$30)) - (3.13 *('Formulação suplementos'!$CY$30)^2)</f>
        <v>89.688064175037752</v>
      </c>
      <c r="DV92" s="170"/>
    </row>
    <row r="93" spans="1:126" s="117" customFormat="1" ht="15" hidden="1" x14ac:dyDescent="0.25">
      <c r="A93" s="116"/>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19"/>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c r="BB93"/>
      <c r="BC93"/>
      <c r="BD93"/>
      <c r="BE93"/>
      <c r="BF93"/>
      <c r="BG93" s="262"/>
      <c r="BH93" s="263"/>
      <c r="BI93" s="263"/>
      <c r="BJ93" s="265"/>
      <c r="BK93" s="265"/>
      <c r="BL93" s="265"/>
      <c r="BM93" s="265"/>
      <c r="BN93" s="312"/>
      <c r="BO93" s="312"/>
      <c r="BP93" s="322"/>
      <c r="BQ93" s="312"/>
      <c r="BR93" s="312"/>
      <c r="BS93" s="322"/>
      <c r="BT93" s="322"/>
      <c r="BU93" s="322"/>
      <c r="BV93" s="322"/>
      <c r="BW93" s="322"/>
      <c r="BX93" s="322"/>
      <c r="BY93" s="326"/>
      <c r="BZ93" s="326" t="s">
        <v>440</v>
      </c>
      <c r="CA93" s="332">
        <f>0.2*CM22</f>
        <v>1.2141771899165976</v>
      </c>
      <c r="CB93" s="168"/>
      <c r="CC93" s="169"/>
      <c r="CD93" s="169"/>
      <c r="CE93" s="169"/>
      <c r="CF93" s="169"/>
      <c r="CG93" s="167"/>
      <c r="CH93" s="167"/>
      <c r="CI93" s="170"/>
      <c r="CJ93" s="170"/>
      <c r="CK93" s="167"/>
      <c r="CL93" s="170"/>
      <c r="CM93" s="170"/>
      <c r="CN93" s="170"/>
      <c r="CO93" s="170"/>
      <c r="CP93" s="170"/>
      <c r="CQ93" s="170"/>
      <c r="CR93" s="170"/>
      <c r="CS93" s="170"/>
      <c r="CT93" s="170"/>
      <c r="CU93" s="170"/>
      <c r="CV93" s="170"/>
      <c r="CW93" s="167"/>
      <c r="CX93" s="170"/>
      <c r="CY93" s="170"/>
      <c r="CZ93" s="170"/>
      <c r="DA93" s="170"/>
      <c r="DB93" s="170"/>
      <c r="DC93" s="170"/>
      <c r="DD93" s="170"/>
      <c r="DE93" s="170"/>
      <c r="DF93" s="170"/>
      <c r="DG93" s="170"/>
      <c r="DH93" s="170"/>
      <c r="DI93" s="170"/>
      <c r="DJ93" s="170"/>
      <c r="DK93" s="170"/>
      <c r="DL93" s="170"/>
      <c r="DM93" s="170"/>
      <c r="DO93" s="194">
        <f>(DP92+('Formulação suplementos'!$CM$37-(DP92*0.64))/0.8)/1000</f>
        <v>1.0243820388432132</v>
      </c>
      <c r="DP93" s="195">
        <f>-53.07 + (304.89 * (DO93)) + (90.79 *'Formulação suplementos'!$K$10) - (3.13 * 'Formulação suplementos'!$K$10*'Formulação suplementos'!$K$10)</f>
        <v>654.03669215117293</v>
      </c>
      <c r="DR93" s="170"/>
      <c r="DT93" s="194">
        <f>(DU92+('Formulação suplementos'!$CY$36-(DU92*0.64))/0.8)/1000</f>
        <v>0.43991742979104576</v>
      </c>
      <c r="DU93" s="195">
        <f>-53.07 + (304.89 * (DT93-'Formulação suplementos'!$CA$214)) + (90.79 *('Formulação suplementos'!$CY$30)) - (3.13 *('Formulação suplementos'!$CY$30)^2)</f>
        <v>89.688064175037752</v>
      </c>
      <c r="DV93" s="170"/>
    </row>
    <row r="94" spans="1:126" s="117" customFormat="1" ht="15" hidden="1" x14ac:dyDescent="0.25">
      <c r="A94" s="116"/>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19"/>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c r="BB94"/>
      <c r="BC94"/>
      <c r="BD94"/>
      <c r="BE94"/>
      <c r="BF94"/>
      <c r="BG94" s="262"/>
      <c r="BH94" s="263"/>
      <c r="BI94" s="263"/>
      <c r="BJ94" s="265"/>
      <c r="BK94" s="265"/>
      <c r="BL94" s="265"/>
      <c r="BM94" s="265"/>
      <c r="BN94" s="312"/>
      <c r="BO94" s="312"/>
      <c r="BP94" s="322"/>
      <c r="BQ94" s="312"/>
      <c r="BR94" s="312"/>
      <c r="BS94" s="322"/>
      <c r="BT94" s="322"/>
      <c r="BU94" s="322"/>
      <c r="BV94" s="322"/>
      <c r="BW94" s="322"/>
      <c r="BX94" s="322"/>
      <c r="BY94" s="326"/>
      <c r="BZ94" s="326" t="s">
        <v>441</v>
      </c>
      <c r="CA94" s="332">
        <f>CA93+CA92+CA91</f>
        <v>4.373067053798037</v>
      </c>
      <c r="CB94" s="168"/>
      <c r="CC94" s="169"/>
      <c r="CD94" s="169"/>
      <c r="CE94" s="169"/>
      <c r="CF94" s="169"/>
      <c r="CG94" s="167"/>
      <c r="CH94" s="167"/>
      <c r="CI94" s="170"/>
      <c r="CJ94" s="170"/>
      <c r="CK94" s="167"/>
      <c r="CL94" s="170"/>
      <c r="CM94" s="170"/>
      <c r="CN94" s="170"/>
      <c r="CO94" s="170"/>
      <c r="CP94" s="170"/>
      <c r="CQ94" s="170"/>
      <c r="CR94" s="170"/>
      <c r="CS94" s="170"/>
      <c r="CT94" s="170"/>
      <c r="CU94" s="170"/>
      <c r="CV94" s="170"/>
      <c r="CW94" s="167"/>
      <c r="CX94" s="170"/>
      <c r="CY94" s="170"/>
      <c r="CZ94" s="170"/>
      <c r="DA94" s="170"/>
      <c r="DB94" s="170"/>
      <c r="DC94" s="170"/>
      <c r="DD94" s="170"/>
      <c r="DE94" s="170"/>
      <c r="DF94" s="170"/>
      <c r="DG94" s="170"/>
      <c r="DH94" s="170"/>
      <c r="DI94" s="170"/>
      <c r="DJ94" s="170"/>
      <c r="DK94" s="170"/>
      <c r="DL94" s="170"/>
      <c r="DM94" s="170"/>
      <c r="DO94" s="194">
        <f>(DP93+('Formulação suplementos'!$CM$37-(DP93*0.64))/0.8)/1000</f>
        <v>1.0243820388432132</v>
      </c>
      <c r="DP94" s="195">
        <f>-53.07 + (304.89 * (DO94)) + (90.79 *'Formulação suplementos'!$K$10) - (3.13 * 'Formulação suplementos'!$K$10*'Formulação suplementos'!$K$10)</f>
        <v>654.03669215117293</v>
      </c>
      <c r="DR94" s="170"/>
      <c r="DT94" s="194">
        <f>(DU93+('Formulação suplementos'!$CY$36-(DU93*0.64))/0.8)/1000</f>
        <v>0.43991742979104576</v>
      </c>
      <c r="DU94" s="195">
        <f>-53.07 + (304.89 * (DT94-'Formulação suplementos'!$CA$214)) + (90.79 *('Formulação suplementos'!$CY$30)) - (3.13 *('Formulação suplementos'!$CY$30)^2)</f>
        <v>89.688064175037752</v>
      </c>
      <c r="DV94" s="170"/>
    </row>
    <row r="95" spans="1:126" s="117" customFormat="1" ht="15" hidden="1" x14ac:dyDescent="0.25">
      <c r="A95" s="116"/>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19"/>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c r="BB95"/>
      <c r="BC95"/>
      <c r="BD95"/>
      <c r="BE95"/>
      <c r="BF95"/>
      <c r="BG95" s="262"/>
      <c r="BH95" s="263"/>
      <c r="BI95" s="263"/>
      <c r="BJ95" s="265"/>
      <c r="BK95" s="265"/>
      <c r="BL95" s="265"/>
      <c r="BM95" s="265"/>
      <c r="BN95" s="312"/>
      <c r="BO95" s="312"/>
      <c r="BP95" s="322"/>
      <c r="BQ95" s="312"/>
      <c r="BR95" s="312"/>
      <c r="BS95" s="322"/>
      <c r="BT95" s="322"/>
      <c r="BU95" s="322"/>
      <c r="BV95" s="322"/>
      <c r="BW95" s="322"/>
      <c r="BX95" s="322"/>
      <c r="BY95" s="326"/>
      <c r="BZ95" s="326" t="s">
        <v>258</v>
      </c>
      <c r="CA95" s="167"/>
      <c r="CB95" s="168"/>
      <c r="CC95" s="169"/>
      <c r="CD95" s="169"/>
      <c r="CE95" s="169"/>
      <c r="CF95" s="169"/>
      <c r="CG95" s="167"/>
      <c r="CH95" s="167"/>
      <c r="CI95" s="170"/>
      <c r="CJ95" s="170"/>
      <c r="CK95" s="167"/>
      <c r="CL95" s="170"/>
      <c r="CM95" s="170"/>
      <c r="CN95" s="170"/>
      <c r="CO95" s="170"/>
      <c r="CP95" s="170"/>
      <c r="CQ95" s="170"/>
      <c r="CR95" s="170"/>
      <c r="CS95" s="170"/>
      <c r="CT95" s="170"/>
      <c r="CU95" s="170"/>
      <c r="CV95" s="170"/>
      <c r="CW95" s="167"/>
      <c r="CX95" s="170"/>
      <c r="CY95" s="170"/>
      <c r="CZ95" s="170"/>
      <c r="DA95" s="170"/>
      <c r="DB95" s="170"/>
      <c r="DC95" s="170"/>
      <c r="DD95" s="170"/>
      <c r="DE95" s="170"/>
      <c r="DF95" s="170"/>
      <c r="DG95" s="170"/>
      <c r="DH95" s="170"/>
      <c r="DI95" s="170"/>
      <c r="DJ95" s="170"/>
      <c r="DK95" s="170"/>
      <c r="DL95" s="170"/>
      <c r="DM95" s="170"/>
      <c r="DO95" s="194">
        <f>(DP94+('Formulação suplementos'!$CM$37-(DP94*0.64))/0.8)/1000</f>
        <v>1.0243820388432132</v>
      </c>
      <c r="DP95" s="195">
        <f>-53.07 + (304.89 * (DO95)) + (90.79 *'Formulação suplementos'!$K$10) - (3.13 * 'Formulação suplementos'!$K$10*'Formulação suplementos'!$K$10)</f>
        <v>654.03669215117293</v>
      </c>
      <c r="DR95" s="170"/>
      <c r="DT95" s="194">
        <f>(DU94+('Formulação suplementos'!$CY$36-(DU94*0.64))/0.8)/1000</f>
        <v>0.43991742979104576</v>
      </c>
      <c r="DU95" s="195">
        <f>-53.07 + (304.89 * (DT95-'Formulação suplementos'!$CA$214)) + (90.79 *('Formulação suplementos'!$CY$30)) - (3.13 *('Formulação suplementos'!$CY$30)^2)</f>
        <v>89.688064175037752</v>
      </c>
      <c r="DV95" s="170"/>
    </row>
    <row r="96" spans="1:126" s="117" customFormat="1" ht="15" hidden="1" x14ac:dyDescent="0.25">
      <c r="A96" s="116"/>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19"/>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c r="BB96"/>
      <c r="BC96"/>
      <c r="BD96"/>
      <c r="BE96"/>
      <c r="BF96"/>
      <c r="BG96" s="262"/>
      <c r="BH96" s="263"/>
      <c r="BI96" s="263"/>
      <c r="BJ96" s="265"/>
      <c r="BK96" s="265"/>
      <c r="BL96" s="265"/>
      <c r="BM96" s="265"/>
      <c r="BN96" s="312"/>
      <c r="BO96" s="312"/>
      <c r="BP96" s="322"/>
      <c r="BQ96" s="312"/>
      <c r="BR96" s="312"/>
      <c r="BS96" s="322"/>
      <c r="BT96" s="322"/>
      <c r="BU96" s="322"/>
      <c r="BV96" s="322"/>
      <c r="BW96" s="322"/>
      <c r="BX96" s="322"/>
      <c r="BY96" s="326"/>
      <c r="BZ96" s="330" t="s">
        <v>442</v>
      </c>
      <c r="CA96" s="331">
        <f>CA94/CR28</f>
        <v>11.787242732609265</v>
      </c>
      <c r="CB96" s="290"/>
      <c r="CC96" s="169"/>
      <c r="CD96" s="169"/>
      <c r="CE96" s="169"/>
      <c r="CF96" s="169"/>
      <c r="CG96" s="167"/>
      <c r="CH96" s="167"/>
      <c r="CI96" s="170"/>
      <c r="CJ96" s="170"/>
      <c r="CK96" s="167"/>
      <c r="CL96" s="170"/>
      <c r="CM96" s="170"/>
      <c r="CN96" s="170"/>
      <c r="CO96" s="170"/>
      <c r="CP96" s="170"/>
      <c r="CQ96" s="170"/>
      <c r="CR96" s="170"/>
      <c r="CS96" s="170"/>
      <c r="CT96" s="170"/>
      <c r="CU96" s="170"/>
      <c r="CV96" s="170"/>
      <c r="CW96" s="167"/>
      <c r="CX96" s="170"/>
      <c r="CY96" s="170"/>
      <c r="CZ96" s="170"/>
      <c r="DA96" s="170"/>
      <c r="DB96" s="170"/>
      <c r="DC96" s="170"/>
      <c r="DD96" s="170"/>
      <c r="DE96" s="170"/>
      <c r="DF96" s="170"/>
      <c r="DG96" s="170"/>
      <c r="DH96" s="170"/>
      <c r="DI96" s="170"/>
      <c r="DJ96" s="170"/>
      <c r="DK96" s="170"/>
      <c r="DL96" s="170"/>
      <c r="DM96" s="170"/>
      <c r="DO96" s="194">
        <f>(DP95+('Formulação suplementos'!$CM$37-(DP95*0.64))/0.8)/1000</f>
        <v>1.0243820388432132</v>
      </c>
      <c r="DP96" s="195">
        <f>-53.07 + (304.89 * (DO96)) + (90.79 *'Formulação suplementos'!$K$10) - (3.13 * 'Formulação suplementos'!$K$10*'Formulação suplementos'!$K$10)</f>
        <v>654.03669215117293</v>
      </c>
      <c r="DR96" s="170"/>
      <c r="DT96" s="194">
        <f>(DU95+('Formulação suplementos'!$CY$36-(DU95*0.64))/0.8)/1000</f>
        <v>0.43991742979104576</v>
      </c>
      <c r="DU96" s="195">
        <f>-53.07 + (304.89 * (DT96-'Formulação suplementos'!$CA$214)) + (90.79 *('Formulação suplementos'!$CY$30)) - (3.13 *('Formulação suplementos'!$CY$30)^2)</f>
        <v>89.688064175037752</v>
      </c>
      <c r="DV96" s="170"/>
    </row>
    <row r="97" spans="1:126" s="117" customFormat="1" ht="15" hidden="1" x14ac:dyDescent="0.25">
      <c r="A97" s="116"/>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19"/>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c r="BB97"/>
      <c r="BC97"/>
      <c r="BD97"/>
      <c r="BE97"/>
      <c r="BF97"/>
      <c r="BG97" s="262"/>
      <c r="BH97" s="263"/>
      <c r="BI97" s="263"/>
      <c r="BJ97" s="265"/>
      <c r="BK97" s="265"/>
      <c r="BL97" s="265"/>
      <c r="BM97" s="265"/>
      <c r="BN97" s="312"/>
      <c r="BO97" s="312"/>
      <c r="BP97" s="322"/>
      <c r="BQ97" s="312"/>
      <c r="BR97" s="312"/>
      <c r="BS97" s="322"/>
      <c r="BT97" s="322"/>
      <c r="BU97" s="322"/>
      <c r="BV97" s="322"/>
      <c r="BW97" s="322"/>
      <c r="BX97" s="322"/>
      <c r="BY97" s="166"/>
      <c r="BZ97" s="166"/>
      <c r="CA97" s="167"/>
      <c r="CB97" s="168"/>
      <c r="CC97" s="169"/>
      <c r="CD97" s="169"/>
      <c r="CE97" s="169"/>
      <c r="CF97" s="169"/>
      <c r="CG97" s="167"/>
      <c r="CH97" s="167"/>
      <c r="CI97" s="170"/>
      <c r="CJ97" s="170"/>
      <c r="CK97" s="167"/>
      <c r="CL97" s="170"/>
      <c r="CM97" s="170"/>
      <c r="CN97" s="170"/>
      <c r="CO97" s="170"/>
      <c r="CP97" s="170"/>
      <c r="CQ97" s="170"/>
      <c r="CR97" s="170"/>
      <c r="CS97" s="170"/>
      <c r="CT97" s="170"/>
      <c r="CU97" s="170"/>
      <c r="CV97" s="170"/>
      <c r="CW97" s="167"/>
      <c r="CX97" s="170"/>
      <c r="CY97" s="170"/>
      <c r="CZ97" s="170"/>
      <c r="DA97" s="170"/>
      <c r="DB97" s="170"/>
      <c r="DC97" s="170"/>
      <c r="DD97" s="170"/>
      <c r="DE97" s="170"/>
      <c r="DF97" s="170"/>
      <c r="DG97" s="170"/>
      <c r="DH97" s="170"/>
      <c r="DI97" s="170"/>
      <c r="DJ97" s="170"/>
      <c r="DK97" s="170"/>
      <c r="DL97" s="170"/>
      <c r="DM97" s="170"/>
      <c r="DO97" s="194">
        <f>(DP96+('Formulação suplementos'!$CM$37-(DP96*0.64))/0.8)/1000</f>
        <v>1.0243820388432132</v>
      </c>
      <c r="DP97" s="195">
        <f>-53.07 + (304.89 * (DO97)) + (90.79 *'Formulação suplementos'!$K$10) - (3.13 * 'Formulação suplementos'!$K$10*'Formulação suplementos'!$K$10)</f>
        <v>654.03669215117293</v>
      </c>
      <c r="DR97" s="170"/>
      <c r="DT97" s="194">
        <f>(DU96+('Formulação suplementos'!$CY$36-(DU96*0.64))/0.8)/1000</f>
        <v>0.43991742979104576</v>
      </c>
      <c r="DU97" s="195">
        <f>-53.07 + (304.89 * (DT97-'Formulação suplementos'!$CA$214)) + (90.79 *('Formulação suplementos'!$CY$30)) - (3.13 *('Formulação suplementos'!$CY$30)^2)</f>
        <v>89.688064175037752</v>
      </c>
      <c r="DV97" s="170"/>
    </row>
    <row r="98" spans="1:126" s="117" customFormat="1" ht="15" hidden="1" x14ac:dyDescent="0.25">
      <c r="A98" s="116"/>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19"/>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c r="BB98"/>
      <c r="BC98"/>
      <c r="BD98"/>
      <c r="BE98"/>
      <c r="BF98"/>
      <c r="BG98" s="262"/>
      <c r="BH98" s="263"/>
      <c r="BI98" s="263"/>
      <c r="BJ98" s="265"/>
      <c r="BK98" s="265"/>
      <c r="BL98" s="265"/>
      <c r="BM98" s="265"/>
      <c r="BN98" s="312"/>
      <c r="BO98" s="312"/>
      <c r="BP98" s="322"/>
      <c r="BQ98" s="312"/>
      <c r="BR98" s="312"/>
      <c r="BS98" s="322"/>
      <c r="BT98" s="322"/>
      <c r="BU98" s="322"/>
      <c r="BV98" s="322"/>
      <c r="BW98" s="322"/>
      <c r="BX98" s="322"/>
      <c r="BY98" s="326" t="s">
        <v>233</v>
      </c>
      <c r="BZ98" s="326" t="s">
        <v>443</v>
      </c>
      <c r="CA98" s="248">
        <f>C6*23.5/1000</f>
        <v>11.75</v>
      </c>
      <c r="CB98" s="168"/>
      <c r="CC98" s="169"/>
      <c r="CD98" s="169"/>
      <c r="CE98" s="169"/>
      <c r="CF98" s="169"/>
      <c r="CG98" s="167"/>
      <c r="CH98" s="167"/>
      <c r="CI98" s="170"/>
      <c r="CJ98" s="170"/>
      <c r="CK98" s="167"/>
      <c r="CL98" s="170"/>
      <c r="CM98" s="170"/>
      <c r="CN98" s="170"/>
      <c r="CO98" s="170"/>
      <c r="CP98" s="170"/>
      <c r="CQ98" s="170"/>
      <c r="CR98" s="170"/>
      <c r="CS98" s="170"/>
      <c r="CT98" s="170"/>
      <c r="CU98" s="170"/>
      <c r="CV98" s="170"/>
      <c r="CW98" s="167"/>
      <c r="CX98" s="170"/>
      <c r="CY98" s="170"/>
      <c r="CZ98" s="170"/>
      <c r="DA98" s="170"/>
      <c r="DB98" s="170"/>
      <c r="DC98" s="170"/>
      <c r="DD98" s="170"/>
      <c r="DE98" s="170"/>
      <c r="DF98" s="170"/>
      <c r="DG98" s="170"/>
      <c r="DH98" s="170"/>
      <c r="DI98" s="170"/>
      <c r="DJ98" s="170"/>
      <c r="DK98" s="170"/>
      <c r="DL98" s="170"/>
      <c r="DM98" s="170"/>
      <c r="DO98" s="194">
        <f>(DP97+('Formulação suplementos'!$CM$37-(DP97*0.64))/0.8)/1000</f>
        <v>1.0243820388432132</v>
      </c>
      <c r="DP98" s="195">
        <f>-53.07 + (304.89 * (DO98)) + (90.79 *'Formulação suplementos'!$K$10) - (3.13 * 'Formulação suplementos'!$K$10*'Formulação suplementos'!$K$10)</f>
        <v>654.03669215117293</v>
      </c>
      <c r="DR98" s="170"/>
      <c r="DT98" s="194">
        <f>(DU97+('Formulação suplementos'!$CY$36-(DU97*0.64))/0.8)/1000</f>
        <v>0.43991742979104576</v>
      </c>
      <c r="DU98" s="195">
        <f>-53.07 + (304.89 * (DT98-'Formulação suplementos'!$CA$214)) + (90.79 *('Formulação suplementos'!$CY$30)) - (3.13 *('Formulação suplementos'!$CY$30)^2)</f>
        <v>89.688064175037752</v>
      </c>
      <c r="DV98" s="170"/>
    </row>
    <row r="99" spans="1:126" s="117" customFormat="1" ht="15" hidden="1" x14ac:dyDescent="0.25">
      <c r="A99" s="116"/>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19"/>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c r="BB99"/>
      <c r="BC99"/>
      <c r="BD99"/>
      <c r="BE99"/>
      <c r="BF99"/>
      <c r="BG99" s="262"/>
      <c r="BH99" s="263"/>
      <c r="BI99" s="263"/>
      <c r="BJ99" s="305"/>
      <c r="BK99" s="265"/>
      <c r="BL99" s="265"/>
      <c r="BM99" s="265"/>
      <c r="BN99" s="312"/>
      <c r="BO99" s="312"/>
      <c r="BP99" s="322"/>
      <c r="BQ99" s="312"/>
      <c r="BR99" s="312"/>
      <c r="BS99" s="322"/>
      <c r="BT99" s="322"/>
      <c r="BU99" s="322"/>
      <c r="BV99" s="322"/>
      <c r="BW99" s="322"/>
      <c r="BX99" s="322"/>
      <c r="BY99" s="326"/>
      <c r="BZ99" s="326" t="s">
        <v>444</v>
      </c>
      <c r="CA99" s="248">
        <f>CA37*(3.1*CA36^-0.2142)</f>
        <v>7.6480314635016412E-3</v>
      </c>
      <c r="CB99" s="168"/>
      <c r="CC99" s="169"/>
      <c r="CD99" s="169"/>
      <c r="CE99" s="169"/>
      <c r="CF99" s="169"/>
      <c r="CG99" s="167"/>
      <c r="CH99" s="167"/>
      <c r="CI99" s="170"/>
      <c r="CJ99" s="170"/>
      <c r="CK99" s="167"/>
      <c r="CL99" s="170"/>
      <c r="CM99" s="170"/>
      <c r="CN99" s="170"/>
      <c r="CO99" s="170"/>
      <c r="CP99" s="170"/>
      <c r="CQ99" s="170"/>
      <c r="CR99" s="170"/>
      <c r="CS99" s="170"/>
      <c r="CT99" s="170"/>
      <c r="CU99" s="170"/>
      <c r="CV99" s="170"/>
      <c r="CW99" s="167"/>
      <c r="CX99" s="170"/>
      <c r="CY99" s="170"/>
      <c r="CZ99" s="170"/>
      <c r="DA99" s="170"/>
      <c r="DB99" s="170"/>
      <c r="DC99" s="170"/>
      <c r="DD99" s="170"/>
      <c r="DE99" s="170"/>
      <c r="DF99" s="170"/>
      <c r="DG99" s="170"/>
      <c r="DH99" s="170"/>
      <c r="DI99" s="170"/>
      <c r="DJ99" s="170"/>
      <c r="DK99" s="170"/>
      <c r="DL99" s="170"/>
      <c r="DM99" s="170"/>
      <c r="DO99" s="194">
        <f>(DP98+('Formulação suplementos'!$CM$37-(DP98*0.64))/0.8)/1000</f>
        <v>1.0243820388432132</v>
      </c>
      <c r="DP99" s="195">
        <f>-53.07 + (304.89 * (DO99)) + (90.79 *'Formulação suplementos'!$K$10) - (3.13 * 'Formulação suplementos'!$K$10*'Formulação suplementos'!$K$10)</f>
        <v>654.03669215117293</v>
      </c>
      <c r="DR99" s="170"/>
      <c r="DT99" s="194">
        <f>(DU98+('Formulação suplementos'!$CY$36-(DU98*0.64))/0.8)/1000</f>
        <v>0.43991742979104576</v>
      </c>
      <c r="DU99" s="195">
        <f>-53.07 + (304.89 * (DT99-'Formulação suplementos'!$CA$214)) + (90.79 *('Formulação suplementos'!$CY$30)) - (3.13 *('Formulação suplementos'!$CY$30)^2)</f>
        <v>89.688064175037752</v>
      </c>
      <c r="DV99" s="170"/>
    </row>
    <row r="100" spans="1:126" s="117" customFormat="1" ht="15" hidden="1" x14ac:dyDescent="0.25">
      <c r="A100" s="116"/>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19"/>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c r="BB100"/>
      <c r="BC100"/>
      <c r="BD100"/>
      <c r="BE100"/>
      <c r="BF100"/>
      <c r="BG100" s="262"/>
      <c r="BH100" s="263"/>
      <c r="BI100" s="263"/>
      <c r="BJ100" s="265"/>
      <c r="BK100" s="265"/>
      <c r="BL100" s="265"/>
      <c r="BM100" s="265"/>
      <c r="BN100" s="312"/>
      <c r="BO100" s="312"/>
      <c r="BP100" s="322"/>
      <c r="BQ100" s="312"/>
      <c r="BR100" s="312"/>
      <c r="BS100" s="322"/>
      <c r="BT100" s="322"/>
      <c r="BU100" s="322"/>
      <c r="BV100" s="322"/>
      <c r="BW100" s="322"/>
      <c r="BX100" s="322"/>
      <c r="BY100" s="326"/>
      <c r="BZ100" s="326" t="s">
        <v>445</v>
      </c>
      <c r="CA100" s="248">
        <f>0.7*CM22</f>
        <v>4.2496201647080909</v>
      </c>
      <c r="CB100" s="168"/>
      <c r="CC100" s="169"/>
      <c r="CD100" s="169"/>
      <c r="CE100" s="169"/>
      <c r="CF100" s="169"/>
      <c r="CG100" s="167"/>
      <c r="CH100" s="167"/>
      <c r="CI100" s="170"/>
      <c r="CJ100" s="170"/>
      <c r="CK100" s="167"/>
      <c r="CL100" s="170"/>
      <c r="CM100" s="170"/>
      <c r="CN100" s="170"/>
      <c r="CO100" s="170"/>
      <c r="CP100" s="170"/>
      <c r="CQ100" s="170"/>
      <c r="CR100" s="170"/>
      <c r="CS100" s="170"/>
      <c r="CT100" s="170"/>
      <c r="CU100" s="170"/>
      <c r="CV100" s="170"/>
      <c r="CW100" s="167"/>
      <c r="CX100" s="170"/>
      <c r="CY100" s="170"/>
      <c r="CZ100" s="170"/>
      <c r="DA100" s="170"/>
      <c r="DB100" s="170"/>
      <c r="DC100" s="170"/>
      <c r="DD100" s="170"/>
      <c r="DE100" s="170"/>
      <c r="DF100" s="170"/>
      <c r="DG100" s="170"/>
      <c r="DH100" s="170"/>
      <c r="DI100" s="170"/>
      <c r="DJ100" s="170"/>
      <c r="DK100" s="170"/>
      <c r="DL100" s="170"/>
      <c r="DM100" s="170"/>
      <c r="DO100" s="194">
        <f>(DP99+('Formulação suplementos'!$CM$37-(DP99*0.64))/0.8)/1000</f>
        <v>1.0243820388432132</v>
      </c>
      <c r="DP100" s="195">
        <f>-53.07 + (304.89 * (DO100)) + (90.79 *'Formulação suplementos'!$K$10) - (3.13 * 'Formulação suplementos'!$K$10*'Formulação suplementos'!$K$10)</f>
        <v>654.03669215117293</v>
      </c>
      <c r="DR100" s="170"/>
      <c r="DT100" s="194">
        <f>(DU99+('Formulação suplementos'!$CY$36-(DU99*0.64))/0.8)/1000</f>
        <v>0.43991742979104576</v>
      </c>
      <c r="DU100" s="195">
        <f>-53.07 + (304.89 * (DT100-'Formulação suplementos'!$CA$214)) + (90.79 *('Formulação suplementos'!$CY$30)) - (3.13 *('Formulação suplementos'!$CY$30)^2)</f>
        <v>89.688064175037752</v>
      </c>
      <c r="DV100" s="170"/>
    </row>
    <row r="101" spans="1:126" s="117" customFormat="1" ht="15" hidden="1" x14ac:dyDescent="0.25">
      <c r="A101" s="116"/>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19"/>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c r="BB101"/>
      <c r="BC101"/>
      <c r="BD101"/>
      <c r="BE101"/>
      <c r="BF101"/>
      <c r="BG101" s="262"/>
      <c r="BH101" s="263"/>
      <c r="BI101" s="263"/>
      <c r="BJ101" s="265"/>
      <c r="BK101" s="265"/>
      <c r="BL101" s="265"/>
      <c r="BM101" s="265"/>
      <c r="BN101" s="312"/>
      <c r="BO101" s="312"/>
      <c r="BP101" s="322"/>
      <c r="BQ101" s="312"/>
      <c r="BR101" s="312"/>
      <c r="BS101" s="322"/>
      <c r="BT101" s="322"/>
      <c r="BU101" s="322"/>
      <c r="BV101" s="322"/>
      <c r="BW101" s="322"/>
      <c r="BX101" s="322"/>
      <c r="BY101" s="326"/>
      <c r="BZ101" s="326" t="s">
        <v>446</v>
      </c>
      <c r="CA101" s="248">
        <f>CA100+CA99+CA98</f>
        <v>16.007268196171594</v>
      </c>
      <c r="CB101" s="168"/>
      <c r="CC101" s="169"/>
      <c r="CD101" s="169"/>
      <c r="CE101" s="169"/>
      <c r="CF101" s="169"/>
      <c r="CG101" s="167"/>
      <c r="CH101" s="167"/>
      <c r="CI101" s="170"/>
      <c r="CJ101" s="170"/>
      <c r="CK101" s="167"/>
      <c r="CL101" s="170"/>
      <c r="CM101" s="170"/>
      <c r="CN101" s="170"/>
      <c r="CO101" s="170"/>
      <c r="CP101" s="170"/>
      <c r="CQ101" s="170"/>
      <c r="CR101" s="170"/>
      <c r="CS101" s="170"/>
      <c r="CT101" s="170"/>
      <c r="CU101" s="170"/>
      <c r="CV101" s="170"/>
      <c r="CW101" s="167"/>
      <c r="CX101" s="170"/>
      <c r="CY101" s="170"/>
      <c r="CZ101" s="170"/>
      <c r="DA101" s="170"/>
      <c r="DB101" s="170"/>
      <c r="DC101" s="170"/>
      <c r="DD101" s="170"/>
      <c r="DE101" s="170"/>
      <c r="DF101" s="170"/>
      <c r="DG101" s="170"/>
      <c r="DH101" s="170"/>
      <c r="DI101" s="170"/>
      <c r="DJ101" s="170"/>
      <c r="DK101" s="170"/>
      <c r="DL101" s="170"/>
      <c r="DM101" s="170"/>
      <c r="DO101" s="194">
        <f>(DP100+('Formulação suplementos'!$CM$37-(DP100*0.64))/0.8)/1000</f>
        <v>1.0243820388432132</v>
      </c>
      <c r="DP101" s="195">
        <f>-53.07 + (304.89 * (DO101)) + (90.79 *'Formulação suplementos'!$K$10) - (3.13 * 'Formulação suplementos'!$K$10*'Formulação suplementos'!$K$10)</f>
        <v>654.03669215117293</v>
      </c>
      <c r="DR101" s="170"/>
      <c r="DT101" s="194">
        <f>(DU100+('Formulação suplementos'!$CY$36-(DU100*0.64))/0.8)/1000</f>
        <v>0.43991742979104576</v>
      </c>
      <c r="DU101" s="195">
        <f>-53.07 + (304.89 * (DT101-'Formulação suplementos'!$CA$214)) + (90.79 *('Formulação suplementos'!$CY$30)) - (3.13 *('Formulação suplementos'!$CY$30)^2)</f>
        <v>89.688064175037752</v>
      </c>
      <c r="DV101" s="170"/>
    </row>
    <row r="102" spans="1:126" s="117" customFormat="1" ht="15" hidden="1" x14ac:dyDescent="0.25">
      <c r="A102" s="116"/>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19"/>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c r="BB102"/>
      <c r="BC102"/>
      <c r="BD102"/>
      <c r="BE102"/>
      <c r="BF102"/>
      <c r="BG102" s="262"/>
      <c r="BH102" s="263"/>
      <c r="BI102" s="263"/>
      <c r="BJ102" s="265"/>
      <c r="BK102" s="265"/>
      <c r="BL102" s="265"/>
      <c r="BM102" s="265"/>
      <c r="BN102" s="312"/>
      <c r="BO102" s="312"/>
      <c r="BP102" s="322"/>
      <c r="BQ102" s="312"/>
      <c r="BR102" s="312"/>
      <c r="BS102" s="322"/>
      <c r="BT102" s="322"/>
      <c r="BU102" s="322"/>
      <c r="BV102" s="322"/>
      <c r="BW102" s="322"/>
      <c r="BX102" s="322"/>
      <c r="BY102" s="326"/>
      <c r="BZ102" s="326" t="s">
        <v>258</v>
      </c>
      <c r="CA102" s="167"/>
      <c r="CB102" s="168"/>
      <c r="CC102" s="169"/>
      <c r="CD102" s="169"/>
      <c r="CE102" s="169"/>
      <c r="CF102" s="169"/>
      <c r="CG102" s="167"/>
      <c r="CH102" s="167"/>
      <c r="CI102" s="170"/>
      <c r="CJ102" s="170"/>
      <c r="CK102" s="167"/>
      <c r="CL102" s="170"/>
      <c r="CM102" s="170"/>
      <c r="CN102" s="170"/>
      <c r="CO102" s="170"/>
      <c r="CP102" s="170"/>
      <c r="CQ102" s="170"/>
      <c r="CR102" s="170"/>
      <c r="CS102" s="170"/>
      <c r="CT102" s="170"/>
      <c r="CU102" s="170"/>
      <c r="CV102" s="170"/>
      <c r="CW102" s="167"/>
      <c r="CX102" s="170"/>
      <c r="CY102" s="170"/>
      <c r="CZ102" s="170"/>
      <c r="DA102" s="170"/>
      <c r="DB102" s="170"/>
      <c r="DC102" s="170"/>
      <c r="DD102" s="170"/>
      <c r="DE102" s="170"/>
      <c r="DF102" s="170"/>
      <c r="DG102" s="170"/>
      <c r="DH102" s="170"/>
      <c r="DI102" s="170"/>
      <c r="DJ102" s="170"/>
      <c r="DK102" s="170"/>
      <c r="DL102" s="170"/>
      <c r="DM102" s="170"/>
      <c r="DO102" s="194">
        <f>(DP101+('Formulação suplementos'!$CM$37-(DP101*0.64))/0.8)/1000</f>
        <v>1.0243820388432132</v>
      </c>
      <c r="DP102" s="195">
        <f>-53.07 + (304.89 * (DO102)) + (90.79 *'Formulação suplementos'!$K$10) - (3.13 * 'Formulação suplementos'!$K$10*'Formulação suplementos'!$K$10)</f>
        <v>654.03669215117293</v>
      </c>
      <c r="DR102" s="170"/>
      <c r="DT102" s="194">
        <f>(DU101+('Formulação suplementos'!$CY$36-(DU101*0.64))/0.8)/1000</f>
        <v>0.43991742979104576</v>
      </c>
      <c r="DU102" s="195">
        <f>-53.07 + (304.89 * (DT102-'Formulação suplementos'!$CA$214)) + (90.79 *('Formulação suplementos'!$CY$30)) - (3.13 *('Formulação suplementos'!$CY$30)^2)</f>
        <v>89.688064175037752</v>
      </c>
      <c r="DV102" s="170"/>
    </row>
    <row r="103" spans="1:126" s="117" customFormat="1" ht="15" hidden="1" x14ac:dyDescent="0.25">
      <c r="A103" s="116"/>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19"/>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c r="BB103"/>
      <c r="BC103"/>
      <c r="BD103"/>
      <c r="BE103"/>
      <c r="BF103"/>
      <c r="BG103" s="262"/>
      <c r="BH103" s="263"/>
      <c r="BI103" s="263"/>
      <c r="BJ103" s="265"/>
      <c r="BK103" s="265"/>
      <c r="BL103" s="265"/>
      <c r="BM103" s="265"/>
      <c r="BN103" s="312"/>
      <c r="BO103" s="312"/>
      <c r="BP103" s="322"/>
      <c r="BQ103" s="312"/>
      <c r="BR103" s="312"/>
      <c r="BS103" s="322"/>
      <c r="BT103" s="322"/>
      <c r="BU103" s="322"/>
      <c r="BV103" s="322"/>
      <c r="BW103" s="322"/>
      <c r="BX103" s="322"/>
      <c r="BY103" s="326"/>
      <c r="BZ103" s="330" t="s">
        <v>447</v>
      </c>
      <c r="CA103" s="335">
        <f>CA101/CR30</f>
        <v>33.072868173908255</v>
      </c>
      <c r="CB103" s="338"/>
      <c r="CC103" s="169"/>
      <c r="CD103" s="169"/>
      <c r="CE103" s="169"/>
      <c r="CF103" s="169"/>
      <c r="CG103" s="167"/>
      <c r="CH103" s="167"/>
      <c r="CI103" s="170"/>
      <c r="CJ103" s="170"/>
      <c r="CK103" s="167"/>
      <c r="CL103" s="170"/>
      <c r="CM103" s="170"/>
      <c r="CN103" s="170"/>
      <c r="CO103" s="170"/>
      <c r="CP103" s="170"/>
      <c r="CQ103" s="170"/>
      <c r="CR103" s="170"/>
      <c r="CS103" s="170"/>
      <c r="CT103" s="170"/>
      <c r="CU103" s="170"/>
      <c r="CV103" s="170"/>
      <c r="CW103" s="167"/>
      <c r="CX103" s="170"/>
      <c r="CY103" s="170"/>
      <c r="CZ103" s="170"/>
      <c r="DA103" s="170"/>
      <c r="DB103" s="170"/>
      <c r="DC103" s="170"/>
      <c r="DD103" s="170"/>
      <c r="DE103" s="170"/>
      <c r="DF103" s="170"/>
      <c r="DG103" s="170"/>
      <c r="DH103" s="170"/>
      <c r="DI103" s="170"/>
      <c r="DJ103" s="170"/>
      <c r="DK103" s="170"/>
      <c r="DL103" s="170"/>
      <c r="DM103" s="170"/>
      <c r="DO103" s="194">
        <f>(DP102+('Formulação suplementos'!$CM$37-(DP102*0.64))/0.8)/1000</f>
        <v>1.0243820388432132</v>
      </c>
      <c r="DP103" s="195">
        <f>-53.07 + (304.89 * (DO103)) + (90.79 *'Formulação suplementos'!$K$10) - (3.13 * 'Formulação suplementos'!$K$10*'Formulação suplementos'!$K$10)</f>
        <v>654.03669215117293</v>
      </c>
      <c r="DR103" s="170"/>
      <c r="DT103" s="194">
        <f>(DU102+('Formulação suplementos'!$CY$36-(DU102*0.64))/0.8)/1000</f>
        <v>0.43991742979104576</v>
      </c>
      <c r="DU103" s="195">
        <f>-53.07 + (304.89 * (DT103-'Formulação suplementos'!$CA$214)) + (90.79 *('Formulação suplementos'!$CY$30)) - (3.13 *('Formulação suplementos'!$CY$30)^2)</f>
        <v>89.688064175037752</v>
      </c>
      <c r="DV103" s="170"/>
    </row>
    <row r="104" spans="1:126" s="117" customFormat="1" ht="15" hidden="1" x14ac:dyDescent="0.25">
      <c r="A104" s="116"/>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19"/>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c r="BB104"/>
      <c r="BC104"/>
      <c r="BD104"/>
      <c r="BE104"/>
      <c r="BF104"/>
      <c r="BG104" s="262"/>
      <c r="BH104" s="263"/>
      <c r="BI104" s="263"/>
      <c r="BJ104" s="265"/>
      <c r="BK104" s="265"/>
      <c r="BL104" s="265"/>
      <c r="BM104" s="265"/>
      <c r="BN104" s="312"/>
      <c r="BO104" s="312"/>
      <c r="BP104" s="322"/>
      <c r="BQ104" s="312"/>
      <c r="BR104" s="312"/>
      <c r="BS104" s="322"/>
      <c r="BT104" s="322"/>
      <c r="BU104" s="322"/>
      <c r="BV104" s="322"/>
      <c r="BW104" s="322"/>
      <c r="BX104" s="322"/>
      <c r="BY104" s="326"/>
      <c r="BZ104" s="330"/>
      <c r="CA104" s="167"/>
      <c r="CB104" s="168"/>
      <c r="CC104" s="169"/>
      <c r="CD104" s="169"/>
      <c r="CE104" s="169"/>
      <c r="CF104" s="169"/>
      <c r="CG104" s="167"/>
      <c r="CH104" s="167"/>
      <c r="CI104" s="170"/>
      <c r="CJ104" s="170"/>
      <c r="CK104" s="167"/>
      <c r="CL104" s="170"/>
      <c r="CM104" s="170"/>
      <c r="CN104" s="170"/>
      <c r="CO104" s="170"/>
      <c r="CP104" s="170"/>
      <c r="CQ104" s="170"/>
      <c r="CR104" s="170"/>
      <c r="CS104" s="170"/>
      <c r="CT104" s="170"/>
      <c r="CU104" s="170"/>
      <c r="CV104" s="170"/>
      <c r="CW104" s="167"/>
      <c r="CX104" s="170"/>
      <c r="CY104" s="170"/>
      <c r="CZ104" s="170"/>
      <c r="DA104" s="170"/>
      <c r="DB104" s="170"/>
      <c r="DC104" s="170"/>
      <c r="DD104" s="170"/>
      <c r="DE104" s="170"/>
      <c r="DF104" s="170"/>
      <c r="DG104" s="170"/>
      <c r="DH104" s="170"/>
      <c r="DI104" s="170"/>
      <c r="DJ104" s="170"/>
      <c r="DK104" s="170"/>
      <c r="DL104" s="170"/>
      <c r="DM104" s="170"/>
      <c r="DO104" s="194">
        <f>(DP103+('Formulação suplementos'!$CM$37-(DP103*0.64))/0.8)/1000</f>
        <v>1.0243820388432132</v>
      </c>
      <c r="DP104" s="195">
        <f>-53.07 + (304.89 * (DO104)) + (90.79 *'Formulação suplementos'!$K$10) - (3.13 * 'Formulação suplementos'!$K$10*'Formulação suplementos'!$K$10)</f>
        <v>654.03669215117293</v>
      </c>
      <c r="DR104" s="170"/>
      <c r="DT104" s="194">
        <f>(DU103+('Formulação suplementos'!$CY$36-(DU103*0.64))/0.8)/1000</f>
        <v>0.43991742979104576</v>
      </c>
      <c r="DU104" s="195">
        <f>-53.07 + (304.89 * (DT104-'Formulação suplementos'!$CA$214)) + (90.79 *('Formulação suplementos'!$CY$30)) - (3.13 *('Formulação suplementos'!$CY$30)^2)</f>
        <v>89.688064175037752</v>
      </c>
      <c r="DV104" s="170"/>
    </row>
    <row r="105" spans="1:126" s="117" customFormat="1" ht="15" hidden="1" x14ac:dyDescent="0.25">
      <c r="A105" s="116"/>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19"/>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c r="BB105"/>
      <c r="BC105"/>
      <c r="BD105"/>
      <c r="BE105"/>
      <c r="BF105"/>
      <c r="BG105" s="262"/>
      <c r="BH105" s="263"/>
      <c r="BI105" s="263"/>
      <c r="BJ105" s="265"/>
      <c r="BK105" s="265"/>
      <c r="BL105" s="265"/>
      <c r="BM105" s="265"/>
      <c r="BN105" s="312"/>
      <c r="BO105" s="312"/>
      <c r="BP105" s="322"/>
      <c r="BQ105" s="312"/>
      <c r="BR105" s="312"/>
      <c r="BS105" s="322"/>
      <c r="BT105" s="322"/>
      <c r="BU105" s="322"/>
      <c r="BV105" s="322"/>
      <c r="BW105" s="322"/>
      <c r="BX105" s="322"/>
      <c r="BY105" s="326" t="s">
        <v>245</v>
      </c>
      <c r="BZ105" s="326" t="s">
        <v>448</v>
      </c>
      <c r="CA105" s="248">
        <f>C6*10.4/1000</f>
        <v>5.2</v>
      </c>
      <c r="CB105" s="168"/>
      <c r="CC105" s="169"/>
      <c r="CD105" s="169"/>
      <c r="CE105" s="169"/>
      <c r="CF105" s="169"/>
      <c r="CG105" s="167"/>
      <c r="CH105" s="167"/>
      <c r="CI105" s="170"/>
      <c r="CJ105" s="170"/>
      <c r="CK105" s="167"/>
      <c r="CL105" s="170"/>
      <c r="CM105" s="170"/>
      <c r="CN105" s="170"/>
      <c r="CO105" s="170"/>
      <c r="CP105" s="170"/>
      <c r="CQ105" s="170"/>
      <c r="CR105" s="170"/>
      <c r="CS105" s="170"/>
      <c r="CT105" s="170"/>
      <c r="CU105" s="170"/>
      <c r="CV105" s="170"/>
      <c r="CW105" s="167"/>
      <c r="CX105" s="170"/>
      <c r="CY105" s="170"/>
      <c r="CZ105" s="170"/>
      <c r="DA105" s="170"/>
      <c r="DB105" s="170"/>
      <c r="DC105" s="170"/>
      <c r="DD105" s="170"/>
      <c r="DE105" s="170"/>
      <c r="DF105" s="170"/>
      <c r="DG105" s="170"/>
      <c r="DH105" s="170"/>
      <c r="DI105" s="170"/>
      <c r="DJ105" s="170"/>
      <c r="DK105" s="170"/>
      <c r="DL105" s="170"/>
      <c r="DM105" s="170"/>
      <c r="DO105" s="194">
        <f>(DP104+('Formulação suplementos'!$CM$37-(DP104*0.64))/0.8)/1000</f>
        <v>1.0243820388432132</v>
      </c>
      <c r="DP105" s="195">
        <f>-53.07 + (304.89 * (DO105)) + (90.79 *'Formulação suplementos'!$K$10) - (3.13 * 'Formulação suplementos'!$K$10*'Formulação suplementos'!$K$10)</f>
        <v>654.03669215117293</v>
      </c>
      <c r="DR105" s="170"/>
      <c r="DT105" s="194">
        <f>(DU104+('Formulação suplementos'!$CY$36-(DU104*0.64))/0.8)/1000</f>
        <v>0.43991742979104576</v>
      </c>
      <c r="DU105" s="195">
        <f>-53.07 + (304.89 * (DT105-'Formulação suplementos'!$CA$214)) + (90.79 *('Formulação suplementos'!$CY$30)) - (3.13 *('Formulação suplementos'!$CY$30)^2)</f>
        <v>89.688064175037752</v>
      </c>
      <c r="DV105" s="170"/>
    </row>
    <row r="106" spans="1:126" s="117" customFormat="1" ht="15" hidden="1" x14ac:dyDescent="0.25">
      <c r="A106" s="116"/>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19"/>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c r="BB106"/>
      <c r="BC106"/>
      <c r="BD106"/>
      <c r="BE106"/>
      <c r="BF106"/>
      <c r="BG106" s="262"/>
      <c r="BH106" s="263"/>
      <c r="BI106" s="263"/>
      <c r="BJ106" s="265"/>
      <c r="BK106" s="265"/>
      <c r="BL106" s="265"/>
      <c r="BM106" s="265"/>
      <c r="BN106" s="312"/>
      <c r="BO106" s="312"/>
      <c r="BP106" s="322"/>
      <c r="BQ106" s="312"/>
      <c r="BR106" s="312"/>
      <c r="BS106" s="322"/>
      <c r="BT106" s="322"/>
      <c r="BU106" s="322"/>
      <c r="BV106" s="322"/>
      <c r="BW106" s="322"/>
      <c r="BX106" s="322"/>
      <c r="BY106" s="326"/>
      <c r="BZ106" s="326" t="s">
        <v>449</v>
      </c>
      <c r="CA106" s="248">
        <f>CA37*(0.03*CA36^0.89)</f>
        <v>5.7874882276264153E-2</v>
      </c>
      <c r="CB106" s="168"/>
      <c r="CC106" s="169"/>
      <c r="CD106" s="169"/>
      <c r="CE106" s="169"/>
      <c r="CF106" s="169"/>
      <c r="CG106" s="167"/>
      <c r="CH106" s="167"/>
      <c r="CI106" s="170"/>
      <c r="CJ106" s="170"/>
      <c r="CK106" s="167"/>
      <c r="CL106" s="170"/>
      <c r="CM106" s="170"/>
      <c r="CN106" s="170"/>
      <c r="CO106" s="170"/>
      <c r="CP106" s="170"/>
      <c r="CQ106" s="170"/>
      <c r="CR106" s="170"/>
      <c r="CS106" s="170"/>
      <c r="CT106" s="170"/>
      <c r="CU106" s="170"/>
      <c r="CV106" s="170"/>
      <c r="CW106" s="167"/>
      <c r="CX106" s="170"/>
      <c r="CY106" s="170"/>
      <c r="CZ106" s="170"/>
      <c r="DA106" s="170"/>
      <c r="DB106" s="170"/>
      <c r="DC106" s="170"/>
      <c r="DD106" s="170"/>
      <c r="DE106" s="170"/>
      <c r="DF106" s="170"/>
      <c r="DG106" s="170"/>
      <c r="DH106" s="170"/>
      <c r="DI106" s="170"/>
      <c r="DJ106" s="170"/>
      <c r="DK106" s="170"/>
      <c r="DL106" s="170"/>
      <c r="DM106" s="170"/>
      <c r="DO106" s="194">
        <f>(DP105+('Formulação suplementos'!$CM$37-(DP105*0.64))/0.8)/1000</f>
        <v>1.0243820388432132</v>
      </c>
      <c r="DP106" s="195">
        <f>-53.07 + (304.89 * (DO106)) + (90.79 *'Formulação suplementos'!$K$10) - (3.13 * 'Formulação suplementos'!$K$10*'Formulação suplementos'!$K$10)</f>
        <v>654.03669215117293</v>
      </c>
      <c r="DR106" s="170"/>
      <c r="DT106" s="194">
        <f>(DU105+('Formulação suplementos'!$CY$36-(DU105*0.64))/0.8)/1000</f>
        <v>0.43991742979104576</v>
      </c>
      <c r="DU106" s="195">
        <f>-53.07 + (304.89 * (DT106-'Formulação suplementos'!$CA$214)) + (90.79 *('Formulação suplementos'!$CY$30)) - (3.13 *('Formulação suplementos'!$CY$30)^2)</f>
        <v>89.688064175037752</v>
      </c>
      <c r="DV106" s="170"/>
    </row>
    <row r="107" spans="1:126" s="117" customFormat="1" ht="15" hidden="1" x14ac:dyDescent="0.25">
      <c r="A107" s="116"/>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19"/>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c r="BB107"/>
      <c r="BC107"/>
      <c r="BD107"/>
      <c r="BE107"/>
      <c r="BF107"/>
      <c r="BG107" s="262"/>
      <c r="BH107" s="263"/>
      <c r="BI107" s="263"/>
      <c r="BJ107" s="265"/>
      <c r="BK107" s="265"/>
      <c r="BL107" s="265"/>
      <c r="BM107" s="265"/>
      <c r="BN107" s="312"/>
      <c r="BO107" s="312"/>
      <c r="BP107" s="322"/>
      <c r="BQ107" s="312"/>
      <c r="BR107" s="312"/>
      <c r="BS107" s="322"/>
      <c r="BT107" s="322"/>
      <c r="BU107" s="322"/>
      <c r="BV107" s="322"/>
      <c r="BW107" s="322"/>
      <c r="BX107" s="322"/>
      <c r="BY107" s="326"/>
      <c r="BZ107" s="326" t="s">
        <v>450</v>
      </c>
      <c r="CA107" s="248">
        <f>0.3*CM22</f>
        <v>1.8212657848748963</v>
      </c>
      <c r="CB107" s="168"/>
      <c r="CC107" s="169"/>
      <c r="CD107" s="169"/>
      <c r="CE107" s="169"/>
      <c r="CF107" s="169"/>
      <c r="CG107" s="167"/>
      <c r="CH107" s="167"/>
      <c r="CI107" s="170"/>
      <c r="CJ107" s="170"/>
      <c r="CK107" s="167"/>
      <c r="CL107" s="170"/>
      <c r="CM107" s="170"/>
      <c r="CN107" s="170"/>
      <c r="CO107" s="170"/>
      <c r="CP107" s="170"/>
      <c r="CQ107" s="170"/>
      <c r="CR107" s="170"/>
      <c r="CS107" s="170"/>
      <c r="CT107" s="170"/>
      <c r="CU107" s="170"/>
      <c r="CV107" s="170"/>
      <c r="CW107" s="167"/>
      <c r="CX107" s="170"/>
      <c r="CY107" s="170"/>
      <c r="CZ107" s="170"/>
      <c r="DA107" s="170"/>
      <c r="DB107" s="170"/>
      <c r="DC107" s="170"/>
      <c r="DD107" s="170"/>
      <c r="DE107" s="170"/>
      <c r="DF107" s="170"/>
      <c r="DG107" s="170"/>
      <c r="DH107" s="170"/>
      <c r="DI107" s="170"/>
      <c r="DJ107" s="170"/>
      <c r="DK107" s="170"/>
      <c r="DL107" s="170"/>
      <c r="DM107" s="170"/>
      <c r="DO107" s="194">
        <f>(DP106+('Formulação suplementos'!$CM$37-(DP106*0.64))/0.8)/1000</f>
        <v>1.0243820388432132</v>
      </c>
      <c r="DP107" s="195">
        <f>-53.07 + (304.89 * (DO107)) + (90.79 *'Formulação suplementos'!$K$10) - (3.13 * 'Formulação suplementos'!$K$10*'Formulação suplementos'!$K$10)</f>
        <v>654.03669215117293</v>
      </c>
      <c r="DR107" s="170"/>
      <c r="DT107" s="194">
        <f>(DU106+('Formulação suplementos'!$CY$36-(DU106*0.64))/0.8)/1000</f>
        <v>0.43991742979104576</v>
      </c>
      <c r="DU107" s="195">
        <f>-53.07 + (304.89 * (DT107-'Formulação suplementos'!$CA$214)) + (90.79 *('Formulação suplementos'!$CY$30)) - (3.13 *('Formulação suplementos'!$CY$30)^2)</f>
        <v>89.688064175037752</v>
      </c>
      <c r="DV107" s="170"/>
    </row>
    <row r="108" spans="1:126" s="117" customFormat="1" ht="15" hidden="1" x14ac:dyDescent="0.25">
      <c r="A108" s="116"/>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19"/>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c r="BB108"/>
      <c r="BC108"/>
      <c r="BD108"/>
      <c r="BE108"/>
      <c r="BF108"/>
      <c r="BG108" s="262"/>
      <c r="BH108" s="263"/>
      <c r="BI108" s="263"/>
      <c r="BJ108" s="337"/>
      <c r="BK108" s="265"/>
      <c r="BL108" s="265"/>
      <c r="BM108" s="265"/>
      <c r="BN108" s="312"/>
      <c r="BO108" s="312"/>
      <c r="BP108" s="322"/>
      <c r="BQ108" s="312"/>
      <c r="BR108" s="312"/>
      <c r="BS108" s="322"/>
      <c r="BT108" s="322"/>
      <c r="BU108" s="322"/>
      <c r="BV108" s="322"/>
      <c r="BW108" s="322"/>
      <c r="BX108" s="322"/>
      <c r="BY108" s="326"/>
      <c r="BZ108" s="326" t="s">
        <v>451</v>
      </c>
      <c r="CA108" s="248">
        <f>CA107+CA106+CA105</f>
        <v>7.0791406671511607</v>
      </c>
      <c r="CB108" s="168"/>
      <c r="CC108" s="169"/>
      <c r="CD108" s="169"/>
      <c r="CE108" s="169"/>
      <c r="CF108" s="169"/>
      <c r="CG108" s="167"/>
      <c r="CH108" s="167"/>
      <c r="CI108" s="170"/>
      <c r="CJ108" s="170"/>
      <c r="CK108" s="167"/>
      <c r="CL108" s="170"/>
      <c r="CM108" s="170"/>
      <c r="CN108" s="170"/>
      <c r="CO108" s="170"/>
      <c r="CP108" s="170"/>
      <c r="CQ108" s="170"/>
      <c r="CR108" s="170"/>
      <c r="CS108" s="170"/>
      <c r="CT108" s="170"/>
      <c r="CU108" s="170"/>
      <c r="CV108" s="170"/>
      <c r="CW108" s="167"/>
      <c r="CX108" s="170"/>
      <c r="CY108" s="170"/>
      <c r="CZ108" s="170"/>
      <c r="DA108" s="170"/>
      <c r="DB108" s="170"/>
      <c r="DC108" s="170"/>
      <c r="DD108" s="170"/>
      <c r="DE108" s="170"/>
      <c r="DF108" s="170"/>
      <c r="DG108" s="170"/>
      <c r="DH108" s="170"/>
      <c r="DI108" s="170"/>
      <c r="DJ108" s="170"/>
      <c r="DK108" s="170"/>
      <c r="DL108" s="170"/>
      <c r="DM108" s="170"/>
      <c r="DO108" s="194">
        <f>(DP107+('Formulação suplementos'!$CM$37-(DP107*0.64))/0.8)/1000</f>
        <v>1.0243820388432132</v>
      </c>
      <c r="DP108" s="195">
        <f>-53.07 + (304.89 * (DO108)) + (90.79 *'Formulação suplementos'!$K$10) - (3.13 * 'Formulação suplementos'!$K$10*'Formulação suplementos'!$K$10)</f>
        <v>654.03669215117293</v>
      </c>
      <c r="DR108" s="170"/>
      <c r="DT108" s="194">
        <f>(DU107+('Formulação suplementos'!$CY$36-(DU107*0.64))/0.8)/1000</f>
        <v>0.43991742979104576</v>
      </c>
      <c r="DU108" s="195">
        <f>-53.07 + (304.89 * (DT108-'Formulação suplementos'!$CA$214)) + (90.79 *('Formulação suplementos'!$CY$30)) - (3.13 *('Formulação suplementos'!$CY$30)^2)</f>
        <v>89.688064175037752</v>
      </c>
      <c r="DV108" s="170"/>
    </row>
    <row r="109" spans="1:126" s="117" customFormat="1" ht="15" hidden="1" x14ac:dyDescent="0.25">
      <c r="A109" s="116"/>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19"/>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c r="BB109"/>
      <c r="BC109"/>
      <c r="BD109"/>
      <c r="BE109"/>
      <c r="BF109"/>
      <c r="BG109" s="262"/>
      <c r="BH109" s="263"/>
      <c r="BI109" s="263"/>
      <c r="BJ109" s="265"/>
      <c r="BK109" s="265"/>
      <c r="BL109" s="265"/>
      <c r="BM109" s="265"/>
      <c r="BN109" s="312"/>
      <c r="BO109" s="312"/>
      <c r="BP109" s="322"/>
      <c r="BQ109" s="312"/>
      <c r="BR109" s="312"/>
      <c r="BS109" s="322"/>
      <c r="BT109" s="322"/>
      <c r="BU109" s="322"/>
      <c r="BV109" s="322"/>
      <c r="BW109" s="322"/>
      <c r="BX109" s="322"/>
      <c r="BY109" s="326"/>
      <c r="BZ109" s="326" t="s">
        <v>258</v>
      </c>
      <c r="CA109" s="167"/>
      <c r="CB109" s="168"/>
      <c r="CC109" s="169"/>
      <c r="CD109" s="169"/>
      <c r="CE109" s="169"/>
      <c r="CF109" s="169"/>
      <c r="CG109" s="167"/>
      <c r="CH109" s="167"/>
      <c r="CI109" s="170"/>
      <c r="CJ109" s="170"/>
      <c r="CK109" s="167"/>
      <c r="CL109" s="170"/>
      <c r="CM109" s="170"/>
      <c r="CN109" s="170"/>
      <c r="CO109" s="170"/>
      <c r="CP109" s="170"/>
      <c r="CQ109" s="170"/>
      <c r="CR109" s="170"/>
      <c r="CS109" s="170"/>
      <c r="CT109" s="170"/>
      <c r="CU109" s="170"/>
      <c r="CV109" s="170"/>
      <c r="CW109" s="167"/>
      <c r="CX109" s="170"/>
      <c r="CY109" s="170"/>
      <c r="CZ109" s="170"/>
      <c r="DA109" s="170"/>
      <c r="DB109" s="170"/>
      <c r="DC109" s="170"/>
      <c r="DD109" s="170"/>
      <c r="DE109" s="170"/>
      <c r="DF109" s="170"/>
      <c r="DG109" s="170"/>
      <c r="DH109" s="170"/>
      <c r="DI109" s="170"/>
      <c r="DJ109" s="170"/>
      <c r="DK109" s="170"/>
      <c r="DL109" s="170"/>
      <c r="DM109" s="170"/>
      <c r="DO109" s="194">
        <f>(DP108+('Formulação suplementos'!$CM$37-(DP108*0.64))/0.8)/1000</f>
        <v>1.0243820388432132</v>
      </c>
      <c r="DP109" s="195">
        <f>-53.07 + (304.89 * (DO109)) + (90.79 *'Formulação suplementos'!$K$10) - (3.13 * 'Formulação suplementos'!$K$10*'Formulação suplementos'!$K$10)</f>
        <v>654.03669215117293</v>
      </c>
      <c r="DR109" s="170"/>
      <c r="DT109" s="194">
        <f>(DU108+('Formulação suplementos'!$CY$36-(DU108*0.64))/0.8)/1000</f>
        <v>0.43991742979104576</v>
      </c>
      <c r="DU109" s="195">
        <f>-53.07 + (304.89 * (DT109-'Formulação suplementos'!$CA$214)) + (90.79 *('Formulação suplementos'!$CY$30)) - (3.13 *('Formulação suplementos'!$CY$30)^2)</f>
        <v>89.688064175037752</v>
      </c>
      <c r="DV109" s="170"/>
    </row>
    <row r="110" spans="1:126" s="117" customFormat="1" ht="15" hidden="1" x14ac:dyDescent="0.25">
      <c r="A110" s="116"/>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19"/>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c r="BB110"/>
      <c r="BC110"/>
      <c r="BD110"/>
      <c r="BE110"/>
      <c r="BF110"/>
      <c r="BG110" s="262"/>
      <c r="BH110" s="263"/>
      <c r="BI110" s="263"/>
      <c r="BJ110" s="265"/>
      <c r="BK110" s="265"/>
      <c r="BL110" s="265"/>
      <c r="BM110" s="265"/>
      <c r="BN110" s="312"/>
      <c r="BO110" s="312"/>
      <c r="BP110" s="322"/>
      <c r="BQ110" s="312"/>
      <c r="BR110" s="312"/>
      <c r="BS110" s="322"/>
      <c r="BT110" s="322"/>
      <c r="BU110" s="322"/>
      <c r="BV110" s="322"/>
      <c r="BW110" s="322"/>
      <c r="BX110" s="322"/>
      <c r="BY110" s="326"/>
      <c r="BZ110" s="330" t="s">
        <v>452</v>
      </c>
      <c r="CA110" s="335">
        <f>CA108/CR32</f>
        <v>9.1580086250338422</v>
      </c>
      <c r="CB110" s="168"/>
      <c r="CC110" s="169"/>
      <c r="CD110" s="169"/>
      <c r="CE110" s="169"/>
      <c r="CF110" s="169"/>
      <c r="CG110" s="167"/>
      <c r="CH110" s="167"/>
      <c r="CI110" s="170"/>
      <c r="CJ110" s="170"/>
      <c r="CK110" s="167"/>
      <c r="CL110" s="170"/>
      <c r="CM110" s="170"/>
      <c r="CN110" s="170"/>
      <c r="CO110" s="170"/>
      <c r="CP110" s="170"/>
      <c r="CQ110" s="170"/>
      <c r="CR110" s="170"/>
      <c r="CS110" s="170"/>
      <c r="CT110" s="170"/>
      <c r="CU110" s="170"/>
      <c r="CV110" s="170"/>
      <c r="CW110" s="167"/>
      <c r="CX110" s="170"/>
      <c r="CY110" s="170"/>
      <c r="CZ110" s="170"/>
      <c r="DA110" s="170"/>
      <c r="DB110" s="170"/>
      <c r="DC110" s="170"/>
      <c r="DD110" s="170"/>
      <c r="DE110" s="170"/>
      <c r="DF110" s="170"/>
      <c r="DG110" s="170"/>
      <c r="DH110" s="170"/>
      <c r="DI110" s="170"/>
      <c r="DJ110" s="170"/>
      <c r="DK110" s="170"/>
      <c r="DL110" s="170"/>
      <c r="DM110" s="170"/>
      <c r="DO110" s="194">
        <f>(DP109+('Formulação suplementos'!$CM$37-(DP109*0.64))/0.8)/1000</f>
        <v>1.0243820388432132</v>
      </c>
      <c r="DP110" s="195">
        <f>-53.07 + (304.89 * (DO110)) + (90.79 *'Formulação suplementos'!$K$10) - (3.13 * 'Formulação suplementos'!$K$10*'Formulação suplementos'!$K$10)</f>
        <v>654.03669215117293</v>
      </c>
      <c r="DR110" s="170"/>
      <c r="DT110" s="194">
        <f>(DU109+('Formulação suplementos'!$CY$36-(DU109*0.64))/0.8)/1000</f>
        <v>0.43991742979104576</v>
      </c>
      <c r="DU110" s="195">
        <f>-53.07 + (304.89 * (DT110-'Formulação suplementos'!$CA$214)) + (90.79 *('Formulação suplementos'!$CY$30)) - (3.13 *('Formulação suplementos'!$CY$30)^2)</f>
        <v>89.688064175037752</v>
      </c>
      <c r="DV110" s="170"/>
    </row>
    <row r="111" spans="1:126" s="117" customFormat="1" ht="15" hidden="1" x14ac:dyDescent="0.25">
      <c r="A111" s="116"/>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19"/>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c r="BB111"/>
      <c r="BC111"/>
      <c r="BD111"/>
      <c r="BE111"/>
      <c r="BF111"/>
      <c r="BG111" s="262"/>
      <c r="BH111" s="263"/>
      <c r="BI111" s="263"/>
      <c r="BJ111" s="333"/>
      <c r="BK111" s="265"/>
      <c r="BL111" s="265"/>
      <c r="BM111" s="265"/>
      <c r="BN111" s="312"/>
      <c r="BO111" s="312"/>
      <c r="BP111" s="322"/>
      <c r="BQ111" s="312"/>
      <c r="BR111" s="312"/>
      <c r="BS111" s="322"/>
      <c r="BT111" s="322"/>
      <c r="BU111" s="322"/>
      <c r="BV111" s="322"/>
      <c r="BW111" s="322"/>
      <c r="BX111" s="322"/>
      <c r="BY111" s="326"/>
      <c r="BZ111" s="330"/>
      <c r="CA111" s="167"/>
      <c r="CB111" s="168"/>
      <c r="CC111" s="169"/>
      <c r="CD111" s="169"/>
      <c r="CE111" s="169"/>
      <c r="CF111" s="169"/>
      <c r="CG111" s="167"/>
      <c r="CH111" s="167"/>
      <c r="CI111" s="170"/>
      <c r="CJ111" s="170"/>
      <c r="CK111" s="167"/>
      <c r="CL111" s="170"/>
      <c r="CM111" s="170"/>
      <c r="CN111" s="170"/>
      <c r="CO111" s="170"/>
      <c r="CP111" s="170"/>
      <c r="CQ111" s="170"/>
      <c r="CR111" s="170"/>
      <c r="CS111" s="170"/>
      <c r="CT111" s="170"/>
      <c r="CU111" s="170"/>
      <c r="CV111" s="170"/>
      <c r="CW111" s="167"/>
      <c r="CX111" s="170"/>
      <c r="CY111" s="170"/>
      <c r="CZ111" s="170"/>
      <c r="DA111" s="170"/>
      <c r="DB111" s="170"/>
      <c r="DC111" s="170"/>
      <c r="DD111" s="170"/>
      <c r="DE111" s="170"/>
      <c r="DF111" s="170"/>
      <c r="DG111" s="170"/>
      <c r="DH111" s="170"/>
      <c r="DI111" s="170"/>
      <c r="DJ111" s="170"/>
      <c r="DK111" s="170"/>
      <c r="DL111" s="170"/>
      <c r="DM111" s="170"/>
      <c r="DO111" s="194">
        <f>(DP110+('Formulação suplementos'!$CM$37-(DP110*0.64))/0.8)/1000</f>
        <v>1.0243820388432132</v>
      </c>
      <c r="DP111" s="195">
        <f>-53.07 + (304.89 * (DO111)) + (90.79 *'Formulação suplementos'!$K$10) - (3.13 * 'Formulação suplementos'!$K$10*'Formulação suplementos'!$K$10)</f>
        <v>654.03669215117293</v>
      </c>
      <c r="DR111" s="170"/>
      <c r="DT111" s="194">
        <f>(DU110+('Formulação suplementos'!$CY$36-(DU110*0.64))/0.8)/1000</f>
        <v>0.43991742979104576</v>
      </c>
      <c r="DU111" s="195">
        <f>-53.07 + (304.89 * (DT111-'Formulação suplementos'!$CA$214)) + (90.79 *('Formulação suplementos'!$CY$30)) - (3.13 *('Formulação suplementos'!$CY$30)^2)</f>
        <v>89.688064175037752</v>
      </c>
      <c r="DV111" s="170"/>
    </row>
    <row r="112" spans="1:126" s="117" customFormat="1" ht="15" hidden="1" x14ac:dyDescent="0.25">
      <c r="A112" s="116"/>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19"/>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c r="BB112"/>
      <c r="BC112"/>
      <c r="BD112"/>
      <c r="BE112"/>
      <c r="BF112"/>
      <c r="BG112" s="262"/>
      <c r="BH112" s="263"/>
      <c r="BI112" s="263"/>
      <c r="BJ112" s="333"/>
      <c r="BK112" s="265"/>
      <c r="BL112" s="265"/>
      <c r="BM112" s="265"/>
      <c r="BN112" s="312"/>
      <c r="BO112" s="312"/>
      <c r="BP112" s="322"/>
      <c r="BQ112" s="312"/>
      <c r="BR112" s="312"/>
      <c r="BS112" s="322"/>
      <c r="BT112" s="322"/>
      <c r="BU112" s="322"/>
      <c r="BV112" s="322"/>
      <c r="BW112" s="322"/>
      <c r="BX112" s="322"/>
      <c r="BY112" s="326" t="s">
        <v>262</v>
      </c>
      <c r="BZ112" s="326" t="s">
        <v>453</v>
      </c>
      <c r="CA112" s="248">
        <f>C6*95.6/1000</f>
        <v>47.8</v>
      </c>
      <c r="CB112" s="168"/>
      <c r="CC112" s="169"/>
      <c r="CD112" s="169"/>
      <c r="CE112" s="169"/>
      <c r="CF112" s="169"/>
      <c r="CG112" s="167"/>
      <c r="CH112" s="167"/>
      <c r="CI112" s="170"/>
      <c r="CJ112" s="170"/>
      <c r="CK112" s="167"/>
      <c r="CL112" s="170"/>
      <c r="CM112" s="170"/>
      <c r="CN112" s="170"/>
      <c r="CO112" s="170"/>
      <c r="CP112" s="170"/>
      <c r="CQ112" s="170"/>
      <c r="CR112" s="170"/>
      <c r="CS112" s="170"/>
      <c r="CT112" s="170"/>
      <c r="CU112" s="170"/>
      <c r="CV112" s="170"/>
      <c r="CW112" s="167"/>
      <c r="CX112" s="170"/>
      <c r="CY112" s="170"/>
      <c r="CZ112" s="170"/>
      <c r="DA112" s="170"/>
      <c r="DB112" s="170"/>
      <c r="DC112" s="170"/>
      <c r="DD112" s="170"/>
      <c r="DE112" s="170"/>
      <c r="DF112" s="170"/>
      <c r="DG112" s="170"/>
      <c r="DH112" s="170"/>
      <c r="DI112" s="170"/>
      <c r="DJ112" s="170"/>
      <c r="DK112" s="170"/>
      <c r="DL112" s="170"/>
      <c r="DM112" s="170"/>
      <c r="DO112" s="194">
        <f>(DP111+('Formulação suplementos'!$CM$37-(DP111*0.64))/0.8)/1000</f>
        <v>1.0243820388432132</v>
      </c>
      <c r="DP112" s="195">
        <f>-53.07 + (304.89 * (DO112)) + (90.79 *'Formulação suplementos'!$K$10) - (3.13 * 'Formulação suplementos'!$K$10*'Formulação suplementos'!$K$10)</f>
        <v>654.03669215117293</v>
      </c>
      <c r="DR112" s="170"/>
      <c r="DT112" s="194">
        <f>(DU111+('Formulação suplementos'!$CY$36-(DU111*0.64))/0.8)/1000</f>
        <v>0.43991742979104576</v>
      </c>
      <c r="DU112" s="195">
        <f>-53.07 + (304.89 * (DT112-'Formulação suplementos'!$CA$214)) + (90.79 *('Formulação suplementos'!$CY$30)) - (3.13 *('Formulação suplementos'!$CY$30)^2)</f>
        <v>89.688064175037752</v>
      </c>
      <c r="DV112" s="170"/>
    </row>
    <row r="113" spans="1:126" s="117" customFormat="1" ht="15" hidden="1" x14ac:dyDescent="0.25">
      <c r="A113" s="116"/>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19"/>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c r="BB113"/>
      <c r="BC113"/>
      <c r="BD113"/>
      <c r="BE113"/>
      <c r="BF113"/>
      <c r="BG113" s="262"/>
      <c r="BH113" s="263"/>
      <c r="BI113" s="263"/>
      <c r="BJ113" s="333"/>
      <c r="BK113" s="265"/>
      <c r="BL113" s="265"/>
      <c r="BM113" s="265"/>
      <c r="BN113" s="312"/>
      <c r="BO113" s="312"/>
      <c r="BP113" s="322"/>
      <c r="BQ113" s="312"/>
      <c r="BR113" s="312"/>
      <c r="BS113" s="322"/>
      <c r="BT113" s="322"/>
      <c r="BU113" s="322"/>
      <c r="BV113" s="322"/>
      <c r="BW113" s="322"/>
      <c r="BX113" s="322"/>
      <c r="BY113" s="326"/>
      <c r="BZ113" s="326" t="s">
        <v>454</v>
      </c>
      <c r="CA113" s="248">
        <f>CA37*(1.25*CA36^0.33)</f>
        <v>8.2222213916694167E-2</v>
      </c>
      <c r="CB113" s="168"/>
      <c r="CC113" s="169"/>
      <c r="CD113" s="169"/>
      <c r="CE113" s="169"/>
      <c r="CF113" s="169"/>
      <c r="CG113" s="167"/>
      <c r="CH113" s="167"/>
      <c r="CI113" s="170"/>
      <c r="CJ113" s="170"/>
      <c r="CK113" s="167"/>
      <c r="CL113" s="170"/>
      <c r="CM113" s="170"/>
      <c r="CN113" s="170"/>
      <c r="CO113" s="170"/>
      <c r="CP113" s="170"/>
      <c r="CQ113" s="170"/>
      <c r="CR113" s="170"/>
      <c r="CS113" s="170"/>
      <c r="CT113" s="170"/>
      <c r="CU113" s="170"/>
      <c r="CV113" s="170"/>
      <c r="CW113" s="167"/>
      <c r="CX113" s="170"/>
      <c r="CY113" s="170"/>
      <c r="CZ113" s="170"/>
      <c r="DA113" s="170"/>
      <c r="DB113" s="170"/>
      <c r="DC113" s="170"/>
      <c r="DD113" s="170"/>
      <c r="DE113" s="170"/>
      <c r="DF113" s="170"/>
      <c r="DG113" s="170"/>
      <c r="DH113" s="170"/>
      <c r="DI113" s="170"/>
      <c r="DJ113" s="170"/>
      <c r="DK113" s="170"/>
      <c r="DL113" s="170"/>
      <c r="DM113" s="170"/>
      <c r="DO113" s="194">
        <f>(DP112+('Formulação suplementos'!$CM$37-(DP112*0.64))/0.8)/1000</f>
        <v>1.0243820388432132</v>
      </c>
      <c r="DP113" s="195">
        <f>-53.07 + (304.89 * (DO113)) + (90.79 *'Formulação suplementos'!$K$10) - (3.13 * 'Formulação suplementos'!$K$10*'Formulação suplementos'!$K$10)</f>
        <v>654.03669215117293</v>
      </c>
      <c r="DR113" s="170"/>
      <c r="DT113" s="194">
        <f>(DU112+('Formulação suplementos'!$CY$36-(DU112*0.64))/0.8)/1000</f>
        <v>0.43991742979104576</v>
      </c>
      <c r="DU113" s="195">
        <f>-53.07 + (304.89 * (DT113-'Formulação suplementos'!$CA$214)) + (90.79 *('Formulação suplementos'!$CY$30)) - (3.13 *('Formulação suplementos'!$CY$30)^2)</f>
        <v>89.688064175037752</v>
      </c>
      <c r="DV113" s="170"/>
    </row>
    <row r="114" spans="1:126" s="117" customFormat="1" ht="15" hidden="1" x14ac:dyDescent="0.25">
      <c r="A114" s="116"/>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19"/>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c r="BB114"/>
      <c r="BC114"/>
      <c r="BD114"/>
      <c r="BE114"/>
      <c r="BF114"/>
      <c r="BG114" s="262"/>
      <c r="BH114" s="263"/>
      <c r="BI114" s="263"/>
      <c r="BJ114" s="333"/>
      <c r="BK114" s="265"/>
      <c r="BL114" s="265"/>
      <c r="BM114" s="265"/>
      <c r="BN114" s="312"/>
      <c r="BO114" s="312"/>
      <c r="BP114" s="322"/>
      <c r="BQ114" s="312"/>
      <c r="BR114" s="312"/>
      <c r="BS114" s="322"/>
      <c r="BT114" s="322"/>
      <c r="BU114" s="322"/>
      <c r="BV114" s="322"/>
      <c r="BW114" s="322"/>
      <c r="BX114" s="322"/>
      <c r="BY114" s="326"/>
      <c r="BZ114" s="326" t="s">
        <v>455</v>
      </c>
      <c r="CA114" s="248">
        <f>1.99*CM22</f>
        <v>12.081063039670147</v>
      </c>
      <c r="CB114" s="168"/>
      <c r="CC114" s="169"/>
      <c r="CD114" s="169"/>
      <c r="CE114" s="169"/>
      <c r="CF114" s="169"/>
      <c r="CG114" s="167"/>
      <c r="CH114" s="167"/>
      <c r="CI114" s="170"/>
      <c r="CJ114" s="170"/>
      <c r="CK114" s="167"/>
      <c r="CL114" s="170"/>
      <c r="CM114" s="170"/>
      <c r="CN114" s="170"/>
      <c r="CO114" s="170"/>
      <c r="CP114" s="170"/>
      <c r="CQ114" s="170"/>
      <c r="CR114" s="170"/>
      <c r="CS114" s="170"/>
      <c r="CT114" s="170"/>
      <c r="CU114" s="170"/>
      <c r="CV114" s="170"/>
      <c r="CW114" s="167"/>
      <c r="CX114" s="170"/>
      <c r="CY114" s="170"/>
      <c r="CZ114" s="170"/>
      <c r="DA114" s="170"/>
      <c r="DB114" s="170"/>
      <c r="DC114" s="170"/>
      <c r="DD114" s="170"/>
      <c r="DE114" s="170"/>
      <c r="DF114" s="170"/>
      <c r="DG114" s="170"/>
      <c r="DH114" s="170"/>
      <c r="DI114" s="170"/>
      <c r="DJ114" s="170"/>
      <c r="DK114" s="170"/>
      <c r="DL114" s="170"/>
      <c r="DM114" s="170"/>
      <c r="DO114" s="194">
        <f>(DP113+('Formulação suplementos'!$CM$37-(DP113*0.64))/0.8)/1000</f>
        <v>1.0243820388432132</v>
      </c>
      <c r="DP114" s="195">
        <f>-53.07 + (304.89 * (DO114)) + (90.79 *'Formulação suplementos'!$K$10) - (3.13 * 'Formulação suplementos'!$K$10*'Formulação suplementos'!$K$10)</f>
        <v>654.03669215117293</v>
      </c>
      <c r="DR114" s="170"/>
      <c r="DT114" s="194">
        <f>(DU113+('Formulação suplementos'!$CY$36-(DU113*0.64))/0.8)/1000</f>
        <v>0.43991742979104576</v>
      </c>
      <c r="DU114" s="195">
        <f>-53.07 + (304.89 * (DT114-'Formulação suplementos'!$CA$214)) + (90.79 *('Formulação suplementos'!$CY$30)) - (3.13 *('Formulação suplementos'!$CY$30)^2)</f>
        <v>89.688064175037752</v>
      </c>
      <c r="DV114" s="170"/>
    </row>
    <row r="115" spans="1:126" s="117" customFormat="1" ht="15" hidden="1" x14ac:dyDescent="0.25">
      <c r="A115" s="116"/>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19"/>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c r="BB115"/>
      <c r="BC115"/>
      <c r="BD115"/>
      <c r="BE115"/>
      <c r="BF115"/>
      <c r="BG115" s="262"/>
      <c r="BH115" s="263"/>
      <c r="BI115" s="263"/>
      <c r="BJ115" s="265"/>
      <c r="BK115" s="265"/>
      <c r="BL115" s="265"/>
      <c r="BM115" s="265"/>
      <c r="BN115" s="312"/>
      <c r="BO115" s="312"/>
      <c r="BP115" s="322"/>
      <c r="BQ115" s="312"/>
      <c r="BR115" s="312"/>
      <c r="BS115" s="322"/>
      <c r="BT115" s="322"/>
      <c r="BU115" s="322"/>
      <c r="BV115" s="322"/>
      <c r="BW115" s="322"/>
      <c r="BX115" s="322"/>
      <c r="BY115" s="326"/>
      <c r="BZ115" s="326" t="s">
        <v>456</v>
      </c>
      <c r="CA115" s="248">
        <f>CA114+CA113+CA112</f>
        <v>59.963285253586839</v>
      </c>
      <c r="CB115" s="168"/>
      <c r="CC115" s="169"/>
      <c r="CD115" s="169"/>
      <c r="CE115" s="169"/>
      <c r="CF115" s="169"/>
      <c r="CG115" s="167"/>
      <c r="CH115" s="167"/>
      <c r="CI115" s="170"/>
      <c r="CJ115" s="170"/>
      <c r="CK115" s="167"/>
      <c r="CL115" s="170"/>
      <c r="CM115" s="170"/>
      <c r="CN115" s="170"/>
      <c r="CO115" s="170"/>
      <c r="CP115" s="170"/>
      <c r="CQ115" s="170"/>
      <c r="CR115" s="170"/>
      <c r="CS115" s="170"/>
      <c r="CT115" s="170"/>
      <c r="CU115" s="170"/>
      <c r="CV115" s="170"/>
      <c r="CW115" s="167"/>
      <c r="CX115" s="170"/>
      <c r="CY115" s="170"/>
      <c r="CZ115" s="170"/>
      <c r="DA115" s="170"/>
      <c r="DB115" s="170"/>
      <c r="DC115" s="170"/>
      <c r="DD115" s="170"/>
      <c r="DE115" s="170"/>
      <c r="DF115" s="170"/>
      <c r="DG115" s="170"/>
      <c r="DH115" s="170"/>
      <c r="DI115" s="170"/>
      <c r="DJ115" s="170"/>
      <c r="DK115" s="170"/>
      <c r="DL115" s="170"/>
      <c r="DM115" s="170"/>
      <c r="DO115" s="194">
        <f>(DP114+('Formulação suplementos'!$CM$37-(DP114*0.64))/0.8)/1000</f>
        <v>1.0243820388432132</v>
      </c>
      <c r="DP115" s="195">
        <f>-53.07 + (304.89 * (DO115)) + (90.79 *'Formulação suplementos'!$K$10) - (3.13 * 'Formulação suplementos'!$K$10*'Formulação suplementos'!$K$10)</f>
        <v>654.03669215117293</v>
      </c>
      <c r="DR115" s="170"/>
      <c r="DT115" s="194">
        <f>(DU114+('Formulação suplementos'!$CY$36-(DU114*0.64))/0.8)/1000</f>
        <v>0.43991742979104576</v>
      </c>
      <c r="DU115" s="195">
        <f>-53.07 + (304.89 * (DT115-'Formulação suplementos'!$CA$214)) + (90.79 *('Formulação suplementos'!$CY$30)) - (3.13 *('Formulação suplementos'!$CY$30)^2)</f>
        <v>89.688064175037752</v>
      </c>
      <c r="DV115" s="170"/>
    </row>
    <row r="116" spans="1:126" ht="15" hidden="1" x14ac:dyDescent="0.25">
      <c r="AB116" s="119"/>
      <c r="BG116" s="262"/>
      <c r="BH116" s="263"/>
      <c r="BI116" s="264"/>
      <c r="BJ116" s="339"/>
      <c r="BK116" s="305"/>
      <c r="BL116" s="265"/>
      <c r="BM116" s="265"/>
      <c r="BN116" s="312"/>
      <c r="BO116" s="312"/>
      <c r="BP116" s="322"/>
      <c r="BQ116" s="312"/>
      <c r="BR116" s="312"/>
      <c r="BS116" s="322"/>
      <c r="BT116" s="322"/>
      <c r="BU116" s="322"/>
      <c r="BV116" s="322"/>
      <c r="BW116" s="322"/>
      <c r="BX116" s="322"/>
      <c r="BY116" s="326"/>
      <c r="BZ116" s="326" t="s">
        <v>258</v>
      </c>
      <c r="CA116" s="167"/>
      <c r="CB116" s="168"/>
      <c r="CC116" s="169"/>
      <c r="CD116" s="169"/>
      <c r="CE116" s="169"/>
      <c r="CF116" s="169"/>
      <c r="CG116" s="167"/>
      <c r="CH116" s="167"/>
      <c r="CI116" s="170"/>
      <c r="CJ116" s="170"/>
      <c r="CK116" s="167"/>
      <c r="CL116" s="170"/>
      <c r="CM116" s="170"/>
      <c r="CN116" s="170"/>
      <c r="CO116" s="170"/>
      <c r="CP116" s="170"/>
      <c r="CQ116" s="170"/>
      <c r="CR116" s="170"/>
      <c r="CS116" s="170"/>
      <c r="CT116" s="170"/>
      <c r="CU116" s="170"/>
      <c r="CV116" s="170"/>
      <c r="CW116" s="167"/>
      <c r="CX116" s="170"/>
      <c r="CY116" s="170"/>
      <c r="CZ116" s="170"/>
      <c r="DA116" s="170"/>
      <c r="DB116" s="170"/>
      <c r="DC116" s="170"/>
      <c r="DD116" s="170"/>
      <c r="DE116" s="170"/>
      <c r="DF116" s="170"/>
      <c r="DG116" s="170"/>
      <c r="DH116" s="170"/>
      <c r="DI116" s="170"/>
      <c r="DJ116" s="170"/>
      <c r="DK116" s="170"/>
      <c r="DL116" s="170"/>
      <c r="DM116" s="170"/>
      <c r="DO116" s="194">
        <f>(DP115+('Formulação suplementos'!$CM$37-(DP115*0.64))/0.8)/1000</f>
        <v>1.0243820388432132</v>
      </c>
      <c r="DP116" s="195">
        <f>-53.07 + (304.89 * (DO116)) + (90.79 *'Formulação suplementos'!$K$10) - (3.13 * 'Formulação suplementos'!$K$10*'Formulação suplementos'!$K$10)</f>
        <v>654.03669215117293</v>
      </c>
      <c r="DR116" s="170"/>
      <c r="DS116" s="170"/>
      <c r="DT116" s="170"/>
      <c r="DU116" s="170"/>
      <c r="DV116" s="170"/>
    </row>
    <row r="117" spans="1:126" ht="15" hidden="1" x14ac:dyDescent="0.25">
      <c r="AB117" s="119"/>
      <c r="BG117" s="262"/>
      <c r="BH117" s="263"/>
      <c r="BI117" s="263"/>
      <c r="BJ117" s="265"/>
      <c r="BK117" s="265"/>
      <c r="BL117" s="265"/>
      <c r="BM117" s="265"/>
      <c r="BN117" s="312"/>
      <c r="BO117" s="312"/>
      <c r="BP117" s="322"/>
      <c r="BQ117" s="312"/>
      <c r="BR117" s="312"/>
      <c r="BS117" s="322"/>
      <c r="BT117" s="322"/>
      <c r="BU117" s="322"/>
      <c r="BV117" s="322"/>
      <c r="BW117" s="322"/>
      <c r="BX117" s="322"/>
      <c r="BY117" s="326"/>
      <c r="BZ117" s="330" t="s">
        <v>457</v>
      </c>
      <c r="CA117" s="335">
        <f>CA115/CR35</f>
        <v>81.582701025288216</v>
      </c>
      <c r="CB117" s="335"/>
      <c r="CC117" s="169"/>
      <c r="CD117" s="169"/>
      <c r="CE117" s="169"/>
      <c r="CF117" s="169"/>
      <c r="CG117" s="167"/>
      <c r="CH117" s="167"/>
      <c r="CI117" s="170"/>
      <c r="CJ117" s="170"/>
      <c r="CK117" s="167"/>
      <c r="CL117" s="170"/>
      <c r="CM117" s="170"/>
      <c r="CN117" s="170"/>
      <c r="CO117" s="170"/>
      <c r="CP117" s="170"/>
      <c r="CQ117" s="170"/>
      <c r="CR117" s="170"/>
      <c r="CS117" s="170"/>
      <c r="CT117" s="170"/>
      <c r="CU117" s="170"/>
      <c r="CV117" s="170"/>
      <c r="CW117" s="167"/>
      <c r="CX117" s="170"/>
      <c r="CY117" s="170"/>
      <c r="CZ117" s="170"/>
      <c r="DA117" s="170"/>
      <c r="DB117" s="170"/>
      <c r="DC117" s="170"/>
      <c r="DD117" s="170"/>
      <c r="DE117" s="170"/>
      <c r="DF117" s="170"/>
      <c r="DG117" s="170"/>
      <c r="DH117" s="170"/>
      <c r="DI117" s="170"/>
      <c r="DJ117" s="170"/>
      <c r="DK117" s="170"/>
      <c r="DL117" s="170"/>
      <c r="DM117" s="170"/>
      <c r="DR117" s="170"/>
      <c r="DS117" s="170"/>
      <c r="DT117" s="170"/>
      <c r="DU117" s="170"/>
      <c r="DV117" s="170"/>
    </row>
    <row r="118" spans="1:126" ht="15" hidden="1" x14ac:dyDescent="0.25">
      <c r="AB118" s="119"/>
      <c r="BG118" s="262"/>
      <c r="BH118" s="263"/>
      <c r="BI118" s="263"/>
      <c r="BJ118" s="333"/>
      <c r="BK118" s="265"/>
      <c r="BL118" s="265"/>
      <c r="BM118" s="265"/>
      <c r="BN118" s="312"/>
      <c r="BO118" s="312"/>
      <c r="BP118" s="322"/>
      <c r="BQ118" s="312"/>
      <c r="BR118" s="312"/>
      <c r="BS118" s="322"/>
      <c r="BT118" s="322"/>
      <c r="BU118" s="322"/>
      <c r="BV118" s="322"/>
      <c r="BW118" s="322"/>
      <c r="BX118" s="322"/>
      <c r="BY118" s="326"/>
      <c r="BZ118" s="330"/>
      <c r="CA118" s="167"/>
      <c r="CB118" s="168"/>
      <c r="CC118" s="169"/>
      <c r="CD118" s="169"/>
      <c r="CE118" s="169"/>
      <c r="CF118" s="169"/>
      <c r="CG118" s="167"/>
      <c r="CH118" s="167"/>
      <c r="CI118" s="170"/>
      <c r="CJ118" s="170"/>
      <c r="CK118" s="167"/>
      <c r="CL118" s="170"/>
      <c r="CM118" s="170"/>
      <c r="CN118" s="170"/>
      <c r="CO118" s="170"/>
      <c r="CP118" s="170"/>
      <c r="CQ118" s="170"/>
      <c r="CR118" s="170"/>
      <c r="CS118" s="170"/>
      <c r="CT118" s="170"/>
      <c r="CU118" s="170"/>
      <c r="CV118" s="170"/>
      <c r="CW118" s="167"/>
      <c r="CX118" s="170"/>
      <c r="CY118" s="170"/>
      <c r="CZ118" s="170"/>
      <c r="DA118" s="170"/>
      <c r="DB118" s="170"/>
      <c r="DC118" s="170"/>
      <c r="DD118" s="170"/>
      <c r="DE118" s="170"/>
      <c r="DF118" s="170"/>
      <c r="DG118" s="170"/>
      <c r="DH118" s="170"/>
      <c r="DI118" s="170"/>
      <c r="DJ118" s="170"/>
      <c r="DK118" s="170"/>
      <c r="DL118" s="170"/>
      <c r="DM118" s="170"/>
      <c r="DR118" s="170"/>
      <c r="DS118" s="170"/>
      <c r="DT118" s="170"/>
      <c r="DU118" s="170"/>
      <c r="DV118" s="170"/>
    </row>
    <row r="119" spans="1:126" ht="15" hidden="1" x14ac:dyDescent="0.25">
      <c r="AB119" s="119"/>
      <c r="BG119" s="262"/>
      <c r="BH119" s="263"/>
      <c r="BI119" s="263"/>
      <c r="BJ119" s="333"/>
      <c r="BK119" s="265"/>
      <c r="BL119" s="265"/>
      <c r="BM119" s="265"/>
      <c r="BN119" s="312"/>
      <c r="BO119" s="312"/>
      <c r="BP119" s="322"/>
      <c r="BQ119" s="312"/>
      <c r="BR119" s="312"/>
      <c r="BS119" s="322"/>
      <c r="BT119" s="322"/>
      <c r="BU119" s="322"/>
      <c r="BV119" s="322"/>
      <c r="BW119" s="322"/>
      <c r="BX119" s="322"/>
      <c r="BY119" s="326" t="s">
        <v>249</v>
      </c>
      <c r="BZ119" s="326" t="s">
        <v>458</v>
      </c>
      <c r="CA119" s="248">
        <f>C6*13.5/1000</f>
        <v>6.75</v>
      </c>
      <c r="CB119" s="168"/>
      <c r="CC119" s="169"/>
      <c r="CD119" s="169"/>
      <c r="CE119" s="169"/>
      <c r="CF119" s="169"/>
      <c r="CG119" s="167"/>
      <c r="CH119" s="167"/>
      <c r="CI119" s="170"/>
      <c r="CJ119" s="170"/>
      <c r="CK119" s="167"/>
      <c r="CL119" s="170"/>
      <c r="CM119" s="170"/>
      <c r="CN119" s="170"/>
      <c r="CO119" s="170"/>
      <c r="CP119" s="170"/>
      <c r="CQ119" s="170"/>
      <c r="CR119" s="170"/>
      <c r="CS119" s="170"/>
      <c r="CT119" s="170"/>
      <c r="CU119" s="170"/>
      <c r="CV119" s="170"/>
      <c r="CW119" s="167"/>
      <c r="CX119" s="170"/>
      <c r="CY119" s="170"/>
      <c r="CZ119" s="170"/>
      <c r="DA119" s="170"/>
      <c r="DB119" s="170"/>
      <c r="DC119" s="170"/>
      <c r="DD119" s="170"/>
      <c r="DE119" s="170"/>
      <c r="DF119" s="170"/>
      <c r="DG119" s="170"/>
      <c r="DH119" s="170"/>
      <c r="DI119" s="170"/>
      <c r="DJ119" s="170"/>
      <c r="DK119" s="170"/>
      <c r="DL119" s="170"/>
      <c r="DM119" s="170"/>
      <c r="DN119" s="170"/>
      <c r="DO119" s="170"/>
      <c r="DP119" s="170"/>
      <c r="DQ119" s="170"/>
      <c r="DR119" s="170"/>
      <c r="DS119" s="170"/>
      <c r="DT119" s="170"/>
      <c r="DU119" s="170"/>
      <c r="DV119" s="170"/>
    </row>
    <row r="120" spans="1:126" ht="15" hidden="1" x14ac:dyDescent="0.25">
      <c r="AB120" s="119"/>
      <c r="BG120" s="262"/>
      <c r="BH120" s="263"/>
      <c r="BI120" s="263"/>
      <c r="BJ120" s="337"/>
      <c r="BK120" s="265"/>
      <c r="BL120" s="265"/>
      <c r="BM120" s="265"/>
      <c r="BN120" s="312"/>
      <c r="BO120" s="312"/>
      <c r="BP120" s="322"/>
      <c r="BQ120" s="312"/>
      <c r="BR120" s="312"/>
      <c r="BS120" s="322"/>
      <c r="BT120" s="322"/>
      <c r="BU120" s="322"/>
      <c r="BV120" s="322"/>
      <c r="BW120" s="322"/>
      <c r="BX120" s="322"/>
      <c r="BY120" s="326"/>
      <c r="BZ120" s="326" t="s">
        <v>459</v>
      </c>
      <c r="CA120" s="340">
        <f>CA37*(0.045*CA36^-0.023)</f>
        <v>3.5186422751974547E-4</v>
      </c>
      <c r="CB120" s="168"/>
      <c r="CC120" s="169"/>
      <c r="CD120" s="169"/>
      <c r="CE120" s="169"/>
      <c r="CF120" s="169"/>
      <c r="CG120" s="167"/>
      <c r="CH120" s="167"/>
      <c r="CI120" s="170"/>
      <c r="CJ120" s="170"/>
      <c r="CK120" s="167"/>
      <c r="CL120" s="170"/>
      <c r="CM120" s="170"/>
      <c r="CN120" s="170"/>
      <c r="CO120" s="170"/>
      <c r="CP120" s="170"/>
      <c r="CQ120" s="170"/>
      <c r="CR120" s="170"/>
      <c r="CS120" s="170"/>
      <c r="CT120" s="170"/>
      <c r="CU120" s="170"/>
      <c r="CV120" s="170"/>
      <c r="CW120" s="167"/>
      <c r="CX120" s="170"/>
      <c r="CY120" s="170"/>
      <c r="CZ120" s="170"/>
      <c r="DA120" s="170"/>
      <c r="DB120" s="170"/>
      <c r="DC120" s="170"/>
      <c r="DD120" s="170"/>
      <c r="DE120" s="170"/>
      <c r="DF120" s="170"/>
      <c r="DG120" s="170"/>
      <c r="DH120" s="170"/>
      <c r="DI120" s="170"/>
      <c r="DJ120" s="170"/>
      <c r="DK120" s="170"/>
      <c r="DL120" s="170"/>
      <c r="DM120" s="170"/>
      <c r="DN120" s="170"/>
      <c r="DO120" s="170"/>
      <c r="DP120" s="170"/>
      <c r="DQ120" s="170"/>
      <c r="DR120" s="170"/>
      <c r="DS120" s="170"/>
      <c r="DT120" s="170"/>
      <c r="DU120" s="170"/>
      <c r="DV120" s="170"/>
    </row>
    <row r="121" spans="1:126" ht="15" hidden="1" x14ac:dyDescent="0.25">
      <c r="AB121" s="119"/>
      <c r="BG121" s="262"/>
      <c r="BH121" s="263"/>
      <c r="BI121" s="263"/>
      <c r="BJ121" s="333"/>
      <c r="BK121" s="265"/>
      <c r="BL121" s="265"/>
      <c r="BM121" s="265"/>
      <c r="BN121" s="312"/>
      <c r="BO121" s="312"/>
      <c r="BP121" s="322"/>
      <c r="BQ121" s="312"/>
      <c r="BR121" s="312"/>
      <c r="BS121" s="322"/>
      <c r="BT121" s="322"/>
      <c r="BU121" s="322"/>
      <c r="BV121" s="322"/>
      <c r="BW121" s="322"/>
      <c r="BX121" s="322"/>
      <c r="BY121" s="326"/>
      <c r="BZ121" s="326" t="s">
        <v>460</v>
      </c>
      <c r="CA121" s="248">
        <f>0.23*CM22</f>
        <v>1.3963037684040873</v>
      </c>
      <c r="CB121" s="168"/>
      <c r="CC121" s="169"/>
      <c r="CD121" s="169"/>
      <c r="CE121" s="169"/>
      <c r="CF121" s="169"/>
      <c r="CG121" s="167"/>
      <c r="CH121" s="167"/>
      <c r="CI121" s="170"/>
      <c r="CJ121" s="170"/>
      <c r="CK121" s="167"/>
      <c r="CL121" s="170"/>
      <c r="CM121" s="170"/>
      <c r="CN121" s="170"/>
      <c r="CO121" s="170"/>
      <c r="CP121" s="170"/>
      <c r="CQ121" s="170"/>
      <c r="CR121" s="170"/>
      <c r="CS121" s="170"/>
      <c r="CT121" s="170"/>
      <c r="CU121" s="170"/>
      <c r="CV121" s="170"/>
      <c r="CW121" s="167"/>
      <c r="CX121" s="170"/>
      <c r="CY121" s="170"/>
      <c r="CZ121" s="170"/>
      <c r="DA121" s="170"/>
      <c r="DB121" s="170"/>
      <c r="DC121" s="170"/>
      <c r="DD121" s="170"/>
      <c r="DE121" s="170"/>
      <c r="DF121" s="170"/>
      <c r="DG121" s="170"/>
      <c r="DH121" s="170"/>
      <c r="DI121" s="170"/>
      <c r="DJ121" s="170"/>
      <c r="DK121" s="170"/>
      <c r="DL121" s="170"/>
      <c r="DM121" s="170"/>
      <c r="DN121" s="170"/>
      <c r="DO121" s="170"/>
      <c r="DP121" s="170"/>
      <c r="DQ121" s="170"/>
      <c r="DR121" s="170"/>
      <c r="DS121" s="170"/>
      <c r="DT121" s="170"/>
      <c r="DU121" s="170"/>
      <c r="DV121" s="170"/>
    </row>
    <row r="122" spans="1:126" ht="15" hidden="1" x14ac:dyDescent="0.25">
      <c r="AB122" s="119"/>
      <c r="BG122" s="262"/>
      <c r="BH122" s="263"/>
      <c r="BI122" s="263"/>
      <c r="BJ122" s="265"/>
      <c r="BK122" s="265"/>
      <c r="BL122" s="265"/>
      <c r="BM122" s="265"/>
      <c r="BN122" s="312"/>
      <c r="BO122" s="312"/>
      <c r="BP122" s="322"/>
      <c r="BQ122" s="312"/>
      <c r="BR122" s="312"/>
      <c r="BS122" s="322"/>
      <c r="BT122" s="322"/>
      <c r="BU122" s="322"/>
      <c r="BV122" s="322"/>
      <c r="BW122" s="322"/>
      <c r="BX122" s="322"/>
      <c r="BY122" s="326"/>
      <c r="BZ122" s="326" t="s">
        <v>461</v>
      </c>
      <c r="CA122" s="248">
        <f>CA121+CA120+CA119</f>
        <v>8.1466556326316066</v>
      </c>
      <c r="CB122" s="168"/>
      <c r="CC122" s="169"/>
      <c r="CD122" s="169"/>
      <c r="CE122" s="169"/>
      <c r="CF122" s="169"/>
      <c r="CG122" s="167"/>
      <c r="CH122" s="167"/>
      <c r="CI122" s="170"/>
      <c r="CJ122" s="170"/>
      <c r="CK122" s="167"/>
      <c r="CL122" s="170"/>
      <c r="CM122" s="170"/>
      <c r="CN122" s="170"/>
      <c r="CO122" s="170"/>
      <c r="CP122" s="170"/>
      <c r="CQ122" s="170"/>
      <c r="CR122" s="170"/>
      <c r="CS122" s="170"/>
      <c r="CT122" s="170"/>
      <c r="CU122" s="170"/>
      <c r="CV122" s="170"/>
      <c r="CW122" s="167"/>
      <c r="CX122" s="170"/>
      <c r="CY122" s="170"/>
      <c r="CZ122" s="170"/>
      <c r="DA122" s="170"/>
      <c r="DB122" s="170"/>
      <c r="DC122" s="170"/>
      <c r="DD122" s="170"/>
      <c r="DE122" s="170"/>
      <c r="DF122" s="170"/>
      <c r="DG122" s="170"/>
      <c r="DH122" s="170"/>
      <c r="DI122" s="170"/>
      <c r="DJ122" s="170"/>
      <c r="DK122" s="170"/>
      <c r="DL122" s="170"/>
      <c r="DM122" s="170"/>
      <c r="DN122" s="170"/>
      <c r="DO122" s="170"/>
      <c r="DP122" s="170"/>
      <c r="DQ122" s="170"/>
      <c r="DR122" s="170"/>
      <c r="DS122" s="170"/>
      <c r="DT122" s="170"/>
      <c r="DU122" s="170"/>
      <c r="DV122" s="170"/>
    </row>
    <row r="123" spans="1:126" ht="15" hidden="1" x14ac:dyDescent="0.25">
      <c r="AB123" s="119"/>
      <c r="BG123" s="262"/>
      <c r="BH123" s="263"/>
      <c r="BI123" s="264"/>
      <c r="BJ123" s="339"/>
      <c r="BK123" s="328"/>
      <c r="BL123" s="265"/>
      <c r="BM123" s="265"/>
      <c r="BN123" s="312"/>
      <c r="BO123" s="312"/>
      <c r="BP123" s="322"/>
      <c r="BQ123" s="312"/>
      <c r="BR123" s="312"/>
      <c r="BS123" s="322"/>
      <c r="BT123" s="322"/>
      <c r="BU123" s="322"/>
      <c r="BV123" s="322"/>
      <c r="BW123" s="322"/>
      <c r="BX123" s="322"/>
      <c r="BY123" s="326"/>
      <c r="BZ123" s="326" t="s">
        <v>258</v>
      </c>
      <c r="CA123" s="167"/>
      <c r="CB123" s="168"/>
      <c r="CC123" s="169"/>
      <c r="CD123" s="169"/>
      <c r="CE123" s="169"/>
      <c r="CF123" s="169"/>
      <c r="CG123" s="167"/>
      <c r="CH123" s="167"/>
      <c r="CI123" s="170"/>
      <c r="CJ123" s="170"/>
      <c r="CK123" s="167"/>
      <c r="CL123" s="170"/>
      <c r="CM123" s="170"/>
      <c r="CN123" s="170"/>
      <c r="CO123" s="170"/>
      <c r="CP123" s="170"/>
      <c r="CQ123" s="170"/>
      <c r="CR123" s="170"/>
      <c r="CS123" s="170"/>
      <c r="CT123" s="170"/>
      <c r="CU123" s="170"/>
      <c r="CV123" s="170"/>
      <c r="CW123" s="167"/>
      <c r="CX123" s="170"/>
      <c r="CY123" s="170"/>
      <c r="CZ123" s="170"/>
      <c r="DA123" s="170"/>
      <c r="DB123" s="170"/>
      <c r="DC123" s="170"/>
      <c r="DD123" s="170"/>
      <c r="DE123" s="170"/>
      <c r="DF123" s="170"/>
      <c r="DG123" s="170"/>
      <c r="DH123" s="170"/>
      <c r="DI123" s="170"/>
      <c r="DJ123" s="170"/>
      <c r="DK123" s="170"/>
      <c r="DL123" s="170"/>
      <c r="DM123" s="170"/>
      <c r="DN123" s="170"/>
      <c r="DO123" s="170"/>
      <c r="DP123" s="170"/>
      <c r="DQ123" s="170"/>
      <c r="DR123" s="170"/>
      <c r="DS123" s="170"/>
      <c r="DT123" s="170"/>
      <c r="DU123" s="170"/>
      <c r="DV123" s="170"/>
    </row>
    <row r="124" spans="1:126" ht="15" hidden="1" x14ac:dyDescent="0.25">
      <c r="AB124" s="119"/>
      <c r="BG124" s="262"/>
      <c r="BH124" s="264"/>
      <c r="BI124" s="264"/>
      <c r="BJ124" s="265"/>
      <c r="BK124" s="265"/>
      <c r="BL124" s="265"/>
      <c r="BM124" s="265"/>
      <c r="BN124" s="312"/>
      <c r="BO124" s="312"/>
      <c r="BP124" s="322"/>
      <c r="BQ124" s="312"/>
      <c r="BR124" s="312"/>
      <c r="BS124" s="322"/>
      <c r="BT124" s="322"/>
      <c r="BU124" s="322"/>
      <c r="BV124" s="322"/>
      <c r="BW124" s="322"/>
      <c r="BX124" s="322"/>
      <c r="BY124" s="326"/>
      <c r="BZ124" s="330" t="s">
        <v>462</v>
      </c>
      <c r="CA124" s="335">
        <f>CA122/CR37</f>
        <v>9.3855479638612973</v>
      </c>
      <c r="CB124" s="336"/>
      <c r="CC124" s="169"/>
      <c r="CD124" s="169"/>
      <c r="CE124" s="169"/>
      <c r="CF124" s="169"/>
      <c r="CG124" s="167"/>
      <c r="CH124" s="167"/>
      <c r="CI124" s="170"/>
      <c r="CJ124" s="170"/>
      <c r="CK124" s="167"/>
      <c r="CL124" s="170"/>
      <c r="CM124" s="170"/>
      <c r="CN124" s="170"/>
      <c r="CO124" s="170"/>
      <c r="CP124" s="170"/>
      <c r="CQ124" s="170"/>
      <c r="CR124" s="170"/>
      <c r="CS124" s="170"/>
      <c r="CT124" s="170"/>
      <c r="CU124" s="170"/>
      <c r="CV124" s="170"/>
      <c r="CW124" s="167"/>
      <c r="CX124" s="170"/>
      <c r="CY124" s="170"/>
      <c r="CZ124" s="170"/>
      <c r="DA124" s="170"/>
      <c r="DB124" s="170"/>
      <c r="DC124" s="170"/>
      <c r="DD124" s="170"/>
      <c r="DE124" s="170"/>
      <c r="DF124" s="170"/>
      <c r="DG124" s="170"/>
      <c r="DH124" s="170"/>
      <c r="DI124" s="170"/>
      <c r="DJ124" s="170"/>
      <c r="DK124" s="170"/>
      <c r="DL124" s="170"/>
      <c r="DM124" s="170"/>
      <c r="DN124" s="170"/>
      <c r="DO124" s="170"/>
      <c r="DP124" s="170"/>
      <c r="DQ124" s="170"/>
      <c r="DR124" s="170"/>
      <c r="DS124" s="170"/>
      <c r="DT124" s="170"/>
      <c r="DU124" s="170"/>
      <c r="DV124" s="170"/>
    </row>
    <row r="125" spans="1:126" ht="15" hidden="1" x14ac:dyDescent="0.25">
      <c r="AB125" s="119"/>
      <c r="BG125" s="262"/>
      <c r="BH125" s="284"/>
      <c r="BI125" s="284"/>
      <c r="BJ125" s="328"/>
      <c r="BK125" s="333"/>
      <c r="BL125" s="265"/>
      <c r="BM125" s="265"/>
      <c r="BN125" s="312"/>
      <c r="BO125" s="312"/>
      <c r="BP125" s="322"/>
      <c r="BQ125" s="312"/>
      <c r="BR125" s="312"/>
      <c r="BS125" s="322"/>
      <c r="BT125" s="322"/>
      <c r="BU125" s="322"/>
      <c r="BV125" s="322"/>
      <c r="BW125" s="322"/>
      <c r="BX125" s="322"/>
      <c r="BY125" s="326"/>
      <c r="BZ125" s="326"/>
      <c r="CA125" s="167"/>
      <c r="CB125" s="168"/>
      <c r="CC125" s="169"/>
      <c r="CD125" s="169"/>
      <c r="CE125" s="169"/>
      <c r="CF125" s="169"/>
      <c r="CG125" s="167"/>
      <c r="CH125" s="167"/>
      <c r="CI125" s="170"/>
      <c r="CJ125" s="170"/>
      <c r="CK125" s="167"/>
      <c r="CL125" s="170"/>
      <c r="CM125" s="170"/>
      <c r="CN125" s="170"/>
      <c r="CO125" s="170"/>
      <c r="CP125" s="170"/>
      <c r="CQ125" s="170"/>
      <c r="CR125" s="170"/>
      <c r="CS125" s="170"/>
      <c r="CT125" s="170"/>
      <c r="CU125" s="170"/>
      <c r="CV125" s="170"/>
      <c r="CW125" s="167"/>
      <c r="CX125" s="170"/>
      <c r="CY125" s="170"/>
      <c r="CZ125" s="170"/>
      <c r="DA125" s="170"/>
      <c r="DB125" s="170"/>
      <c r="DC125" s="170"/>
      <c r="DD125" s="170"/>
      <c r="DE125" s="170"/>
      <c r="DF125" s="170"/>
      <c r="DG125" s="170"/>
      <c r="DH125" s="170"/>
      <c r="DI125" s="170"/>
      <c r="DJ125" s="170"/>
      <c r="DK125" s="170"/>
      <c r="DL125" s="170"/>
      <c r="DM125" s="170"/>
      <c r="DN125" s="170"/>
      <c r="DO125" s="170"/>
      <c r="DP125" s="170"/>
      <c r="DQ125" s="170"/>
      <c r="DR125" s="170"/>
      <c r="DS125" s="170"/>
      <c r="DT125" s="170"/>
      <c r="DU125" s="170"/>
      <c r="DV125" s="170"/>
    </row>
    <row r="126" spans="1:126" ht="15" hidden="1" x14ac:dyDescent="0.25">
      <c r="AB126" s="119"/>
      <c r="BG126" s="262"/>
      <c r="BH126" s="263"/>
      <c r="BI126" s="263"/>
      <c r="BJ126" s="265"/>
      <c r="BK126" s="265"/>
      <c r="BL126" s="265"/>
      <c r="BM126" s="265"/>
      <c r="BN126" s="312"/>
      <c r="BO126" s="312"/>
      <c r="BP126" s="322"/>
      <c r="BQ126" s="312"/>
      <c r="BR126" s="312"/>
      <c r="BS126" s="322"/>
      <c r="BT126" s="322"/>
      <c r="BU126" s="322"/>
      <c r="BV126" s="322"/>
      <c r="BW126" s="322"/>
      <c r="BX126" s="322"/>
      <c r="BY126" s="326" t="s">
        <v>463</v>
      </c>
      <c r="BZ126" s="326" t="s">
        <v>464</v>
      </c>
      <c r="CA126" s="248">
        <f>C6*22.9/1000</f>
        <v>11.45</v>
      </c>
      <c r="CB126" s="168"/>
      <c r="CC126" s="169"/>
      <c r="CD126" s="169"/>
      <c r="CE126" s="169"/>
      <c r="CF126" s="169"/>
      <c r="CG126" s="167"/>
      <c r="CH126" s="167"/>
      <c r="CI126" s="170"/>
      <c r="CJ126" s="170"/>
      <c r="CK126" s="167"/>
      <c r="CL126" s="170"/>
      <c r="CM126" s="170"/>
      <c r="CN126" s="170"/>
      <c r="CO126" s="170"/>
      <c r="CP126" s="170"/>
      <c r="CQ126" s="170"/>
      <c r="CR126" s="170"/>
      <c r="CS126" s="170"/>
      <c r="CT126" s="170"/>
      <c r="CU126" s="170"/>
      <c r="CV126" s="170"/>
      <c r="CW126" s="167"/>
      <c r="CX126" s="170"/>
      <c r="CY126" s="170"/>
      <c r="CZ126" s="170"/>
      <c r="DA126" s="170"/>
      <c r="DB126" s="170"/>
      <c r="DC126" s="170"/>
      <c r="DD126" s="170"/>
      <c r="DE126" s="170"/>
      <c r="DF126" s="170"/>
      <c r="DG126" s="170"/>
      <c r="DH126" s="170"/>
      <c r="DI126" s="170"/>
      <c r="DJ126" s="170"/>
      <c r="DK126" s="170"/>
      <c r="DL126" s="170"/>
      <c r="DM126" s="170"/>
      <c r="DN126" s="170"/>
      <c r="DO126" s="170"/>
      <c r="DP126" s="170"/>
      <c r="DQ126" s="170"/>
      <c r="DR126" s="170"/>
      <c r="DS126" s="170"/>
      <c r="DT126" s="170"/>
      <c r="DU126" s="170"/>
      <c r="DV126" s="170"/>
    </row>
    <row r="127" spans="1:126" ht="15" hidden="1" x14ac:dyDescent="0.25">
      <c r="AB127" s="119"/>
      <c r="BG127" s="262"/>
      <c r="BH127" s="263"/>
      <c r="BI127" s="263"/>
      <c r="BJ127" s="333"/>
      <c r="BK127" s="265"/>
      <c r="BL127" s="265"/>
      <c r="BM127" s="265"/>
      <c r="BN127" s="312"/>
      <c r="BO127" s="312"/>
      <c r="BP127" s="322"/>
      <c r="BQ127" s="312"/>
      <c r="BR127" s="312"/>
      <c r="BS127" s="322"/>
      <c r="BT127" s="322"/>
      <c r="BU127" s="322"/>
      <c r="BV127" s="322"/>
      <c r="BW127" s="322"/>
      <c r="BX127" s="322"/>
      <c r="BY127" s="326"/>
      <c r="BZ127" s="326" t="s">
        <v>465</v>
      </c>
      <c r="CA127" s="248">
        <f>CA37*(0.23*CA36^0.61)</f>
        <v>8.1931677277074275E-2</v>
      </c>
      <c r="CB127" s="168"/>
      <c r="CC127" s="169"/>
      <c r="CD127" s="169"/>
      <c r="CE127" s="169"/>
      <c r="CF127" s="169"/>
      <c r="CG127" s="167"/>
      <c r="CH127" s="167"/>
      <c r="CI127" s="170"/>
      <c r="CJ127" s="170"/>
      <c r="CK127" s="167"/>
      <c r="CL127" s="170"/>
      <c r="CM127" s="170"/>
      <c r="CN127" s="170"/>
      <c r="CO127" s="170"/>
      <c r="CP127" s="170"/>
      <c r="CQ127" s="170"/>
      <c r="CR127" s="170"/>
      <c r="CS127" s="170"/>
      <c r="CT127" s="170"/>
      <c r="CU127" s="170"/>
      <c r="CV127" s="170"/>
      <c r="CW127" s="167"/>
      <c r="CX127" s="170"/>
      <c r="CY127" s="170"/>
      <c r="CZ127" s="170"/>
      <c r="DA127" s="170"/>
      <c r="DB127" s="170"/>
      <c r="DC127" s="170"/>
      <c r="DD127" s="170"/>
      <c r="DE127" s="170"/>
      <c r="DF127" s="170"/>
      <c r="DG127" s="170"/>
      <c r="DH127" s="170"/>
      <c r="DI127" s="170"/>
      <c r="DJ127" s="170"/>
      <c r="DK127" s="170"/>
      <c r="DL127" s="170"/>
      <c r="DM127" s="170"/>
      <c r="DN127" s="170"/>
      <c r="DO127" s="170"/>
      <c r="DP127" s="170"/>
      <c r="DQ127" s="170"/>
      <c r="DR127" s="170"/>
      <c r="DS127" s="170"/>
      <c r="DT127" s="170"/>
      <c r="DU127" s="170"/>
      <c r="DV127" s="170"/>
    </row>
    <row r="128" spans="1:126" ht="15" hidden="1" x14ac:dyDescent="0.25">
      <c r="AB128" s="119"/>
      <c r="BG128" s="262"/>
      <c r="BH128" s="263"/>
      <c r="BI128" s="263"/>
      <c r="BJ128" s="333"/>
      <c r="BK128" s="265"/>
      <c r="BL128" s="265"/>
      <c r="BM128" s="265"/>
      <c r="BN128" s="312"/>
      <c r="BO128" s="312"/>
      <c r="BP128" s="322"/>
      <c r="BQ128" s="312"/>
      <c r="BR128" s="312"/>
      <c r="BS128" s="322"/>
      <c r="BT128" s="322"/>
      <c r="BU128" s="322"/>
      <c r="BV128" s="322"/>
      <c r="BW128" s="322"/>
      <c r="BX128" s="322"/>
      <c r="BY128" s="326"/>
      <c r="BZ128" s="326" t="s">
        <v>466</v>
      </c>
      <c r="CA128" s="248">
        <f>3.2*CM22</f>
        <v>19.426835038665562</v>
      </c>
      <c r="CB128" s="168"/>
      <c r="CC128" s="169"/>
      <c r="CD128" s="169"/>
      <c r="CE128" s="169"/>
      <c r="CF128" s="169"/>
      <c r="CG128" s="167"/>
      <c r="CH128" s="167"/>
      <c r="CI128" s="170"/>
      <c r="CJ128" s="170"/>
      <c r="CK128" s="167"/>
      <c r="CL128" s="170"/>
      <c r="CM128" s="170"/>
      <c r="CN128" s="170"/>
      <c r="CO128" s="170"/>
      <c r="CP128" s="170"/>
      <c r="CQ128" s="170"/>
      <c r="CR128" s="170"/>
      <c r="CS128" s="170"/>
      <c r="CT128" s="170"/>
      <c r="CU128" s="170"/>
      <c r="CV128" s="170"/>
      <c r="CW128" s="167"/>
      <c r="CX128" s="170"/>
      <c r="CY128" s="170"/>
      <c r="CZ128" s="170"/>
      <c r="DA128" s="170"/>
      <c r="DB128" s="170"/>
      <c r="DC128" s="170"/>
      <c r="DD128" s="170"/>
      <c r="DE128" s="170"/>
      <c r="DF128" s="170"/>
      <c r="DG128" s="170"/>
      <c r="DH128" s="170"/>
      <c r="DI128" s="170"/>
      <c r="DJ128" s="170"/>
      <c r="DK128" s="170"/>
      <c r="DL128" s="170"/>
      <c r="DM128" s="170"/>
      <c r="DN128" s="170"/>
      <c r="DO128" s="170"/>
      <c r="DP128" s="170"/>
      <c r="DQ128" s="170"/>
      <c r="DR128" s="170"/>
      <c r="DS128" s="170"/>
      <c r="DT128" s="170"/>
      <c r="DU128" s="170"/>
      <c r="DV128" s="170"/>
    </row>
    <row r="129" spans="28:126" ht="15" hidden="1" x14ac:dyDescent="0.25">
      <c r="AB129" s="119"/>
      <c r="BG129" s="262"/>
      <c r="BH129" s="263"/>
      <c r="BI129" s="263"/>
      <c r="BJ129" s="333"/>
      <c r="BK129" s="265"/>
      <c r="BL129" s="265"/>
      <c r="BM129" s="265"/>
      <c r="BN129" s="312"/>
      <c r="BO129" s="312"/>
      <c r="BP129" s="322"/>
      <c r="BQ129" s="312"/>
      <c r="BR129" s="312"/>
      <c r="BS129" s="322"/>
      <c r="BT129" s="322"/>
      <c r="BU129" s="322"/>
      <c r="BV129" s="322"/>
      <c r="BW129" s="322"/>
      <c r="BX129" s="322"/>
      <c r="BY129" s="326"/>
      <c r="BZ129" s="326" t="s">
        <v>467</v>
      </c>
      <c r="CA129" s="248">
        <f>CA128+CA127+CA126</f>
        <v>30.958766715942634</v>
      </c>
      <c r="CB129" s="168"/>
      <c r="CC129" s="169"/>
      <c r="CD129" s="169"/>
      <c r="CE129" s="169"/>
      <c r="CF129" s="169"/>
      <c r="CG129" s="167"/>
      <c r="CH129" s="167"/>
      <c r="CI129" s="170"/>
      <c r="CJ129" s="170"/>
      <c r="CK129" s="167"/>
      <c r="CL129" s="170"/>
      <c r="CM129" s="170"/>
      <c r="CN129" s="170"/>
      <c r="CO129" s="170"/>
      <c r="CP129" s="170"/>
      <c r="CQ129" s="170"/>
      <c r="CR129" s="170"/>
      <c r="CS129" s="170"/>
      <c r="CT129" s="170"/>
      <c r="CU129" s="170"/>
      <c r="CV129" s="170"/>
      <c r="CW129" s="167"/>
      <c r="CX129" s="170"/>
      <c r="CY129" s="170"/>
      <c r="CZ129" s="170"/>
      <c r="DA129" s="170"/>
      <c r="DB129" s="170"/>
      <c r="DC129" s="170"/>
      <c r="DD129" s="170"/>
      <c r="DE129" s="170"/>
      <c r="DF129" s="170"/>
      <c r="DG129" s="170"/>
      <c r="DH129" s="170"/>
      <c r="DI129" s="170"/>
      <c r="DJ129" s="170"/>
      <c r="DK129" s="170"/>
      <c r="DL129" s="170"/>
      <c r="DM129" s="170"/>
      <c r="DN129" s="170"/>
      <c r="DO129" s="170"/>
      <c r="DP129" s="170"/>
      <c r="DQ129" s="170"/>
      <c r="DR129" s="170"/>
      <c r="DS129" s="170"/>
      <c r="DT129" s="170"/>
      <c r="DU129" s="170"/>
      <c r="DV129" s="170"/>
    </row>
    <row r="130" spans="28:126" ht="15" hidden="1" x14ac:dyDescent="0.25">
      <c r="AB130" s="119"/>
      <c r="BG130" s="262"/>
      <c r="BH130" s="263"/>
      <c r="BI130" s="263"/>
      <c r="BJ130" s="333"/>
      <c r="BK130" s="265"/>
      <c r="BL130" s="265"/>
      <c r="BM130" s="265"/>
      <c r="BN130" s="312"/>
      <c r="BO130" s="312"/>
      <c r="BP130" s="322"/>
      <c r="BQ130" s="312"/>
      <c r="BR130" s="312"/>
      <c r="BS130" s="322"/>
      <c r="BT130" s="322"/>
      <c r="BU130" s="322"/>
      <c r="BV130" s="322"/>
      <c r="BW130" s="322"/>
      <c r="BX130" s="322"/>
      <c r="BY130" s="326"/>
      <c r="BZ130" s="326" t="s">
        <v>258</v>
      </c>
      <c r="CA130" s="167"/>
      <c r="CB130" s="168"/>
      <c r="CC130" s="169"/>
      <c r="CD130" s="169"/>
      <c r="CE130" s="169"/>
      <c r="CF130" s="169"/>
      <c r="CG130" s="167"/>
      <c r="CH130" s="167"/>
      <c r="CI130" s="170"/>
      <c r="CJ130" s="170"/>
      <c r="CK130" s="167"/>
      <c r="CL130" s="170"/>
      <c r="CM130" s="170"/>
      <c r="CN130" s="170"/>
      <c r="CO130" s="170"/>
      <c r="CP130" s="170"/>
      <c r="CQ130" s="170"/>
      <c r="CR130" s="170"/>
      <c r="CS130" s="170"/>
      <c r="CT130" s="170"/>
      <c r="CU130" s="170"/>
      <c r="CV130" s="170"/>
      <c r="CW130" s="167"/>
      <c r="CX130" s="170"/>
      <c r="CY130" s="170"/>
      <c r="CZ130" s="170"/>
      <c r="DA130" s="170"/>
      <c r="DB130" s="170"/>
      <c r="DC130" s="170"/>
      <c r="DD130" s="170"/>
      <c r="DE130" s="170"/>
      <c r="DF130" s="170"/>
      <c r="DG130" s="170"/>
      <c r="DH130" s="170"/>
      <c r="DI130" s="170"/>
      <c r="DJ130" s="170"/>
      <c r="DK130" s="170"/>
      <c r="DL130" s="170"/>
      <c r="DM130" s="170"/>
      <c r="DN130" s="170"/>
      <c r="DO130" s="170"/>
      <c r="DP130" s="170"/>
      <c r="DQ130" s="170"/>
      <c r="DR130" s="170"/>
      <c r="DS130" s="170"/>
      <c r="DT130" s="170"/>
      <c r="DU130" s="170"/>
      <c r="DV130" s="170"/>
    </row>
    <row r="131" spans="28:126" ht="15" hidden="1" x14ac:dyDescent="0.25">
      <c r="AB131" s="119"/>
      <c r="BG131" s="262"/>
      <c r="BH131" s="263"/>
      <c r="BI131" s="263"/>
      <c r="BJ131" s="265"/>
      <c r="BK131" s="265"/>
      <c r="BL131" s="265"/>
      <c r="BM131" s="265"/>
      <c r="BN131" s="312"/>
      <c r="BO131" s="312"/>
      <c r="BP131" s="322"/>
      <c r="BQ131" s="312"/>
      <c r="BR131" s="312"/>
      <c r="BS131" s="322"/>
      <c r="BT131" s="322"/>
      <c r="BU131" s="322"/>
      <c r="BV131" s="322"/>
      <c r="BW131" s="322"/>
      <c r="BX131" s="322"/>
      <c r="BY131" s="326"/>
      <c r="BZ131" s="330" t="s">
        <v>468</v>
      </c>
      <c r="CA131" s="335">
        <f>CA129/CR39</f>
        <v>39.488222851967642</v>
      </c>
      <c r="CB131" s="290"/>
      <c r="CC131" s="169"/>
      <c r="CD131" s="169"/>
      <c r="CE131" s="169"/>
      <c r="CF131" s="169"/>
      <c r="CG131" s="167"/>
      <c r="CH131" s="167"/>
      <c r="CI131" s="170"/>
      <c r="CJ131" s="170"/>
      <c r="CK131" s="167"/>
      <c r="CL131" s="170"/>
      <c r="CM131" s="170"/>
      <c r="CN131" s="170"/>
      <c r="CO131" s="170"/>
      <c r="CP131" s="170"/>
      <c r="CQ131" s="170"/>
      <c r="CR131" s="170"/>
      <c r="CS131" s="170"/>
      <c r="CT131" s="170"/>
      <c r="CU131" s="170"/>
      <c r="CV131" s="170"/>
      <c r="CW131" s="167"/>
      <c r="CX131" s="170"/>
      <c r="CY131" s="170"/>
      <c r="CZ131" s="170"/>
      <c r="DA131" s="170"/>
      <c r="DB131" s="170"/>
      <c r="DC131" s="170"/>
      <c r="DD131" s="170"/>
      <c r="DE131" s="170"/>
      <c r="DF131" s="170"/>
      <c r="DG131" s="170"/>
      <c r="DH131" s="170"/>
      <c r="DI131" s="170"/>
      <c r="DJ131" s="170"/>
      <c r="DK131" s="170"/>
      <c r="DL131" s="170"/>
      <c r="DM131" s="170"/>
      <c r="DN131" s="170"/>
      <c r="DO131" s="170"/>
      <c r="DP131" s="170"/>
      <c r="DQ131" s="170"/>
      <c r="DR131" s="170"/>
      <c r="DS131" s="170"/>
      <c r="DT131" s="170"/>
      <c r="DU131" s="170"/>
      <c r="DV131" s="170"/>
    </row>
    <row r="132" spans="28:126" ht="15" hidden="1" x14ac:dyDescent="0.25">
      <c r="AB132" s="119"/>
      <c r="BG132" s="262"/>
      <c r="BH132" s="263"/>
      <c r="BI132" s="264"/>
      <c r="BJ132" s="328"/>
      <c r="BK132" s="262"/>
      <c r="BL132" s="265"/>
      <c r="BM132" s="265"/>
      <c r="BN132" s="312"/>
      <c r="BO132" s="312"/>
      <c r="BP132" s="322"/>
      <c r="BQ132" s="312"/>
      <c r="BR132" s="312"/>
      <c r="BS132" s="322"/>
      <c r="BT132" s="322"/>
      <c r="BU132" s="322"/>
      <c r="BV132" s="322"/>
      <c r="BW132" s="322"/>
      <c r="BX132" s="322"/>
      <c r="BY132" s="166"/>
      <c r="BZ132" s="166"/>
      <c r="CA132" s="167"/>
      <c r="CB132" s="168"/>
      <c r="CC132" s="169"/>
      <c r="CD132" s="169"/>
      <c r="CE132" s="169"/>
      <c r="CF132" s="169"/>
      <c r="CG132" s="167"/>
      <c r="CH132" s="167"/>
      <c r="CI132" s="170"/>
      <c r="CJ132" s="170"/>
      <c r="CK132" s="167"/>
      <c r="CL132" s="170"/>
      <c r="CM132" s="170"/>
      <c r="CN132" s="170"/>
      <c r="CO132" s="170"/>
      <c r="CP132" s="170"/>
      <c r="CQ132" s="170"/>
      <c r="CR132" s="170"/>
      <c r="CS132" s="170"/>
      <c r="CT132" s="170"/>
      <c r="CU132" s="170"/>
      <c r="CV132" s="170"/>
      <c r="CW132" s="167"/>
      <c r="CX132" s="170"/>
      <c r="CY132" s="170"/>
      <c r="CZ132" s="170"/>
      <c r="DA132" s="170"/>
      <c r="DB132" s="170"/>
      <c r="DC132" s="170"/>
      <c r="DD132" s="170"/>
      <c r="DE132" s="170"/>
      <c r="DF132" s="170"/>
      <c r="DG132" s="170"/>
      <c r="DH132" s="170"/>
      <c r="DI132" s="170"/>
      <c r="DJ132" s="170"/>
      <c r="DK132" s="170"/>
      <c r="DL132" s="170"/>
      <c r="DM132" s="170"/>
      <c r="DN132" s="170"/>
      <c r="DO132" s="170"/>
      <c r="DP132" s="170"/>
      <c r="DQ132" s="170"/>
      <c r="DR132" s="170"/>
      <c r="DS132" s="170"/>
      <c r="DT132" s="170"/>
      <c r="DU132" s="170"/>
      <c r="DV132" s="170"/>
    </row>
    <row r="133" spans="28:126" ht="15" hidden="1" x14ac:dyDescent="0.25">
      <c r="AB133" s="119"/>
      <c r="BG133" s="262"/>
      <c r="BH133" s="263"/>
      <c r="BI133" s="264"/>
      <c r="BJ133" s="265"/>
      <c r="BK133" s="265"/>
      <c r="BL133" s="265"/>
      <c r="BM133" s="265"/>
      <c r="BN133" s="312"/>
      <c r="BO133" s="312"/>
      <c r="BP133" s="322"/>
      <c r="BQ133" s="312"/>
      <c r="BR133" s="312"/>
      <c r="BS133" s="322"/>
      <c r="BT133" s="322"/>
      <c r="BU133" s="322"/>
      <c r="BV133" s="322"/>
      <c r="BW133" s="322"/>
      <c r="BX133" s="322"/>
      <c r="BY133" s="326" t="s">
        <v>469</v>
      </c>
      <c r="BZ133" s="326" t="s">
        <v>470</v>
      </c>
      <c r="CA133" s="341">
        <f>C6*2942/1000</f>
        <v>1471</v>
      </c>
      <c r="CB133" s="168"/>
      <c r="CC133" s="169"/>
      <c r="CD133" s="169"/>
      <c r="CE133" s="169"/>
      <c r="CF133" s="169"/>
      <c r="CG133" s="167"/>
      <c r="CH133" s="167"/>
      <c r="CI133" s="170"/>
      <c r="CJ133" s="170"/>
      <c r="CK133" s="167"/>
      <c r="CL133" s="170"/>
      <c r="CM133" s="170"/>
      <c r="CN133" s="170"/>
      <c r="CO133" s="170"/>
      <c r="CP133" s="170"/>
      <c r="CQ133" s="170"/>
      <c r="CR133" s="170"/>
      <c r="CS133" s="170"/>
      <c r="CT133" s="170"/>
      <c r="CU133" s="170"/>
      <c r="CV133" s="170"/>
      <c r="CW133" s="167"/>
      <c r="CX133" s="170"/>
      <c r="CY133" s="170"/>
      <c r="CZ133" s="170"/>
      <c r="DA133" s="170"/>
      <c r="DB133" s="170"/>
      <c r="DC133" s="170"/>
      <c r="DD133" s="170"/>
      <c r="DE133" s="170"/>
      <c r="DF133" s="170"/>
      <c r="DG133" s="170"/>
      <c r="DH133" s="170"/>
      <c r="DI133" s="170"/>
      <c r="DJ133" s="170"/>
      <c r="DK133" s="170"/>
      <c r="DL133" s="170"/>
      <c r="DM133" s="170"/>
      <c r="DN133" s="170"/>
      <c r="DO133" s="170"/>
      <c r="DP133" s="170"/>
      <c r="DQ133" s="170"/>
      <c r="DR133" s="170"/>
      <c r="DS133" s="170"/>
      <c r="DT133" s="170"/>
      <c r="DU133" s="170"/>
      <c r="DV133" s="170"/>
    </row>
    <row r="134" spans="28:126" ht="15" hidden="1" x14ac:dyDescent="0.25">
      <c r="AB134" s="119"/>
      <c r="BG134" s="262"/>
      <c r="BH134" s="263"/>
      <c r="BI134" s="263"/>
      <c r="BJ134" s="333"/>
      <c r="BK134" s="265"/>
      <c r="BL134" s="265"/>
      <c r="BM134" s="265"/>
      <c r="BN134" s="312"/>
      <c r="BO134" s="312"/>
      <c r="BP134" s="322"/>
      <c r="BQ134" s="312"/>
      <c r="BR134" s="312"/>
      <c r="BS134" s="322"/>
      <c r="BT134" s="322"/>
      <c r="BU134" s="322"/>
      <c r="BV134" s="322"/>
      <c r="BW134" s="322"/>
      <c r="BX134" s="322"/>
      <c r="BY134" s="326"/>
      <c r="BZ134" s="326" t="s">
        <v>471</v>
      </c>
      <c r="CA134" s="341">
        <f>CA37*(10.4*CA36^0.24)</f>
        <v>0.39746425236782207</v>
      </c>
      <c r="CB134" s="168"/>
      <c r="CC134" s="169"/>
      <c r="CD134" s="169"/>
      <c r="CE134" s="169"/>
      <c r="CF134" s="169"/>
      <c r="CG134" s="167"/>
      <c r="CH134" s="167"/>
      <c r="CI134" s="170"/>
      <c r="CJ134" s="170"/>
      <c r="CK134" s="167"/>
      <c r="CL134" s="170"/>
      <c r="CM134" s="170"/>
      <c r="CN134" s="170"/>
      <c r="CO134" s="170"/>
      <c r="CP134" s="170"/>
      <c r="CQ134" s="170"/>
      <c r="CR134" s="170"/>
      <c r="CS134" s="170"/>
      <c r="CT134" s="170"/>
      <c r="CU134" s="170"/>
      <c r="CV134" s="170"/>
      <c r="CW134" s="167"/>
      <c r="CX134" s="170"/>
      <c r="CY134" s="170"/>
      <c r="CZ134" s="170"/>
      <c r="DA134" s="170"/>
      <c r="DB134" s="170"/>
      <c r="DC134" s="170"/>
      <c r="DD134" s="170"/>
      <c r="DE134" s="170"/>
      <c r="DF134" s="170"/>
      <c r="DG134" s="170"/>
      <c r="DH134" s="170"/>
      <c r="DI134" s="170"/>
      <c r="DJ134" s="170"/>
      <c r="DK134" s="170"/>
      <c r="DL134" s="170"/>
      <c r="DM134" s="170"/>
      <c r="DN134" s="170"/>
      <c r="DO134" s="170"/>
      <c r="DP134" s="170"/>
      <c r="DQ134" s="170"/>
      <c r="DR134" s="170"/>
      <c r="DS134" s="170"/>
      <c r="DT134" s="170"/>
      <c r="DU134" s="170"/>
      <c r="DV134" s="170"/>
    </row>
    <row r="135" spans="28:126" ht="15" hidden="1" x14ac:dyDescent="0.25">
      <c r="AB135" s="119"/>
      <c r="BG135" s="262"/>
      <c r="BH135" s="263"/>
      <c r="BI135" s="263"/>
      <c r="BJ135" s="333"/>
      <c r="BK135" s="265"/>
      <c r="BL135" s="265"/>
      <c r="BM135" s="265"/>
      <c r="BN135" s="312"/>
      <c r="BO135" s="312"/>
      <c r="BP135" s="322"/>
      <c r="BQ135" s="312"/>
      <c r="BR135" s="312"/>
      <c r="BS135" s="322"/>
      <c r="BT135" s="322"/>
      <c r="BU135" s="322"/>
      <c r="BV135" s="322"/>
      <c r="BW135" s="322"/>
      <c r="BX135" s="322"/>
      <c r="BY135" s="326"/>
      <c r="BZ135" s="166" t="s">
        <v>472</v>
      </c>
      <c r="CA135" s="332">
        <f>29.9*CM22</f>
        <v>181.51948989253134</v>
      </c>
      <c r="CB135" s="168"/>
      <c r="CC135" s="169"/>
      <c r="CD135" s="169"/>
      <c r="CE135" s="169"/>
      <c r="CF135" s="169"/>
      <c r="CG135" s="167"/>
      <c r="CH135" s="167"/>
      <c r="CI135" s="170"/>
      <c r="CJ135" s="170"/>
      <c r="CK135" s="167"/>
      <c r="CL135" s="170"/>
      <c r="CM135" s="170"/>
      <c r="CN135" s="170"/>
      <c r="CO135" s="170"/>
      <c r="CP135" s="170"/>
      <c r="CQ135" s="170"/>
      <c r="CR135" s="170"/>
      <c r="CS135" s="170"/>
      <c r="CT135" s="170"/>
      <c r="CU135" s="170"/>
      <c r="CV135" s="170"/>
      <c r="CW135" s="167"/>
      <c r="CX135" s="170"/>
      <c r="CY135" s="170"/>
      <c r="CZ135" s="170"/>
      <c r="DA135" s="170"/>
      <c r="DB135" s="170"/>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row>
    <row r="136" spans="28:126" ht="15" hidden="1" x14ac:dyDescent="0.25">
      <c r="AB136" s="119"/>
      <c r="BG136" s="262"/>
      <c r="BH136" s="263"/>
      <c r="BI136" s="263"/>
      <c r="BJ136" s="337"/>
      <c r="BK136" s="265"/>
      <c r="BL136" s="265"/>
      <c r="BM136" s="265"/>
      <c r="BN136" s="312"/>
      <c r="BO136" s="312"/>
      <c r="BP136" s="322"/>
      <c r="BQ136" s="312"/>
      <c r="BR136" s="312"/>
      <c r="BS136" s="322"/>
      <c r="BT136" s="322"/>
      <c r="BU136" s="322"/>
      <c r="BV136" s="322"/>
      <c r="BW136" s="322"/>
      <c r="BX136" s="322"/>
      <c r="BY136" s="326"/>
      <c r="BZ136" s="326" t="s">
        <v>473</v>
      </c>
      <c r="CA136" s="341">
        <f>CA135+CA134+CA133</f>
        <v>1652.9169541448991</v>
      </c>
      <c r="CB136" s="168"/>
      <c r="CC136" s="169"/>
      <c r="CD136" s="169"/>
      <c r="CE136" s="169"/>
      <c r="CF136" s="169"/>
      <c r="CG136" s="167"/>
      <c r="CH136" s="167"/>
      <c r="CI136" s="170"/>
      <c r="CJ136" s="170"/>
      <c r="CK136" s="167"/>
      <c r="CL136" s="170"/>
      <c r="CM136" s="170"/>
      <c r="CN136" s="170"/>
      <c r="CO136" s="170"/>
      <c r="CP136" s="170"/>
      <c r="CQ136" s="170"/>
      <c r="CR136" s="170"/>
      <c r="CS136" s="170"/>
      <c r="CT136" s="170"/>
      <c r="CU136" s="170"/>
      <c r="CV136" s="170"/>
      <c r="CW136" s="167"/>
      <c r="CX136" s="170"/>
      <c r="CY136" s="170"/>
      <c r="CZ136" s="170"/>
      <c r="DA136" s="170"/>
      <c r="DB136" s="170"/>
      <c r="DC136" s="170"/>
      <c r="DD136" s="170"/>
      <c r="DE136" s="170"/>
      <c r="DF136" s="170"/>
      <c r="DG136" s="170"/>
      <c r="DH136" s="170"/>
      <c r="DI136" s="170"/>
      <c r="DJ136" s="170"/>
      <c r="DK136" s="170"/>
      <c r="DL136" s="170"/>
      <c r="DM136" s="170"/>
      <c r="DN136" s="170"/>
      <c r="DO136" s="170"/>
      <c r="DP136" s="170"/>
      <c r="DQ136" s="170"/>
      <c r="DR136" s="170"/>
      <c r="DS136" s="170"/>
      <c r="DT136" s="170"/>
      <c r="DU136" s="170"/>
      <c r="DV136" s="170"/>
    </row>
    <row r="137" spans="28:126" ht="15" hidden="1" x14ac:dyDescent="0.25">
      <c r="AB137" s="119"/>
      <c r="BG137" s="262"/>
      <c r="BH137" s="263"/>
      <c r="BI137" s="263"/>
      <c r="BJ137" s="333"/>
      <c r="BK137" s="265"/>
      <c r="BL137" s="265"/>
      <c r="BM137" s="265"/>
      <c r="BN137" s="312"/>
      <c r="BO137" s="312"/>
      <c r="BP137" s="322"/>
      <c r="BQ137" s="312"/>
      <c r="BR137" s="312"/>
      <c r="BS137" s="322"/>
      <c r="BT137" s="322"/>
      <c r="BU137" s="322"/>
      <c r="BV137" s="322"/>
      <c r="BW137" s="322"/>
      <c r="BX137" s="322"/>
      <c r="BY137" s="326"/>
      <c r="BZ137" s="326" t="s">
        <v>258</v>
      </c>
      <c r="CA137" s="167"/>
      <c r="CB137" s="168"/>
      <c r="CC137" s="169"/>
      <c r="CD137" s="169"/>
      <c r="CE137" s="169"/>
      <c r="CF137" s="169"/>
      <c r="CG137" s="167"/>
      <c r="CH137" s="167"/>
      <c r="CI137" s="170"/>
      <c r="CJ137" s="170"/>
      <c r="CK137" s="167"/>
      <c r="CL137" s="170"/>
      <c r="CM137" s="170"/>
      <c r="CN137" s="170"/>
      <c r="CO137" s="170"/>
      <c r="CP137" s="170"/>
      <c r="CQ137" s="170"/>
      <c r="CR137" s="170"/>
      <c r="CS137" s="170"/>
      <c r="CT137" s="170"/>
      <c r="CU137" s="170"/>
      <c r="CV137" s="170"/>
      <c r="CW137" s="167"/>
      <c r="CX137" s="170"/>
      <c r="CY137" s="170"/>
      <c r="CZ137" s="170"/>
      <c r="DA137" s="170"/>
      <c r="DB137" s="170"/>
      <c r="DC137" s="170"/>
      <c r="DD137" s="170"/>
      <c r="DE137" s="170"/>
      <c r="DF137" s="170"/>
      <c r="DG137" s="170"/>
      <c r="DH137" s="170"/>
      <c r="DI137" s="170"/>
      <c r="DJ137" s="170"/>
      <c r="DK137" s="170"/>
      <c r="DL137" s="170"/>
      <c r="DM137" s="170"/>
      <c r="DN137" s="170"/>
      <c r="DO137" s="170"/>
      <c r="DP137" s="170"/>
      <c r="DQ137" s="170"/>
      <c r="DR137" s="170"/>
      <c r="DS137" s="170"/>
      <c r="DT137" s="170"/>
      <c r="DU137" s="170"/>
      <c r="DV137" s="170"/>
    </row>
    <row r="138" spans="28:126" ht="15" hidden="1" x14ac:dyDescent="0.25">
      <c r="AB138" s="119"/>
      <c r="BG138" s="262"/>
      <c r="BH138" s="263"/>
      <c r="BI138" s="263"/>
      <c r="BJ138" s="265"/>
      <c r="BK138" s="265"/>
      <c r="BL138" s="265"/>
      <c r="BM138" s="265"/>
      <c r="BN138" s="312"/>
      <c r="BO138" s="312"/>
      <c r="BP138" s="322"/>
      <c r="BQ138" s="312"/>
      <c r="BR138" s="312"/>
      <c r="BS138" s="322"/>
      <c r="BT138" s="322"/>
      <c r="BU138" s="322"/>
      <c r="BV138" s="322"/>
      <c r="BW138" s="322"/>
      <c r="BX138" s="322"/>
      <c r="BY138" s="326"/>
      <c r="BZ138" s="330" t="s">
        <v>474</v>
      </c>
      <c r="CA138" s="342">
        <f>CA136/CR41</f>
        <v>2251.9304552382823</v>
      </c>
      <c r="CB138" s="168"/>
      <c r="CC138" s="169"/>
      <c r="CD138" s="169"/>
      <c r="CE138" s="169"/>
      <c r="CF138" s="169"/>
      <c r="CG138" s="167"/>
      <c r="CH138" s="167"/>
      <c r="CI138" s="170"/>
      <c r="CJ138" s="170"/>
      <c r="CK138" s="167"/>
      <c r="CL138" s="170"/>
      <c r="CM138" s="170"/>
      <c r="CN138" s="170"/>
      <c r="CO138" s="170"/>
      <c r="CP138" s="170"/>
      <c r="CQ138" s="170"/>
      <c r="CR138" s="170"/>
      <c r="CS138" s="170"/>
      <c r="CT138" s="170"/>
      <c r="CU138" s="170"/>
      <c r="CV138" s="170"/>
      <c r="CW138" s="167"/>
      <c r="CX138" s="170"/>
      <c r="CY138" s="170"/>
      <c r="CZ138" s="170"/>
      <c r="DA138" s="170"/>
      <c r="DB138" s="170"/>
      <c r="DC138" s="170"/>
      <c r="DD138" s="170"/>
      <c r="DE138" s="170"/>
      <c r="DF138" s="170"/>
      <c r="DG138" s="170"/>
      <c r="DH138" s="170"/>
      <c r="DI138" s="170"/>
      <c r="DJ138" s="170"/>
      <c r="DK138" s="170"/>
      <c r="DL138" s="170"/>
      <c r="DM138" s="170"/>
      <c r="DN138" s="170"/>
      <c r="DO138" s="170"/>
      <c r="DP138" s="170"/>
      <c r="DQ138" s="170"/>
      <c r="DR138" s="170"/>
      <c r="DS138" s="170"/>
      <c r="DT138" s="170"/>
      <c r="DU138" s="170"/>
      <c r="DV138" s="170"/>
    </row>
    <row r="139" spans="28:126" ht="15" hidden="1" x14ac:dyDescent="0.25">
      <c r="AB139" s="119"/>
      <c r="BG139" s="262"/>
      <c r="BH139" s="263"/>
      <c r="BI139" s="264"/>
      <c r="BJ139" s="328"/>
      <c r="BK139" s="265"/>
      <c r="BL139" s="265"/>
      <c r="BM139" s="265"/>
      <c r="BN139" s="312"/>
      <c r="BO139" s="312"/>
      <c r="BP139" s="322"/>
      <c r="BQ139" s="312"/>
      <c r="BR139" s="312"/>
      <c r="BS139" s="322"/>
      <c r="BT139" s="322"/>
      <c r="BU139" s="322"/>
      <c r="BV139" s="322"/>
      <c r="BW139" s="322"/>
      <c r="BX139" s="322"/>
      <c r="BY139" s="326"/>
      <c r="BZ139" s="326"/>
      <c r="CA139" s="167"/>
      <c r="CB139" s="168"/>
      <c r="CC139" s="169"/>
      <c r="CD139" s="169"/>
      <c r="CE139" s="169"/>
      <c r="CF139" s="169"/>
      <c r="CG139" s="167"/>
      <c r="CH139" s="167"/>
      <c r="CI139" s="170"/>
      <c r="CJ139" s="170"/>
      <c r="CK139" s="167"/>
      <c r="CL139" s="170"/>
      <c r="CM139" s="170"/>
      <c r="CN139" s="170"/>
      <c r="CO139" s="170"/>
      <c r="CP139" s="170"/>
      <c r="CQ139" s="170"/>
      <c r="CR139" s="170"/>
      <c r="CS139" s="170"/>
      <c r="CT139" s="170"/>
      <c r="CU139" s="170"/>
      <c r="CV139" s="170"/>
      <c r="CW139" s="167"/>
      <c r="CX139" s="170"/>
      <c r="CY139" s="170"/>
      <c r="CZ139" s="170"/>
      <c r="DA139" s="170"/>
      <c r="DB139" s="170"/>
      <c r="DC139" s="170"/>
      <c r="DD139" s="170"/>
      <c r="DE139" s="170"/>
      <c r="DF139" s="170"/>
      <c r="DG139" s="170"/>
      <c r="DH139" s="170"/>
      <c r="DI139" s="170"/>
      <c r="DJ139" s="170"/>
      <c r="DK139" s="170"/>
      <c r="DL139" s="170"/>
      <c r="DM139" s="170"/>
      <c r="DN139" s="170"/>
      <c r="DO139" s="170"/>
      <c r="DP139" s="170"/>
      <c r="DQ139" s="170"/>
      <c r="DR139" s="170"/>
      <c r="DS139" s="170"/>
      <c r="DT139" s="170"/>
      <c r="DU139" s="170"/>
      <c r="DV139" s="170"/>
    </row>
    <row r="140" spans="28:126" ht="15" hidden="1" x14ac:dyDescent="0.25">
      <c r="AB140" s="119"/>
      <c r="BG140" s="262"/>
      <c r="BH140" s="263"/>
      <c r="BI140" s="264"/>
      <c r="BJ140" s="265"/>
      <c r="BK140" s="265"/>
      <c r="BL140" s="265"/>
      <c r="BM140" s="265"/>
      <c r="BN140" s="312"/>
      <c r="BO140" s="312"/>
      <c r="BP140" s="322"/>
      <c r="BQ140" s="312"/>
      <c r="BR140" s="312"/>
      <c r="BS140" s="322"/>
      <c r="BT140" s="322"/>
      <c r="BU140" s="322"/>
      <c r="BV140" s="322"/>
      <c r="BW140" s="322"/>
      <c r="BX140" s="322"/>
      <c r="BY140" s="326" t="s">
        <v>274</v>
      </c>
      <c r="BZ140" s="326" t="s">
        <v>475</v>
      </c>
      <c r="CA140" s="341">
        <f>C6*184.9/1000</f>
        <v>92.45</v>
      </c>
      <c r="CB140" s="168"/>
      <c r="CC140" s="169"/>
      <c r="CD140" s="169"/>
      <c r="CE140" s="169"/>
      <c r="CF140" s="169"/>
      <c r="CG140" s="167"/>
      <c r="CH140" s="167"/>
      <c r="CI140" s="170"/>
      <c r="CJ140" s="170"/>
      <c r="CK140" s="167"/>
      <c r="CL140" s="170"/>
      <c r="CM140" s="170"/>
      <c r="CN140" s="170"/>
      <c r="CO140" s="170"/>
      <c r="CP140" s="170"/>
      <c r="CQ140" s="170"/>
      <c r="CR140" s="170"/>
      <c r="CS140" s="170"/>
      <c r="CT140" s="170"/>
      <c r="CU140" s="170"/>
      <c r="CV140" s="170"/>
      <c r="CW140" s="167"/>
      <c r="CX140" s="170"/>
      <c r="CY140" s="170"/>
      <c r="CZ140" s="170"/>
      <c r="DA140" s="170"/>
      <c r="DB140" s="170"/>
      <c r="DC140" s="170"/>
      <c r="DD140" s="170"/>
      <c r="DE140" s="170"/>
      <c r="DF140" s="170"/>
      <c r="DG140" s="170"/>
      <c r="DH140" s="170"/>
      <c r="DI140" s="170"/>
      <c r="DJ140" s="170"/>
      <c r="DK140" s="170"/>
      <c r="DL140" s="170"/>
      <c r="DM140" s="170"/>
      <c r="DN140" s="170"/>
      <c r="DO140" s="170"/>
      <c r="DP140" s="170"/>
      <c r="DQ140" s="170"/>
      <c r="DR140" s="170"/>
      <c r="DS140" s="170"/>
      <c r="DT140" s="170"/>
      <c r="DU140" s="170"/>
      <c r="DV140" s="170"/>
    </row>
    <row r="141" spans="28:126" ht="15" hidden="1" x14ac:dyDescent="0.25">
      <c r="AB141" s="119"/>
      <c r="BG141" s="262"/>
      <c r="BH141" s="263"/>
      <c r="BI141" s="263"/>
      <c r="BJ141" s="333"/>
      <c r="BK141" s="265"/>
      <c r="BL141" s="265"/>
      <c r="BM141" s="265"/>
      <c r="BN141" s="312"/>
      <c r="BO141" s="312"/>
      <c r="BP141" s="322"/>
      <c r="BQ141" s="312"/>
      <c r="BR141" s="312"/>
      <c r="BS141" s="322"/>
      <c r="BT141" s="322"/>
      <c r="BU141" s="322"/>
      <c r="BV141" s="322"/>
      <c r="BW141" s="322"/>
      <c r="BX141" s="322"/>
      <c r="BY141" s="326"/>
      <c r="BZ141" s="326" t="s">
        <v>476</v>
      </c>
      <c r="CA141" s="332">
        <f>CA37*(0.07*CA36^0.8)</f>
        <v>7.8460755897086801E-2</v>
      </c>
      <c r="CB141" s="168"/>
      <c r="CC141" s="169"/>
      <c r="CD141" s="169"/>
      <c r="CE141" s="169"/>
      <c r="CF141" s="169"/>
      <c r="CG141" s="167"/>
      <c r="CH141" s="167"/>
      <c r="CI141" s="170"/>
      <c r="CJ141" s="170"/>
      <c r="CK141" s="167"/>
      <c r="CL141" s="170"/>
      <c r="CM141" s="170"/>
      <c r="CN141" s="170"/>
      <c r="CO141" s="170"/>
      <c r="CP141" s="170"/>
      <c r="CQ141" s="170"/>
      <c r="CR141" s="170"/>
      <c r="CS141" s="170"/>
      <c r="CT141" s="170"/>
      <c r="CU141" s="170"/>
      <c r="CV141" s="170"/>
      <c r="CW141" s="167"/>
      <c r="CX141" s="170"/>
      <c r="CY141" s="170"/>
      <c r="CZ141" s="170"/>
      <c r="DA141" s="170"/>
      <c r="DB141" s="170"/>
      <c r="DC141" s="170"/>
      <c r="DD141" s="170"/>
      <c r="DE141" s="170"/>
      <c r="DF141" s="170"/>
      <c r="DG141" s="170"/>
      <c r="DH141" s="170"/>
      <c r="DI141" s="170"/>
      <c r="DJ141" s="170"/>
      <c r="DK141" s="170"/>
      <c r="DL141" s="170"/>
      <c r="DM141" s="170"/>
      <c r="DN141" s="170"/>
      <c r="DO141" s="170"/>
      <c r="DP141" s="170"/>
      <c r="DQ141" s="170"/>
      <c r="DR141" s="170"/>
      <c r="DS141" s="170"/>
      <c r="DT141" s="170"/>
      <c r="DU141" s="170"/>
      <c r="DV141" s="170"/>
    </row>
    <row r="142" spans="28:126" ht="15" hidden="1" x14ac:dyDescent="0.25">
      <c r="AB142" s="119"/>
      <c r="BG142" s="262"/>
      <c r="BH142" s="263"/>
      <c r="BI142" s="263"/>
      <c r="BJ142" s="333"/>
      <c r="BK142" s="265"/>
      <c r="BL142" s="265"/>
      <c r="BM142" s="265"/>
      <c r="BN142" s="312"/>
      <c r="BO142" s="312"/>
      <c r="BP142" s="322"/>
      <c r="BQ142" s="312"/>
      <c r="BR142" s="312"/>
      <c r="BS142" s="322"/>
      <c r="BT142" s="322"/>
      <c r="BU142" s="322"/>
      <c r="BV142" s="322"/>
      <c r="BW142" s="322"/>
      <c r="BX142" s="322"/>
      <c r="BY142" s="326"/>
      <c r="BZ142" s="326" t="s">
        <v>477</v>
      </c>
      <c r="CA142" s="332">
        <f>1.41*CM22</f>
        <v>8.5599491889120127</v>
      </c>
      <c r="CB142" s="168"/>
      <c r="CC142" s="169"/>
      <c r="CD142" s="169"/>
      <c r="CE142" s="169"/>
      <c r="CF142" s="169"/>
      <c r="CG142" s="167"/>
      <c r="CH142" s="167"/>
      <c r="CI142" s="170"/>
      <c r="CJ142" s="170"/>
      <c r="CK142" s="167"/>
      <c r="CL142" s="170"/>
      <c r="CM142" s="170"/>
      <c r="CN142" s="170"/>
      <c r="CO142" s="170"/>
      <c r="CP142" s="170"/>
      <c r="CQ142" s="170"/>
      <c r="CR142" s="170"/>
      <c r="CS142" s="170"/>
      <c r="CT142" s="170"/>
      <c r="CU142" s="170"/>
      <c r="CV142" s="170"/>
      <c r="CW142" s="167"/>
      <c r="CX142" s="170"/>
      <c r="CY142" s="170"/>
      <c r="CZ142" s="170"/>
      <c r="DA142" s="170"/>
      <c r="DB142" s="170"/>
      <c r="DC142" s="170"/>
      <c r="DD142" s="170"/>
      <c r="DE142" s="170"/>
      <c r="DF142" s="170"/>
      <c r="DG142" s="170"/>
      <c r="DH142" s="170"/>
      <c r="DI142" s="170"/>
      <c r="DJ142" s="170"/>
      <c r="DK142" s="170"/>
      <c r="DL142" s="170"/>
      <c r="DM142" s="170"/>
      <c r="DN142" s="170"/>
      <c r="DO142" s="170"/>
      <c r="DP142" s="170"/>
      <c r="DQ142" s="170"/>
      <c r="DR142" s="170"/>
      <c r="DS142" s="170"/>
      <c r="DT142" s="170"/>
      <c r="DU142" s="170"/>
      <c r="DV142" s="170"/>
    </row>
    <row r="143" spans="28:126" ht="15" hidden="1" x14ac:dyDescent="0.25">
      <c r="AB143" s="119"/>
      <c r="BG143" s="262"/>
      <c r="BH143" s="263"/>
      <c r="BI143" s="263"/>
      <c r="BJ143" s="333"/>
      <c r="BK143" s="265"/>
      <c r="BL143" s="265"/>
      <c r="BM143" s="265"/>
      <c r="BN143" s="312"/>
      <c r="BO143" s="312"/>
      <c r="BP143" s="322"/>
      <c r="BQ143" s="312"/>
      <c r="BR143" s="312"/>
      <c r="BS143" s="322"/>
      <c r="BT143" s="322"/>
      <c r="BU143" s="322"/>
      <c r="BV143" s="322"/>
      <c r="BW143" s="322"/>
      <c r="BX143" s="322"/>
      <c r="BY143" s="326"/>
      <c r="BZ143" s="326" t="s">
        <v>478</v>
      </c>
      <c r="CA143" s="341">
        <f>CA142+CA141+CA140</f>
        <v>101.0884099448091</v>
      </c>
      <c r="CB143" s="168"/>
      <c r="CC143" s="169"/>
      <c r="CD143" s="169"/>
      <c r="CE143" s="169"/>
      <c r="CF143" s="169"/>
      <c r="CG143" s="167"/>
      <c r="CH143" s="167"/>
      <c r="CI143" s="170"/>
      <c r="CJ143" s="170"/>
      <c r="CK143" s="167"/>
      <c r="CL143" s="170"/>
      <c r="CM143" s="170"/>
      <c r="CN143" s="170"/>
      <c r="CO143" s="170"/>
      <c r="CP143" s="170"/>
      <c r="CQ143" s="170"/>
      <c r="CR143" s="170"/>
      <c r="CS143" s="170"/>
      <c r="CT143" s="170"/>
      <c r="CU143" s="170"/>
      <c r="CV143" s="170"/>
      <c r="CW143" s="167"/>
      <c r="CX143" s="170"/>
      <c r="CY143" s="170"/>
      <c r="CZ143" s="170"/>
      <c r="DA143" s="170"/>
      <c r="DB143" s="170"/>
      <c r="DC143" s="170"/>
      <c r="DD143" s="170"/>
      <c r="DE143" s="170"/>
      <c r="DF143" s="170"/>
      <c r="DG143" s="170"/>
      <c r="DH143" s="170"/>
      <c r="DI143" s="170"/>
      <c r="DJ143" s="170"/>
      <c r="DK143" s="170"/>
      <c r="DL143" s="170"/>
      <c r="DM143" s="170"/>
      <c r="DN143" s="170"/>
      <c r="DO143" s="170"/>
      <c r="DP143" s="170"/>
      <c r="DQ143" s="170"/>
      <c r="DR143" s="170"/>
      <c r="DS143" s="170"/>
      <c r="DT143" s="170"/>
      <c r="DU143" s="170"/>
      <c r="DV143" s="170"/>
    </row>
    <row r="144" spans="28:126" ht="15" hidden="1" x14ac:dyDescent="0.25">
      <c r="AB144" s="119"/>
      <c r="BG144" s="262"/>
      <c r="BH144" s="263"/>
      <c r="BI144" s="263"/>
      <c r="BJ144" s="333"/>
      <c r="BK144" s="265"/>
      <c r="BL144" s="265"/>
      <c r="BM144" s="265"/>
      <c r="BN144" s="312"/>
      <c r="BO144" s="312"/>
      <c r="BP144" s="322"/>
      <c r="BQ144" s="312"/>
      <c r="BR144" s="312"/>
      <c r="BS144" s="322"/>
      <c r="BT144" s="322"/>
      <c r="BU144" s="322"/>
      <c r="BV144" s="322"/>
      <c r="BW144" s="322"/>
      <c r="BX144" s="322"/>
      <c r="BY144" s="326"/>
      <c r="BZ144" s="326" t="s">
        <v>258</v>
      </c>
      <c r="CA144" s="167"/>
      <c r="CB144" s="168"/>
      <c r="CC144" s="169"/>
      <c r="CD144" s="169"/>
      <c r="CE144" s="169"/>
      <c r="CF144" s="169"/>
      <c r="CG144" s="167"/>
      <c r="CH144" s="167"/>
      <c r="CI144" s="170"/>
      <c r="CJ144" s="170"/>
      <c r="CK144" s="167"/>
      <c r="CL144" s="170"/>
      <c r="CM144" s="170"/>
      <c r="CN144" s="170"/>
      <c r="CO144" s="170"/>
      <c r="CP144" s="170"/>
      <c r="CQ144" s="170"/>
      <c r="CR144" s="170"/>
      <c r="CS144" s="170"/>
      <c r="CT144" s="170"/>
      <c r="CU144" s="170"/>
      <c r="CV144" s="170"/>
      <c r="CW144" s="167"/>
      <c r="CX144" s="170"/>
      <c r="CY144" s="170"/>
      <c r="CZ144" s="170"/>
      <c r="DA144" s="170"/>
      <c r="DB144" s="170"/>
      <c r="DC144" s="170"/>
      <c r="DD144" s="170"/>
      <c r="DE144" s="170"/>
      <c r="DF144" s="170"/>
      <c r="DG144" s="170"/>
      <c r="DH144" s="170"/>
      <c r="DI144" s="170"/>
      <c r="DJ144" s="170"/>
      <c r="DK144" s="170"/>
      <c r="DL144" s="170"/>
      <c r="DM144" s="170"/>
      <c r="DN144" s="170"/>
      <c r="DO144" s="170"/>
      <c r="DP144" s="170"/>
      <c r="DQ144" s="170"/>
      <c r="DR144" s="170"/>
      <c r="DS144" s="170"/>
      <c r="DT144" s="170"/>
      <c r="DU144" s="170"/>
      <c r="DV144" s="170"/>
    </row>
    <row r="145" spans="28:126" ht="15" hidden="1" x14ac:dyDescent="0.25">
      <c r="AB145" s="119"/>
      <c r="BG145" s="262"/>
      <c r="BH145" s="263"/>
      <c r="BI145" s="263"/>
      <c r="BJ145" s="265"/>
      <c r="BK145" s="265"/>
      <c r="BL145" s="265"/>
      <c r="BM145" s="265"/>
      <c r="BN145" s="312"/>
      <c r="BO145" s="312"/>
      <c r="BP145" s="322"/>
      <c r="BQ145" s="312"/>
      <c r="BR145" s="312"/>
      <c r="BS145" s="322"/>
      <c r="BT145" s="322"/>
      <c r="BU145" s="322"/>
      <c r="BV145" s="322"/>
      <c r="BW145" s="322"/>
      <c r="BX145" s="322"/>
      <c r="BY145" s="326"/>
      <c r="BZ145" s="330" t="s">
        <v>479</v>
      </c>
      <c r="CA145" s="331">
        <f>CA143/CR43</f>
        <v>230.26972652576106</v>
      </c>
      <c r="CB145" s="336"/>
      <c r="CC145" s="169"/>
      <c r="CD145" s="169"/>
      <c r="CE145" s="169"/>
      <c r="CF145" s="169"/>
      <c r="CG145" s="167"/>
      <c r="CH145" s="167"/>
      <c r="CI145" s="170"/>
      <c r="CJ145" s="170"/>
      <c r="CK145" s="167"/>
      <c r="CL145" s="170"/>
      <c r="CM145" s="170"/>
      <c r="CN145" s="170"/>
      <c r="CO145" s="170"/>
      <c r="CP145" s="170"/>
      <c r="CQ145" s="170"/>
      <c r="CR145" s="170"/>
      <c r="CS145" s="170"/>
      <c r="CT145" s="170"/>
      <c r="CU145" s="170"/>
      <c r="CV145" s="170"/>
      <c r="CW145" s="167"/>
      <c r="CX145" s="170"/>
      <c r="CY145" s="170"/>
      <c r="CZ145" s="170"/>
      <c r="DA145" s="170"/>
      <c r="DB145" s="170"/>
      <c r="DC145" s="170"/>
      <c r="DD145" s="170"/>
      <c r="DE145" s="170"/>
      <c r="DF145" s="170"/>
      <c r="DG145" s="170"/>
      <c r="DH145" s="170"/>
      <c r="DI145" s="170"/>
      <c r="DJ145" s="170"/>
      <c r="DK145" s="170"/>
      <c r="DL145" s="170"/>
      <c r="DM145" s="170"/>
      <c r="DN145" s="170"/>
      <c r="DO145" s="170"/>
      <c r="DP145" s="170"/>
      <c r="DQ145" s="170"/>
      <c r="DR145" s="170"/>
      <c r="DS145" s="170"/>
      <c r="DT145" s="170"/>
      <c r="DU145" s="170"/>
      <c r="DV145" s="170"/>
    </row>
    <row r="146" spans="28:126" ht="15" hidden="1" x14ac:dyDescent="0.25">
      <c r="AB146" s="119"/>
      <c r="BG146" s="262"/>
      <c r="BH146" s="263"/>
      <c r="BI146" s="264"/>
      <c r="BJ146" s="328"/>
      <c r="BK146" s="343"/>
      <c r="BL146" s="265"/>
      <c r="BM146" s="265"/>
      <c r="BN146" s="312"/>
      <c r="BO146" s="312"/>
      <c r="BP146" s="322"/>
      <c r="BQ146" s="312"/>
      <c r="BR146" s="312"/>
      <c r="BS146" s="322"/>
      <c r="BT146" s="322"/>
      <c r="BU146" s="322"/>
      <c r="BV146" s="322"/>
      <c r="BW146" s="322"/>
      <c r="BX146" s="322"/>
      <c r="BY146" s="326"/>
      <c r="BZ146" s="326"/>
      <c r="CA146" s="167"/>
      <c r="CB146" s="168"/>
      <c r="CC146" s="169"/>
      <c r="CD146" s="169"/>
      <c r="CE146" s="169"/>
      <c r="CF146" s="169"/>
      <c r="CG146" s="167"/>
      <c r="CH146" s="167"/>
      <c r="CI146" s="170"/>
      <c r="CJ146" s="170"/>
      <c r="CK146" s="167"/>
      <c r="CL146" s="170"/>
      <c r="CM146" s="170"/>
      <c r="CN146" s="170"/>
      <c r="CO146" s="170"/>
      <c r="CP146" s="170"/>
      <c r="CQ146" s="170"/>
      <c r="CR146" s="170"/>
      <c r="CS146" s="170"/>
      <c r="CT146" s="170"/>
      <c r="CU146" s="170"/>
      <c r="CV146" s="170"/>
      <c r="CW146" s="167"/>
      <c r="CX146" s="170"/>
      <c r="CY146" s="170"/>
      <c r="CZ146" s="170"/>
      <c r="DA146" s="170"/>
      <c r="DB146" s="170"/>
      <c r="DC146" s="170"/>
      <c r="DD146" s="170"/>
      <c r="DE146" s="170"/>
      <c r="DF146" s="170"/>
      <c r="DG146" s="170"/>
      <c r="DH146" s="170"/>
      <c r="DI146" s="170"/>
      <c r="DJ146" s="170"/>
      <c r="DK146" s="170"/>
      <c r="DL146" s="170"/>
      <c r="DM146" s="170"/>
      <c r="DN146" s="170"/>
      <c r="DO146" s="170"/>
      <c r="DP146" s="170"/>
      <c r="DQ146" s="170"/>
      <c r="DR146" s="170"/>
      <c r="DS146" s="170"/>
      <c r="DT146" s="170"/>
      <c r="DU146" s="170"/>
      <c r="DV146" s="170"/>
    </row>
    <row r="147" spans="28:126" ht="15" hidden="1" x14ac:dyDescent="0.25">
      <c r="AB147" s="119"/>
      <c r="BG147" s="262"/>
      <c r="BH147" s="263"/>
      <c r="BI147" s="264"/>
      <c r="BJ147" s="265"/>
      <c r="BK147" s="265"/>
      <c r="BL147" s="265"/>
      <c r="BM147" s="265"/>
      <c r="BN147" s="312"/>
      <c r="BO147" s="312"/>
      <c r="BP147" s="322"/>
      <c r="BQ147" s="312"/>
      <c r="BR147" s="312"/>
      <c r="BS147" s="322"/>
      <c r="BT147" s="322"/>
      <c r="BU147" s="322"/>
      <c r="BV147" s="322"/>
      <c r="BW147" s="322"/>
      <c r="BX147" s="322"/>
      <c r="BY147" s="326" t="s">
        <v>287</v>
      </c>
      <c r="BZ147" s="326" t="s">
        <v>480</v>
      </c>
      <c r="CA147" s="248">
        <f>C6*334.4/1000</f>
        <v>167.2</v>
      </c>
      <c r="CB147" s="168"/>
      <c r="CC147" s="169"/>
      <c r="CD147" s="169"/>
      <c r="CE147" s="169"/>
      <c r="CF147" s="169"/>
      <c r="CG147" s="167"/>
      <c r="CH147" s="167"/>
      <c r="CI147" s="170"/>
      <c r="CJ147" s="170"/>
      <c r="CK147" s="167"/>
      <c r="CL147" s="170"/>
      <c r="CM147" s="170"/>
      <c r="CN147" s="170"/>
      <c r="CO147" s="170"/>
      <c r="CP147" s="170"/>
      <c r="CQ147" s="170"/>
      <c r="CR147" s="170"/>
      <c r="CS147" s="170"/>
      <c r="CT147" s="170"/>
      <c r="CU147" s="170"/>
      <c r="CV147" s="170"/>
      <c r="CW147" s="167"/>
      <c r="CX147" s="170"/>
      <c r="CY147" s="170"/>
      <c r="CZ147" s="170"/>
      <c r="DA147" s="170"/>
      <c r="DB147" s="170"/>
      <c r="DC147" s="170"/>
      <c r="DD147" s="170"/>
      <c r="DE147" s="170"/>
      <c r="DF147" s="170"/>
      <c r="DG147" s="170"/>
      <c r="DH147" s="170"/>
      <c r="DI147" s="170"/>
      <c r="DJ147" s="170"/>
      <c r="DK147" s="170"/>
      <c r="DL147" s="170"/>
      <c r="DM147" s="170"/>
      <c r="DN147" s="170"/>
      <c r="DO147" s="170"/>
      <c r="DP147" s="170"/>
      <c r="DQ147" s="170"/>
      <c r="DR147" s="170"/>
      <c r="DS147" s="170"/>
      <c r="DT147" s="170"/>
      <c r="DU147" s="170"/>
      <c r="DV147" s="170"/>
    </row>
    <row r="148" spans="28:126" ht="15" hidden="1" x14ac:dyDescent="0.25">
      <c r="AB148" s="119"/>
      <c r="BG148" s="262"/>
      <c r="BH148" s="263"/>
      <c r="BI148" s="263"/>
      <c r="BJ148" s="333"/>
      <c r="BK148" s="265"/>
      <c r="BL148" s="265"/>
      <c r="BM148" s="265"/>
      <c r="BN148" s="312"/>
      <c r="BO148" s="312"/>
      <c r="BP148" s="322"/>
      <c r="BQ148" s="312"/>
      <c r="BR148" s="312"/>
      <c r="BS148" s="322"/>
      <c r="BT148" s="322"/>
      <c r="BU148" s="322"/>
      <c r="BV148" s="322"/>
      <c r="BW148" s="322"/>
      <c r="BX148" s="322"/>
      <c r="BY148" s="326"/>
      <c r="BZ148" s="326" t="s">
        <v>481</v>
      </c>
      <c r="CA148" s="248">
        <f>CA37*(1.16*CA36^0.86)</f>
        <v>1.8673341904270269</v>
      </c>
      <c r="CB148" s="168"/>
      <c r="CC148" s="169"/>
      <c r="CD148" s="169"/>
      <c r="CE148" s="169"/>
      <c r="CF148" s="169"/>
      <c r="CG148" s="167"/>
      <c r="CH148" s="167"/>
      <c r="CI148" s="170"/>
      <c r="CJ148" s="170"/>
      <c r="CK148" s="167"/>
      <c r="CL148" s="170"/>
      <c r="CM148" s="170"/>
      <c r="CN148" s="170"/>
      <c r="CO148" s="170"/>
      <c r="CP148" s="170"/>
      <c r="CQ148" s="170"/>
      <c r="CR148" s="170"/>
      <c r="CS148" s="170"/>
      <c r="CT148" s="170"/>
      <c r="CU148" s="170"/>
      <c r="CV148" s="170"/>
      <c r="CW148" s="167"/>
      <c r="CX148" s="170"/>
      <c r="CY148" s="170"/>
      <c r="CZ148" s="170"/>
      <c r="DA148" s="170"/>
      <c r="DB148" s="170"/>
      <c r="DC148" s="170"/>
      <c r="DD148" s="170"/>
      <c r="DE148" s="170"/>
      <c r="DF148" s="170"/>
      <c r="DG148" s="170"/>
      <c r="DH148" s="170"/>
      <c r="DI148" s="170"/>
      <c r="DJ148" s="170"/>
      <c r="DK148" s="170"/>
      <c r="DL148" s="170"/>
      <c r="DM148" s="170"/>
      <c r="DN148" s="170"/>
      <c r="DO148" s="170"/>
      <c r="DP148" s="170"/>
      <c r="DQ148" s="170"/>
      <c r="DR148" s="170"/>
      <c r="DS148" s="170"/>
      <c r="DT148" s="170"/>
      <c r="DU148" s="170"/>
      <c r="DV148" s="170"/>
    </row>
    <row r="149" spans="28:126" ht="15" hidden="1" x14ac:dyDescent="0.25">
      <c r="AB149" s="119"/>
      <c r="BG149" s="262"/>
      <c r="BH149" s="263"/>
      <c r="BI149" s="263"/>
      <c r="BJ149" s="333"/>
      <c r="BK149" s="265"/>
      <c r="BL149" s="265"/>
      <c r="BM149" s="265"/>
      <c r="BN149" s="312"/>
      <c r="BO149" s="312"/>
      <c r="BP149" s="322"/>
      <c r="BQ149" s="312"/>
      <c r="BR149" s="312"/>
      <c r="BS149" s="322"/>
      <c r="BT149" s="322"/>
      <c r="BU149" s="322"/>
      <c r="BV149" s="322"/>
      <c r="BW149" s="322"/>
      <c r="BX149" s="322"/>
      <c r="BY149" s="326"/>
      <c r="BZ149" s="326" t="s">
        <v>482</v>
      </c>
      <c r="CA149" s="248">
        <f>35.4*CM22</f>
        <v>214.90936261523777</v>
      </c>
      <c r="CB149" s="168"/>
      <c r="CC149" s="169"/>
      <c r="CD149" s="169"/>
      <c r="CE149" s="169"/>
      <c r="CF149" s="169"/>
      <c r="CG149" s="167"/>
      <c r="CH149" s="167"/>
      <c r="CI149" s="170"/>
      <c r="CJ149" s="170"/>
      <c r="CK149" s="167"/>
      <c r="CL149" s="170"/>
      <c r="CM149" s="170"/>
      <c r="CN149" s="170"/>
      <c r="CO149" s="170"/>
      <c r="CP149" s="170"/>
      <c r="CQ149" s="170"/>
      <c r="CR149" s="170"/>
      <c r="CS149" s="170"/>
      <c r="CT149" s="170"/>
      <c r="CU149" s="170"/>
      <c r="CV149" s="170"/>
      <c r="CW149" s="167"/>
      <c r="CX149" s="170"/>
      <c r="CY149" s="170"/>
      <c r="CZ149" s="170"/>
      <c r="DA149" s="170"/>
      <c r="DB149" s="170"/>
      <c r="DC149" s="170"/>
      <c r="DD149" s="170"/>
      <c r="DE149" s="170"/>
      <c r="DF149" s="170"/>
      <c r="DG149" s="170"/>
      <c r="DH149" s="170"/>
      <c r="DI149" s="170"/>
      <c r="DJ149" s="170"/>
      <c r="DK149" s="170"/>
      <c r="DL149" s="170"/>
      <c r="DM149" s="170"/>
      <c r="DN149" s="170"/>
      <c r="DO149" s="170"/>
      <c r="DP149" s="170"/>
      <c r="DQ149" s="170"/>
      <c r="DR149" s="170"/>
      <c r="DS149" s="170"/>
      <c r="DT149" s="170"/>
      <c r="DU149" s="170"/>
      <c r="DV149" s="170"/>
    </row>
    <row r="150" spans="28:126" ht="15" hidden="1" x14ac:dyDescent="0.25">
      <c r="AB150" s="119"/>
      <c r="BG150" s="262"/>
      <c r="BH150" s="263"/>
      <c r="BI150" s="263"/>
      <c r="BJ150" s="333"/>
      <c r="BK150" s="265"/>
      <c r="BL150" s="265"/>
      <c r="BM150" s="265"/>
      <c r="BN150" s="312"/>
      <c r="BO150" s="312"/>
      <c r="BP150" s="322"/>
      <c r="BQ150" s="312"/>
      <c r="BR150" s="312"/>
      <c r="BS150" s="322"/>
      <c r="BT150" s="322"/>
      <c r="BU150" s="322"/>
      <c r="BV150" s="322"/>
      <c r="BW150" s="322"/>
      <c r="BX150" s="322"/>
      <c r="BY150" s="326"/>
      <c r="BZ150" s="326" t="s">
        <v>483</v>
      </c>
      <c r="CA150" s="248">
        <f>CA149+CA148+CA147</f>
        <v>383.9766968056648</v>
      </c>
      <c r="CB150" s="168"/>
      <c r="CC150" s="169"/>
      <c r="CD150" s="169"/>
      <c r="CE150" s="169"/>
      <c r="CF150" s="169"/>
      <c r="CG150" s="167"/>
      <c r="CH150" s="167"/>
      <c r="CI150" s="170"/>
      <c r="CJ150" s="170"/>
      <c r="CK150" s="167"/>
      <c r="CL150" s="170"/>
      <c r="CM150" s="170"/>
      <c r="CN150" s="170"/>
      <c r="CO150" s="170"/>
      <c r="CP150" s="170"/>
      <c r="CQ150" s="170"/>
      <c r="CR150" s="170"/>
      <c r="CS150" s="170"/>
      <c r="CT150" s="170"/>
      <c r="CU150" s="170"/>
      <c r="CV150" s="170"/>
      <c r="CW150" s="167"/>
      <c r="CX150" s="170"/>
      <c r="CY150" s="170"/>
      <c r="CZ150" s="170"/>
      <c r="DA150" s="170"/>
      <c r="DB150" s="170"/>
      <c r="DC150" s="170"/>
      <c r="DD150" s="170"/>
      <c r="DE150" s="170"/>
      <c r="DF150" s="170"/>
      <c r="DG150" s="170"/>
      <c r="DH150" s="170"/>
      <c r="DI150" s="170"/>
      <c r="DJ150" s="170"/>
      <c r="DK150" s="170"/>
      <c r="DL150" s="170"/>
      <c r="DM150" s="170"/>
      <c r="DN150" s="170"/>
      <c r="DO150" s="170"/>
      <c r="DP150" s="170"/>
      <c r="DQ150" s="170"/>
      <c r="DR150" s="170"/>
      <c r="DS150" s="170"/>
      <c r="DT150" s="170"/>
      <c r="DU150" s="170"/>
      <c r="DV150" s="170"/>
    </row>
    <row r="151" spans="28:126" ht="15" hidden="1" x14ac:dyDescent="0.25">
      <c r="AB151" s="119"/>
      <c r="BG151" s="262"/>
      <c r="BH151" s="263"/>
      <c r="BI151" s="263"/>
      <c r="BJ151" s="265"/>
      <c r="BK151" s="265"/>
      <c r="BL151" s="265"/>
      <c r="BM151" s="265"/>
      <c r="BN151" s="312"/>
      <c r="BO151" s="312"/>
      <c r="BP151" s="322"/>
      <c r="BQ151" s="312"/>
      <c r="BR151" s="312"/>
      <c r="BS151" s="322"/>
      <c r="BT151" s="322"/>
      <c r="BU151" s="322"/>
      <c r="BV151" s="322"/>
      <c r="BW151" s="322"/>
      <c r="BX151" s="322"/>
      <c r="BY151" s="326"/>
      <c r="BZ151" s="326" t="s">
        <v>258</v>
      </c>
      <c r="CA151" s="167"/>
      <c r="CB151" s="168"/>
      <c r="CC151" s="169"/>
      <c r="CD151" s="169"/>
      <c r="CE151" s="169"/>
      <c r="CF151" s="169"/>
      <c r="CG151" s="167"/>
      <c r="CH151" s="167"/>
      <c r="CI151" s="170"/>
      <c r="CJ151" s="170"/>
      <c r="CK151" s="167"/>
      <c r="CL151" s="170"/>
      <c r="CM151" s="170"/>
      <c r="CN151" s="170"/>
      <c r="CO151" s="170"/>
      <c r="CP151" s="170"/>
      <c r="CQ151" s="170"/>
      <c r="CR151" s="170"/>
      <c r="CS151" s="170"/>
      <c r="CT151" s="170"/>
      <c r="CU151" s="170"/>
      <c r="CV151" s="170"/>
      <c r="CW151" s="167"/>
      <c r="CX151" s="170"/>
      <c r="CY151" s="170"/>
      <c r="CZ151" s="170"/>
      <c r="DA151" s="170"/>
      <c r="DB151" s="170"/>
      <c r="DC151" s="170"/>
      <c r="DD151" s="170"/>
      <c r="DE151" s="170"/>
      <c r="DF151" s="170"/>
      <c r="DG151" s="170"/>
      <c r="DH151" s="170"/>
      <c r="DI151" s="170"/>
      <c r="DJ151" s="170"/>
      <c r="DK151" s="170"/>
      <c r="DL151" s="170"/>
      <c r="DM151" s="170"/>
      <c r="DN151" s="170"/>
      <c r="DO151" s="170"/>
      <c r="DP151" s="170"/>
      <c r="DQ151" s="170"/>
      <c r="DR151" s="170"/>
      <c r="DS151" s="170"/>
      <c r="DT151" s="170"/>
      <c r="DU151" s="170"/>
      <c r="DV151" s="170"/>
    </row>
    <row r="152" spans="28:126" ht="15" hidden="1" x14ac:dyDescent="0.25">
      <c r="AB152" s="119"/>
      <c r="BG152" s="262"/>
      <c r="BH152" s="263"/>
      <c r="BI152" s="264"/>
      <c r="BJ152" s="328"/>
      <c r="BK152" s="328"/>
      <c r="BL152" s="265"/>
      <c r="BM152" s="265"/>
      <c r="BN152" s="312"/>
      <c r="BO152" s="312"/>
      <c r="BP152" s="322"/>
      <c r="BQ152" s="312"/>
      <c r="BR152" s="312"/>
      <c r="BS152" s="322"/>
      <c r="BT152" s="322"/>
      <c r="BU152" s="322"/>
      <c r="BV152" s="322"/>
      <c r="BW152" s="322"/>
      <c r="BX152" s="322"/>
      <c r="BY152" s="326"/>
      <c r="BZ152" s="330" t="s">
        <v>484</v>
      </c>
      <c r="CA152" s="342">
        <f>CA150/CR45</f>
        <v>574.81541437973772</v>
      </c>
      <c r="CB152" s="169"/>
      <c r="CC152" s="169"/>
      <c r="CD152" s="169"/>
      <c r="CE152" s="169"/>
      <c r="CF152" s="169"/>
      <c r="CG152" s="167"/>
      <c r="CH152" s="167"/>
      <c r="CI152" s="170"/>
      <c r="CJ152" s="170"/>
      <c r="CK152" s="167"/>
      <c r="CL152" s="170"/>
      <c r="CM152" s="170"/>
      <c r="CN152" s="170"/>
      <c r="CO152" s="170"/>
      <c r="CP152" s="170"/>
      <c r="CQ152" s="170"/>
      <c r="CR152" s="170"/>
      <c r="CS152" s="170"/>
      <c r="CT152" s="170"/>
      <c r="CU152" s="170"/>
      <c r="CV152" s="170"/>
      <c r="CW152" s="167"/>
      <c r="CX152" s="170"/>
      <c r="CY152" s="170"/>
      <c r="CZ152" s="170"/>
      <c r="DA152" s="170"/>
      <c r="DB152" s="170"/>
      <c r="DC152" s="170"/>
      <c r="DD152" s="170"/>
      <c r="DE152" s="170"/>
      <c r="DF152" s="170"/>
      <c r="DG152" s="170"/>
      <c r="DH152" s="170"/>
      <c r="DI152" s="170"/>
      <c r="DJ152" s="170"/>
      <c r="DK152" s="170"/>
      <c r="DL152" s="170"/>
      <c r="DM152" s="170"/>
      <c r="DN152" s="170"/>
      <c r="DO152" s="170"/>
      <c r="DP152" s="170"/>
      <c r="DQ152" s="170"/>
      <c r="DR152" s="170"/>
      <c r="DS152" s="170"/>
      <c r="DT152" s="170"/>
      <c r="DU152" s="170"/>
      <c r="DV152" s="170"/>
    </row>
    <row r="153" spans="28:126" ht="15" hidden="1" x14ac:dyDescent="0.25">
      <c r="AB153" s="119"/>
      <c r="BG153" s="262"/>
      <c r="BH153" s="263"/>
      <c r="BI153" s="264"/>
      <c r="BJ153" s="265"/>
      <c r="BK153" s="265"/>
      <c r="BL153" s="265"/>
      <c r="BM153" s="265"/>
      <c r="BN153" s="312"/>
      <c r="BO153" s="312"/>
      <c r="BP153" s="322"/>
      <c r="BQ153" s="312"/>
      <c r="BR153" s="312"/>
      <c r="BS153" s="322"/>
      <c r="BT153" s="322"/>
      <c r="BU153" s="322"/>
      <c r="BV153" s="322"/>
      <c r="BW153" s="322"/>
      <c r="BX153" s="322"/>
      <c r="BY153" s="326"/>
      <c r="BZ153" s="330"/>
      <c r="CA153" s="342"/>
      <c r="CB153" s="169"/>
      <c r="CC153" s="169"/>
      <c r="CD153" s="169"/>
      <c r="CE153" s="169"/>
      <c r="CF153" s="169"/>
      <c r="CG153" s="167"/>
      <c r="CH153" s="167"/>
      <c r="CI153" s="170"/>
      <c r="CJ153" s="170"/>
      <c r="CK153" s="167"/>
      <c r="CL153" s="170"/>
      <c r="CM153" s="170"/>
      <c r="CN153" s="170"/>
      <c r="CO153" s="170"/>
      <c r="CP153" s="170"/>
      <c r="CQ153" s="170"/>
      <c r="CR153" s="170"/>
      <c r="CS153" s="170"/>
      <c r="CT153" s="170"/>
      <c r="CU153" s="170"/>
      <c r="CV153" s="170"/>
      <c r="CW153" s="167"/>
      <c r="CX153" s="170"/>
      <c r="CY153" s="170"/>
      <c r="CZ153" s="170"/>
      <c r="DA153" s="170"/>
      <c r="DB153" s="170"/>
      <c r="DC153" s="170"/>
      <c r="DD153" s="170"/>
      <c r="DE153" s="170"/>
      <c r="DF153" s="170"/>
      <c r="DG153" s="170"/>
      <c r="DH153" s="170"/>
      <c r="DI153" s="170"/>
      <c r="DJ153" s="170"/>
      <c r="DK153" s="170"/>
      <c r="DL153" s="170"/>
      <c r="DM153" s="170"/>
      <c r="DN153" s="170"/>
      <c r="DO153" s="170"/>
      <c r="DP153" s="170"/>
      <c r="DQ153" s="170"/>
      <c r="DR153" s="170"/>
      <c r="DS153" s="170"/>
      <c r="DT153" s="170"/>
      <c r="DU153" s="170"/>
      <c r="DV153" s="170"/>
    </row>
    <row r="154" spans="28:126" ht="15" hidden="1" x14ac:dyDescent="0.25">
      <c r="AB154" s="119"/>
      <c r="BG154" s="262"/>
      <c r="BH154" s="263"/>
      <c r="BI154" s="263"/>
      <c r="BJ154" s="333"/>
      <c r="BK154" s="265"/>
      <c r="BL154" s="265"/>
      <c r="BM154" s="265"/>
      <c r="BN154" s="312"/>
      <c r="BO154" s="312"/>
      <c r="BP154" s="322"/>
      <c r="BQ154" s="312"/>
      <c r="BR154" s="312"/>
      <c r="BS154" s="322"/>
      <c r="BT154" s="322"/>
      <c r="BU154" s="322"/>
      <c r="BV154" s="322"/>
      <c r="BW154" s="322"/>
      <c r="BX154" s="322"/>
      <c r="BY154" s="326"/>
      <c r="BZ154" s="330"/>
      <c r="CA154" s="342"/>
      <c r="CB154" s="169"/>
      <c r="CC154" s="169"/>
      <c r="CD154" s="169"/>
      <c r="CE154" s="169"/>
      <c r="CF154" s="169"/>
      <c r="CG154" s="167"/>
      <c r="CH154" s="167"/>
      <c r="CI154" s="170"/>
      <c r="CJ154" s="170"/>
      <c r="CK154" s="167"/>
      <c r="CL154" s="170"/>
      <c r="CM154" s="170"/>
      <c r="CN154" s="170"/>
      <c r="CO154" s="170"/>
      <c r="CP154" s="170"/>
      <c r="CQ154" s="170"/>
      <c r="CR154" s="170"/>
      <c r="CS154" s="170"/>
      <c r="CT154" s="170"/>
      <c r="CU154" s="170"/>
      <c r="CV154" s="170"/>
      <c r="CW154" s="167"/>
      <c r="CX154" s="170"/>
      <c r="CY154" s="170"/>
      <c r="CZ154" s="170"/>
      <c r="DA154" s="170"/>
      <c r="DB154" s="170"/>
      <c r="DC154" s="170"/>
      <c r="DD154" s="170"/>
      <c r="DE154" s="170"/>
      <c r="DF154" s="170"/>
      <c r="DG154" s="170"/>
      <c r="DH154" s="170"/>
      <c r="DI154" s="170"/>
      <c r="DJ154" s="170"/>
      <c r="DK154" s="170"/>
      <c r="DL154" s="170"/>
      <c r="DM154" s="170"/>
      <c r="DN154" s="170"/>
      <c r="DO154" s="170"/>
      <c r="DP154" s="170"/>
      <c r="DQ154" s="170"/>
      <c r="DR154" s="170"/>
      <c r="DS154" s="170"/>
      <c r="DT154" s="170"/>
      <c r="DU154" s="170"/>
      <c r="DV154" s="170"/>
    </row>
    <row r="155" spans="28:126" ht="15" hidden="1" x14ac:dyDescent="0.25">
      <c r="AB155" s="119"/>
      <c r="BG155" s="262"/>
      <c r="BH155" s="263"/>
      <c r="BI155" s="263"/>
      <c r="BJ155" s="333"/>
      <c r="BK155" s="265"/>
      <c r="BL155" s="265"/>
      <c r="BM155" s="265"/>
      <c r="BN155" s="312"/>
      <c r="BO155" s="312"/>
      <c r="BP155" s="322"/>
      <c r="BQ155" s="312"/>
      <c r="BR155" s="312"/>
      <c r="BS155" s="322"/>
      <c r="BT155" s="322"/>
      <c r="BU155" s="322"/>
      <c r="BV155" s="322"/>
      <c r="BW155" s="322"/>
      <c r="BX155" s="322"/>
      <c r="BY155" s="326" t="s">
        <v>485</v>
      </c>
      <c r="BZ155" s="330"/>
      <c r="CA155" s="342"/>
      <c r="CB155" s="169"/>
      <c r="CC155" s="169"/>
      <c r="CD155" s="169"/>
      <c r="CE155" s="169"/>
      <c r="CF155" s="169"/>
      <c r="CG155" s="167"/>
      <c r="CH155" s="167"/>
      <c r="CI155" s="170"/>
      <c r="CJ155" s="170"/>
      <c r="CK155" s="167"/>
      <c r="CL155" s="170"/>
      <c r="CM155" s="170"/>
      <c r="CN155" s="170"/>
      <c r="CO155" s="170"/>
      <c r="CP155" s="170"/>
      <c r="CQ155" s="170"/>
      <c r="CR155" s="170"/>
      <c r="CS155" s="170"/>
      <c r="CT155" s="170"/>
      <c r="CU155" s="170"/>
      <c r="CV155" s="170"/>
      <c r="CW155" s="167"/>
      <c r="CX155" s="170"/>
      <c r="CY155" s="170"/>
      <c r="CZ155" s="170"/>
      <c r="DA155" s="170"/>
      <c r="DB155" s="170"/>
      <c r="DC155" s="170"/>
      <c r="DD155" s="170"/>
      <c r="DE155" s="170"/>
      <c r="DF155" s="170"/>
      <c r="DG155" s="170"/>
      <c r="DH155" s="170"/>
      <c r="DI155" s="170"/>
      <c r="DJ155" s="170"/>
      <c r="DK155" s="170"/>
      <c r="DL155" s="170"/>
      <c r="DM155" s="170"/>
      <c r="DN155" s="170"/>
      <c r="DO155" s="170"/>
      <c r="DP155" s="170"/>
      <c r="DQ155" s="170"/>
      <c r="DR155" s="170"/>
      <c r="DS155" s="170"/>
      <c r="DT155" s="170"/>
      <c r="DU155" s="170"/>
      <c r="DV155" s="170"/>
    </row>
    <row r="156" spans="28:126" ht="15" hidden="1" x14ac:dyDescent="0.25">
      <c r="AB156" s="119"/>
      <c r="BG156" s="262"/>
      <c r="BH156" s="263"/>
      <c r="BI156" s="263"/>
      <c r="BJ156" s="333"/>
      <c r="BK156" s="265"/>
      <c r="BL156" s="265"/>
      <c r="BM156" s="265"/>
      <c r="BN156" s="312"/>
      <c r="BO156" s="312"/>
      <c r="BP156" s="322"/>
      <c r="BQ156" s="312"/>
      <c r="BR156" s="312"/>
      <c r="BS156" s="322"/>
      <c r="BT156" s="322"/>
      <c r="BU156" s="322"/>
      <c r="BV156" s="322"/>
      <c r="BW156" s="322"/>
      <c r="BX156" s="322"/>
      <c r="BY156" s="307" t="s">
        <v>486</v>
      </c>
      <c r="BZ156" s="307" t="s">
        <v>487</v>
      </c>
      <c r="CA156" s="344">
        <f>C6*3.27/1000</f>
        <v>1.635</v>
      </c>
      <c r="CB156" s="169"/>
      <c r="CC156" s="169"/>
      <c r="CD156" s="169"/>
      <c r="CE156" s="169"/>
      <c r="CF156" s="169"/>
      <c r="CG156" s="167"/>
      <c r="CH156" s="167"/>
      <c r="CI156" s="170"/>
      <c r="CJ156" s="170"/>
      <c r="CK156" s="167"/>
      <c r="CL156" s="170"/>
      <c r="CM156" s="170"/>
      <c r="CN156" s="170"/>
      <c r="CO156" s="170"/>
      <c r="CP156" s="170"/>
      <c r="CQ156" s="170"/>
      <c r="CR156" s="170"/>
      <c r="CS156" s="170"/>
      <c r="CT156" s="170"/>
      <c r="CU156" s="170"/>
      <c r="CV156" s="170"/>
      <c r="CW156" s="167"/>
      <c r="CX156" s="170"/>
      <c r="CY156" s="170"/>
      <c r="CZ156" s="170"/>
      <c r="DA156" s="170"/>
      <c r="DB156" s="170"/>
      <c r="DC156" s="170"/>
      <c r="DD156" s="170"/>
      <c r="DE156" s="170"/>
      <c r="DF156" s="170"/>
      <c r="DG156" s="170"/>
      <c r="DH156" s="170"/>
      <c r="DI156" s="170"/>
      <c r="DJ156" s="170"/>
      <c r="DK156" s="170"/>
      <c r="DL156" s="170"/>
      <c r="DM156" s="170"/>
      <c r="DN156" s="170"/>
      <c r="DO156" s="170"/>
      <c r="DP156" s="170"/>
      <c r="DQ156" s="170"/>
      <c r="DR156" s="170"/>
      <c r="DS156" s="170"/>
      <c r="DT156" s="170"/>
      <c r="DU156" s="170"/>
      <c r="DV156" s="170"/>
    </row>
    <row r="157" spans="28:126" ht="15" hidden="1" x14ac:dyDescent="0.25">
      <c r="AB157" s="119"/>
      <c r="BG157" s="262"/>
      <c r="BH157" s="263"/>
      <c r="BI157" s="263"/>
      <c r="BJ157" s="265"/>
      <c r="BK157" s="265"/>
      <c r="BL157" s="265"/>
      <c r="BM157" s="265"/>
      <c r="BN157" s="312"/>
      <c r="BO157" s="312"/>
      <c r="BP157" s="322"/>
      <c r="BQ157" s="312"/>
      <c r="BR157" s="312"/>
      <c r="BS157" s="322"/>
      <c r="BT157" s="322"/>
      <c r="BU157" s="322"/>
      <c r="BV157" s="322"/>
      <c r="BW157" s="322"/>
      <c r="BX157" s="322"/>
      <c r="BY157" s="307"/>
      <c r="BZ157" s="307" t="s">
        <v>488</v>
      </c>
      <c r="CA157" s="344">
        <f>CA37*(0.0035*CA36^0.41)</f>
        <v>3.7304396100214845E-4</v>
      </c>
      <c r="CB157" s="169"/>
      <c r="CC157" s="169"/>
      <c r="CD157" s="169"/>
      <c r="CE157" s="169"/>
      <c r="CF157" s="169"/>
      <c r="CG157" s="167"/>
      <c r="CH157" s="167"/>
      <c r="CI157" s="170"/>
      <c r="CJ157" s="170"/>
      <c r="CK157" s="167"/>
      <c r="CL157" s="170"/>
      <c r="CM157" s="170"/>
      <c r="CN157" s="170"/>
      <c r="CO157" s="170"/>
      <c r="CP157" s="170"/>
      <c r="CQ157" s="170"/>
      <c r="CR157" s="170"/>
      <c r="CS157" s="170"/>
      <c r="CT157" s="170"/>
      <c r="CU157" s="170"/>
      <c r="CV157" s="170"/>
      <c r="CW157" s="167"/>
      <c r="CX157" s="170"/>
      <c r="CY157" s="170"/>
      <c r="CZ157" s="170"/>
      <c r="DA157" s="170"/>
      <c r="DB157" s="170"/>
      <c r="DC157" s="170"/>
      <c r="DD157" s="170"/>
      <c r="DE157" s="170"/>
      <c r="DF157" s="170"/>
      <c r="DG157" s="170"/>
      <c r="DH157" s="170"/>
      <c r="DI157" s="170"/>
      <c r="DJ157" s="170"/>
      <c r="DK157" s="170"/>
      <c r="DL157" s="170"/>
      <c r="DM157" s="170"/>
      <c r="DN157" s="170"/>
      <c r="DO157" s="170"/>
      <c r="DP157" s="170"/>
      <c r="DQ157" s="170"/>
      <c r="DR157" s="170"/>
      <c r="DS157" s="170"/>
      <c r="DT157" s="170"/>
      <c r="DU157" s="170"/>
      <c r="DV157" s="170"/>
    </row>
    <row r="158" spans="28:126" ht="15" hidden="1" x14ac:dyDescent="0.25">
      <c r="AB158" s="119"/>
      <c r="BG158" s="262"/>
      <c r="BH158" s="263"/>
      <c r="BI158" s="264"/>
      <c r="BJ158" s="328"/>
      <c r="BK158" s="328"/>
      <c r="BL158" s="265"/>
      <c r="BM158" s="265"/>
      <c r="BN158" s="312"/>
      <c r="BO158" s="312"/>
      <c r="BP158" s="322"/>
      <c r="BQ158" s="312"/>
      <c r="BR158" s="312"/>
      <c r="BS158" s="322"/>
      <c r="BT158" s="322"/>
      <c r="BU158" s="322"/>
      <c r="BV158" s="322"/>
      <c r="BW158" s="322"/>
      <c r="BX158" s="322"/>
      <c r="BY158" s="307"/>
      <c r="BZ158" s="307" t="s">
        <v>489</v>
      </c>
      <c r="CA158" s="344">
        <f>CA157+CA156</f>
        <v>1.6353730439610021</v>
      </c>
      <c r="CB158" s="169"/>
      <c r="CC158" s="169"/>
      <c r="CD158" s="169"/>
      <c r="CE158" s="169"/>
      <c r="CF158" s="169"/>
      <c r="CG158" s="167"/>
      <c r="CH158" s="167"/>
      <c r="CI158" s="170"/>
      <c r="CJ158" s="170"/>
      <c r="CK158" s="167"/>
      <c r="CL158" s="170"/>
      <c r="CM158" s="170"/>
      <c r="CN158" s="170"/>
      <c r="CO158" s="170"/>
      <c r="CP158" s="170"/>
      <c r="CQ158" s="170"/>
      <c r="CR158" s="170"/>
      <c r="CS158" s="170"/>
      <c r="CT158" s="170"/>
      <c r="CU158" s="170"/>
      <c r="CV158" s="170"/>
      <c r="CW158" s="167"/>
      <c r="CX158" s="170"/>
      <c r="CY158" s="170"/>
      <c r="CZ158" s="170"/>
      <c r="DA158" s="170"/>
      <c r="DB158" s="170"/>
      <c r="DC158" s="170"/>
      <c r="DD158" s="170"/>
      <c r="DE158" s="170"/>
      <c r="DF158" s="170"/>
      <c r="DG158" s="170"/>
      <c r="DH158" s="170"/>
      <c r="DI158" s="170"/>
      <c r="DJ158" s="170"/>
      <c r="DK158" s="170"/>
      <c r="DL158" s="170"/>
      <c r="DM158" s="170"/>
      <c r="DN158" s="170"/>
      <c r="DO158" s="170"/>
      <c r="DP158" s="170"/>
      <c r="DQ158" s="170"/>
      <c r="DR158" s="170"/>
      <c r="DS158" s="170"/>
      <c r="DT158" s="170"/>
      <c r="DU158" s="170"/>
      <c r="DV158" s="170"/>
    </row>
    <row r="159" spans="28:126" ht="15" hidden="1" x14ac:dyDescent="0.25">
      <c r="AB159" s="119"/>
      <c r="BG159" s="262"/>
      <c r="BH159" s="263"/>
      <c r="BI159" s="264"/>
      <c r="BJ159" s="265"/>
      <c r="BK159" s="265"/>
      <c r="BL159" s="265"/>
      <c r="BM159" s="265"/>
      <c r="BN159" s="312"/>
      <c r="BO159" s="312"/>
      <c r="BP159" s="322"/>
      <c r="BQ159" s="312"/>
      <c r="BR159" s="312"/>
      <c r="BS159" s="322"/>
      <c r="BT159" s="322"/>
      <c r="BU159" s="322"/>
      <c r="BV159" s="322"/>
      <c r="BW159" s="322"/>
      <c r="BX159" s="322"/>
      <c r="BY159" s="307"/>
      <c r="BZ159" s="307" t="s">
        <v>258</v>
      </c>
      <c r="CA159" s="309"/>
      <c r="CB159" s="169"/>
      <c r="CC159" s="169"/>
      <c r="CD159" s="169"/>
      <c r="CE159" s="169"/>
      <c r="CF159" s="169"/>
      <c r="CG159" s="167"/>
      <c r="CH159" s="167"/>
      <c r="CI159" s="170"/>
      <c r="CJ159" s="170"/>
      <c r="CK159" s="167"/>
      <c r="CL159" s="170"/>
      <c r="CM159" s="170"/>
      <c r="CN159" s="170"/>
      <c r="CO159" s="170"/>
      <c r="CP159" s="170"/>
      <c r="CQ159" s="170"/>
      <c r="CR159" s="170"/>
      <c r="CS159" s="170"/>
      <c r="CT159" s="170"/>
      <c r="CU159" s="170"/>
      <c r="CV159" s="170"/>
      <c r="CW159" s="167"/>
      <c r="CX159" s="170"/>
      <c r="CY159" s="170"/>
      <c r="CZ159" s="170"/>
      <c r="DA159" s="170"/>
      <c r="DB159" s="170"/>
      <c r="DC159" s="170"/>
      <c r="DD159" s="170"/>
      <c r="DE159" s="170"/>
      <c r="DF159" s="170"/>
      <c r="DG159" s="170"/>
      <c r="DH159" s="170"/>
      <c r="DI159" s="170"/>
      <c r="DJ159" s="170"/>
      <c r="DK159" s="170"/>
      <c r="DL159" s="170"/>
      <c r="DM159" s="170"/>
      <c r="DN159" s="170"/>
      <c r="DO159" s="170"/>
      <c r="DP159" s="170"/>
      <c r="DQ159" s="170"/>
      <c r="DR159" s="170"/>
      <c r="DS159" s="170"/>
      <c r="DT159" s="170"/>
      <c r="DU159" s="170"/>
      <c r="DV159" s="170"/>
    </row>
    <row r="160" spans="28:126" ht="15" hidden="1" x14ac:dyDescent="0.25">
      <c r="AB160" s="119"/>
      <c r="BG160" s="262"/>
      <c r="BH160" s="263"/>
      <c r="BI160" s="263"/>
      <c r="BJ160" s="333"/>
      <c r="BK160" s="265"/>
      <c r="BL160" s="265"/>
      <c r="BM160" s="265"/>
      <c r="BN160" s="312"/>
      <c r="BO160" s="312"/>
      <c r="BP160" s="322"/>
      <c r="BQ160" s="312"/>
      <c r="BR160" s="312"/>
      <c r="BS160" s="322"/>
      <c r="BT160" s="322"/>
      <c r="BU160" s="322"/>
      <c r="BV160" s="322"/>
      <c r="BW160" s="322"/>
      <c r="BX160" s="322"/>
      <c r="BY160" s="307"/>
      <c r="BZ160" s="308" t="s">
        <v>490</v>
      </c>
      <c r="CA160" s="345">
        <f>CA158/CR47</f>
        <v>3.2707460879220043</v>
      </c>
      <c r="CB160" s="169"/>
      <c r="CC160" s="169"/>
      <c r="CD160" s="169"/>
      <c r="CE160" s="169"/>
      <c r="CF160" s="169"/>
      <c r="CG160" s="167"/>
      <c r="CH160" s="167"/>
      <c r="CI160" s="170"/>
      <c r="CJ160" s="170"/>
      <c r="CK160" s="167"/>
      <c r="CL160" s="170"/>
      <c r="CM160" s="170"/>
      <c r="CN160" s="170"/>
      <c r="CO160" s="170"/>
      <c r="CP160" s="170"/>
      <c r="CQ160" s="170"/>
      <c r="CR160" s="170"/>
      <c r="CS160" s="170"/>
      <c r="CT160" s="170"/>
      <c r="CU160" s="170"/>
      <c r="CV160" s="170"/>
      <c r="CW160" s="167"/>
      <c r="CX160" s="170"/>
      <c r="CY160" s="170"/>
      <c r="CZ160" s="170"/>
      <c r="DA160" s="170"/>
      <c r="DB160" s="170"/>
      <c r="DC160" s="170"/>
      <c r="DD160" s="170"/>
      <c r="DE160" s="170"/>
      <c r="DF160" s="170"/>
      <c r="DG160" s="170"/>
      <c r="DH160" s="170"/>
      <c r="DI160" s="170"/>
      <c r="DJ160" s="170"/>
      <c r="DK160" s="170"/>
      <c r="DL160" s="170"/>
      <c r="DM160" s="170"/>
      <c r="DN160" s="170"/>
      <c r="DO160" s="170"/>
      <c r="DP160" s="170"/>
      <c r="DQ160" s="170"/>
      <c r="DR160" s="170"/>
      <c r="DS160" s="170"/>
      <c r="DT160" s="170"/>
      <c r="DU160" s="170"/>
      <c r="DV160" s="170"/>
    </row>
    <row r="161" spans="28:126" ht="15" hidden="1" x14ac:dyDescent="0.25">
      <c r="AB161" s="119"/>
      <c r="BG161" s="262"/>
      <c r="BH161" s="263"/>
      <c r="BI161" s="263"/>
      <c r="BJ161" s="333"/>
      <c r="BK161" s="265"/>
      <c r="BL161" s="265"/>
      <c r="BM161" s="265"/>
      <c r="BN161" s="312"/>
      <c r="BO161" s="322"/>
      <c r="BP161" s="322"/>
      <c r="BQ161" s="312"/>
      <c r="BR161" s="312"/>
      <c r="BS161" s="322"/>
      <c r="BT161" s="322"/>
      <c r="BU161" s="322"/>
      <c r="BV161" s="322"/>
      <c r="BW161" s="322"/>
      <c r="BX161" s="322"/>
      <c r="BY161" s="307"/>
      <c r="BZ161" s="307"/>
      <c r="CA161" s="309"/>
      <c r="CB161" s="169"/>
      <c r="CC161" s="169"/>
      <c r="CD161" s="169"/>
      <c r="CE161" s="169"/>
      <c r="CF161" s="169"/>
      <c r="CG161" s="167"/>
      <c r="CH161" s="167"/>
      <c r="CI161" s="170"/>
      <c r="CJ161" s="170"/>
      <c r="CK161" s="167"/>
      <c r="CL161" s="170"/>
      <c r="CM161" s="170"/>
      <c r="CN161" s="170"/>
      <c r="CO161" s="170"/>
      <c r="CP161" s="170"/>
      <c r="CQ161" s="170"/>
      <c r="CR161" s="170"/>
      <c r="CS161" s="170"/>
      <c r="CT161" s="170"/>
      <c r="CU161" s="170"/>
      <c r="CV161" s="170"/>
      <c r="CW161" s="167"/>
      <c r="CX161" s="170"/>
      <c r="CY161" s="170"/>
      <c r="CZ161" s="170"/>
      <c r="DA161" s="170"/>
      <c r="DB161" s="170"/>
      <c r="DC161" s="170"/>
      <c r="DD161" s="170"/>
      <c r="DE161" s="170"/>
      <c r="DF161" s="170"/>
      <c r="DG161" s="170"/>
      <c r="DH161" s="170"/>
      <c r="DI161" s="170"/>
      <c r="DJ161" s="170"/>
      <c r="DK161" s="170"/>
      <c r="DL161" s="170"/>
      <c r="DM161" s="170"/>
      <c r="DN161" s="170"/>
      <c r="DO161" s="170"/>
      <c r="DP161" s="170"/>
      <c r="DQ161" s="170"/>
      <c r="DR161" s="170"/>
      <c r="DS161" s="170"/>
      <c r="DT161" s="170"/>
      <c r="DU161" s="170"/>
      <c r="DV161" s="170"/>
    </row>
    <row r="162" spans="28:126" ht="15" hidden="1" x14ac:dyDescent="0.25">
      <c r="AB162" s="119"/>
      <c r="BG162" s="262"/>
      <c r="BH162" s="263"/>
      <c r="BI162" s="263"/>
      <c r="BJ162" s="333"/>
      <c r="BK162" s="265"/>
      <c r="BL162" s="265"/>
      <c r="BM162" s="265"/>
      <c r="BN162" s="312"/>
      <c r="BO162" s="312"/>
      <c r="BP162" s="322"/>
      <c r="BQ162" s="312"/>
      <c r="BR162" s="312"/>
      <c r="BS162" s="322"/>
      <c r="BT162" s="322"/>
      <c r="BU162" s="322"/>
      <c r="BV162" s="322"/>
      <c r="BW162" s="322"/>
      <c r="BX162" s="322"/>
      <c r="BY162" s="307" t="s">
        <v>280</v>
      </c>
      <c r="BZ162" s="307" t="s">
        <v>491</v>
      </c>
      <c r="CA162" s="344">
        <f>C6*3.72/1000</f>
        <v>1.86</v>
      </c>
      <c r="CB162" s="169"/>
      <c r="CC162" s="169"/>
      <c r="CD162" s="169"/>
      <c r="CE162" s="169"/>
      <c r="CF162" s="169"/>
      <c r="CG162" s="167"/>
      <c r="CH162" s="167"/>
      <c r="CI162" s="170"/>
      <c r="CJ162" s="170"/>
      <c r="CK162" s="167"/>
      <c r="CL162" s="170"/>
      <c r="CM162" s="170"/>
      <c r="CN162" s="170"/>
      <c r="CO162" s="170"/>
      <c r="CP162" s="170"/>
      <c r="CQ162" s="170"/>
      <c r="CR162" s="170"/>
      <c r="CS162" s="170"/>
      <c r="CT162" s="170"/>
      <c r="CU162" s="170"/>
      <c r="CV162" s="170"/>
      <c r="CW162" s="167"/>
      <c r="CX162" s="170"/>
      <c r="CY162" s="170"/>
      <c r="CZ162" s="170"/>
      <c r="DA162" s="170"/>
      <c r="DB162" s="170"/>
      <c r="DC162" s="170"/>
      <c r="DD162" s="170"/>
      <c r="DE162" s="170"/>
      <c r="DF162" s="170"/>
      <c r="DG162" s="170"/>
      <c r="DH162" s="170"/>
      <c r="DI162" s="170"/>
      <c r="DJ162" s="170"/>
      <c r="DK162" s="170"/>
      <c r="DL162" s="170"/>
      <c r="DM162" s="170"/>
      <c r="DN162" s="170"/>
      <c r="DO162" s="170"/>
      <c r="DP162" s="170"/>
      <c r="DQ162" s="170"/>
      <c r="DR162" s="170"/>
      <c r="DS162" s="170"/>
      <c r="DT162" s="170"/>
      <c r="DU162" s="170"/>
      <c r="DV162" s="170"/>
    </row>
    <row r="163" spans="28:126" ht="15" hidden="1" x14ac:dyDescent="0.25">
      <c r="AB163" s="119"/>
      <c r="BG163" s="262"/>
      <c r="BH163" s="263"/>
      <c r="BI163" s="263"/>
      <c r="BJ163" s="265"/>
      <c r="BK163" s="265"/>
      <c r="BL163" s="265"/>
      <c r="BM163" s="265"/>
      <c r="BN163" s="312"/>
      <c r="BO163" s="312"/>
      <c r="BP163" s="322"/>
      <c r="BQ163" s="312"/>
      <c r="BR163" s="312"/>
      <c r="BS163" s="322"/>
      <c r="BT163" s="322"/>
      <c r="BU163" s="322"/>
      <c r="BV163" s="322"/>
      <c r="BW163" s="322"/>
      <c r="BX163" s="322"/>
      <c r="BY163" s="307"/>
      <c r="BZ163" s="307" t="s">
        <v>492</v>
      </c>
      <c r="CA163" s="344">
        <f>CA37*(1.07*CA36^-0.07)</f>
        <v>6.3008457920304432E-3</v>
      </c>
      <c r="CB163" s="169"/>
      <c r="CC163" s="169"/>
      <c r="CD163" s="169"/>
      <c r="CE163" s="169"/>
      <c r="CF163" s="169"/>
      <c r="CG163" s="167"/>
      <c r="CH163" s="167"/>
      <c r="CI163" s="170"/>
      <c r="CJ163" s="170"/>
      <c r="CK163" s="167"/>
      <c r="CL163" s="170"/>
      <c r="CM163" s="170"/>
      <c r="CN163" s="170"/>
      <c r="CO163" s="170"/>
      <c r="CP163" s="170"/>
      <c r="CQ163" s="170"/>
      <c r="CR163" s="170"/>
      <c r="CS163" s="170"/>
      <c r="CT163" s="170"/>
      <c r="CU163" s="170"/>
      <c r="CV163" s="170"/>
      <c r="CW163" s="167"/>
      <c r="CX163" s="170"/>
      <c r="CY163" s="170"/>
      <c r="CZ163" s="170"/>
      <c r="DA163" s="170"/>
      <c r="DB163" s="170"/>
      <c r="DC163" s="170"/>
      <c r="DD163" s="170"/>
      <c r="DE163" s="170"/>
      <c r="DF163" s="170"/>
      <c r="DG163" s="170"/>
      <c r="DH163" s="170"/>
      <c r="DI163" s="170"/>
      <c r="DJ163" s="170"/>
      <c r="DK163" s="170"/>
      <c r="DL163" s="170"/>
      <c r="DM163" s="170"/>
      <c r="DN163" s="170"/>
      <c r="DO163" s="170"/>
      <c r="DP163" s="170"/>
      <c r="DQ163" s="170"/>
      <c r="DR163" s="170"/>
      <c r="DS163" s="170"/>
      <c r="DT163" s="170"/>
      <c r="DU163" s="170"/>
      <c r="DV163" s="170"/>
    </row>
    <row r="164" spans="28:126" ht="15" hidden="1" x14ac:dyDescent="0.25">
      <c r="AB164" s="119"/>
      <c r="BG164" s="262"/>
      <c r="BH164" s="263"/>
      <c r="BI164" s="264"/>
      <c r="BJ164" s="328"/>
      <c r="BK164" s="265"/>
      <c r="BL164" s="265"/>
      <c r="BM164" s="265"/>
      <c r="BN164" s="312"/>
      <c r="BO164" s="312"/>
      <c r="BP164" s="322"/>
      <c r="BQ164" s="312"/>
      <c r="BR164" s="312"/>
      <c r="BS164" s="322"/>
      <c r="BT164" s="322"/>
      <c r="BU164" s="322"/>
      <c r="BV164" s="322"/>
      <c r="BW164" s="322"/>
      <c r="BX164" s="322"/>
      <c r="BY164" s="307"/>
      <c r="BZ164" s="307" t="s">
        <v>493</v>
      </c>
      <c r="CA164" s="344">
        <f>CA163+CA162</f>
        <v>1.8663008457920305</v>
      </c>
      <c r="CB164" s="169"/>
      <c r="CC164" s="169"/>
      <c r="CD164" s="169"/>
      <c r="CE164" s="169"/>
      <c r="CF164" s="169"/>
      <c r="CG164" s="167"/>
      <c r="CH164" s="167"/>
      <c r="CI164" s="170"/>
      <c r="CJ164" s="170"/>
      <c r="CK164" s="167"/>
      <c r="CL164" s="170"/>
      <c r="CM164" s="170"/>
      <c r="CN164" s="170"/>
      <c r="CO164" s="170"/>
      <c r="CP164" s="170"/>
      <c r="CQ164" s="170"/>
      <c r="CR164" s="170"/>
      <c r="CS164" s="170"/>
      <c r="CT164" s="170"/>
      <c r="CU164" s="170"/>
      <c r="CV164" s="170"/>
      <c r="CW164" s="167"/>
      <c r="CX164" s="170"/>
      <c r="CY164" s="170"/>
      <c r="CZ164" s="170"/>
      <c r="DA164" s="170"/>
      <c r="DB164" s="170"/>
      <c r="DC164" s="170"/>
      <c r="DD164" s="170"/>
      <c r="DE164" s="170"/>
      <c r="DF164" s="170"/>
      <c r="DG164" s="170"/>
      <c r="DH164" s="170"/>
      <c r="DI164" s="170"/>
      <c r="DJ164" s="170"/>
      <c r="DK164" s="170"/>
      <c r="DL164" s="170"/>
      <c r="DM164" s="170"/>
      <c r="DN164" s="170"/>
      <c r="DO164" s="170"/>
      <c r="DP164" s="170"/>
      <c r="DQ164" s="170"/>
      <c r="DR164" s="170"/>
      <c r="DS164" s="170"/>
      <c r="DT164" s="170"/>
      <c r="DU164" s="170"/>
      <c r="DV164" s="170"/>
    </row>
    <row r="165" spans="28:126" ht="15" hidden="1" x14ac:dyDescent="0.25">
      <c r="AB165" s="119"/>
      <c r="BG165" s="262"/>
      <c r="BH165" s="263"/>
      <c r="BI165" s="263"/>
      <c r="BJ165" s="265"/>
      <c r="BK165" s="265"/>
      <c r="BL165" s="265"/>
      <c r="BM165" s="265"/>
      <c r="BN165" s="312"/>
      <c r="BO165" s="312"/>
      <c r="BP165" s="322"/>
      <c r="BQ165" s="312"/>
      <c r="BR165" s="312"/>
      <c r="BS165" s="322"/>
      <c r="BT165" s="322"/>
      <c r="BU165" s="322"/>
      <c r="BV165" s="322"/>
      <c r="BW165" s="322"/>
      <c r="BX165" s="322"/>
      <c r="BY165" s="307"/>
      <c r="BZ165" s="307" t="s">
        <v>258</v>
      </c>
      <c r="CA165" s="309"/>
      <c r="CB165" s="169"/>
      <c r="CC165" s="169"/>
      <c r="CD165" s="169"/>
      <c r="CE165" s="169"/>
      <c r="CF165" s="169"/>
      <c r="CG165" s="167"/>
      <c r="CH165" s="167"/>
      <c r="CI165" s="170"/>
      <c r="CJ165" s="170"/>
      <c r="CK165" s="167"/>
      <c r="CL165" s="170"/>
      <c r="CM165" s="170"/>
      <c r="CN165" s="170"/>
      <c r="CO165" s="170"/>
      <c r="CP165" s="170"/>
      <c r="CQ165" s="170"/>
      <c r="CR165" s="170"/>
      <c r="CS165" s="170"/>
      <c r="CT165" s="170"/>
      <c r="CU165" s="170"/>
      <c r="CV165" s="170"/>
      <c r="CW165" s="167"/>
      <c r="CX165" s="170"/>
      <c r="CY165" s="170"/>
      <c r="CZ165" s="170"/>
      <c r="DA165" s="170"/>
      <c r="DB165" s="170"/>
      <c r="DC165" s="170"/>
      <c r="DD165" s="170"/>
      <c r="DE165" s="170"/>
      <c r="DF165" s="170"/>
      <c r="DG165" s="170"/>
      <c r="DH165" s="170"/>
      <c r="DI165" s="170"/>
      <c r="DJ165" s="170"/>
      <c r="DK165" s="170"/>
      <c r="DL165" s="170"/>
      <c r="DM165" s="170"/>
      <c r="DN165" s="170"/>
      <c r="DO165" s="170"/>
      <c r="DP165" s="170"/>
      <c r="DQ165" s="170"/>
      <c r="DR165" s="170"/>
      <c r="DS165" s="170"/>
      <c r="DT165" s="170"/>
      <c r="DU165" s="170"/>
      <c r="DV165" s="170"/>
    </row>
    <row r="166" spans="28:126" ht="15" hidden="1" x14ac:dyDescent="0.25">
      <c r="AB166" s="119"/>
      <c r="BG166" s="262"/>
      <c r="BH166" s="263"/>
      <c r="BI166" s="263"/>
      <c r="BJ166" s="333"/>
      <c r="BK166" s="265"/>
      <c r="BL166" s="265"/>
      <c r="BM166" s="265"/>
      <c r="BN166" s="312"/>
      <c r="BO166" s="312"/>
      <c r="BP166" s="322"/>
      <c r="BQ166" s="312"/>
      <c r="BR166" s="312"/>
      <c r="BS166" s="322"/>
      <c r="BT166" s="322"/>
      <c r="BU166" s="322"/>
      <c r="BV166" s="322"/>
      <c r="BW166" s="322"/>
      <c r="BX166" s="322"/>
      <c r="BY166" s="307"/>
      <c r="BZ166" s="308" t="s">
        <v>494</v>
      </c>
      <c r="CA166" s="345">
        <f>CA164/CR49</f>
        <v>3.8087772363102665</v>
      </c>
      <c r="CB166" s="169"/>
      <c r="CC166" s="169"/>
      <c r="CD166" s="169"/>
      <c r="CE166" s="169"/>
      <c r="CF166" s="169"/>
      <c r="CG166" s="167"/>
      <c r="CH166" s="167"/>
      <c r="CI166" s="170"/>
      <c r="CJ166" s="170"/>
      <c r="CK166" s="167"/>
      <c r="CL166" s="170"/>
      <c r="CM166" s="170"/>
      <c r="CN166" s="170"/>
      <c r="CO166" s="170"/>
      <c r="CP166" s="170"/>
      <c r="CQ166" s="170"/>
      <c r="CR166" s="170"/>
      <c r="CS166" s="170"/>
      <c r="CT166" s="170"/>
      <c r="CU166" s="170"/>
      <c r="CV166" s="170"/>
      <c r="CW166" s="167"/>
      <c r="CX166" s="170"/>
      <c r="CY166" s="170"/>
      <c r="CZ166" s="170"/>
      <c r="DA166" s="170"/>
      <c r="DB166" s="170"/>
      <c r="DC166" s="170"/>
      <c r="DD166" s="170"/>
      <c r="DE166" s="170"/>
      <c r="DF166" s="170"/>
      <c r="DG166" s="170"/>
      <c r="DH166" s="170"/>
      <c r="DI166" s="170"/>
      <c r="DJ166" s="170"/>
      <c r="DK166" s="170"/>
      <c r="DL166" s="170"/>
      <c r="DM166" s="170"/>
      <c r="DN166" s="170"/>
      <c r="DO166" s="170"/>
      <c r="DP166" s="170"/>
      <c r="DQ166" s="170"/>
      <c r="DR166" s="170"/>
      <c r="DS166" s="170"/>
      <c r="DT166" s="170"/>
      <c r="DU166" s="170"/>
      <c r="DV166" s="170"/>
    </row>
    <row r="167" spans="28:126" ht="15" hidden="1" x14ac:dyDescent="0.25">
      <c r="AB167" s="119"/>
      <c r="BG167" s="262"/>
      <c r="BH167" s="263"/>
      <c r="BI167" s="263"/>
      <c r="BJ167" s="333"/>
      <c r="BK167" s="265"/>
      <c r="BL167" s="265"/>
      <c r="BM167" s="265"/>
      <c r="BN167" s="312"/>
      <c r="BO167" s="312"/>
      <c r="BP167" s="322"/>
      <c r="BQ167" s="312"/>
      <c r="BR167" s="312"/>
      <c r="BS167" s="322"/>
      <c r="BT167" s="322"/>
      <c r="BU167" s="322"/>
      <c r="BV167" s="322"/>
      <c r="BW167" s="322"/>
      <c r="BX167" s="322"/>
      <c r="BY167" s="326"/>
      <c r="BZ167" s="330"/>
      <c r="CA167" s="342"/>
      <c r="CB167" s="169"/>
      <c r="CC167" s="169"/>
      <c r="CD167" s="169"/>
      <c r="CE167" s="169"/>
      <c r="CF167" s="169"/>
      <c r="CG167" s="167"/>
      <c r="CH167" s="167"/>
      <c r="CI167" s="170"/>
      <c r="CJ167" s="170"/>
      <c r="CK167" s="167"/>
      <c r="CL167" s="170"/>
      <c r="CM167" s="170"/>
      <c r="CN167" s="170"/>
      <c r="CO167" s="170"/>
      <c r="CP167" s="170"/>
      <c r="CQ167" s="170"/>
      <c r="CR167" s="170"/>
      <c r="CS167" s="170"/>
      <c r="CT167" s="170"/>
      <c r="CU167" s="170"/>
      <c r="CV167" s="170"/>
      <c r="CW167" s="167"/>
      <c r="CX167" s="170"/>
      <c r="CY167" s="170"/>
      <c r="CZ167" s="170"/>
      <c r="DA167" s="170"/>
      <c r="DB167" s="170"/>
      <c r="DC167" s="170"/>
      <c r="DD167" s="170"/>
      <c r="DE167" s="170"/>
      <c r="DF167" s="170"/>
      <c r="DG167" s="170"/>
      <c r="DH167" s="170"/>
      <c r="DI167" s="170"/>
      <c r="DJ167" s="170"/>
      <c r="DK167" s="170"/>
      <c r="DL167" s="170"/>
      <c r="DM167" s="170"/>
      <c r="DN167" s="170"/>
      <c r="DO167" s="170"/>
      <c r="DP167" s="170"/>
      <c r="DQ167" s="170"/>
      <c r="DR167" s="170"/>
      <c r="DS167" s="170"/>
      <c r="DT167" s="170"/>
      <c r="DU167" s="170"/>
      <c r="DV167" s="170"/>
    </row>
    <row r="168" spans="28:126" ht="15" hidden="1" x14ac:dyDescent="0.25">
      <c r="AB168" s="119"/>
      <c r="BG168" s="262"/>
      <c r="BH168" s="263"/>
      <c r="BI168" s="263"/>
      <c r="BJ168" s="333"/>
      <c r="BK168" s="265"/>
      <c r="BL168" s="265"/>
      <c r="BM168" s="265"/>
      <c r="BN168" s="312"/>
      <c r="BO168" s="312"/>
      <c r="BP168" s="322"/>
      <c r="BQ168" s="312"/>
      <c r="BR168" s="312"/>
      <c r="BS168" s="322"/>
      <c r="BT168" s="322"/>
      <c r="BU168" s="322"/>
      <c r="BV168" s="322"/>
      <c r="BW168" s="322"/>
      <c r="BX168" s="322"/>
      <c r="BY168" s="326"/>
      <c r="BZ168" s="330"/>
      <c r="CA168" s="342"/>
      <c r="CB168" s="169"/>
      <c r="CC168" s="169"/>
      <c r="CD168" s="169"/>
      <c r="CE168" s="169"/>
      <c r="CF168" s="169"/>
      <c r="CG168" s="167"/>
      <c r="CH168" s="167"/>
      <c r="CI168" s="170"/>
      <c r="CJ168" s="170"/>
      <c r="CK168" s="167"/>
      <c r="CL168" s="170"/>
      <c r="CM168" s="170"/>
      <c r="CN168" s="170"/>
      <c r="CO168" s="170"/>
      <c r="CP168" s="170"/>
      <c r="CQ168" s="170"/>
      <c r="CR168" s="170"/>
      <c r="CS168" s="170"/>
      <c r="CT168" s="170"/>
      <c r="CU168" s="170"/>
      <c r="CV168" s="170"/>
      <c r="CW168" s="167"/>
      <c r="CX168" s="170"/>
      <c r="CY168" s="170"/>
      <c r="CZ168" s="170"/>
      <c r="DA168" s="170"/>
      <c r="DB168" s="170"/>
      <c r="DC168" s="170"/>
      <c r="DD168" s="170"/>
      <c r="DE168" s="170"/>
      <c r="DF168" s="170"/>
      <c r="DG168" s="170"/>
      <c r="DH168" s="170"/>
      <c r="DI168" s="170"/>
      <c r="DJ168" s="170"/>
      <c r="DK168" s="170"/>
      <c r="DL168" s="170"/>
      <c r="DM168" s="170"/>
      <c r="DN168" s="170"/>
      <c r="DO168" s="170"/>
      <c r="DP168" s="170"/>
      <c r="DQ168" s="170"/>
      <c r="DR168" s="170"/>
      <c r="DS168" s="170"/>
      <c r="DT168" s="170"/>
      <c r="DU168" s="170"/>
      <c r="DV168" s="170"/>
    </row>
    <row r="169" spans="28:126" ht="15" hidden="1" x14ac:dyDescent="0.25">
      <c r="AB169" s="119"/>
      <c r="BG169" s="262"/>
      <c r="BH169" s="263"/>
      <c r="BI169" s="263"/>
      <c r="BJ169" s="265"/>
      <c r="BK169" s="265"/>
      <c r="BL169" s="265"/>
      <c r="BM169" s="265"/>
      <c r="BN169" s="312"/>
      <c r="BO169" s="312"/>
      <c r="BP169" s="322"/>
      <c r="BQ169" s="312"/>
      <c r="BR169" s="312"/>
      <c r="BS169" s="322"/>
      <c r="BT169" s="322"/>
      <c r="BU169" s="322"/>
      <c r="BV169" s="322"/>
      <c r="BW169" s="322"/>
      <c r="BX169" s="322"/>
      <c r="BY169" s="326"/>
      <c r="BZ169" s="330"/>
      <c r="CA169" s="342"/>
      <c r="CB169" s="169"/>
      <c r="CC169" s="169"/>
      <c r="CD169" s="169"/>
      <c r="CE169" s="169"/>
      <c r="CF169" s="169"/>
      <c r="CG169" s="167"/>
      <c r="CH169" s="167"/>
      <c r="CI169" s="170"/>
      <c r="CJ169" s="170"/>
      <c r="CK169" s="167"/>
      <c r="CL169" s="170"/>
      <c r="CM169" s="170"/>
      <c r="CN169" s="170"/>
      <c r="CO169" s="170"/>
      <c r="CP169" s="170"/>
      <c r="CQ169" s="170"/>
      <c r="CR169" s="170"/>
      <c r="CS169" s="170"/>
      <c r="CT169" s="170"/>
      <c r="CU169" s="170"/>
      <c r="CV169" s="170"/>
      <c r="CW169" s="167"/>
      <c r="CX169" s="170"/>
      <c r="CY169" s="170"/>
      <c r="CZ169" s="170"/>
      <c r="DA169" s="170"/>
      <c r="DB169" s="170"/>
      <c r="DC169" s="170"/>
      <c r="DD169" s="170"/>
      <c r="DE169" s="170"/>
      <c r="DF169" s="170"/>
      <c r="DG169" s="170"/>
      <c r="DH169" s="170"/>
      <c r="DI169" s="170"/>
      <c r="DJ169" s="170"/>
      <c r="DK169" s="170"/>
      <c r="DL169" s="170"/>
      <c r="DM169" s="170"/>
      <c r="DN169" s="170"/>
      <c r="DO169" s="170"/>
      <c r="DP169" s="170"/>
      <c r="DQ169" s="170"/>
      <c r="DR169" s="170"/>
      <c r="DS169" s="170"/>
      <c r="DT169" s="170"/>
      <c r="DU169" s="170"/>
      <c r="DV169" s="170"/>
    </row>
    <row r="170" spans="28:126" ht="15" hidden="1" x14ac:dyDescent="0.25">
      <c r="AB170" s="119"/>
      <c r="BG170" s="262"/>
      <c r="BH170" s="263"/>
      <c r="BI170" s="264"/>
      <c r="BJ170" s="328"/>
      <c r="BK170" s="262"/>
      <c r="BL170" s="265"/>
      <c r="BM170" s="265"/>
      <c r="BN170" s="312"/>
      <c r="BO170" s="312"/>
      <c r="BP170" s="322"/>
      <c r="BQ170" s="312"/>
      <c r="BR170" s="312"/>
      <c r="BS170" s="322"/>
      <c r="BT170" s="322"/>
      <c r="BU170" s="322"/>
      <c r="BV170" s="322"/>
      <c r="BW170" s="322"/>
      <c r="BX170" s="322"/>
      <c r="BY170" s="166"/>
      <c r="BZ170" s="166"/>
      <c r="CA170" s="167"/>
      <c r="CB170" s="168"/>
      <c r="CC170" s="169"/>
      <c r="CD170" s="169"/>
      <c r="CE170" s="169"/>
      <c r="CF170" s="169"/>
      <c r="CG170" s="167"/>
      <c r="CH170" s="167"/>
      <c r="CI170" s="170"/>
      <c r="CJ170" s="170"/>
      <c r="CK170" s="167"/>
      <c r="CL170" s="170"/>
      <c r="CM170" s="170"/>
      <c r="CN170" s="170"/>
      <c r="CO170" s="170"/>
      <c r="CP170" s="170"/>
      <c r="CQ170" s="170"/>
      <c r="CR170" s="170"/>
      <c r="CS170" s="170"/>
      <c r="CT170" s="170"/>
      <c r="CU170" s="170"/>
      <c r="CV170" s="170"/>
      <c r="CW170" s="167"/>
      <c r="CX170" s="170"/>
      <c r="CY170" s="170"/>
      <c r="CZ170" s="170"/>
      <c r="DA170" s="170"/>
      <c r="DB170" s="170"/>
      <c r="DC170" s="170"/>
      <c r="DD170" s="170"/>
      <c r="DE170" s="170"/>
      <c r="DF170" s="170"/>
      <c r="DG170" s="170"/>
      <c r="DH170" s="170"/>
      <c r="DI170" s="170"/>
      <c r="DJ170" s="170"/>
      <c r="DK170" s="170"/>
      <c r="DL170" s="170"/>
      <c r="DM170" s="170"/>
      <c r="DN170" s="170"/>
      <c r="DO170" s="170"/>
      <c r="DP170" s="170"/>
      <c r="DQ170" s="170"/>
      <c r="DR170" s="170"/>
      <c r="DS170" s="170"/>
      <c r="DT170" s="170"/>
      <c r="DU170" s="170"/>
      <c r="DV170" s="170"/>
    </row>
    <row r="171" spans="28:126" ht="15" hidden="1" x14ac:dyDescent="0.25">
      <c r="AB171" s="119"/>
      <c r="BG171" s="262"/>
      <c r="BH171" s="263"/>
      <c r="BI171" s="263"/>
      <c r="BJ171" s="265"/>
      <c r="BK171" s="265"/>
      <c r="BL171" s="265"/>
      <c r="BM171" s="265"/>
      <c r="BN171" s="312"/>
      <c r="BO171" s="312"/>
      <c r="BP171" s="322"/>
      <c r="BQ171" s="312"/>
      <c r="BR171" s="312"/>
      <c r="BS171" s="322"/>
      <c r="BT171" s="322"/>
      <c r="BU171" s="322"/>
      <c r="BV171" s="322"/>
      <c r="BW171" s="322"/>
      <c r="BX171" s="322"/>
      <c r="BY171" s="247" t="s">
        <v>495</v>
      </c>
      <c r="BZ171" s="247"/>
      <c r="CA171" s="341">
        <f>C6</f>
        <v>500</v>
      </c>
      <c r="CB171" s="168"/>
      <c r="CC171" s="169"/>
      <c r="CD171" s="169"/>
      <c r="CE171" s="169"/>
      <c r="CF171" s="169"/>
      <c r="CG171" s="167"/>
      <c r="CH171" s="167"/>
      <c r="CI171" s="170"/>
      <c r="CJ171" s="170"/>
      <c r="CK171" s="167"/>
      <c r="CL171" s="170"/>
      <c r="CM171" s="170"/>
      <c r="CN171" s="170"/>
      <c r="CO171" s="170"/>
      <c r="CP171" s="170"/>
      <c r="CQ171" s="170"/>
      <c r="CR171" s="170"/>
      <c r="CS171" s="170"/>
      <c r="CT171" s="170"/>
      <c r="CU171" s="170"/>
      <c r="CV171" s="170"/>
      <c r="CW171" s="167"/>
      <c r="CX171" s="170"/>
      <c r="CY171" s="170"/>
      <c r="CZ171" s="170"/>
      <c r="DA171" s="170"/>
      <c r="DB171" s="170"/>
      <c r="DC171" s="170"/>
      <c r="DD171" s="170"/>
      <c r="DE171" s="170"/>
      <c r="DF171" s="170"/>
      <c r="DG171" s="170"/>
      <c r="DH171" s="170"/>
      <c r="DI171" s="170"/>
      <c r="DJ171" s="170"/>
      <c r="DK171" s="170"/>
      <c r="DL171" s="170"/>
      <c r="DM171" s="170"/>
      <c r="DN171" s="170"/>
      <c r="DO171" s="170"/>
      <c r="DP171" s="170"/>
      <c r="DQ171" s="170"/>
      <c r="DR171" s="170"/>
      <c r="DS171" s="170"/>
      <c r="DT171" s="170"/>
      <c r="DU171" s="170"/>
      <c r="DV171" s="170"/>
    </row>
    <row r="172" spans="28:126" ht="15" hidden="1" x14ac:dyDescent="0.25">
      <c r="AB172" s="119"/>
      <c r="BG172" s="262"/>
      <c r="BH172" s="263"/>
      <c r="BI172" s="263"/>
      <c r="BJ172" s="305"/>
      <c r="BK172" s="265"/>
      <c r="BL172" s="265"/>
      <c r="BM172" s="265"/>
      <c r="BN172" s="312"/>
      <c r="BO172" s="312"/>
      <c r="BP172" s="322"/>
      <c r="BQ172" s="312"/>
      <c r="BR172" s="312"/>
      <c r="BS172" s="322"/>
      <c r="BT172" s="322"/>
      <c r="BU172" s="322"/>
      <c r="BV172" s="322"/>
      <c r="BW172" s="322"/>
      <c r="BX172" s="322"/>
      <c r="BY172" s="247" t="s">
        <v>496</v>
      </c>
      <c r="BZ172" s="247"/>
      <c r="CA172" s="341">
        <f>C10</f>
        <v>5</v>
      </c>
      <c r="CB172" s="168"/>
      <c r="CC172" s="169"/>
      <c r="CD172" s="169"/>
      <c r="CE172" s="169"/>
      <c r="CF172" s="169"/>
      <c r="CG172" s="167"/>
      <c r="CH172" s="167"/>
      <c r="CI172" s="170"/>
      <c r="CJ172" s="170"/>
      <c r="CK172" s="167"/>
      <c r="CL172" s="170"/>
      <c r="CM172" s="170"/>
      <c r="CN172" s="170"/>
      <c r="CO172" s="170"/>
      <c r="CP172" s="170"/>
      <c r="CQ172" s="170"/>
      <c r="CR172" s="170"/>
      <c r="CS172" s="170"/>
      <c r="CT172" s="170"/>
      <c r="CU172" s="170"/>
      <c r="CV172" s="170"/>
      <c r="CW172" s="167"/>
      <c r="CX172" s="170"/>
      <c r="CY172" s="170"/>
      <c r="CZ172" s="170"/>
      <c r="DA172" s="170"/>
      <c r="DB172" s="170"/>
      <c r="DC172" s="170"/>
      <c r="DD172" s="170"/>
      <c r="DE172" s="170"/>
      <c r="DF172" s="170"/>
      <c r="DG172" s="170"/>
      <c r="DH172" s="170"/>
      <c r="DI172" s="170"/>
      <c r="DJ172" s="170"/>
      <c r="DK172" s="170"/>
      <c r="DL172" s="170"/>
      <c r="DM172" s="170"/>
      <c r="DN172" s="170"/>
      <c r="DO172" s="170"/>
      <c r="DP172" s="170"/>
      <c r="DQ172" s="170"/>
      <c r="DR172" s="170"/>
      <c r="DS172" s="170"/>
      <c r="DT172" s="170"/>
      <c r="DU172" s="170"/>
      <c r="DV172" s="170"/>
    </row>
    <row r="173" spans="28:126" ht="15" hidden="1" x14ac:dyDescent="0.25">
      <c r="AB173" s="119"/>
      <c r="BG173" s="262"/>
      <c r="BH173" s="263"/>
      <c r="BI173" s="263"/>
      <c r="BJ173" s="337"/>
      <c r="BK173" s="265"/>
      <c r="BL173" s="265"/>
      <c r="BM173" s="265"/>
      <c r="BN173" s="312"/>
      <c r="BO173" s="312"/>
      <c r="BP173" s="322"/>
      <c r="BQ173" s="312"/>
      <c r="BR173" s="312"/>
      <c r="BS173" s="322"/>
      <c r="BT173" s="322"/>
      <c r="BU173" s="322"/>
      <c r="BV173" s="322"/>
      <c r="BW173" s="322"/>
      <c r="BX173" s="322"/>
      <c r="BY173" s="247" t="s">
        <v>497</v>
      </c>
      <c r="BZ173" s="247"/>
      <c r="CA173" s="248">
        <f>CM22</f>
        <v>6.0708859495829879</v>
      </c>
      <c r="CB173" s="168"/>
      <c r="CC173" s="169"/>
      <c r="CD173" s="169"/>
      <c r="CE173" s="169"/>
      <c r="CF173" s="169"/>
      <c r="CG173" s="167"/>
      <c r="CH173" s="167"/>
      <c r="CI173" s="170"/>
      <c r="CJ173" s="170"/>
      <c r="CK173" s="167"/>
      <c r="CL173" s="170"/>
      <c r="CM173" s="170"/>
      <c r="CN173" s="170"/>
      <c r="CO173" s="170"/>
      <c r="CP173" s="170"/>
      <c r="CQ173" s="170"/>
      <c r="CR173" s="170"/>
      <c r="CS173" s="170"/>
      <c r="CT173" s="170"/>
      <c r="CU173" s="170"/>
      <c r="CV173" s="170"/>
      <c r="CW173" s="167"/>
      <c r="CX173" s="170"/>
      <c r="CY173" s="170"/>
      <c r="CZ173" s="170"/>
      <c r="DA173" s="170"/>
      <c r="DB173" s="170"/>
      <c r="DC173" s="170"/>
      <c r="DD173" s="170"/>
      <c r="DE173" s="170"/>
      <c r="DF173" s="170"/>
      <c r="DG173" s="170"/>
      <c r="DH173" s="170"/>
      <c r="DI173" s="170"/>
      <c r="DJ173" s="170"/>
      <c r="DK173" s="170"/>
      <c r="DL173" s="170"/>
      <c r="DM173" s="170"/>
      <c r="DN173" s="170"/>
      <c r="DO173" s="170"/>
      <c r="DP173" s="170"/>
      <c r="DQ173" s="170"/>
      <c r="DR173" s="170"/>
      <c r="DS173" s="170"/>
      <c r="DT173" s="170"/>
      <c r="DU173" s="170"/>
      <c r="DV173" s="170"/>
    </row>
    <row r="174" spans="28:126" ht="15" hidden="1" x14ac:dyDescent="0.25">
      <c r="AB174" s="119"/>
      <c r="BG174" s="262"/>
      <c r="BH174" s="263"/>
      <c r="BI174" s="263"/>
      <c r="BJ174" s="305"/>
      <c r="BK174" s="265"/>
      <c r="BL174" s="265"/>
      <c r="BM174" s="265"/>
      <c r="BN174" s="312"/>
      <c r="BO174" s="312"/>
      <c r="BP174" s="322"/>
      <c r="BQ174" s="312"/>
      <c r="BR174" s="312"/>
      <c r="BS174" s="322"/>
      <c r="BT174" s="322"/>
      <c r="BU174" s="322"/>
      <c r="BV174" s="322"/>
      <c r="BW174" s="322"/>
      <c r="BX174" s="322"/>
      <c r="BY174" s="247" t="s">
        <v>335</v>
      </c>
      <c r="BZ174" s="247"/>
      <c r="CA174" s="332">
        <f>K7</f>
        <v>8.9038128306950846</v>
      </c>
      <c r="CB174" s="168"/>
      <c r="CC174" s="169"/>
      <c r="CD174" s="169"/>
      <c r="CE174" s="169"/>
      <c r="CF174" s="169"/>
      <c r="CG174" s="167"/>
      <c r="CH174" s="167"/>
      <c r="CI174" s="170"/>
      <c r="CJ174" s="170"/>
      <c r="CK174" s="167"/>
      <c r="CL174" s="170"/>
      <c r="CM174" s="170"/>
      <c r="CN174" s="170"/>
      <c r="CO174" s="170"/>
      <c r="CP174" s="170"/>
      <c r="CQ174" s="170"/>
      <c r="CR174" s="170"/>
      <c r="CS174" s="170"/>
      <c r="CT174" s="170"/>
      <c r="CU174" s="170"/>
      <c r="CV174" s="170"/>
      <c r="CW174" s="167"/>
      <c r="CX174" s="170"/>
      <c r="CY174" s="170"/>
      <c r="CZ174" s="170"/>
      <c r="DA174" s="170"/>
      <c r="DB174" s="170"/>
      <c r="DC174" s="170"/>
      <c r="DD174" s="170"/>
      <c r="DE174" s="170"/>
      <c r="DF174" s="170"/>
      <c r="DG174" s="170"/>
      <c r="DH174" s="170"/>
      <c r="DI174" s="170"/>
      <c r="DJ174" s="170"/>
      <c r="DK174" s="170"/>
      <c r="DL174" s="170"/>
      <c r="DM174" s="170"/>
      <c r="DN174" s="170"/>
      <c r="DO174" s="170"/>
      <c r="DP174" s="170"/>
      <c r="DQ174" s="170"/>
      <c r="DR174" s="170"/>
      <c r="DS174" s="170"/>
      <c r="DT174" s="170"/>
      <c r="DU174" s="170"/>
      <c r="DV174" s="170"/>
    </row>
    <row r="175" spans="28:126" ht="15" hidden="1" x14ac:dyDescent="0.25">
      <c r="AB175" s="119"/>
      <c r="BG175" s="262"/>
      <c r="BH175" s="263"/>
      <c r="BI175" s="263"/>
      <c r="BJ175" s="265"/>
      <c r="BK175" s="265"/>
      <c r="BL175" s="265"/>
      <c r="BM175" s="265"/>
      <c r="BN175" s="312"/>
      <c r="BO175" s="312"/>
      <c r="BP175" s="322"/>
      <c r="BQ175" s="312"/>
      <c r="BR175" s="312"/>
      <c r="BS175" s="322"/>
      <c r="BT175" s="322"/>
      <c r="BU175" s="322"/>
      <c r="BV175" s="322"/>
      <c r="BW175" s="322"/>
      <c r="BX175" s="322"/>
      <c r="BY175" s="247" t="s">
        <v>231</v>
      </c>
      <c r="BZ175" s="247"/>
      <c r="CA175" s="167"/>
      <c r="CB175" s="332"/>
      <c r="CC175" s="169"/>
      <c r="CD175" s="169"/>
      <c r="CE175" s="169"/>
      <c r="CF175" s="169"/>
      <c r="CG175" s="167"/>
      <c r="CH175" s="167"/>
      <c r="CI175" s="170"/>
      <c r="CJ175" s="170"/>
      <c r="CK175" s="167"/>
      <c r="CL175" s="170"/>
      <c r="CM175" s="170"/>
      <c r="CN175" s="170"/>
      <c r="CO175" s="170"/>
      <c r="CP175" s="170"/>
      <c r="CQ175" s="170"/>
      <c r="CR175" s="170"/>
      <c r="CS175" s="170"/>
      <c r="CT175" s="170"/>
      <c r="CU175" s="170"/>
      <c r="CV175" s="170"/>
      <c r="CW175" s="167"/>
      <c r="CX175" s="170"/>
      <c r="CY175" s="170"/>
      <c r="CZ175" s="170"/>
      <c r="DA175" s="170"/>
      <c r="DB175" s="170"/>
      <c r="DC175" s="170"/>
      <c r="DD175" s="170"/>
      <c r="DE175" s="170"/>
      <c r="DF175" s="170"/>
      <c r="DG175" s="170"/>
      <c r="DH175" s="170"/>
      <c r="DI175" s="170"/>
      <c r="DJ175" s="170"/>
      <c r="DK175" s="170"/>
      <c r="DL175" s="170"/>
      <c r="DM175" s="170"/>
      <c r="DN175" s="170"/>
      <c r="DO175" s="170"/>
      <c r="DP175" s="170"/>
      <c r="DQ175" s="170"/>
      <c r="DR175" s="170"/>
      <c r="DS175" s="170"/>
      <c r="DT175" s="170"/>
      <c r="DU175" s="170"/>
      <c r="DV175" s="170"/>
    </row>
    <row r="176" spans="28:126" ht="15" hidden="1" x14ac:dyDescent="0.25">
      <c r="AB176" s="119"/>
      <c r="BG176" s="262"/>
      <c r="BH176" s="263"/>
      <c r="BI176" s="264"/>
      <c r="BJ176" s="325"/>
      <c r="BK176" s="262"/>
      <c r="BL176" s="265"/>
      <c r="BM176" s="265"/>
      <c r="BN176" s="312"/>
      <c r="BO176" s="312"/>
      <c r="BP176" s="322"/>
      <c r="BQ176" s="312"/>
      <c r="BR176" s="312"/>
      <c r="BS176" s="322"/>
      <c r="BT176" s="322"/>
      <c r="BU176" s="322"/>
      <c r="BV176" s="322"/>
      <c r="BW176" s="322"/>
      <c r="BX176" s="322"/>
      <c r="BY176" s="330"/>
      <c r="BZ176" s="330"/>
      <c r="CA176" s="167"/>
      <c r="CB176" s="168"/>
      <c r="CC176" s="169"/>
      <c r="CD176" s="169"/>
      <c r="CE176" s="169"/>
      <c r="CF176" s="169"/>
      <c r="CG176" s="167"/>
      <c r="CH176" s="167"/>
      <c r="CI176" s="170"/>
      <c r="CJ176" s="170"/>
      <c r="CK176" s="167"/>
      <c r="CL176" s="170"/>
      <c r="CM176" s="170"/>
      <c r="CN176" s="170"/>
      <c r="CO176" s="170"/>
      <c r="CP176" s="170"/>
      <c r="CQ176" s="170"/>
      <c r="CR176" s="170"/>
      <c r="CS176" s="170"/>
      <c r="CT176" s="170"/>
      <c r="CU176" s="170"/>
      <c r="CV176" s="170"/>
      <c r="CW176" s="167"/>
      <c r="CX176" s="170"/>
      <c r="CY176" s="170"/>
      <c r="CZ176" s="170"/>
      <c r="DA176" s="170"/>
      <c r="DB176" s="170"/>
      <c r="DC176" s="170"/>
      <c r="DD176" s="170"/>
      <c r="DE176" s="170"/>
      <c r="DF176" s="170"/>
      <c r="DG176" s="170"/>
      <c r="DH176" s="170"/>
      <c r="DI176" s="170"/>
      <c r="DJ176" s="170"/>
      <c r="DK176" s="170"/>
      <c r="DL176" s="170"/>
      <c r="DM176" s="170"/>
      <c r="DN176" s="170"/>
      <c r="DO176" s="170"/>
      <c r="DP176" s="170"/>
      <c r="DQ176" s="170"/>
      <c r="DR176" s="170"/>
      <c r="DS176" s="170"/>
      <c r="DT176" s="170"/>
      <c r="DU176" s="170"/>
      <c r="DV176" s="170"/>
    </row>
    <row r="177" spans="28:126" ht="15" hidden="1" x14ac:dyDescent="0.25">
      <c r="AB177" s="119"/>
      <c r="BG177" s="262"/>
      <c r="BH177" s="263"/>
      <c r="BI177" s="263"/>
      <c r="BJ177" s="265"/>
      <c r="BK177" s="265"/>
      <c r="BL177" s="265"/>
      <c r="BM177" s="265"/>
      <c r="BN177" s="312"/>
      <c r="BO177" s="312"/>
      <c r="BP177" s="322"/>
      <c r="BQ177" s="312"/>
      <c r="BR177" s="312"/>
      <c r="BS177" s="322"/>
      <c r="BT177" s="322"/>
      <c r="BU177" s="322"/>
      <c r="BV177" s="322"/>
      <c r="BW177" s="322"/>
      <c r="BX177" s="322"/>
      <c r="BY177" s="166"/>
      <c r="BZ177" s="166"/>
      <c r="CA177" s="167"/>
      <c r="CB177" s="168"/>
      <c r="CC177" s="169"/>
      <c r="CD177" s="169"/>
      <c r="CE177" s="169"/>
      <c r="CF177" s="169"/>
      <c r="CG177" s="167"/>
      <c r="CH177" s="167"/>
      <c r="CI177" s="170"/>
      <c r="CJ177" s="170"/>
      <c r="CK177" s="167"/>
      <c r="CL177" s="170"/>
      <c r="CM177" s="170"/>
      <c r="CN177" s="170"/>
      <c r="CO177" s="170"/>
      <c r="CP177" s="170"/>
      <c r="CQ177" s="170"/>
      <c r="CR177" s="170"/>
      <c r="CS177" s="170"/>
      <c r="CT177" s="170"/>
      <c r="CU177" s="170"/>
      <c r="CV177" s="170"/>
      <c r="CW177" s="167"/>
      <c r="CX177" s="170"/>
      <c r="CY177" s="170"/>
      <c r="CZ177" s="170"/>
      <c r="DA177" s="170"/>
      <c r="DB177" s="170"/>
      <c r="DC177" s="170"/>
      <c r="DD177" s="170"/>
      <c r="DE177" s="170"/>
      <c r="DF177" s="170"/>
      <c r="DG177" s="170"/>
      <c r="DH177" s="170"/>
      <c r="DI177" s="170"/>
      <c r="DJ177" s="170"/>
      <c r="DK177" s="170"/>
      <c r="DL177" s="170"/>
      <c r="DM177" s="170"/>
      <c r="DN177" s="170"/>
      <c r="DO177" s="170"/>
      <c r="DP177" s="170"/>
      <c r="DQ177" s="170"/>
      <c r="DR177" s="170"/>
      <c r="DS177" s="170"/>
      <c r="DT177" s="170"/>
      <c r="DU177" s="170"/>
      <c r="DV177" s="170"/>
    </row>
    <row r="178" spans="28:126" ht="15" hidden="1" x14ac:dyDescent="0.25">
      <c r="AB178" s="119"/>
      <c r="BG178" s="262"/>
      <c r="BH178" s="263"/>
      <c r="BI178" s="263"/>
      <c r="BJ178" s="305"/>
      <c r="BK178" s="265"/>
      <c r="BL178" s="265"/>
      <c r="BM178" s="265"/>
      <c r="BN178" s="312"/>
      <c r="BO178" s="312"/>
      <c r="BP178" s="322"/>
      <c r="BQ178" s="312"/>
      <c r="BR178" s="312"/>
      <c r="BS178" s="322"/>
      <c r="BT178" s="322"/>
      <c r="BU178" s="322"/>
      <c r="BV178" s="322"/>
      <c r="BW178" s="322"/>
      <c r="BX178" s="322"/>
      <c r="BY178" s="247" t="s">
        <v>495</v>
      </c>
      <c r="BZ178" s="247"/>
      <c r="CA178" s="341">
        <f>C6</f>
        <v>500</v>
      </c>
      <c r="CB178" s="168"/>
      <c r="CC178" s="169"/>
      <c r="CD178" s="169"/>
      <c r="CE178" s="169"/>
      <c r="CF178" s="169"/>
      <c r="CG178" s="167"/>
      <c r="CH178" s="167"/>
      <c r="CI178" s="170"/>
      <c r="CJ178" s="170"/>
      <c r="CK178" s="167"/>
      <c r="CL178" s="170"/>
      <c r="CM178" s="170"/>
      <c r="CN178" s="170"/>
      <c r="CO178" s="170"/>
      <c r="CP178" s="170"/>
      <c r="CQ178" s="170"/>
      <c r="CR178" s="170"/>
      <c r="CS178" s="170"/>
      <c r="CT178" s="170"/>
      <c r="CU178" s="170"/>
      <c r="CV178" s="170"/>
      <c r="CW178" s="167"/>
      <c r="CX178" s="170"/>
      <c r="CY178" s="170"/>
      <c r="CZ178" s="170"/>
      <c r="DA178" s="170"/>
      <c r="DB178" s="170"/>
      <c r="DC178" s="170"/>
      <c r="DD178" s="170"/>
      <c r="DE178" s="170"/>
      <c r="DF178" s="170"/>
      <c r="DG178" s="170"/>
      <c r="DH178" s="170"/>
      <c r="DI178" s="170"/>
      <c r="DJ178" s="170"/>
      <c r="DK178" s="170"/>
      <c r="DL178" s="170"/>
      <c r="DM178" s="170"/>
      <c r="DN178" s="170"/>
      <c r="DO178" s="170"/>
      <c r="DP178" s="170"/>
      <c r="DQ178" s="170"/>
      <c r="DR178" s="170"/>
      <c r="DS178" s="170"/>
      <c r="DT178" s="170"/>
      <c r="DU178" s="170"/>
      <c r="DV178" s="170"/>
    </row>
    <row r="179" spans="28:126" ht="15" hidden="1" x14ac:dyDescent="0.25">
      <c r="AB179" s="119"/>
      <c r="BG179" s="262"/>
      <c r="BH179" s="263"/>
      <c r="BI179" s="263"/>
      <c r="BJ179" s="337"/>
      <c r="BK179" s="265"/>
      <c r="BL179" s="265"/>
      <c r="BM179" s="265"/>
      <c r="BN179" s="312"/>
      <c r="BO179" s="312"/>
      <c r="BP179" s="322"/>
      <c r="BQ179" s="312"/>
      <c r="BR179" s="312"/>
      <c r="BS179" s="322"/>
      <c r="BT179" s="322"/>
      <c r="BU179" s="322"/>
      <c r="BV179" s="322"/>
      <c r="BW179" s="322"/>
      <c r="BX179" s="322"/>
      <c r="BY179" s="247" t="s">
        <v>496</v>
      </c>
      <c r="BZ179" s="247"/>
      <c r="CA179" s="341">
        <f>C10</f>
        <v>5</v>
      </c>
      <c r="CB179" s="168"/>
      <c r="CC179" s="169"/>
      <c r="CD179" s="169"/>
      <c r="CE179" s="169"/>
      <c r="CF179" s="169"/>
      <c r="CG179" s="167"/>
      <c r="CH179" s="167"/>
      <c r="CI179" s="170"/>
      <c r="CJ179" s="170"/>
      <c r="CK179" s="167"/>
      <c r="CL179" s="170"/>
      <c r="CM179" s="170"/>
      <c r="CN179" s="170"/>
      <c r="CO179" s="170"/>
      <c r="CP179" s="170"/>
      <c r="CQ179" s="170"/>
      <c r="CR179" s="170"/>
      <c r="CS179" s="170"/>
      <c r="CT179" s="170"/>
      <c r="CU179" s="170"/>
      <c r="CV179" s="170"/>
      <c r="CW179" s="167"/>
      <c r="CX179" s="170"/>
      <c r="CY179" s="170"/>
      <c r="CZ179" s="170"/>
      <c r="DA179" s="170"/>
      <c r="DB179" s="170"/>
      <c r="DC179" s="170"/>
      <c r="DD179" s="170"/>
      <c r="DE179" s="170"/>
      <c r="DF179" s="170"/>
      <c r="DG179" s="170"/>
      <c r="DH179" s="170"/>
      <c r="DI179" s="170"/>
      <c r="DJ179" s="170"/>
      <c r="DK179" s="170"/>
      <c r="DL179" s="170"/>
      <c r="DM179" s="170"/>
      <c r="DN179" s="170"/>
      <c r="DO179" s="170"/>
      <c r="DP179" s="170"/>
      <c r="DQ179" s="170"/>
      <c r="DR179" s="170"/>
      <c r="DS179" s="170"/>
      <c r="DT179" s="170"/>
      <c r="DU179" s="170"/>
      <c r="DV179" s="170"/>
    </row>
    <row r="180" spans="28:126" ht="15" hidden="1" x14ac:dyDescent="0.25">
      <c r="AB180" s="119"/>
      <c r="BG180" s="262"/>
      <c r="BH180" s="263"/>
      <c r="BI180" s="263"/>
      <c r="BJ180" s="305"/>
      <c r="BK180" s="265"/>
      <c r="BL180" s="265"/>
      <c r="BM180" s="265"/>
      <c r="BN180" s="312"/>
      <c r="BO180" s="312"/>
      <c r="BP180" s="322"/>
      <c r="BQ180" s="312"/>
      <c r="BR180" s="312"/>
      <c r="BS180" s="322"/>
      <c r="BT180" s="322"/>
      <c r="BU180" s="322"/>
      <c r="BV180" s="322"/>
      <c r="BW180" s="322"/>
      <c r="BX180" s="322"/>
      <c r="BY180" s="247" t="s">
        <v>497</v>
      </c>
      <c r="BZ180" s="247"/>
      <c r="CA180" s="248">
        <f>CA173</f>
        <v>6.0708859495829879</v>
      </c>
      <c r="CB180" s="168"/>
      <c r="CC180" s="169"/>
      <c r="CD180" s="169"/>
      <c r="CE180" s="169"/>
      <c r="CF180" s="169"/>
      <c r="CG180" s="167"/>
      <c r="CH180" s="167"/>
      <c r="CI180" s="170"/>
      <c r="CJ180" s="170"/>
      <c r="CK180" s="167"/>
      <c r="CL180" s="170"/>
      <c r="CM180" s="170"/>
      <c r="CN180" s="170"/>
      <c r="CO180" s="170"/>
      <c r="CP180" s="170"/>
      <c r="CQ180" s="170"/>
      <c r="CR180" s="170"/>
      <c r="CS180" s="170"/>
      <c r="CT180" s="170"/>
      <c r="CU180" s="170"/>
      <c r="CV180" s="170"/>
      <c r="CW180" s="167"/>
      <c r="CX180" s="170"/>
      <c r="CY180" s="170"/>
      <c r="CZ180" s="170"/>
      <c r="DA180" s="170"/>
      <c r="DB180" s="170"/>
      <c r="DC180" s="170"/>
      <c r="DD180" s="170"/>
      <c r="DE180" s="170"/>
      <c r="DF180" s="170"/>
      <c r="DG180" s="170"/>
      <c r="DH180" s="170"/>
      <c r="DI180" s="170"/>
      <c r="DJ180" s="170"/>
      <c r="DK180" s="170"/>
      <c r="DL180" s="170"/>
      <c r="DM180" s="170"/>
      <c r="DN180" s="170"/>
      <c r="DO180" s="170"/>
      <c r="DP180" s="170"/>
      <c r="DQ180" s="170"/>
      <c r="DR180" s="170"/>
      <c r="DS180" s="170"/>
      <c r="DT180" s="170"/>
      <c r="DU180" s="170"/>
      <c r="DV180" s="170"/>
    </row>
    <row r="181" spans="28:126" ht="15" hidden="1" x14ac:dyDescent="0.25">
      <c r="AB181" s="119"/>
      <c r="BG181" s="262"/>
      <c r="BH181" s="263"/>
      <c r="BI181" s="263"/>
      <c r="BJ181" s="265"/>
      <c r="BK181" s="265"/>
      <c r="BL181" s="265"/>
      <c r="BM181" s="265"/>
      <c r="BN181" s="312"/>
      <c r="BO181" s="312"/>
      <c r="BP181" s="322"/>
      <c r="BQ181" s="312"/>
      <c r="BR181" s="312"/>
      <c r="BS181" s="322"/>
      <c r="BT181" s="322"/>
      <c r="BU181" s="322"/>
      <c r="BV181" s="322"/>
      <c r="BW181" s="322"/>
      <c r="BX181" s="322"/>
      <c r="BY181" s="170"/>
      <c r="BZ181" s="170"/>
      <c r="CA181" s="170"/>
      <c r="CB181" s="248"/>
      <c r="CC181" s="169"/>
      <c r="CD181" s="169"/>
      <c r="CE181" s="169"/>
      <c r="CF181" s="169"/>
      <c r="CG181" s="167"/>
      <c r="CH181" s="167"/>
      <c r="CI181" s="170"/>
      <c r="CJ181" s="170"/>
      <c r="CK181" s="167"/>
      <c r="CL181" s="170"/>
      <c r="CM181" s="170"/>
      <c r="CN181" s="170"/>
      <c r="CO181" s="170"/>
      <c r="CP181" s="170"/>
      <c r="CQ181" s="170"/>
      <c r="CR181" s="170"/>
      <c r="CS181" s="170"/>
      <c r="CT181" s="170"/>
      <c r="CU181" s="170"/>
      <c r="CV181" s="170"/>
      <c r="CW181" s="167"/>
      <c r="CX181" s="170"/>
      <c r="CY181" s="170"/>
      <c r="CZ181" s="170"/>
      <c r="DA181" s="170"/>
      <c r="DB181" s="170"/>
      <c r="DC181" s="170"/>
      <c r="DD181" s="170"/>
      <c r="DE181" s="170"/>
      <c r="DF181" s="170"/>
      <c r="DG181" s="170"/>
      <c r="DH181" s="170"/>
      <c r="DI181" s="170"/>
      <c r="DJ181" s="170"/>
      <c r="DK181" s="170"/>
      <c r="DL181" s="170"/>
      <c r="DM181" s="170"/>
      <c r="DN181" s="170"/>
      <c r="DO181" s="170"/>
      <c r="DP181" s="170"/>
      <c r="DQ181" s="170"/>
      <c r="DR181" s="170"/>
      <c r="DS181" s="170"/>
      <c r="DT181" s="170"/>
      <c r="DU181" s="170"/>
      <c r="DV181" s="170"/>
    </row>
    <row r="182" spans="28:126" ht="15" hidden="1" x14ac:dyDescent="0.25">
      <c r="BG182" s="262"/>
      <c r="BH182" s="263"/>
      <c r="BI182" s="264"/>
      <c r="BJ182" s="339"/>
      <c r="BK182" s="262"/>
      <c r="BL182" s="265"/>
      <c r="BM182" s="265"/>
      <c r="BN182" s="312"/>
      <c r="BO182" s="312"/>
      <c r="BP182" s="322"/>
      <c r="BQ182" s="312"/>
      <c r="BR182" s="312"/>
      <c r="BS182" s="322"/>
      <c r="BT182" s="322"/>
      <c r="BU182" s="322"/>
      <c r="BV182" s="322"/>
      <c r="BW182" s="322"/>
      <c r="BX182" s="322"/>
      <c r="BY182" s="346"/>
      <c r="BZ182" s="330"/>
      <c r="CA182" s="167"/>
      <c r="CB182" s="168"/>
      <c r="CC182" s="169"/>
      <c r="CD182" s="169"/>
      <c r="CE182" s="169"/>
      <c r="CF182" s="169"/>
      <c r="CG182" s="167"/>
      <c r="CH182" s="167"/>
      <c r="CI182" s="170"/>
      <c r="CJ182" s="170"/>
      <c r="CK182" s="167"/>
      <c r="CL182" s="170"/>
      <c r="CM182" s="170"/>
      <c r="CN182" s="170"/>
      <c r="CO182" s="170"/>
      <c r="CP182" s="170"/>
      <c r="CQ182" s="170"/>
      <c r="CR182" s="170"/>
      <c r="CS182" s="170"/>
      <c r="CT182" s="170"/>
      <c r="CU182" s="170"/>
      <c r="CV182" s="170"/>
      <c r="CW182" s="167"/>
      <c r="CX182" s="170"/>
      <c r="CY182" s="170"/>
      <c r="CZ182" s="170"/>
      <c r="DA182" s="170"/>
      <c r="DB182" s="170"/>
      <c r="DC182" s="170"/>
      <c r="DD182" s="170"/>
      <c r="DE182" s="170"/>
      <c r="DF182" s="170"/>
      <c r="DG182" s="170"/>
      <c r="DH182" s="170"/>
      <c r="DI182" s="170"/>
      <c r="DJ182" s="170"/>
      <c r="DK182" s="170"/>
      <c r="DL182" s="170"/>
      <c r="DM182" s="170"/>
      <c r="DN182" s="170"/>
      <c r="DO182" s="170"/>
      <c r="DP182" s="170"/>
      <c r="DQ182" s="170"/>
      <c r="DR182" s="170"/>
      <c r="DS182" s="170"/>
      <c r="DT182" s="170"/>
      <c r="DU182" s="170"/>
      <c r="DV182" s="170"/>
    </row>
    <row r="183" spans="28:126" ht="15" hidden="1" x14ac:dyDescent="0.25">
      <c r="BG183" s="262"/>
      <c r="BH183" s="263"/>
      <c r="BI183" s="263"/>
      <c r="BJ183" s="265"/>
      <c r="BK183" s="265"/>
      <c r="BL183" s="265"/>
      <c r="BM183" s="265"/>
      <c r="BN183" s="312"/>
      <c r="BO183" s="312"/>
      <c r="BP183" s="322"/>
      <c r="BQ183" s="312"/>
      <c r="BR183" s="312"/>
      <c r="BS183" s="322"/>
      <c r="BT183" s="322"/>
      <c r="BU183" s="322"/>
      <c r="BV183" s="322"/>
      <c r="BW183" s="322"/>
      <c r="BX183" s="322"/>
      <c r="BY183" s="346"/>
      <c r="BZ183" s="347" t="s">
        <v>498</v>
      </c>
      <c r="CA183" s="259">
        <f>CG29</f>
        <v>100</v>
      </c>
      <c r="CB183" s="168"/>
      <c r="CC183" s="169"/>
      <c r="CD183" s="169"/>
      <c r="CE183" s="169"/>
      <c r="CF183" s="169"/>
      <c r="CG183" s="167"/>
      <c r="CH183" s="167"/>
      <c r="CI183" s="170"/>
      <c r="CJ183" s="170"/>
      <c r="CK183" s="167"/>
      <c r="CL183" s="170"/>
      <c r="CM183" s="170"/>
      <c r="CN183" s="170"/>
      <c r="CO183" s="170"/>
      <c r="CP183" s="170"/>
      <c r="CQ183" s="170"/>
      <c r="CR183" s="170"/>
      <c r="CS183" s="170"/>
      <c r="CT183" s="170"/>
      <c r="CU183" s="170"/>
      <c r="CV183" s="170"/>
      <c r="CW183" s="167"/>
      <c r="CX183" s="170"/>
      <c r="CY183" s="170"/>
      <c r="CZ183" s="170"/>
      <c r="DA183" s="170"/>
      <c r="DB183" s="170"/>
      <c r="DC183" s="170"/>
      <c r="DD183" s="170"/>
      <c r="DE183" s="170"/>
      <c r="DF183" s="170"/>
      <c r="DG183" s="170"/>
      <c r="DH183" s="170"/>
      <c r="DI183" s="170"/>
      <c r="DJ183" s="170"/>
      <c r="DK183" s="170"/>
      <c r="DL183" s="170"/>
      <c r="DM183" s="170"/>
      <c r="DN183" s="170"/>
      <c r="DO183" s="170"/>
      <c r="DP183" s="170"/>
      <c r="DQ183" s="170"/>
      <c r="DR183" s="170"/>
      <c r="DS183" s="170"/>
      <c r="DT183" s="170"/>
      <c r="DU183" s="170"/>
      <c r="DV183" s="170"/>
    </row>
    <row r="184" spans="28:126" ht="15" hidden="1" x14ac:dyDescent="0.25">
      <c r="BG184" s="262"/>
      <c r="BH184" s="263"/>
      <c r="BI184" s="263"/>
      <c r="BJ184" s="333"/>
      <c r="BK184" s="265"/>
      <c r="BL184" s="265"/>
      <c r="BM184" s="265"/>
      <c r="BN184" s="312"/>
      <c r="BO184" s="312"/>
      <c r="BP184" s="322"/>
      <c r="BQ184" s="312"/>
      <c r="BR184" s="312"/>
      <c r="BS184" s="322"/>
      <c r="BT184" s="322"/>
      <c r="BU184" s="322"/>
      <c r="BV184" s="322"/>
      <c r="BW184" s="322"/>
      <c r="BX184" s="322"/>
      <c r="BY184" s="346"/>
      <c r="BZ184" s="166" t="s">
        <v>499</v>
      </c>
      <c r="CA184" s="259">
        <f>CG31</f>
        <v>6.01</v>
      </c>
      <c r="CB184" s="168"/>
      <c r="CC184" s="169"/>
      <c r="CD184" s="169"/>
      <c r="CE184" s="169"/>
      <c r="CF184" s="169"/>
      <c r="CG184" s="167"/>
      <c r="CH184" s="167"/>
      <c r="CI184" s="170"/>
      <c r="CJ184" s="170"/>
      <c r="CK184" s="167"/>
      <c r="CL184" s="170"/>
      <c r="CM184" s="170"/>
      <c r="CN184" s="170"/>
      <c r="CO184" s="170"/>
      <c r="CP184" s="170"/>
      <c r="CQ184" s="170"/>
      <c r="CR184" s="170"/>
      <c r="CS184" s="170"/>
      <c r="CT184" s="170"/>
      <c r="CU184" s="170"/>
      <c r="CV184" s="170"/>
      <c r="CW184" s="167"/>
      <c r="CX184" s="170"/>
      <c r="CY184" s="170"/>
      <c r="CZ184" s="170"/>
      <c r="DA184" s="170"/>
      <c r="DB184" s="170"/>
      <c r="DC184" s="170"/>
      <c r="DD184" s="170"/>
      <c r="DE184" s="170"/>
      <c r="DF184" s="170"/>
      <c r="DG184" s="170"/>
      <c r="DH184" s="170"/>
      <c r="DI184" s="170"/>
      <c r="DJ184" s="170"/>
      <c r="DK184" s="170"/>
      <c r="DL184" s="170"/>
      <c r="DM184" s="170"/>
      <c r="DN184" s="170"/>
      <c r="DO184" s="170"/>
      <c r="DP184" s="170"/>
      <c r="DQ184" s="170"/>
      <c r="DR184" s="170"/>
      <c r="DS184" s="170"/>
      <c r="DT184" s="170"/>
      <c r="DU184" s="170"/>
      <c r="DV184" s="170"/>
    </row>
    <row r="185" spans="28:126" ht="15" hidden="1" x14ac:dyDescent="0.25">
      <c r="BG185" s="262"/>
      <c r="BH185" s="263"/>
      <c r="BI185" s="263"/>
      <c r="BJ185" s="333"/>
      <c r="BK185" s="265"/>
      <c r="BL185" s="265"/>
      <c r="BM185" s="265"/>
      <c r="BN185" s="312"/>
      <c r="BO185" s="312"/>
      <c r="BP185" s="322"/>
      <c r="BQ185" s="312"/>
      <c r="BR185" s="312"/>
      <c r="BS185" s="322"/>
      <c r="BT185" s="322"/>
      <c r="BU185" s="322"/>
      <c r="BV185" s="322"/>
      <c r="BW185" s="322"/>
      <c r="BX185" s="322"/>
      <c r="BY185" s="346"/>
      <c r="BZ185" s="347" t="s">
        <v>500</v>
      </c>
      <c r="CA185" s="268">
        <f>CG33</f>
        <v>1</v>
      </c>
      <c r="CB185" s="168"/>
      <c r="CC185" s="169"/>
      <c r="CD185" s="169"/>
      <c r="CE185" s="169"/>
      <c r="CF185" s="169"/>
      <c r="CG185" s="167"/>
      <c r="CH185" s="167"/>
      <c r="CI185" s="170"/>
      <c r="CJ185" s="170"/>
      <c r="CK185" s="167"/>
      <c r="CL185" s="170"/>
      <c r="CM185" s="170"/>
      <c r="CN185" s="170"/>
      <c r="CO185" s="170"/>
      <c r="CP185" s="170"/>
      <c r="CQ185" s="170"/>
      <c r="CR185" s="170"/>
      <c r="CS185" s="170"/>
      <c r="CT185" s="170"/>
      <c r="CU185" s="170"/>
      <c r="CV185" s="170"/>
      <c r="CW185" s="167"/>
      <c r="CX185" s="170"/>
      <c r="CY185" s="170"/>
      <c r="CZ185" s="170"/>
      <c r="DA185" s="170"/>
      <c r="DB185" s="170"/>
      <c r="DC185" s="170"/>
      <c r="DD185" s="170"/>
      <c r="DE185" s="170"/>
      <c r="DF185" s="170"/>
      <c r="DG185" s="170"/>
      <c r="DH185" s="170"/>
      <c r="DI185" s="170"/>
      <c r="DJ185" s="170"/>
      <c r="DK185" s="170"/>
      <c r="DL185" s="170"/>
      <c r="DM185" s="170"/>
      <c r="DN185" s="170"/>
      <c r="DO185" s="170"/>
      <c r="DP185" s="170"/>
      <c r="DQ185" s="170"/>
      <c r="DR185" s="170"/>
      <c r="DS185" s="170"/>
      <c r="DT185" s="170"/>
      <c r="DU185" s="170"/>
      <c r="DV185" s="170"/>
    </row>
    <row r="186" spans="28:126" ht="15" hidden="1" x14ac:dyDescent="0.25">
      <c r="BG186" s="262"/>
      <c r="BH186" s="263"/>
      <c r="BI186" s="263"/>
      <c r="BJ186" s="333"/>
      <c r="BK186" s="265"/>
      <c r="BL186" s="265"/>
      <c r="BM186" s="265"/>
      <c r="BN186" s="312"/>
      <c r="BO186" s="312"/>
      <c r="BP186" s="322"/>
      <c r="BQ186" s="312"/>
      <c r="BR186" s="312"/>
      <c r="BS186" s="322"/>
      <c r="BT186" s="322"/>
      <c r="BU186" s="322"/>
      <c r="BV186" s="322"/>
      <c r="BW186" s="322"/>
      <c r="BX186" s="322"/>
      <c r="BY186" s="347"/>
      <c r="BZ186" s="330" t="s">
        <v>501</v>
      </c>
      <c r="CA186" s="348">
        <f>CG29</f>
        <v>100</v>
      </c>
      <c r="CB186" s="168"/>
      <c r="CC186" s="169"/>
      <c r="CD186" s="169"/>
      <c r="CE186" s="169"/>
      <c r="CF186" s="169"/>
      <c r="CG186" s="167"/>
      <c r="CH186" s="167"/>
      <c r="CI186" s="170"/>
      <c r="CJ186" s="170"/>
      <c r="CK186" s="167"/>
      <c r="CL186" s="170"/>
      <c r="CM186" s="170"/>
      <c r="CN186" s="170"/>
      <c r="CO186" s="170"/>
      <c r="CP186" s="170"/>
      <c r="CQ186" s="170"/>
      <c r="CR186" s="170"/>
      <c r="CS186" s="170"/>
      <c r="CT186" s="170"/>
      <c r="CU186" s="170"/>
      <c r="CV186" s="170"/>
      <c r="CW186" s="167"/>
      <c r="CX186" s="170"/>
      <c r="CY186" s="170"/>
      <c r="CZ186" s="170"/>
      <c r="DA186" s="170"/>
      <c r="DB186" s="170"/>
      <c r="DC186" s="170"/>
      <c r="DD186" s="170"/>
      <c r="DE186" s="170"/>
      <c r="DF186" s="170"/>
      <c r="DG186" s="170"/>
      <c r="DH186" s="170"/>
      <c r="DI186" s="170"/>
      <c r="DJ186" s="170"/>
      <c r="DK186" s="170"/>
      <c r="DL186" s="170"/>
      <c r="DM186" s="170"/>
      <c r="DN186" s="170"/>
      <c r="DO186" s="170"/>
      <c r="DP186" s="170"/>
      <c r="DQ186" s="170"/>
      <c r="DR186" s="170"/>
      <c r="DS186" s="170"/>
      <c r="DT186" s="170"/>
      <c r="DU186" s="170"/>
      <c r="DV186" s="170"/>
    </row>
    <row r="187" spans="28:126" ht="15" hidden="1" x14ac:dyDescent="0.25">
      <c r="BG187" s="262"/>
      <c r="BH187" s="263"/>
      <c r="BI187" s="263"/>
      <c r="BJ187" s="265"/>
      <c r="BK187" s="265"/>
      <c r="BL187" s="265"/>
      <c r="BM187" s="265"/>
      <c r="BN187" s="312"/>
      <c r="BO187" s="312"/>
      <c r="BP187" s="322"/>
      <c r="BQ187" s="312"/>
      <c r="BR187" s="312"/>
      <c r="BS187" s="322"/>
      <c r="BT187" s="322"/>
      <c r="BU187" s="322"/>
      <c r="BV187" s="322"/>
      <c r="BW187" s="322"/>
      <c r="BX187" s="322"/>
      <c r="BY187" s="346"/>
      <c r="BZ187" s="330" t="s">
        <v>502</v>
      </c>
      <c r="CA187" s="341">
        <f>0.962*CA186</f>
        <v>96.2</v>
      </c>
      <c r="CB187" s="168"/>
      <c r="CC187" s="169"/>
      <c r="CD187" s="169"/>
      <c r="CE187" s="169"/>
      <c r="CF187" s="169"/>
      <c r="CG187" s="167"/>
      <c r="CH187" s="167"/>
      <c r="CI187" s="170"/>
      <c r="CJ187" s="170"/>
      <c r="CK187" s="167"/>
      <c r="CL187" s="170"/>
      <c r="CM187" s="170"/>
      <c r="CN187" s="170"/>
      <c r="CO187" s="170"/>
      <c r="CP187" s="170"/>
      <c r="CQ187" s="170"/>
      <c r="CR187" s="170"/>
      <c r="CS187" s="170"/>
      <c r="CT187" s="170"/>
      <c r="CU187" s="170"/>
      <c r="CV187" s="170"/>
      <c r="CW187" s="167"/>
      <c r="CX187" s="170"/>
      <c r="CY187" s="170"/>
      <c r="CZ187" s="170"/>
      <c r="DA187" s="170"/>
      <c r="DB187" s="170"/>
      <c r="DC187" s="170"/>
      <c r="DD187" s="170"/>
      <c r="DE187" s="170"/>
      <c r="DF187" s="170"/>
      <c r="DG187" s="170"/>
      <c r="DH187" s="170"/>
      <c r="DI187" s="170"/>
      <c r="DJ187" s="170"/>
      <c r="DK187" s="170"/>
      <c r="DL187" s="170"/>
      <c r="DM187" s="170"/>
      <c r="DN187" s="170"/>
      <c r="DO187" s="170"/>
      <c r="DP187" s="170"/>
      <c r="DQ187" s="170"/>
      <c r="DR187" s="170"/>
      <c r="DS187" s="170"/>
      <c r="DT187" s="170"/>
      <c r="DU187" s="170"/>
      <c r="DV187" s="170"/>
    </row>
    <row r="188" spans="28:126" ht="15" hidden="1" x14ac:dyDescent="0.25">
      <c r="BG188" s="262"/>
      <c r="BH188" s="263"/>
      <c r="BI188" s="264"/>
      <c r="BJ188" s="328"/>
      <c r="BK188" s="262"/>
      <c r="BL188" s="265"/>
      <c r="BM188" s="265"/>
      <c r="BN188" s="312"/>
      <c r="BO188" s="312"/>
      <c r="BP188" s="322"/>
      <c r="BQ188" s="312"/>
      <c r="BR188" s="312"/>
      <c r="BS188" s="322"/>
      <c r="BT188" s="322"/>
      <c r="BU188" s="322"/>
      <c r="BV188" s="322"/>
      <c r="BW188" s="322"/>
      <c r="BX188" s="322"/>
      <c r="BY188" s="347"/>
      <c r="BZ188" s="330" t="s">
        <v>347</v>
      </c>
      <c r="CA188" s="248">
        <f>0.958*CG33</f>
        <v>0.95799999999999996</v>
      </c>
      <c r="CB188" s="168"/>
      <c r="CC188" s="169"/>
      <c r="CD188" s="169"/>
      <c r="CE188" s="169"/>
      <c r="CF188" s="169"/>
      <c r="CG188" s="167"/>
      <c r="CH188" s="167"/>
      <c r="CI188" s="170"/>
      <c r="CJ188" s="170"/>
      <c r="CK188" s="167"/>
      <c r="CL188" s="170"/>
      <c r="CM188" s="170"/>
      <c r="CN188" s="170"/>
      <c r="CO188" s="170"/>
      <c r="CP188" s="170"/>
      <c r="CQ188" s="170"/>
      <c r="CR188" s="170"/>
      <c r="CS188" s="170"/>
      <c r="CT188" s="170"/>
      <c r="CU188" s="170"/>
      <c r="CV188" s="170"/>
      <c r="CW188" s="167"/>
      <c r="CX188" s="170"/>
      <c r="CY188" s="170"/>
      <c r="CZ188" s="170"/>
      <c r="DA188" s="170"/>
      <c r="DB188" s="170"/>
      <c r="DC188" s="170"/>
      <c r="DD188" s="170"/>
      <c r="DE188" s="170"/>
      <c r="DF188" s="170"/>
      <c r="DG188" s="170"/>
      <c r="DH188" s="170"/>
      <c r="DI188" s="170"/>
      <c r="DJ188" s="170"/>
      <c r="DK188" s="170"/>
      <c r="DL188" s="170"/>
      <c r="DM188" s="170"/>
      <c r="DN188" s="170"/>
      <c r="DO188" s="170"/>
      <c r="DP188" s="170"/>
      <c r="DQ188" s="170"/>
      <c r="DR188" s="170"/>
      <c r="DS188" s="170"/>
      <c r="DT188" s="170"/>
      <c r="DU188" s="170"/>
      <c r="DV188" s="170"/>
    </row>
    <row r="189" spans="28:126" ht="15" hidden="1" x14ac:dyDescent="0.25">
      <c r="BG189" s="262"/>
      <c r="BH189" s="263"/>
      <c r="BI189" s="263"/>
      <c r="BJ189" s="265"/>
      <c r="BK189" s="265"/>
      <c r="BL189" s="265"/>
      <c r="BM189" s="265"/>
      <c r="BN189" s="312"/>
      <c r="BO189" s="312"/>
      <c r="BP189" s="322"/>
      <c r="BQ189" s="312"/>
      <c r="BR189" s="312"/>
      <c r="BS189" s="322"/>
      <c r="BT189" s="322"/>
      <c r="BU189" s="322"/>
      <c r="BV189" s="322"/>
      <c r="BW189" s="322"/>
      <c r="BX189" s="322"/>
      <c r="BY189" s="166"/>
      <c r="BZ189" s="166" t="s">
        <v>503</v>
      </c>
      <c r="CA189" s="167">
        <v>0.13900000000000001</v>
      </c>
      <c r="CB189" s="168"/>
      <c r="CC189" s="169"/>
      <c r="CD189" s="169"/>
      <c r="CE189" s="169"/>
      <c r="CF189" s="169"/>
      <c r="CG189" s="167"/>
      <c r="CH189" s="167"/>
      <c r="CI189" s="170"/>
      <c r="CJ189" s="170"/>
      <c r="CK189" s="167"/>
      <c r="CL189" s="170"/>
      <c r="CM189" s="170"/>
      <c r="CN189" s="170"/>
      <c r="CO189" s="170"/>
      <c r="CP189" s="170"/>
      <c r="CQ189" s="170"/>
      <c r="CR189" s="170"/>
      <c r="CS189" s="170"/>
      <c r="CT189" s="170"/>
      <c r="CU189" s="170"/>
      <c r="CV189" s="170"/>
      <c r="CW189" s="167"/>
      <c r="CX189" s="170"/>
      <c r="CY189" s="170"/>
      <c r="CZ189" s="170"/>
      <c r="DA189" s="170"/>
      <c r="DB189" s="170"/>
      <c r="DC189" s="170"/>
      <c r="DD189" s="170"/>
      <c r="DE189" s="170"/>
      <c r="DF189" s="170"/>
      <c r="DG189" s="170"/>
      <c r="DH189" s="170"/>
      <c r="DI189" s="170"/>
      <c r="DJ189" s="170"/>
      <c r="DK189" s="170"/>
      <c r="DL189" s="170"/>
      <c r="DM189" s="170"/>
      <c r="DN189" s="170"/>
      <c r="DO189" s="170"/>
      <c r="DP189" s="170"/>
      <c r="DQ189" s="170"/>
      <c r="DR189" s="170"/>
      <c r="DS189" s="170"/>
      <c r="DT189" s="170"/>
      <c r="DU189" s="170"/>
      <c r="DV189" s="170"/>
    </row>
    <row r="190" spans="28:126" ht="15" hidden="1" x14ac:dyDescent="0.25">
      <c r="BG190" s="262"/>
      <c r="BH190" s="263"/>
      <c r="BI190" s="263"/>
      <c r="BJ190" s="333"/>
      <c r="BK190" s="265"/>
      <c r="BL190" s="265"/>
      <c r="BM190" s="265"/>
      <c r="BN190" s="312"/>
      <c r="BO190" s="312"/>
      <c r="BP190" s="322"/>
      <c r="BQ190" s="312"/>
      <c r="BR190" s="312"/>
      <c r="BS190" s="322"/>
      <c r="BT190" s="322"/>
      <c r="BU190" s="322"/>
      <c r="BV190" s="322"/>
      <c r="BW190" s="322"/>
      <c r="BX190" s="322"/>
      <c r="BY190" s="166"/>
      <c r="BZ190" s="166" t="s">
        <v>504</v>
      </c>
      <c r="CA190" s="167"/>
      <c r="CB190" s="168"/>
      <c r="CC190" s="169"/>
      <c r="CD190" s="169"/>
      <c r="CE190" s="169"/>
      <c r="CF190" s="169"/>
      <c r="CG190" s="167"/>
      <c r="CH190" s="167"/>
      <c r="CI190" s="170"/>
      <c r="CJ190" s="170"/>
      <c r="CK190" s="167"/>
      <c r="CL190" s="170"/>
      <c r="CM190" s="170"/>
      <c r="CN190" s="170"/>
      <c r="CO190" s="170"/>
      <c r="CP190" s="170"/>
      <c r="CQ190" s="170"/>
      <c r="CR190" s="170"/>
      <c r="CS190" s="170"/>
      <c r="CT190" s="170"/>
      <c r="CU190" s="170"/>
      <c r="CV190" s="170"/>
      <c r="CW190" s="167"/>
      <c r="CX190" s="170"/>
      <c r="CY190" s="170"/>
      <c r="CZ190" s="170"/>
      <c r="DA190" s="170"/>
      <c r="DB190" s="170"/>
      <c r="DC190" s="170"/>
      <c r="DD190" s="170"/>
      <c r="DE190" s="170"/>
      <c r="DF190" s="170"/>
      <c r="DG190" s="170"/>
      <c r="DH190" s="170"/>
      <c r="DI190" s="170"/>
      <c r="DJ190" s="170"/>
      <c r="DK190" s="170"/>
      <c r="DL190" s="170"/>
      <c r="DM190" s="170"/>
      <c r="DN190" s="170"/>
      <c r="DO190" s="170"/>
      <c r="DP190" s="170"/>
      <c r="DQ190" s="170"/>
      <c r="DR190" s="170"/>
      <c r="DS190" s="170"/>
      <c r="DT190" s="170"/>
      <c r="DU190" s="170"/>
      <c r="DV190" s="170"/>
    </row>
    <row r="191" spans="28:126" ht="15" hidden="1" x14ac:dyDescent="0.25">
      <c r="BG191" s="262"/>
      <c r="BH191" s="263"/>
      <c r="BI191" s="263"/>
      <c r="BJ191" s="333"/>
      <c r="BK191" s="265"/>
      <c r="BL191" s="265"/>
      <c r="BM191" s="265"/>
      <c r="BN191" s="312"/>
      <c r="BO191" s="312"/>
      <c r="BP191" s="322"/>
      <c r="BQ191" s="312"/>
      <c r="BR191" s="312"/>
      <c r="BS191" s="322"/>
      <c r="BT191" s="322"/>
      <c r="BU191" s="322"/>
      <c r="BV191" s="322"/>
      <c r="BW191" s="322"/>
      <c r="BX191" s="322"/>
      <c r="BY191" s="166"/>
      <c r="BZ191" s="166" t="s">
        <v>505</v>
      </c>
      <c r="CA191" s="167"/>
      <c r="CB191" s="168"/>
      <c r="CC191" s="169"/>
      <c r="CD191" s="169"/>
      <c r="CE191" s="169"/>
      <c r="CF191" s="169"/>
      <c r="CG191" s="167"/>
      <c r="CH191" s="167"/>
      <c r="CI191" s="170"/>
      <c r="CJ191" s="170"/>
      <c r="CK191" s="167"/>
      <c r="CL191" s="170"/>
      <c r="CM191" s="170"/>
      <c r="CN191" s="170"/>
      <c r="CO191" s="170"/>
      <c r="CP191" s="170"/>
      <c r="CQ191" s="170"/>
      <c r="CR191" s="170"/>
      <c r="CS191" s="170"/>
      <c r="CT191" s="170"/>
      <c r="CU191" s="170"/>
      <c r="CV191" s="170"/>
      <c r="CW191" s="167"/>
      <c r="CX191" s="170"/>
      <c r="CY191" s="170"/>
      <c r="CZ191" s="170"/>
      <c r="DA191" s="170"/>
      <c r="DB191" s="170"/>
      <c r="DC191" s="170"/>
      <c r="DD191" s="170"/>
      <c r="DE191" s="170"/>
      <c r="DF191" s="170"/>
      <c r="DG191" s="170"/>
      <c r="DH191" s="170"/>
      <c r="DI191" s="170"/>
      <c r="DJ191" s="170"/>
      <c r="DK191" s="170"/>
      <c r="DL191" s="170"/>
      <c r="DM191" s="170"/>
      <c r="DN191" s="170"/>
      <c r="DO191" s="170"/>
      <c r="DP191" s="170"/>
      <c r="DQ191" s="170"/>
      <c r="DR191" s="170"/>
      <c r="DS191" s="170"/>
      <c r="DT191" s="170"/>
      <c r="DU191" s="170"/>
      <c r="DV191" s="170"/>
    </row>
    <row r="192" spans="28:126" ht="15" hidden="1" x14ac:dyDescent="0.25">
      <c r="BG192" s="262"/>
      <c r="BH192" s="263"/>
      <c r="BI192" s="263"/>
      <c r="BJ192" s="333"/>
      <c r="BK192" s="265"/>
      <c r="BL192" s="265"/>
      <c r="BM192" s="265"/>
      <c r="BN192" s="312"/>
      <c r="BO192" s="312"/>
      <c r="BP192" s="322"/>
      <c r="BQ192" s="312"/>
      <c r="BR192" s="312"/>
      <c r="BS192" s="322"/>
      <c r="BT192" s="322"/>
      <c r="BU192" s="322"/>
      <c r="BV192" s="322"/>
      <c r="BW192" s="322"/>
      <c r="BX192" s="322"/>
      <c r="BY192" s="166"/>
      <c r="BZ192" s="166" t="s">
        <v>506</v>
      </c>
      <c r="CA192" s="167"/>
      <c r="CB192" s="168"/>
      <c r="CC192" s="169"/>
      <c r="CD192" s="169"/>
      <c r="CE192" s="169"/>
      <c r="CF192" s="169"/>
      <c r="CG192" s="167"/>
      <c r="CH192" s="167"/>
      <c r="CI192" s="170"/>
      <c r="CJ192" s="170"/>
      <c r="CK192" s="167"/>
      <c r="CL192" s="170"/>
      <c r="CM192" s="170"/>
      <c r="CN192" s="170"/>
      <c r="CO192" s="170"/>
      <c r="CP192" s="170"/>
      <c r="CQ192" s="170"/>
      <c r="CR192" s="170"/>
      <c r="CS192" s="170"/>
      <c r="CT192" s="170"/>
      <c r="CU192" s="170"/>
      <c r="CV192" s="170"/>
      <c r="CW192" s="167"/>
      <c r="CX192" s="170"/>
      <c r="CY192" s="170"/>
      <c r="CZ192" s="170"/>
      <c r="DA192" s="170"/>
      <c r="DB192" s="170"/>
      <c r="DC192" s="170"/>
      <c r="DD192" s="170"/>
      <c r="DE192" s="170"/>
      <c r="DF192" s="170"/>
      <c r="DG192" s="170"/>
      <c r="DH192" s="170"/>
      <c r="DI192" s="170"/>
      <c r="DJ192" s="170"/>
      <c r="DK192" s="170"/>
      <c r="DL192" s="170"/>
      <c r="DM192" s="170"/>
      <c r="DN192" s="170"/>
      <c r="DO192" s="170"/>
      <c r="DP192" s="170"/>
      <c r="DQ192" s="170"/>
      <c r="DR192" s="170"/>
      <c r="DS192" s="170"/>
      <c r="DT192" s="170"/>
      <c r="DU192" s="170"/>
      <c r="DV192" s="170"/>
    </row>
    <row r="193" spans="59:126" ht="15" hidden="1" x14ac:dyDescent="0.25">
      <c r="BG193" s="262"/>
      <c r="BH193" s="263"/>
      <c r="BI193" s="263"/>
      <c r="BJ193" s="265"/>
      <c r="BK193" s="265"/>
      <c r="BL193" s="265"/>
      <c r="BM193" s="265"/>
      <c r="BN193" s="312"/>
      <c r="BO193" s="312"/>
      <c r="BP193" s="322"/>
      <c r="BQ193" s="312"/>
      <c r="BR193" s="312"/>
      <c r="BS193" s="322"/>
      <c r="BT193" s="322"/>
      <c r="BU193" s="322"/>
      <c r="BV193" s="322"/>
      <c r="BW193" s="322"/>
      <c r="BX193" s="322"/>
      <c r="BY193" s="166"/>
      <c r="BZ193" s="166" t="s">
        <v>507</v>
      </c>
      <c r="CA193" s="349">
        <f>CY20/CY22*100</f>
        <v>38.699425790743803</v>
      </c>
      <c r="CB193" s="168"/>
      <c r="CC193" s="169"/>
      <c r="CD193" s="169"/>
      <c r="CE193" s="169"/>
      <c r="CF193" s="169"/>
      <c r="CG193" s="167"/>
      <c r="CH193" s="167"/>
      <c r="CI193" s="170"/>
      <c r="CJ193" s="170"/>
      <c r="CK193" s="167"/>
      <c r="CL193" s="170"/>
      <c r="CM193" s="170"/>
      <c r="CN193" s="170"/>
      <c r="CO193" s="170"/>
      <c r="CP193" s="170"/>
      <c r="CQ193" s="170"/>
      <c r="CR193" s="170"/>
      <c r="CS193" s="170"/>
      <c r="CT193" s="170"/>
      <c r="CU193" s="170"/>
      <c r="CV193" s="170"/>
      <c r="CW193" s="167"/>
      <c r="CX193" s="170"/>
      <c r="CY193" s="170"/>
      <c r="CZ193" s="170"/>
      <c r="DA193" s="170"/>
      <c r="DB193" s="170"/>
      <c r="DC193" s="170"/>
      <c r="DD193" s="170"/>
      <c r="DE193" s="170"/>
      <c r="DF193" s="170"/>
      <c r="DG193" s="170"/>
      <c r="DH193" s="170"/>
      <c r="DI193" s="170"/>
      <c r="DJ193" s="170"/>
      <c r="DK193" s="170"/>
      <c r="DL193" s="170"/>
      <c r="DM193" s="170"/>
      <c r="DN193" s="170"/>
      <c r="DO193" s="170"/>
      <c r="DP193" s="170"/>
      <c r="DQ193" s="170"/>
      <c r="DR193" s="170"/>
      <c r="DS193" s="170"/>
      <c r="DT193" s="170"/>
      <c r="DU193" s="170"/>
      <c r="DV193" s="170"/>
    </row>
    <row r="194" spans="59:126" ht="15" hidden="1" x14ac:dyDescent="0.25">
      <c r="BG194" s="262"/>
      <c r="BH194" s="263"/>
      <c r="BI194" s="264"/>
      <c r="BJ194" s="328"/>
      <c r="BK194" s="265"/>
      <c r="BL194" s="265"/>
      <c r="BM194" s="265"/>
      <c r="BN194" s="312"/>
      <c r="BO194" s="312"/>
      <c r="BP194" s="322"/>
      <c r="BQ194" s="312"/>
      <c r="BR194" s="312"/>
      <c r="BS194" s="322"/>
      <c r="BT194" s="322"/>
      <c r="BU194" s="322"/>
      <c r="BV194" s="322"/>
      <c r="BW194" s="322"/>
      <c r="BX194" s="322"/>
      <c r="BY194" s="166"/>
      <c r="BZ194" s="166" t="s">
        <v>508</v>
      </c>
      <c r="CA194" s="349">
        <f>CY21/CY22*100</f>
        <v>61.300574209256183</v>
      </c>
      <c r="CB194" s="167"/>
      <c r="CC194" s="169"/>
      <c r="CD194" s="169"/>
      <c r="CE194" s="169"/>
      <c r="CF194" s="169"/>
      <c r="CG194" s="167"/>
      <c r="CH194" s="167"/>
      <c r="CI194" s="170"/>
      <c r="CJ194" s="170"/>
      <c r="CK194" s="167"/>
      <c r="CL194" s="170"/>
      <c r="CM194" s="170"/>
      <c r="CN194" s="170"/>
      <c r="CO194" s="170"/>
      <c r="CP194" s="170"/>
      <c r="CQ194" s="170"/>
      <c r="CR194" s="170"/>
      <c r="CS194" s="170"/>
      <c r="CT194" s="170"/>
      <c r="CU194" s="170"/>
      <c r="CV194" s="170"/>
      <c r="CW194" s="167"/>
      <c r="CX194" s="170"/>
      <c r="CY194" s="170"/>
      <c r="CZ194" s="170"/>
      <c r="DA194" s="170"/>
      <c r="DB194" s="170"/>
      <c r="DC194" s="170"/>
      <c r="DD194" s="170"/>
      <c r="DE194" s="170"/>
      <c r="DF194" s="170"/>
      <c r="DG194" s="170"/>
      <c r="DH194" s="170"/>
      <c r="DI194" s="170"/>
      <c r="DJ194" s="170"/>
      <c r="DK194" s="170"/>
      <c r="DL194" s="170"/>
      <c r="DM194" s="170"/>
      <c r="DN194" s="170"/>
      <c r="DO194" s="170"/>
      <c r="DP194" s="170"/>
      <c r="DQ194" s="170"/>
      <c r="DR194" s="170"/>
      <c r="DS194" s="170"/>
      <c r="DT194" s="170"/>
      <c r="DU194" s="170"/>
      <c r="DV194" s="170"/>
    </row>
    <row r="195" spans="59:126" ht="15" hidden="1" x14ac:dyDescent="0.25">
      <c r="BG195" s="262"/>
      <c r="BH195" s="263"/>
      <c r="BI195" s="263"/>
      <c r="BJ195" s="265"/>
      <c r="BK195" s="265"/>
      <c r="BL195" s="265"/>
      <c r="BM195" s="265"/>
      <c r="BN195" s="312"/>
      <c r="BO195" s="312"/>
      <c r="BP195" s="322"/>
      <c r="BQ195" s="312"/>
      <c r="BR195" s="312"/>
      <c r="BS195" s="322"/>
      <c r="BT195" s="322"/>
      <c r="BU195" s="322"/>
      <c r="BV195" s="322"/>
      <c r="BW195" s="322"/>
      <c r="BX195" s="322"/>
      <c r="BY195" s="166"/>
      <c r="BZ195" s="166"/>
      <c r="CA195" s="167"/>
      <c r="CB195" s="168"/>
      <c r="CC195" s="169"/>
      <c r="CD195" s="169"/>
      <c r="CE195" s="169"/>
      <c r="CF195" s="169"/>
      <c r="CG195" s="167"/>
      <c r="CH195" s="167"/>
      <c r="CI195" s="170"/>
      <c r="CJ195" s="170"/>
      <c r="CK195" s="167"/>
      <c r="CL195" s="170"/>
      <c r="CM195" s="170"/>
      <c r="CN195" s="170"/>
      <c r="CO195" s="170"/>
      <c r="CP195" s="170"/>
      <c r="CQ195" s="170"/>
      <c r="CR195" s="170"/>
      <c r="CS195" s="170"/>
      <c r="CT195" s="170"/>
      <c r="CU195" s="170"/>
      <c r="CV195" s="170"/>
      <c r="CW195" s="167"/>
      <c r="CX195" s="170"/>
      <c r="CY195" s="170"/>
      <c r="CZ195" s="170"/>
      <c r="DA195" s="170"/>
      <c r="DB195" s="170"/>
      <c r="DC195" s="170"/>
      <c r="DD195" s="170"/>
      <c r="DE195" s="170"/>
      <c r="DF195" s="170"/>
      <c r="DG195" s="170"/>
      <c r="DH195" s="170"/>
      <c r="DI195" s="170"/>
      <c r="DJ195" s="170"/>
      <c r="DK195" s="170"/>
      <c r="DL195" s="170"/>
      <c r="DM195" s="170"/>
      <c r="DN195" s="170"/>
      <c r="DO195" s="170"/>
      <c r="DP195" s="170"/>
      <c r="DQ195" s="170"/>
      <c r="DR195" s="170"/>
      <c r="DS195" s="170"/>
      <c r="DT195" s="170"/>
      <c r="DU195" s="170"/>
      <c r="DV195" s="170"/>
    </row>
    <row r="196" spans="59:126" ht="15" hidden="1" x14ac:dyDescent="0.25">
      <c r="BG196" s="262"/>
      <c r="BH196" s="263"/>
      <c r="BI196" s="263"/>
      <c r="BJ196" s="333"/>
      <c r="BK196" s="265"/>
      <c r="BL196" s="265"/>
      <c r="BM196" s="265"/>
      <c r="BN196" s="312"/>
      <c r="BO196" s="312"/>
      <c r="BP196" s="322"/>
      <c r="BQ196" s="312"/>
      <c r="BR196" s="312"/>
      <c r="BS196" s="322"/>
      <c r="BT196" s="322"/>
      <c r="BU196" s="322"/>
      <c r="BV196" s="322"/>
      <c r="BW196" s="322"/>
      <c r="BX196" s="322"/>
      <c r="BY196" s="166" t="s">
        <v>283</v>
      </c>
      <c r="BZ196" s="166" t="s">
        <v>284</v>
      </c>
      <c r="CA196" s="167"/>
      <c r="CB196" s="168"/>
      <c r="CC196" s="169"/>
      <c r="CD196" s="169"/>
      <c r="CE196" s="169"/>
      <c r="CF196" s="169"/>
      <c r="CG196" s="167"/>
      <c r="CH196" s="167"/>
      <c r="CI196" s="170"/>
      <c r="CJ196" s="170"/>
      <c r="CK196" s="167"/>
      <c r="CL196" s="170"/>
      <c r="CM196" s="170"/>
      <c r="CN196" s="170"/>
      <c r="CO196" s="170"/>
      <c r="CP196" s="170"/>
      <c r="CQ196" s="170"/>
      <c r="CR196" s="170"/>
      <c r="CS196" s="170"/>
      <c r="CT196" s="170"/>
      <c r="CU196" s="170"/>
      <c r="CV196" s="170"/>
      <c r="CW196" s="167"/>
      <c r="CX196" s="170"/>
      <c r="CY196" s="170"/>
      <c r="CZ196" s="170"/>
      <c r="DA196" s="170"/>
      <c r="DB196" s="170"/>
      <c r="DC196" s="170"/>
      <c r="DD196" s="170"/>
      <c r="DE196" s="170"/>
      <c r="DF196" s="170"/>
      <c r="DG196" s="170"/>
      <c r="DH196" s="170"/>
      <c r="DI196" s="170"/>
      <c r="DJ196" s="170"/>
      <c r="DK196" s="170"/>
      <c r="DL196" s="170"/>
      <c r="DM196" s="170"/>
      <c r="DN196" s="170"/>
      <c r="DO196" s="170"/>
      <c r="DP196" s="170"/>
      <c r="DQ196" s="170"/>
      <c r="DR196" s="170"/>
      <c r="DS196" s="170"/>
      <c r="DT196" s="170"/>
      <c r="DU196" s="170"/>
      <c r="DV196" s="170"/>
    </row>
    <row r="197" spans="59:126" ht="15" hidden="1" x14ac:dyDescent="0.25">
      <c r="BG197" s="262"/>
      <c r="BH197" s="263"/>
      <c r="BI197" s="263"/>
      <c r="BJ197" s="333"/>
      <c r="BK197" s="265"/>
      <c r="BL197" s="265"/>
      <c r="BM197" s="265"/>
      <c r="BN197" s="312"/>
      <c r="BO197" s="312"/>
      <c r="BP197" s="322"/>
      <c r="BQ197" s="312"/>
      <c r="BR197" s="312"/>
      <c r="BS197" s="322"/>
      <c r="BT197" s="322"/>
      <c r="BU197" s="322"/>
      <c r="BV197" s="322"/>
      <c r="BW197" s="322"/>
      <c r="BX197" s="322"/>
      <c r="BY197" s="166"/>
      <c r="BZ197" s="166" t="s">
        <v>293</v>
      </c>
      <c r="CA197" s="167"/>
      <c r="CB197" s="168"/>
      <c r="CC197" s="169"/>
      <c r="CD197" s="169"/>
      <c r="CE197" s="169"/>
      <c r="CF197" s="169"/>
      <c r="CG197" s="167"/>
      <c r="CH197" s="167"/>
      <c r="CI197" s="170"/>
      <c r="CJ197" s="170"/>
      <c r="CK197" s="167"/>
      <c r="CL197" s="170"/>
      <c r="CM197" s="170"/>
      <c r="CN197" s="170"/>
      <c r="CO197" s="170"/>
      <c r="CP197" s="170"/>
      <c r="CQ197" s="170"/>
      <c r="CR197" s="170"/>
      <c r="CS197" s="170"/>
      <c r="CT197" s="170"/>
      <c r="CU197" s="170"/>
      <c r="CV197" s="170"/>
      <c r="CW197" s="167"/>
      <c r="CX197" s="170"/>
      <c r="CY197" s="170"/>
      <c r="CZ197" s="170"/>
      <c r="DA197" s="170"/>
      <c r="DB197" s="170"/>
      <c r="DC197" s="170"/>
      <c r="DD197" s="170"/>
      <c r="DE197" s="170"/>
      <c r="DF197" s="170"/>
      <c r="DG197" s="170"/>
      <c r="DH197" s="170"/>
      <c r="DI197" s="170"/>
      <c r="DJ197" s="170"/>
      <c r="DK197" s="170"/>
      <c r="DL197" s="170"/>
      <c r="DM197" s="170"/>
      <c r="DN197" s="170"/>
      <c r="DO197" s="170"/>
      <c r="DP197" s="170"/>
      <c r="DQ197" s="170"/>
      <c r="DR197" s="170"/>
      <c r="DS197" s="170"/>
      <c r="DT197" s="170"/>
      <c r="DU197" s="170"/>
      <c r="DV197" s="170"/>
    </row>
    <row r="198" spans="59:126" ht="15" hidden="1" x14ac:dyDescent="0.25">
      <c r="BG198" s="262"/>
      <c r="BH198" s="263"/>
      <c r="BI198" s="263"/>
      <c r="BJ198" s="333"/>
      <c r="BK198" s="265"/>
      <c r="BL198" s="265"/>
      <c r="BM198" s="265"/>
      <c r="BN198" s="312"/>
      <c r="BO198" s="312"/>
      <c r="BP198" s="322"/>
      <c r="BQ198" s="312"/>
      <c r="BR198" s="312"/>
      <c r="BS198" s="322"/>
      <c r="BT198" s="322"/>
      <c r="BU198" s="322"/>
      <c r="BV198" s="322"/>
      <c r="BW198" s="322"/>
      <c r="BX198" s="322"/>
      <c r="BY198" s="166"/>
      <c r="BZ198" s="166" t="s">
        <v>290</v>
      </c>
      <c r="CA198" s="167"/>
      <c r="CB198" s="168"/>
      <c r="CC198" s="169"/>
      <c r="CD198" s="169"/>
      <c r="CE198" s="169"/>
      <c r="CF198" s="169"/>
      <c r="CG198" s="167"/>
      <c r="CH198" s="167"/>
      <c r="CI198" s="170"/>
      <c r="CJ198" s="170"/>
      <c r="CK198" s="167"/>
      <c r="CL198" s="170"/>
      <c r="CM198" s="170"/>
      <c r="CN198" s="170"/>
      <c r="CO198" s="170"/>
      <c r="CP198" s="170"/>
      <c r="CQ198" s="170"/>
      <c r="CR198" s="170"/>
      <c r="CS198" s="170"/>
      <c r="CT198" s="170"/>
      <c r="CU198" s="170"/>
      <c r="CV198" s="170"/>
      <c r="CW198" s="167"/>
      <c r="CX198" s="170"/>
      <c r="CY198" s="170"/>
      <c r="CZ198" s="170"/>
      <c r="DA198" s="170"/>
      <c r="DB198" s="170"/>
      <c r="DC198" s="170"/>
      <c r="DD198" s="170"/>
      <c r="DE198" s="170"/>
      <c r="DF198" s="170"/>
      <c r="DG198" s="170"/>
      <c r="DH198" s="170"/>
      <c r="DI198" s="170"/>
      <c r="DJ198" s="170"/>
      <c r="DK198" s="170"/>
      <c r="DL198" s="170"/>
      <c r="DM198" s="170"/>
      <c r="DN198" s="170"/>
      <c r="DO198" s="170"/>
      <c r="DP198" s="170"/>
      <c r="DQ198" s="170"/>
      <c r="DR198" s="170"/>
      <c r="DS198" s="170"/>
      <c r="DT198" s="170"/>
      <c r="DU198" s="170"/>
      <c r="DV198" s="170"/>
    </row>
    <row r="199" spans="59:126" ht="15" hidden="1" x14ac:dyDescent="0.25">
      <c r="BG199" s="262"/>
      <c r="BH199" s="263"/>
      <c r="BI199" s="263"/>
      <c r="BJ199" s="265"/>
      <c r="BK199" s="265"/>
      <c r="BL199" s="265"/>
      <c r="BM199" s="265"/>
      <c r="BN199" s="312"/>
      <c r="BO199" s="312"/>
      <c r="BP199" s="322"/>
      <c r="BQ199" s="312"/>
      <c r="BR199" s="312"/>
      <c r="BS199" s="322"/>
      <c r="BT199" s="322"/>
      <c r="BU199" s="322"/>
      <c r="BV199" s="322"/>
      <c r="BW199" s="322"/>
      <c r="BX199" s="322"/>
      <c r="BY199" s="166"/>
      <c r="BZ199" s="166" t="s">
        <v>256</v>
      </c>
      <c r="CA199" s="301">
        <f>(CA193*0.69+CA194*0.57)/100</f>
        <v>0.61643931094889237</v>
      </c>
      <c r="CB199" s="168"/>
      <c r="CC199" s="169"/>
      <c r="CD199" s="169"/>
      <c r="CE199" s="169"/>
      <c r="CF199" s="169"/>
      <c r="CG199" s="167"/>
      <c r="CH199" s="167"/>
      <c r="CI199" s="170"/>
      <c r="CJ199" s="170"/>
      <c r="CK199" s="167"/>
      <c r="CL199" s="170"/>
      <c r="CM199" s="170"/>
      <c r="CN199" s="170"/>
      <c r="CO199" s="170"/>
      <c r="CP199" s="170"/>
      <c r="CQ199" s="170"/>
      <c r="CR199" s="170"/>
      <c r="CS199" s="170"/>
      <c r="CT199" s="170"/>
      <c r="CU199" s="170"/>
      <c r="CV199" s="170"/>
      <c r="CW199" s="167"/>
      <c r="CX199" s="170"/>
      <c r="CY199" s="170"/>
      <c r="CZ199" s="170"/>
      <c r="DA199" s="170"/>
      <c r="DB199" s="170"/>
      <c r="DC199" s="170"/>
      <c r="DD199" s="170"/>
      <c r="DE199" s="170"/>
      <c r="DF199" s="170"/>
      <c r="DG199" s="170"/>
      <c r="DH199" s="170"/>
      <c r="DI199" s="170"/>
      <c r="DJ199" s="170"/>
      <c r="DK199" s="170"/>
      <c r="DL199" s="170"/>
      <c r="DM199" s="170"/>
      <c r="DN199" s="170"/>
      <c r="DO199" s="170"/>
      <c r="DP199" s="170"/>
      <c r="DQ199" s="170"/>
      <c r="DR199" s="170"/>
      <c r="DS199" s="170"/>
      <c r="DT199" s="170"/>
      <c r="DU199" s="170"/>
      <c r="DV199" s="170"/>
    </row>
    <row r="200" spans="59:126" ht="15" hidden="1" x14ac:dyDescent="0.25">
      <c r="BG200" s="262"/>
      <c r="BH200" s="263"/>
      <c r="BI200" s="264"/>
      <c r="BJ200" s="325"/>
      <c r="BK200" s="262"/>
      <c r="BL200" s="265"/>
      <c r="BM200" s="265"/>
      <c r="BN200" s="312"/>
      <c r="BO200" s="312"/>
      <c r="BP200" s="322"/>
      <c r="BQ200" s="312"/>
      <c r="BR200" s="312"/>
      <c r="BS200" s="322"/>
      <c r="BT200" s="322"/>
      <c r="BU200" s="322"/>
      <c r="BV200" s="322"/>
      <c r="BW200" s="322"/>
      <c r="BX200" s="322"/>
      <c r="BY200" s="166"/>
      <c r="BZ200" s="166" t="s">
        <v>509</v>
      </c>
      <c r="CA200" s="167"/>
      <c r="CB200" s="168"/>
      <c r="CC200" s="169"/>
      <c r="CD200" s="169"/>
      <c r="CE200" s="169"/>
      <c r="CF200" s="169"/>
      <c r="CG200" s="167"/>
      <c r="CH200" s="167"/>
      <c r="CI200" s="170"/>
      <c r="CJ200" s="170"/>
      <c r="CK200" s="167"/>
      <c r="CL200" s="170"/>
      <c r="CM200" s="170"/>
      <c r="CN200" s="170"/>
      <c r="CO200" s="170"/>
      <c r="CP200" s="170"/>
      <c r="CQ200" s="170"/>
      <c r="CR200" s="170"/>
      <c r="CS200" s="170"/>
      <c r="CT200" s="170"/>
      <c r="CU200" s="170"/>
      <c r="CV200" s="170"/>
      <c r="CW200" s="167"/>
      <c r="CX200" s="170"/>
      <c r="CY200" s="170"/>
      <c r="CZ200" s="170"/>
      <c r="DA200" s="170"/>
      <c r="DB200" s="170"/>
      <c r="DC200" s="170"/>
      <c r="DD200" s="170"/>
      <c r="DE200" s="170"/>
      <c r="DF200" s="170"/>
      <c r="DG200" s="170"/>
      <c r="DH200" s="170"/>
      <c r="DI200" s="170"/>
      <c r="DJ200" s="170"/>
      <c r="DK200" s="170"/>
      <c r="DL200" s="170"/>
      <c r="DM200" s="170"/>
      <c r="DN200" s="170"/>
      <c r="DO200" s="170"/>
      <c r="DP200" s="170"/>
      <c r="DQ200" s="170"/>
      <c r="DR200" s="170"/>
      <c r="DS200" s="170"/>
      <c r="DT200" s="170"/>
      <c r="DU200" s="170"/>
      <c r="DV200" s="170"/>
    </row>
    <row r="201" spans="59:126" ht="15" hidden="1" x14ac:dyDescent="0.25">
      <c r="BG201" s="262"/>
      <c r="BH201" s="263"/>
      <c r="BI201" s="263"/>
      <c r="BJ201" s="265"/>
      <c r="BK201" s="265"/>
      <c r="BL201" s="265"/>
      <c r="BM201" s="265"/>
      <c r="BN201" s="312"/>
      <c r="BO201" s="312"/>
      <c r="BP201" s="322"/>
      <c r="BQ201" s="312"/>
      <c r="BR201" s="312"/>
      <c r="BS201" s="322"/>
      <c r="BT201" s="322"/>
      <c r="BU201" s="322"/>
      <c r="BV201" s="322"/>
      <c r="BW201" s="322"/>
      <c r="BX201" s="322"/>
      <c r="BY201" s="166"/>
      <c r="BZ201" s="166" t="s">
        <v>510</v>
      </c>
      <c r="CA201" s="167"/>
      <c r="CB201" s="168"/>
      <c r="CC201" s="169"/>
      <c r="CD201" s="169"/>
      <c r="CE201" s="169"/>
      <c r="CF201" s="169"/>
      <c r="CG201" s="167"/>
      <c r="CH201" s="167"/>
      <c r="CI201" s="170"/>
      <c r="CJ201" s="170"/>
      <c r="CK201" s="167"/>
      <c r="CL201" s="170"/>
      <c r="CM201" s="170"/>
      <c r="CN201" s="170"/>
      <c r="CO201" s="170"/>
      <c r="CP201" s="170"/>
      <c r="CQ201" s="170"/>
      <c r="CR201" s="170"/>
      <c r="CS201" s="170"/>
      <c r="CT201" s="170"/>
      <c r="CU201" s="170"/>
      <c r="CV201" s="170"/>
      <c r="CW201" s="167"/>
      <c r="CX201" s="170"/>
      <c r="CY201" s="170"/>
      <c r="CZ201" s="170"/>
      <c r="DA201" s="170"/>
      <c r="DB201" s="170"/>
      <c r="DC201" s="170"/>
      <c r="DD201" s="170"/>
      <c r="DE201" s="170"/>
      <c r="DF201" s="170"/>
      <c r="DG201" s="170"/>
      <c r="DH201" s="170"/>
      <c r="DI201" s="170"/>
      <c r="DJ201" s="170"/>
      <c r="DK201" s="170"/>
      <c r="DL201" s="170"/>
      <c r="DM201" s="170"/>
      <c r="DN201" s="170"/>
      <c r="DO201" s="170"/>
      <c r="DP201" s="170"/>
      <c r="DQ201" s="170"/>
      <c r="DR201" s="170"/>
      <c r="DS201" s="170"/>
      <c r="DT201" s="170"/>
      <c r="DU201" s="170"/>
      <c r="DV201" s="170"/>
    </row>
    <row r="202" spans="59:126" ht="15" hidden="1" x14ac:dyDescent="0.25">
      <c r="BG202" s="262"/>
      <c r="BH202" s="304"/>
      <c r="BI202" s="304"/>
      <c r="BJ202" s="305"/>
      <c r="BK202" s="265"/>
      <c r="BL202" s="265"/>
      <c r="BM202" s="265"/>
      <c r="BN202" s="312"/>
      <c r="BO202" s="312"/>
      <c r="BP202" s="322"/>
      <c r="BQ202" s="312"/>
      <c r="BR202" s="312"/>
      <c r="BS202" s="322"/>
      <c r="BT202" s="322"/>
      <c r="BU202" s="322"/>
      <c r="BV202" s="322"/>
      <c r="BW202" s="322"/>
      <c r="BX202" s="322"/>
      <c r="BY202" s="166"/>
      <c r="BZ202" s="166" t="s">
        <v>384</v>
      </c>
      <c r="CA202" s="268">
        <f>CY28/0.96</f>
        <v>8.44612666454357</v>
      </c>
      <c r="CB202" s="168"/>
      <c r="CC202" s="169"/>
      <c r="CD202" s="169"/>
      <c r="CE202" s="169"/>
      <c r="CF202" s="169"/>
      <c r="CG202" s="167"/>
      <c r="CH202" s="167"/>
      <c r="CI202" s="170"/>
      <c r="CJ202" s="170"/>
      <c r="CK202" s="167"/>
      <c r="CL202" s="170"/>
      <c r="CM202" s="170"/>
      <c r="CN202" s="170"/>
      <c r="CO202" s="170"/>
      <c r="CP202" s="170"/>
      <c r="CQ202" s="170"/>
      <c r="CR202" s="170"/>
      <c r="CS202" s="170"/>
      <c r="CT202" s="170"/>
      <c r="CU202" s="170"/>
      <c r="CV202" s="170"/>
      <c r="CW202" s="167"/>
      <c r="CX202" s="170"/>
      <c r="CY202" s="170"/>
      <c r="CZ202" s="170"/>
      <c r="DA202" s="170"/>
      <c r="DB202" s="170"/>
      <c r="DC202" s="170"/>
      <c r="DD202" s="170"/>
      <c r="DE202" s="170"/>
      <c r="DF202" s="170"/>
      <c r="DG202" s="170"/>
      <c r="DH202" s="170"/>
      <c r="DI202" s="170"/>
      <c r="DJ202" s="170"/>
      <c r="DK202" s="170"/>
      <c r="DL202" s="170"/>
      <c r="DM202" s="170"/>
      <c r="DN202" s="170"/>
      <c r="DO202" s="170"/>
      <c r="DP202" s="170"/>
      <c r="DQ202" s="170"/>
      <c r="DR202" s="170"/>
      <c r="DS202" s="170"/>
      <c r="DT202" s="170"/>
      <c r="DU202" s="170"/>
      <c r="DV202" s="170"/>
    </row>
    <row r="203" spans="59:126" ht="15" hidden="1" x14ac:dyDescent="0.25">
      <c r="BG203" s="262"/>
      <c r="BH203" s="304"/>
      <c r="BI203" s="304"/>
      <c r="BJ203" s="337"/>
      <c r="BK203" s="333"/>
      <c r="BL203" s="265"/>
      <c r="BM203" s="265"/>
      <c r="BN203" s="312"/>
      <c r="BO203" s="312"/>
      <c r="BP203" s="322"/>
      <c r="BQ203" s="312"/>
      <c r="BR203" s="312"/>
      <c r="BS203" s="322"/>
      <c r="BT203" s="322"/>
      <c r="BU203" s="322"/>
      <c r="BV203" s="322"/>
      <c r="BW203" s="322"/>
      <c r="BX203" s="322"/>
      <c r="BY203" s="166"/>
      <c r="BZ203" s="166" t="s">
        <v>168</v>
      </c>
      <c r="CA203" s="167"/>
      <c r="CB203" s="168"/>
      <c r="CC203" s="169"/>
      <c r="CD203" s="169"/>
      <c r="CE203" s="169"/>
      <c r="CF203" s="169"/>
      <c r="CG203" s="167"/>
      <c r="CH203" s="167"/>
      <c r="CI203" s="170"/>
      <c r="CJ203" s="170"/>
      <c r="CK203" s="167"/>
      <c r="CL203" s="170"/>
      <c r="CM203" s="170"/>
      <c r="CN203" s="170"/>
      <c r="CO203" s="170"/>
      <c r="CP203" s="170"/>
      <c r="CQ203" s="170"/>
      <c r="CR203" s="170"/>
      <c r="CS203" s="170"/>
      <c r="CT203" s="170"/>
      <c r="CU203" s="170"/>
      <c r="CV203" s="170"/>
      <c r="CW203" s="167"/>
      <c r="CX203" s="170"/>
      <c r="CY203" s="170"/>
      <c r="CZ203" s="170"/>
      <c r="DA203" s="170"/>
      <c r="DB203" s="170"/>
      <c r="DC203" s="170"/>
      <c r="DD203" s="170"/>
      <c r="DE203" s="170"/>
      <c r="DF203" s="170"/>
      <c r="DG203" s="170"/>
      <c r="DH203" s="170"/>
      <c r="DI203" s="170"/>
      <c r="DJ203" s="170"/>
      <c r="DK203" s="170"/>
      <c r="DL203" s="170"/>
      <c r="DM203" s="170"/>
      <c r="DN203" s="170"/>
      <c r="DO203" s="170"/>
      <c r="DP203" s="170"/>
      <c r="DQ203" s="170"/>
      <c r="DR203" s="170"/>
      <c r="DS203" s="170"/>
      <c r="DT203" s="170"/>
      <c r="DU203" s="170"/>
      <c r="DV203" s="170"/>
    </row>
    <row r="204" spans="59:126" ht="15" hidden="1" x14ac:dyDescent="0.25">
      <c r="BG204" s="262"/>
      <c r="BH204" s="264"/>
      <c r="BI204" s="264"/>
      <c r="BJ204" s="265"/>
      <c r="BK204" s="265"/>
      <c r="BL204" s="265"/>
      <c r="BM204" s="265"/>
      <c r="BN204" s="312"/>
      <c r="BO204" s="312"/>
      <c r="BP204" s="322"/>
      <c r="BQ204" s="312"/>
      <c r="BR204" s="312"/>
      <c r="BS204" s="322"/>
      <c r="BT204" s="322"/>
      <c r="BU204" s="322"/>
      <c r="BV204" s="322"/>
      <c r="BW204" s="322"/>
      <c r="BX204" s="322"/>
      <c r="BY204" s="166"/>
      <c r="BZ204" s="166" t="s">
        <v>388</v>
      </c>
      <c r="CA204" s="167"/>
      <c r="CB204" s="168"/>
      <c r="CC204" s="169"/>
      <c r="CD204" s="169"/>
      <c r="CE204" s="169"/>
      <c r="CF204" s="169"/>
      <c r="CG204" s="167"/>
      <c r="CH204" s="167"/>
      <c r="CI204" s="170"/>
      <c r="CJ204" s="170"/>
      <c r="CK204" s="167"/>
      <c r="CL204" s="170"/>
      <c r="CM204" s="170"/>
      <c r="CN204" s="170"/>
      <c r="CO204" s="170"/>
      <c r="CP204" s="170"/>
      <c r="CQ204" s="170"/>
      <c r="CR204" s="170"/>
      <c r="CS204" s="170"/>
      <c r="CT204" s="170"/>
      <c r="CU204" s="170"/>
      <c r="CV204" s="170"/>
      <c r="CW204" s="167"/>
      <c r="CX204" s="170"/>
      <c r="CY204" s="170"/>
      <c r="CZ204" s="170"/>
      <c r="DA204" s="170"/>
      <c r="DB204" s="170"/>
      <c r="DC204" s="170"/>
      <c r="DD204" s="170"/>
      <c r="DE204" s="170"/>
      <c r="DF204" s="170"/>
      <c r="DG204" s="170"/>
      <c r="DH204" s="170"/>
      <c r="DI204" s="170"/>
      <c r="DJ204" s="170"/>
      <c r="DK204" s="170"/>
      <c r="DL204" s="170"/>
      <c r="DM204" s="170"/>
      <c r="DN204" s="170"/>
      <c r="DO204" s="170"/>
      <c r="DP204" s="170"/>
      <c r="DQ204" s="170"/>
      <c r="DR204" s="170"/>
      <c r="DS204" s="170"/>
      <c r="DT204" s="170"/>
      <c r="DU204" s="170"/>
      <c r="DV204" s="170"/>
    </row>
    <row r="205" spans="59:126" ht="15" hidden="1" x14ac:dyDescent="0.25">
      <c r="BG205" s="262"/>
      <c r="BH205" s="263"/>
      <c r="BI205" s="263"/>
      <c r="BJ205" s="265"/>
      <c r="BK205" s="265"/>
      <c r="BL205" s="265"/>
      <c r="BM205" s="265"/>
      <c r="BN205" s="312"/>
      <c r="BO205" s="312"/>
      <c r="BP205" s="322"/>
      <c r="BQ205" s="312"/>
      <c r="BR205" s="312"/>
      <c r="BS205" s="322"/>
      <c r="BT205" s="322"/>
      <c r="BU205" s="322"/>
      <c r="BV205" s="322"/>
      <c r="BW205" s="322"/>
      <c r="BX205" s="322"/>
      <c r="BY205" s="166"/>
      <c r="BZ205" s="166" t="s">
        <v>511</v>
      </c>
      <c r="CA205" s="167"/>
      <c r="CB205" s="168"/>
      <c r="CC205" s="169"/>
      <c r="CD205" s="169"/>
      <c r="CE205" s="169"/>
      <c r="CF205" s="169"/>
      <c r="CG205" s="167"/>
      <c r="CH205" s="167"/>
      <c r="CI205" s="170"/>
      <c r="CJ205" s="170"/>
      <c r="CK205" s="167"/>
      <c r="CL205" s="170"/>
      <c r="CM205" s="170"/>
      <c r="CN205" s="170"/>
      <c r="CO205" s="170"/>
      <c r="CP205" s="170"/>
      <c r="CQ205" s="170"/>
      <c r="CR205" s="170"/>
      <c r="CS205" s="170"/>
      <c r="CT205" s="170"/>
      <c r="CU205" s="170"/>
      <c r="CV205" s="170"/>
      <c r="CW205" s="167"/>
      <c r="CX205" s="170"/>
      <c r="CY205" s="170"/>
      <c r="CZ205" s="170"/>
      <c r="DA205" s="170"/>
      <c r="DB205" s="170"/>
      <c r="DC205" s="170"/>
      <c r="DD205" s="170"/>
      <c r="DE205" s="170"/>
      <c r="DF205" s="170"/>
      <c r="DG205" s="170"/>
      <c r="DH205" s="170"/>
      <c r="DI205" s="170"/>
      <c r="DJ205" s="170"/>
      <c r="DK205" s="170"/>
      <c r="DL205" s="170"/>
      <c r="DM205" s="170"/>
      <c r="DN205" s="170"/>
      <c r="DO205" s="170"/>
      <c r="DP205" s="170"/>
      <c r="DQ205" s="170"/>
      <c r="DR205" s="170"/>
      <c r="DS205" s="170"/>
      <c r="DT205" s="170"/>
      <c r="DU205" s="170"/>
      <c r="DV205" s="170"/>
    </row>
    <row r="206" spans="59:126" ht="15" hidden="1" x14ac:dyDescent="0.25">
      <c r="BG206" s="262"/>
      <c r="BH206" s="263"/>
      <c r="BI206" s="263"/>
      <c r="BJ206" s="305"/>
      <c r="BK206" s="305"/>
      <c r="BL206" s="265"/>
      <c r="BM206" s="265"/>
      <c r="BN206" s="312"/>
      <c r="BO206" s="312"/>
      <c r="BP206" s="322"/>
      <c r="BQ206" s="312"/>
      <c r="BR206" s="312"/>
      <c r="BS206" s="322"/>
      <c r="BT206" s="322"/>
      <c r="BU206" s="322"/>
      <c r="BV206" s="322"/>
      <c r="BW206" s="322"/>
      <c r="BX206" s="322"/>
      <c r="BY206" s="166"/>
      <c r="BZ206" s="166" t="s">
        <v>512</v>
      </c>
      <c r="CA206" s="167"/>
      <c r="CB206" s="168"/>
      <c r="CC206" s="169"/>
      <c r="CD206" s="169"/>
      <c r="CE206" s="169"/>
      <c r="CF206" s="169"/>
      <c r="CG206" s="167"/>
      <c r="CH206" s="167"/>
      <c r="CI206" s="170"/>
      <c r="CJ206" s="170"/>
      <c r="CK206" s="167"/>
      <c r="CL206" s="170"/>
      <c r="CM206" s="170"/>
      <c r="CN206" s="170"/>
      <c r="CO206" s="170"/>
      <c r="CP206" s="170"/>
      <c r="CQ206" s="170"/>
      <c r="CR206" s="170"/>
      <c r="CS206" s="170"/>
      <c r="CT206" s="170"/>
      <c r="CU206" s="170"/>
      <c r="CV206" s="170"/>
      <c r="CW206" s="167"/>
      <c r="CX206" s="170"/>
      <c r="CY206" s="170"/>
      <c r="CZ206" s="170"/>
      <c r="DA206" s="170"/>
      <c r="DB206" s="170"/>
      <c r="DC206" s="170"/>
      <c r="DD206" s="170"/>
      <c r="DE206" s="170"/>
      <c r="DF206" s="170"/>
      <c r="DG206" s="170"/>
      <c r="DH206" s="170"/>
      <c r="DI206" s="170"/>
      <c r="DJ206" s="170"/>
      <c r="DK206" s="170"/>
      <c r="DL206" s="170"/>
      <c r="DM206" s="170"/>
      <c r="DN206" s="170"/>
      <c r="DO206" s="170"/>
      <c r="DP206" s="170"/>
      <c r="DQ206" s="170"/>
      <c r="DR206" s="170"/>
      <c r="DS206" s="170"/>
      <c r="DT206" s="170"/>
      <c r="DU206" s="170"/>
      <c r="DV206" s="170"/>
    </row>
    <row r="207" spans="59:126" ht="15" hidden="1" x14ac:dyDescent="0.25">
      <c r="BG207" s="262"/>
      <c r="BH207" s="263"/>
      <c r="BI207" s="263"/>
      <c r="BJ207" s="265"/>
      <c r="BK207" s="265"/>
      <c r="BL207" s="265"/>
      <c r="BM207" s="265"/>
      <c r="BN207" s="312"/>
      <c r="BO207" s="312"/>
      <c r="BP207" s="322"/>
      <c r="BQ207" s="312"/>
      <c r="BR207" s="312"/>
      <c r="BS207" s="322"/>
      <c r="BT207" s="322"/>
      <c r="BU207" s="322"/>
      <c r="BV207" s="322"/>
      <c r="BW207" s="322"/>
      <c r="BX207" s="322"/>
      <c r="BY207" s="166"/>
      <c r="BZ207" s="166" t="s">
        <v>513</v>
      </c>
      <c r="CA207" s="350">
        <f>CY30/CY21</f>
        <v>0.63310786650486828</v>
      </c>
      <c r="CB207" s="168"/>
      <c r="CC207" s="169"/>
      <c r="CD207" s="169"/>
      <c r="CE207" s="169"/>
      <c r="CF207" s="169"/>
      <c r="CG207" s="167"/>
      <c r="CH207" s="167"/>
      <c r="CI207" s="170"/>
      <c r="CJ207" s="170"/>
      <c r="CK207" s="167"/>
      <c r="CL207" s="170"/>
      <c r="CM207" s="170"/>
      <c r="CN207" s="170"/>
      <c r="CO207" s="170"/>
      <c r="CP207" s="170"/>
      <c r="CQ207" s="170"/>
      <c r="CR207" s="170"/>
      <c r="CS207" s="170"/>
      <c r="CT207" s="170"/>
      <c r="CU207" s="170"/>
      <c r="CV207" s="170"/>
      <c r="CW207" s="167"/>
      <c r="CX207" s="170"/>
      <c r="CY207" s="170"/>
      <c r="CZ207" s="170"/>
      <c r="DA207" s="170"/>
      <c r="DB207" s="170"/>
      <c r="DC207" s="170"/>
      <c r="DD207" s="170"/>
      <c r="DE207" s="170"/>
      <c r="DF207" s="170"/>
      <c r="DG207" s="170"/>
      <c r="DH207" s="170"/>
      <c r="DI207" s="170"/>
      <c r="DJ207" s="170"/>
      <c r="DK207" s="170"/>
      <c r="DL207" s="170"/>
      <c r="DM207" s="170"/>
      <c r="DN207" s="170"/>
      <c r="DO207" s="170"/>
      <c r="DP207" s="170"/>
      <c r="DQ207" s="170"/>
      <c r="DR207" s="170"/>
      <c r="DS207" s="170"/>
      <c r="DT207" s="170"/>
      <c r="DU207" s="170"/>
      <c r="DV207" s="170"/>
    </row>
    <row r="208" spans="59:126" ht="15" hidden="1" x14ac:dyDescent="0.25">
      <c r="BG208" s="262"/>
      <c r="BH208" s="263"/>
      <c r="BI208" s="263"/>
      <c r="BJ208" s="305"/>
      <c r="BK208" s="265"/>
      <c r="BL208" s="265"/>
      <c r="BM208" s="265"/>
      <c r="BN208" s="312"/>
      <c r="BO208" s="312"/>
      <c r="BP208" s="322"/>
      <c r="BQ208" s="312"/>
      <c r="BR208" s="312"/>
      <c r="BS208" s="322"/>
      <c r="BT208" s="322"/>
      <c r="BU208" s="322"/>
      <c r="BV208" s="322"/>
      <c r="BW208" s="322"/>
      <c r="BX208" s="322"/>
      <c r="BY208" s="166"/>
      <c r="BZ208" s="166"/>
      <c r="CA208" s="167"/>
      <c r="CB208" s="168"/>
      <c r="CC208" s="169"/>
      <c r="CD208" s="169"/>
      <c r="CE208" s="169"/>
      <c r="CF208" s="169"/>
      <c r="CG208" s="167"/>
      <c r="CH208" s="167"/>
      <c r="CI208" s="170"/>
      <c r="CJ208" s="170"/>
      <c r="CK208" s="167"/>
      <c r="CL208" s="170"/>
      <c r="CM208" s="170"/>
      <c r="CN208" s="170"/>
      <c r="CO208" s="170"/>
      <c r="CP208" s="170"/>
      <c r="CQ208" s="170"/>
      <c r="CR208" s="170"/>
      <c r="CS208" s="170"/>
      <c r="CT208" s="170"/>
      <c r="CU208" s="170"/>
      <c r="CV208" s="170"/>
      <c r="CW208" s="167"/>
      <c r="CX208" s="170"/>
      <c r="CY208" s="170"/>
      <c r="CZ208" s="170"/>
      <c r="DA208" s="170"/>
      <c r="DB208" s="170"/>
      <c r="DC208" s="170"/>
      <c r="DD208" s="170"/>
      <c r="DE208" s="170"/>
      <c r="DF208" s="170"/>
      <c r="DG208" s="170"/>
      <c r="DH208" s="170"/>
      <c r="DI208" s="170"/>
      <c r="DJ208" s="170"/>
      <c r="DK208" s="170"/>
      <c r="DL208" s="170"/>
      <c r="DM208" s="170"/>
      <c r="DN208" s="170"/>
      <c r="DO208" s="170"/>
      <c r="DP208" s="170"/>
      <c r="DQ208" s="170"/>
      <c r="DR208" s="170"/>
      <c r="DS208" s="170"/>
      <c r="DT208" s="170"/>
      <c r="DU208" s="170"/>
      <c r="DV208" s="170"/>
    </row>
    <row r="209" spans="59:126" ht="15" hidden="1" x14ac:dyDescent="0.25">
      <c r="BG209" s="262"/>
      <c r="BH209" s="263"/>
      <c r="BI209" s="263"/>
      <c r="BJ209" s="305"/>
      <c r="BK209" s="265"/>
      <c r="BL209" s="265"/>
      <c r="BM209" s="265"/>
      <c r="BN209" s="312"/>
      <c r="BO209" s="312"/>
      <c r="BP209" s="322"/>
      <c r="BQ209" s="312"/>
      <c r="BR209" s="312"/>
      <c r="BS209" s="322"/>
      <c r="BT209" s="322"/>
      <c r="BU209" s="322"/>
      <c r="BV209" s="322"/>
      <c r="BW209" s="322"/>
      <c r="BX209" s="322"/>
      <c r="BY209" s="166" t="s">
        <v>336</v>
      </c>
      <c r="BZ209" s="166" t="s">
        <v>514</v>
      </c>
      <c r="CA209" s="167"/>
      <c r="CB209" s="168"/>
      <c r="CC209" s="169"/>
      <c r="CD209" s="169"/>
      <c r="CE209" s="169"/>
      <c r="CF209" s="169"/>
      <c r="CG209" s="167"/>
      <c r="CH209" s="167"/>
      <c r="CI209" s="170"/>
      <c r="CJ209" s="170"/>
      <c r="CK209" s="167"/>
      <c r="CL209" s="170"/>
      <c r="CM209" s="170"/>
      <c r="CN209" s="170"/>
      <c r="CO209" s="170"/>
      <c r="CP209" s="170"/>
      <c r="CQ209" s="170"/>
      <c r="CR209" s="170"/>
      <c r="CS209" s="170"/>
      <c r="CT209" s="170"/>
      <c r="CU209" s="170"/>
      <c r="CV209" s="170"/>
      <c r="CW209" s="167"/>
      <c r="CX209" s="170"/>
      <c r="CY209" s="170"/>
      <c r="CZ209" s="170"/>
      <c r="DA209" s="170"/>
      <c r="DB209" s="170"/>
      <c r="DC209" s="170"/>
      <c r="DD209" s="170"/>
      <c r="DE209" s="170"/>
      <c r="DF209" s="170"/>
      <c r="DG209" s="170"/>
      <c r="DH209" s="170"/>
      <c r="DI209" s="170"/>
      <c r="DJ209" s="170"/>
      <c r="DK209" s="170"/>
      <c r="DL209" s="170"/>
      <c r="DM209" s="170"/>
      <c r="DN209" s="170"/>
      <c r="DO209" s="170"/>
      <c r="DP209" s="170"/>
      <c r="DQ209" s="170"/>
      <c r="DR209" s="170"/>
      <c r="DS209" s="170"/>
      <c r="DT209" s="170"/>
      <c r="DU209" s="170"/>
      <c r="DV209" s="170"/>
    </row>
    <row r="210" spans="59:126" ht="15" hidden="1" x14ac:dyDescent="0.25">
      <c r="BG210" s="262"/>
      <c r="BH210" s="263"/>
      <c r="BI210" s="263"/>
      <c r="BJ210" s="265"/>
      <c r="BK210" s="265"/>
      <c r="BL210" s="265"/>
      <c r="BM210" s="265"/>
      <c r="BN210" s="312"/>
      <c r="BO210" s="312"/>
      <c r="BP210" s="322"/>
      <c r="BQ210" s="312"/>
      <c r="BR210" s="312"/>
      <c r="BS210" s="322"/>
      <c r="BT210" s="322"/>
      <c r="BU210" s="322"/>
      <c r="BV210" s="322"/>
      <c r="BW210" s="322"/>
      <c r="BX210" s="322"/>
      <c r="BY210" s="166"/>
      <c r="BZ210" s="166" t="s">
        <v>406</v>
      </c>
      <c r="CA210" s="268">
        <f>0.1397*CA187^0.0351*CA188*1000</f>
        <v>157.09825469850048</v>
      </c>
      <c r="CB210" s="168"/>
      <c r="CC210" s="169"/>
      <c r="CD210" s="169"/>
      <c r="CE210" s="169"/>
      <c r="CF210" s="169"/>
      <c r="CG210" s="167"/>
      <c r="CH210" s="167"/>
      <c r="CI210" s="170"/>
      <c r="CJ210" s="170"/>
      <c r="CK210" s="167"/>
      <c r="CL210" s="170"/>
      <c r="CM210" s="170"/>
      <c r="CN210" s="170"/>
      <c r="CO210" s="170"/>
      <c r="CP210" s="170"/>
      <c r="CQ210" s="170"/>
      <c r="CR210" s="170"/>
      <c r="CS210" s="170"/>
      <c r="CT210" s="170"/>
      <c r="CU210" s="170"/>
      <c r="CV210" s="170"/>
      <c r="CW210" s="167"/>
      <c r="CX210" s="170"/>
      <c r="CY210" s="170"/>
      <c r="CZ210" s="170"/>
      <c r="DA210" s="170"/>
      <c r="DB210" s="170"/>
      <c r="DC210" s="170"/>
      <c r="DD210" s="170"/>
      <c r="DE210" s="170"/>
      <c r="DF210" s="170"/>
      <c r="DG210" s="170"/>
      <c r="DH210" s="170"/>
      <c r="DI210" s="170"/>
      <c r="DJ210" s="170"/>
      <c r="DK210" s="170"/>
      <c r="DL210" s="170"/>
      <c r="DM210" s="170"/>
      <c r="DN210" s="170"/>
      <c r="DO210" s="170"/>
      <c r="DP210" s="170"/>
      <c r="DQ210" s="170"/>
      <c r="DR210" s="170"/>
      <c r="DS210" s="170"/>
      <c r="DT210" s="170"/>
      <c r="DU210" s="170"/>
      <c r="DV210" s="170"/>
    </row>
    <row r="211" spans="59:126" ht="15" hidden="1" x14ac:dyDescent="0.25">
      <c r="BG211" s="262"/>
      <c r="BH211" s="263"/>
      <c r="BI211" s="263"/>
      <c r="BJ211" s="333"/>
      <c r="BK211" s="265"/>
      <c r="BL211" s="265"/>
      <c r="BM211" s="265"/>
      <c r="BN211" s="312"/>
      <c r="BO211" s="312"/>
      <c r="BP211" s="322"/>
      <c r="BQ211" s="312"/>
      <c r="BR211" s="312"/>
      <c r="BS211" s="322"/>
      <c r="BT211" s="322"/>
      <c r="BU211" s="322"/>
      <c r="BV211" s="322"/>
      <c r="BW211" s="322"/>
      <c r="BX211" s="322"/>
      <c r="BY211" s="166"/>
      <c r="BZ211" s="166" t="s">
        <v>408</v>
      </c>
      <c r="CA211" s="268">
        <f>84.665-0.1179*CA187</f>
        <v>73.32302</v>
      </c>
      <c r="CB211" s="168"/>
      <c r="CC211" s="169"/>
      <c r="CD211" s="169"/>
      <c r="CE211" s="169"/>
      <c r="CF211" s="169"/>
      <c r="CG211" s="167"/>
      <c r="CH211" s="167"/>
      <c r="CI211" s="170"/>
      <c r="CJ211" s="170"/>
      <c r="CK211" s="167"/>
      <c r="CL211" s="170"/>
      <c r="CM211" s="170"/>
      <c r="CN211" s="170"/>
      <c r="CO211" s="170"/>
      <c r="CP211" s="170"/>
      <c r="CQ211" s="170"/>
      <c r="CR211" s="170"/>
      <c r="CS211" s="170"/>
      <c r="CT211" s="170"/>
      <c r="CU211" s="170"/>
      <c r="CV211" s="170"/>
      <c r="CW211" s="167"/>
      <c r="CX211" s="170"/>
      <c r="CY211" s="170"/>
      <c r="CZ211" s="170"/>
      <c r="DA211" s="170"/>
      <c r="DB211" s="170"/>
      <c r="DC211" s="170"/>
      <c r="DD211" s="170"/>
      <c r="DE211" s="170"/>
      <c r="DF211" s="170"/>
      <c r="DG211" s="170"/>
      <c r="DH211" s="170"/>
      <c r="DI211" s="170"/>
      <c r="DJ211" s="170"/>
      <c r="DK211" s="170"/>
      <c r="DL211" s="170"/>
      <c r="DM211" s="170"/>
      <c r="DN211" s="170"/>
      <c r="DO211" s="170"/>
      <c r="DP211" s="170"/>
      <c r="DQ211" s="170"/>
      <c r="DR211" s="170"/>
      <c r="DS211" s="170"/>
      <c r="DT211" s="170"/>
      <c r="DU211" s="170"/>
      <c r="DV211" s="170"/>
    </row>
    <row r="212" spans="59:126" ht="15" hidden="1" x14ac:dyDescent="0.25">
      <c r="BG212" s="262"/>
      <c r="BH212" s="263"/>
      <c r="BI212" s="263"/>
      <c r="BJ212" s="265"/>
      <c r="BK212" s="265"/>
      <c r="BL212" s="265"/>
      <c r="BM212" s="265"/>
      <c r="BN212" s="312"/>
      <c r="BO212" s="312"/>
      <c r="BP212" s="322"/>
      <c r="BQ212" s="312"/>
      <c r="BR212" s="312"/>
      <c r="BS212" s="322"/>
      <c r="BT212" s="322"/>
      <c r="BU212" s="322"/>
      <c r="BV212" s="322"/>
      <c r="BW212" s="322"/>
      <c r="BX212" s="322"/>
      <c r="BY212" s="166"/>
      <c r="BZ212" s="166" t="s">
        <v>342</v>
      </c>
      <c r="CA212" s="167"/>
      <c r="CB212" s="168"/>
      <c r="CC212" s="169"/>
      <c r="CD212" s="169"/>
      <c r="CE212" s="169"/>
      <c r="CF212" s="169"/>
      <c r="CG212" s="167"/>
      <c r="CH212" s="167"/>
      <c r="CI212" s="170"/>
      <c r="CJ212" s="170"/>
      <c r="CK212" s="167"/>
      <c r="CL212" s="170"/>
      <c r="CM212" s="170"/>
      <c r="CN212" s="170"/>
      <c r="CO212" s="170"/>
      <c r="CP212" s="170"/>
      <c r="CQ212" s="170"/>
      <c r="CR212" s="170"/>
      <c r="CS212" s="170"/>
      <c r="CT212" s="170"/>
      <c r="CU212" s="170"/>
      <c r="CV212" s="170"/>
      <c r="CW212" s="167"/>
      <c r="CX212" s="170"/>
      <c r="CY212" s="170"/>
      <c r="CZ212" s="170"/>
      <c r="DA212" s="170"/>
      <c r="DB212" s="170"/>
      <c r="DC212" s="170"/>
      <c r="DD212" s="170"/>
      <c r="DE212" s="170"/>
      <c r="DF212" s="170"/>
      <c r="DG212" s="170"/>
      <c r="DH212" s="170"/>
      <c r="DI212" s="170"/>
      <c r="DJ212" s="170"/>
      <c r="DK212" s="170"/>
      <c r="DL212" s="170"/>
      <c r="DM212" s="170"/>
      <c r="DN212" s="170"/>
      <c r="DO212" s="170"/>
      <c r="DP212" s="170"/>
      <c r="DQ212" s="170"/>
      <c r="DR212" s="170"/>
      <c r="DS212" s="170"/>
      <c r="DT212" s="170"/>
      <c r="DU212" s="170"/>
      <c r="DV212" s="170"/>
    </row>
    <row r="213" spans="59:126" ht="15" hidden="1" x14ac:dyDescent="0.25">
      <c r="BG213" s="262"/>
      <c r="BH213" s="263"/>
      <c r="BI213" s="263"/>
      <c r="BJ213" s="305"/>
      <c r="BK213" s="265"/>
      <c r="BL213" s="265"/>
      <c r="BM213" s="265"/>
      <c r="BN213" s="312"/>
      <c r="BO213" s="312"/>
      <c r="BP213" s="322"/>
      <c r="BQ213" s="312"/>
      <c r="BR213" s="312"/>
      <c r="BS213" s="322"/>
      <c r="BT213" s="322"/>
      <c r="BU213" s="322"/>
      <c r="BV213" s="322"/>
      <c r="BW213" s="322"/>
      <c r="BX213" s="322"/>
      <c r="BY213" s="166"/>
      <c r="BZ213" s="166" t="s">
        <v>411</v>
      </c>
      <c r="CA213" s="167"/>
      <c r="CB213" s="168"/>
      <c r="CC213" s="169"/>
      <c r="CD213" s="169"/>
      <c r="CE213" s="169"/>
      <c r="CF213" s="169"/>
      <c r="CG213" s="167"/>
      <c r="CH213" s="167"/>
      <c r="CI213" s="170"/>
      <c r="CJ213" s="170"/>
      <c r="CK213" s="167"/>
      <c r="CL213" s="170"/>
      <c r="CM213" s="170"/>
      <c r="CN213" s="170"/>
      <c r="CO213" s="170"/>
      <c r="CP213" s="170"/>
      <c r="CQ213" s="170"/>
      <c r="CR213" s="170"/>
      <c r="CS213" s="170"/>
      <c r="CT213" s="170"/>
      <c r="CU213" s="170"/>
      <c r="CV213" s="170"/>
      <c r="CW213" s="167"/>
      <c r="CX213" s="170"/>
      <c r="CY213" s="170"/>
      <c r="CZ213" s="170"/>
      <c r="DA213" s="170"/>
      <c r="DB213" s="170"/>
      <c r="DC213" s="170"/>
      <c r="DD213" s="170"/>
      <c r="DE213" s="170"/>
      <c r="DF213" s="170"/>
      <c r="DG213" s="170"/>
      <c r="DH213" s="170"/>
      <c r="DI213" s="170"/>
      <c r="DJ213" s="170"/>
      <c r="DK213" s="170"/>
      <c r="DL213" s="170"/>
      <c r="DM213" s="170"/>
      <c r="DN213" s="170"/>
      <c r="DO213" s="170"/>
      <c r="DP213" s="170"/>
      <c r="DQ213" s="170"/>
      <c r="DR213" s="170"/>
      <c r="DS213" s="170"/>
      <c r="DT213" s="170"/>
      <c r="DU213" s="170"/>
      <c r="DV213" s="170"/>
    </row>
    <row r="214" spans="59:126" ht="15" hidden="1" x14ac:dyDescent="0.25">
      <c r="BG214" s="262"/>
      <c r="BH214" s="263"/>
      <c r="BI214" s="263"/>
      <c r="BJ214" s="305"/>
      <c r="BK214" s="265"/>
      <c r="BL214" s="265"/>
      <c r="BM214" s="265"/>
      <c r="BN214" s="312"/>
      <c r="BO214" s="312"/>
      <c r="BP214" s="322"/>
      <c r="BQ214" s="312"/>
      <c r="BR214" s="312"/>
      <c r="BS214" s="322"/>
      <c r="BT214" s="322"/>
      <c r="BU214" s="322"/>
      <c r="BV214" s="322"/>
      <c r="BW214" s="322"/>
      <c r="BX214" s="322"/>
      <c r="BY214" s="166"/>
      <c r="BZ214" s="166" t="s">
        <v>515</v>
      </c>
      <c r="CA214" s="301">
        <f>CG31*0.0356</f>
        <v>0.21395599999999998</v>
      </c>
      <c r="CB214" s="168"/>
      <c r="CC214" s="169"/>
      <c r="CD214" s="169"/>
      <c r="CE214" s="169"/>
      <c r="CF214" s="169"/>
      <c r="CG214" s="167"/>
      <c r="CH214" s="167"/>
      <c r="CI214" s="170"/>
      <c r="CJ214" s="170"/>
      <c r="CK214" s="167"/>
      <c r="CL214" s="170"/>
      <c r="CM214" s="170"/>
      <c r="CN214" s="170"/>
      <c r="CO214" s="170"/>
      <c r="CP214" s="170"/>
      <c r="CQ214" s="170"/>
      <c r="CR214" s="170"/>
      <c r="CS214" s="170"/>
      <c r="CT214" s="170"/>
      <c r="CU214" s="170"/>
      <c r="CV214" s="170"/>
      <c r="CW214" s="167"/>
      <c r="CX214" s="170"/>
      <c r="CY214" s="170"/>
      <c r="CZ214" s="170"/>
      <c r="DA214" s="170"/>
      <c r="DB214" s="170"/>
      <c r="DC214" s="170"/>
      <c r="DD214" s="170"/>
      <c r="DE214" s="170"/>
      <c r="DF214" s="170"/>
      <c r="DG214" s="170"/>
      <c r="DH214" s="170"/>
      <c r="DI214" s="170"/>
      <c r="DJ214" s="170"/>
      <c r="DK214" s="170"/>
      <c r="DL214" s="170"/>
      <c r="DM214" s="170"/>
      <c r="DN214" s="170"/>
      <c r="DO214" s="170"/>
      <c r="DP214" s="170"/>
      <c r="DQ214" s="170"/>
      <c r="DR214" s="170"/>
      <c r="DS214" s="170"/>
      <c r="DT214" s="170"/>
      <c r="DU214" s="170"/>
      <c r="DV214" s="170"/>
    </row>
    <row r="215" spans="59:126" ht="15" hidden="1" x14ac:dyDescent="0.25">
      <c r="BG215" s="262"/>
      <c r="BH215" s="263"/>
      <c r="BI215" s="263"/>
      <c r="BJ215" s="265"/>
      <c r="BK215" s="265"/>
      <c r="BL215" s="265"/>
      <c r="BM215" s="265"/>
      <c r="BN215" s="312"/>
      <c r="BO215" s="312"/>
      <c r="BP215" s="322"/>
      <c r="BQ215" s="312"/>
      <c r="BR215" s="312"/>
      <c r="BS215" s="322"/>
      <c r="BT215" s="322"/>
      <c r="BU215" s="322"/>
      <c r="BV215" s="322"/>
      <c r="BW215" s="322"/>
      <c r="BX215" s="322"/>
      <c r="BY215" s="166"/>
      <c r="BZ215" s="166" t="s">
        <v>511</v>
      </c>
      <c r="CA215" s="301">
        <f>CG31*0.18</f>
        <v>1.0817999999999999</v>
      </c>
      <c r="CB215" s="168"/>
      <c r="CC215" s="169"/>
      <c r="CD215" s="169"/>
      <c r="CE215" s="169"/>
      <c r="CF215" s="169"/>
      <c r="CG215" s="167"/>
      <c r="CH215" s="167"/>
      <c r="CI215" s="170"/>
      <c r="CJ215" s="170"/>
      <c r="CK215" s="167"/>
      <c r="CL215" s="170"/>
      <c r="CM215" s="170"/>
      <c r="CN215" s="170"/>
      <c r="CO215" s="170"/>
      <c r="CP215" s="170"/>
      <c r="CQ215" s="170"/>
      <c r="CR215" s="170"/>
      <c r="CS215" s="170"/>
      <c r="CT215" s="170"/>
      <c r="CU215" s="170"/>
      <c r="CV215" s="170"/>
      <c r="CW215" s="167"/>
      <c r="CX215" s="170"/>
      <c r="CY215" s="170"/>
      <c r="CZ215" s="170"/>
      <c r="DA215" s="170"/>
      <c r="DB215" s="170"/>
      <c r="DC215" s="170"/>
      <c r="DD215" s="170"/>
      <c r="DE215" s="170"/>
      <c r="DF215" s="170"/>
      <c r="DG215" s="170"/>
      <c r="DH215" s="170"/>
      <c r="DI215" s="170"/>
      <c r="DJ215" s="170"/>
      <c r="DK215" s="170"/>
      <c r="DL215" s="170"/>
      <c r="DM215" s="170"/>
      <c r="DN215" s="170"/>
      <c r="DO215" s="170"/>
      <c r="DP215" s="170"/>
      <c r="DQ215" s="170"/>
      <c r="DR215" s="170"/>
      <c r="DS215" s="170"/>
      <c r="DT215" s="170"/>
      <c r="DU215" s="170"/>
      <c r="DV215" s="170"/>
    </row>
    <row r="216" spans="59:126" ht="15" hidden="1" x14ac:dyDescent="0.25">
      <c r="BG216" s="262"/>
      <c r="BH216" s="263"/>
      <c r="BI216" s="263"/>
      <c r="BJ216" s="333"/>
      <c r="BK216" s="265"/>
      <c r="BL216" s="265"/>
      <c r="BM216" s="265"/>
      <c r="BN216" s="312"/>
      <c r="BO216" s="312"/>
      <c r="BP216" s="322"/>
      <c r="BQ216" s="312"/>
      <c r="BR216" s="312"/>
      <c r="BS216" s="322"/>
      <c r="BT216" s="322"/>
      <c r="BU216" s="322"/>
      <c r="BV216" s="322"/>
      <c r="BW216" s="322"/>
      <c r="BX216" s="322"/>
      <c r="BY216" s="166"/>
      <c r="BZ216" s="166" t="s">
        <v>516</v>
      </c>
      <c r="CA216" s="259">
        <f>IF(CA186&lt;150,120*(CY31-CA215),'Formulação suplementos'!DU115)</f>
        <v>100.53290903300646</v>
      </c>
      <c r="CB216" s="168"/>
      <c r="CC216" s="169"/>
      <c r="CD216" s="169"/>
      <c r="CE216" s="169"/>
      <c r="CF216" s="169"/>
      <c r="CG216" s="167"/>
      <c r="CH216" s="167"/>
      <c r="CI216" s="170"/>
      <c r="CJ216" s="170"/>
      <c r="CK216" s="167"/>
      <c r="CL216" s="170"/>
      <c r="CM216" s="170"/>
      <c r="CN216" s="170"/>
      <c r="CO216" s="170"/>
      <c r="CP216" s="170"/>
      <c r="CQ216" s="170"/>
      <c r="CR216" s="170"/>
      <c r="CS216" s="170"/>
      <c r="CT216" s="170"/>
      <c r="CU216" s="170"/>
      <c r="CV216" s="170"/>
      <c r="CW216" s="167"/>
      <c r="CX216" s="170"/>
      <c r="CY216" s="170"/>
      <c r="CZ216" s="170"/>
      <c r="DA216" s="170"/>
      <c r="DB216" s="170"/>
      <c r="DC216" s="170"/>
      <c r="DD216" s="170"/>
      <c r="DE216" s="170"/>
      <c r="DF216" s="170"/>
      <c r="DG216" s="170"/>
      <c r="DH216" s="170"/>
      <c r="DI216" s="170"/>
      <c r="DJ216" s="170"/>
      <c r="DK216" s="170"/>
      <c r="DL216" s="170"/>
      <c r="DM216" s="170"/>
      <c r="DN216" s="170"/>
      <c r="DO216" s="170"/>
      <c r="DP216" s="170"/>
      <c r="DQ216" s="170"/>
      <c r="DR216" s="170"/>
      <c r="DS216" s="170"/>
      <c r="DT216" s="170"/>
      <c r="DU216" s="170"/>
      <c r="DV216" s="170"/>
    </row>
    <row r="217" spans="59:126" ht="15" hidden="1" x14ac:dyDescent="0.25">
      <c r="BG217" s="262"/>
      <c r="BH217" s="263"/>
      <c r="BI217" s="263"/>
      <c r="BJ217" s="265"/>
      <c r="BK217" s="265"/>
      <c r="BL217" s="265"/>
      <c r="BM217" s="265"/>
      <c r="BN217" s="312"/>
      <c r="BO217" s="312"/>
      <c r="BP217" s="322"/>
      <c r="BQ217" s="312"/>
      <c r="BR217" s="312"/>
      <c r="BS217" s="322"/>
      <c r="BT217" s="322"/>
      <c r="BU217" s="322"/>
      <c r="BV217" s="322"/>
      <c r="BW217" s="322"/>
      <c r="BX217" s="322"/>
      <c r="BY217" s="166"/>
      <c r="BZ217" s="351" t="s">
        <v>348</v>
      </c>
      <c r="CA217" s="167"/>
      <c r="CB217" s="168"/>
      <c r="CC217" s="169"/>
      <c r="CD217" s="169"/>
      <c r="CE217" s="169"/>
      <c r="CF217" s="169"/>
      <c r="CG217" s="167"/>
      <c r="CH217" s="167"/>
      <c r="CI217" s="170"/>
      <c r="CJ217" s="170"/>
      <c r="CK217" s="167"/>
      <c r="CL217" s="170"/>
      <c r="CM217" s="170"/>
      <c r="CN217" s="170"/>
      <c r="CO217" s="170"/>
      <c r="CP217" s="170"/>
      <c r="CQ217" s="170"/>
      <c r="CR217" s="170"/>
      <c r="CS217" s="170"/>
      <c r="CT217" s="170"/>
      <c r="CU217" s="170"/>
      <c r="CV217" s="170"/>
      <c r="CW217" s="167"/>
      <c r="CX217" s="170"/>
      <c r="CY217" s="170"/>
      <c r="CZ217" s="170"/>
      <c r="DA217" s="170"/>
      <c r="DB217" s="170"/>
      <c r="DC217" s="170"/>
      <c r="DD217" s="170"/>
      <c r="DE217" s="170"/>
      <c r="DF217" s="170"/>
      <c r="DG217" s="170"/>
      <c r="DH217" s="170"/>
      <c r="DI217" s="170"/>
      <c r="DJ217" s="170"/>
      <c r="DK217" s="170"/>
      <c r="DL217" s="170"/>
      <c r="DM217" s="170"/>
      <c r="DN217" s="170"/>
      <c r="DO217" s="170"/>
      <c r="DP217" s="170"/>
      <c r="DQ217" s="170"/>
      <c r="DR217" s="170"/>
      <c r="DS217" s="170"/>
      <c r="DT217" s="170"/>
      <c r="DU217" s="170"/>
      <c r="DV217" s="170"/>
    </row>
    <row r="218" spans="59:126" ht="15" hidden="1" x14ac:dyDescent="0.25">
      <c r="BG218" s="262"/>
      <c r="BH218" s="263"/>
      <c r="BI218" s="263"/>
      <c r="BJ218" s="305"/>
      <c r="BK218" s="265"/>
      <c r="BL218" s="265"/>
      <c r="BM218" s="265"/>
      <c r="BN218" s="312"/>
      <c r="BO218" s="312"/>
      <c r="BP218" s="322"/>
      <c r="BQ218" s="312"/>
      <c r="BR218" s="312"/>
      <c r="BS218" s="322"/>
      <c r="BT218" s="322"/>
      <c r="BU218" s="322"/>
      <c r="BV218" s="322"/>
      <c r="BW218" s="322"/>
      <c r="BX218" s="322"/>
      <c r="BY218" s="166"/>
      <c r="BZ218" s="166" t="s">
        <v>354</v>
      </c>
      <c r="CA218" s="167"/>
      <c r="CB218" s="168"/>
      <c r="CC218" s="169"/>
      <c r="CD218" s="169"/>
      <c r="CE218" s="169"/>
      <c r="CF218" s="169"/>
      <c r="CG218" s="167"/>
      <c r="CH218" s="167"/>
      <c r="CI218" s="170"/>
      <c r="CJ218" s="170"/>
      <c r="CK218" s="167"/>
      <c r="CL218" s="170"/>
      <c r="CM218" s="170"/>
      <c r="CN218" s="170"/>
      <c r="CO218" s="170"/>
      <c r="CP218" s="170"/>
      <c r="CQ218" s="170"/>
      <c r="CR218" s="170"/>
      <c r="CS218" s="170"/>
      <c r="CT218" s="170"/>
      <c r="CU218" s="170"/>
      <c r="CV218" s="170"/>
      <c r="CW218" s="167"/>
      <c r="CX218" s="170"/>
      <c r="CY218" s="170"/>
      <c r="CZ218" s="170"/>
      <c r="DA218" s="170"/>
      <c r="DB218" s="170"/>
      <c r="DC218" s="170"/>
      <c r="DD218" s="170"/>
      <c r="DE218" s="170"/>
      <c r="DF218" s="170"/>
      <c r="DG218" s="170"/>
      <c r="DH218" s="170"/>
      <c r="DI218" s="170"/>
      <c r="DJ218" s="170"/>
      <c r="DK218" s="170"/>
      <c r="DL218" s="170"/>
      <c r="DM218" s="170"/>
      <c r="DN218" s="170"/>
      <c r="DO218" s="170"/>
      <c r="DP218" s="170"/>
      <c r="DQ218" s="170"/>
      <c r="DR218" s="170"/>
      <c r="DS218" s="170"/>
      <c r="DT218" s="170"/>
      <c r="DU218" s="170"/>
      <c r="DV218" s="170"/>
    </row>
    <row r="219" spans="59:126" ht="15" hidden="1" x14ac:dyDescent="0.25">
      <c r="BG219" s="262"/>
      <c r="BH219" s="263"/>
      <c r="BI219" s="263"/>
      <c r="BJ219" s="305"/>
      <c r="BK219" s="265"/>
      <c r="BL219" s="265"/>
      <c r="BM219" s="265"/>
      <c r="BN219" s="312"/>
      <c r="BO219" s="312"/>
      <c r="BP219" s="322"/>
      <c r="BQ219" s="312"/>
      <c r="BR219" s="312"/>
      <c r="BS219" s="322"/>
      <c r="BT219" s="322"/>
      <c r="BU219" s="322"/>
      <c r="BV219" s="322"/>
      <c r="BW219" s="322"/>
      <c r="BX219" s="322"/>
      <c r="BY219" s="166"/>
      <c r="BZ219" s="166" t="s">
        <v>169</v>
      </c>
      <c r="CA219" s="167"/>
      <c r="CB219" s="168"/>
      <c r="CC219" s="169"/>
      <c r="CD219" s="169"/>
      <c r="CE219" s="169"/>
      <c r="CF219" s="169"/>
      <c r="CG219" s="167"/>
      <c r="CH219" s="167"/>
      <c r="CI219" s="170"/>
      <c r="CJ219" s="170"/>
      <c r="CK219" s="167"/>
      <c r="CL219" s="170"/>
      <c r="CM219" s="170"/>
      <c r="CN219" s="170"/>
      <c r="CO219" s="170"/>
      <c r="CP219" s="170"/>
      <c r="CQ219" s="170"/>
      <c r="CR219" s="170"/>
      <c r="CS219" s="170"/>
      <c r="CT219" s="170"/>
      <c r="CU219" s="170"/>
      <c r="CV219" s="170"/>
      <c r="CW219" s="167"/>
      <c r="CX219" s="170"/>
      <c r="CY219" s="170"/>
      <c r="CZ219" s="170"/>
      <c r="DA219" s="170"/>
      <c r="DB219" s="170"/>
      <c r="DC219" s="170"/>
      <c r="DD219" s="170"/>
      <c r="DE219" s="170"/>
      <c r="DF219" s="170"/>
      <c r="DG219" s="170"/>
      <c r="DH219" s="170"/>
      <c r="DI219" s="170"/>
      <c r="DJ219" s="170"/>
      <c r="DK219" s="170"/>
      <c r="DL219" s="170"/>
      <c r="DM219" s="170"/>
      <c r="DN219" s="170"/>
      <c r="DO219" s="170"/>
      <c r="DP219" s="170"/>
      <c r="DQ219" s="170"/>
      <c r="DR219" s="170"/>
      <c r="DS219" s="170"/>
      <c r="DT219" s="170"/>
      <c r="DU219" s="170"/>
      <c r="DV219" s="170"/>
    </row>
    <row r="220" spans="59:126" ht="15" hidden="1" x14ac:dyDescent="0.25">
      <c r="BG220" s="262"/>
      <c r="BH220" s="263"/>
      <c r="BI220" s="263"/>
      <c r="BJ220" s="265"/>
      <c r="BK220" s="265"/>
      <c r="BL220" s="265"/>
      <c r="BM220" s="265"/>
      <c r="BN220" s="312"/>
      <c r="BO220" s="312"/>
      <c r="BP220" s="322"/>
      <c r="BQ220" s="312"/>
      <c r="BR220" s="312"/>
      <c r="BS220" s="322"/>
      <c r="BT220" s="322"/>
      <c r="BU220" s="322"/>
      <c r="BV220" s="322"/>
      <c r="BW220" s="322"/>
      <c r="BX220" s="322"/>
      <c r="BY220" s="166"/>
      <c r="BZ220" s="166" t="s">
        <v>413</v>
      </c>
      <c r="CA220" s="167"/>
      <c r="CB220" s="168"/>
      <c r="CC220" s="169"/>
      <c r="CD220" s="169"/>
      <c r="CE220" s="169"/>
      <c r="CF220" s="169"/>
      <c r="CG220" s="167"/>
      <c r="CH220" s="167"/>
      <c r="CI220" s="170"/>
      <c r="CJ220" s="170"/>
      <c r="CK220" s="167"/>
      <c r="CL220" s="170"/>
      <c r="CM220" s="170"/>
      <c r="CN220" s="170"/>
      <c r="CO220" s="170"/>
      <c r="CP220" s="170"/>
      <c r="CQ220" s="170"/>
      <c r="CR220" s="170"/>
      <c r="CS220" s="170"/>
      <c r="CT220" s="170"/>
      <c r="CU220" s="170"/>
      <c r="CV220" s="170"/>
      <c r="CW220" s="167"/>
      <c r="CX220" s="170"/>
      <c r="CY220" s="170"/>
      <c r="CZ220" s="170"/>
      <c r="DA220" s="170"/>
      <c r="DB220" s="170"/>
      <c r="DC220" s="170"/>
      <c r="DD220" s="170"/>
      <c r="DE220" s="170"/>
      <c r="DF220" s="170"/>
      <c r="DG220" s="170"/>
      <c r="DH220" s="170"/>
      <c r="DI220" s="170"/>
      <c r="DJ220" s="170"/>
      <c r="DK220" s="170"/>
      <c r="DL220" s="170"/>
      <c r="DM220" s="170"/>
      <c r="DN220" s="170"/>
      <c r="DO220" s="170"/>
      <c r="DP220" s="170"/>
      <c r="DQ220" s="170"/>
      <c r="DR220" s="170"/>
      <c r="DS220" s="170"/>
      <c r="DT220" s="170"/>
      <c r="DU220" s="170"/>
      <c r="DV220" s="170"/>
    </row>
    <row r="221" spans="59:126" ht="15" hidden="1" x14ac:dyDescent="0.25">
      <c r="BG221" s="262"/>
      <c r="BH221" s="263"/>
      <c r="BI221" s="263"/>
      <c r="BJ221" s="333"/>
      <c r="BK221" s="333"/>
      <c r="BL221" s="265"/>
      <c r="BM221" s="265"/>
      <c r="BN221" s="312"/>
      <c r="BO221" s="312"/>
      <c r="BP221" s="322"/>
      <c r="BQ221" s="312"/>
      <c r="BR221" s="312"/>
      <c r="BS221" s="322"/>
      <c r="BT221" s="322"/>
      <c r="BU221" s="322"/>
      <c r="BV221" s="322"/>
      <c r="BW221" s="322"/>
      <c r="BX221" s="322"/>
      <c r="BY221" s="166"/>
      <c r="BZ221" s="166" t="s">
        <v>517</v>
      </c>
      <c r="CA221" s="167"/>
      <c r="CB221" s="168"/>
      <c r="CC221" s="169"/>
      <c r="CD221" s="169"/>
      <c r="CE221" s="169"/>
      <c r="CF221" s="169"/>
      <c r="CG221" s="167"/>
      <c r="CH221" s="167"/>
      <c r="CI221" s="170"/>
      <c r="CJ221" s="170"/>
      <c r="CK221" s="167"/>
      <c r="CL221" s="170"/>
      <c r="CM221" s="170"/>
      <c r="CN221" s="170"/>
      <c r="CO221" s="170"/>
      <c r="CP221" s="170"/>
      <c r="CQ221" s="170"/>
      <c r="CR221" s="170"/>
      <c r="CS221" s="170"/>
      <c r="CT221" s="170"/>
      <c r="CU221" s="170"/>
      <c r="CV221" s="170"/>
      <c r="CW221" s="167"/>
      <c r="CX221" s="170"/>
      <c r="CY221" s="170"/>
      <c r="CZ221" s="170"/>
      <c r="DA221" s="170"/>
      <c r="DB221" s="170"/>
      <c r="DC221" s="170"/>
      <c r="DD221" s="170"/>
      <c r="DE221" s="170"/>
      <c r="DF221" s="170"/>
      <c r="DG221" s="170"/>
      <c r="DH221" s="170"/>
      <c r="DI221" s="170"/>
      <c r="DJ221" s="170"/>
      <c r="DK221" s="170"/>
      <c r="DL221" s="170"/>
      <c r="DM221" s="170"/>
      <c r="DN221" s="170"/>
      <c r="DO221" s="170"/>
      <c r="DP221" s="170"/>
      <c r="DQ221" s="170"/>
      <c r="DR221" s="170"/>
      <c r="DS221" s="170"/>
      <c r="DT221" s="170"/>
      <c r="DU221" s="170"/>
      <c r="DV221" s="170"/>
    </row>
    <row r="222" spans="59:126" ht="15" hidden="1" x14ac:dyDescent="0.25">
      <c r="BG222" s="262"/>
      <c r="BH222" s="263"/>
      <c r="BI222" s="263"/>
      <c r="BJ222" s="265"/>
      <c r="BK222" s="265"/>
      <c r="BL222" s="265"/>
      <c r="BM222" s="265"/>
      <c r="BN222" s="312"/>
      <c r="BO222" s="312"/>
      <c r="BP222" s="322"/>
      <c r="BQ222" s="312"/>
      <c r="BR222" s="312"/>
      <c r="BS222" s="322"/>
      <c r="BT222" s="322"/>
      <c r="BU222" s="322"/>
      <c r="BV222" s="322"/>
      <c r="BW222" s="322"/>
      <c r="BX222" s="322"/>
      <c r="BY222" s="166"/>
      <c r="BZ222" s="166" t="s">
        <v>518</v>
      </c>
      <c r="CA222" s="167"/>
      <c r="CB222" s="168"/>
      <c r="CC222" s="169"/>
      <c r="CD222" s="169"/>
      <c r="CE222" s="169"/>
      <c r="CF222" s="169"/>
      <c r="CG222" s="167"/>
      <c r="CH222" s="167"/>
      <c r="CI222" s="170"/>
      <c r="CJ222" s="170"/>
      <c r="CK222" s="167"/>
      <c r="CL222" s="170"/>
      <c r="CM222" s="170"/>
      <c r="CN222" s="170"/>
      <c r="CO222" s="170"/>
      <c r="CP222" s="170"/>
      <c r="CQ222" s="170"/>
      <c r="CR222" s="170"/>
      <c r="CS222" s="170"/>
      <c r="CT222" s="170"/>
      <c r="CU222" s="170"/>
      <c r="CV222" s="170"/>
      <c r="CW222" s="167"/>
      <c r="CX222" s="170"/>
      <c r="CY222" s="170"/>
      <c r="CZ222" s="170"/>
      <c r="DA222" s="170"/>
      <c r="DB222" s="170"/>
      <c r="DC222" s="170"/>
      <c r="DD222" s="170"/>
      <c r="DE222" s="170"/>
      <c r="DF222" s="170"/>
      <c r="DG222" s="170"/>
      <c r="DH222" s="170"/>
      <c r="DI222" s="170"/>
      <c r="DJ222" s="170"/>
      <c r="DK222" s="170"/>
      <c r="DL222" s="170"/>
      <c r="DM222" s="170"/>
      <c r="DN222" s="170"/>
      <c r="DO222" s="170"/>
      <c r="DP222" s="170"/>
      <c r="DQ222" s="170"/>
      <c r="DR222" s="170"/>
      <c r="DS222" s="170"/>
      <c r="DT222" s="170"/>
      <c r="DU222" s="170"/>
      <c r="DV222" s="170"/>
    </row>
    <row r="223" spans="59:126" ht="15" hidden="1" x14ac:dyDescent="0.25">
      <c r="BG223" s="262"/>
      <c r="BH223" s="263"/>
      <c r="BI223" s="263"/>
      <c r="BJ223" s="305"/>
      <c r="BK223" s="265"/>
      <c r="BL223" s="265"/>
      <c r="BM223" s="265"/>
      <c r="BN223" s="312"/>
      <c r="BO223" s="312"/>
      <c r="BP223" s="322"/>
      <c r="BQ223" s="312"/>
      <c r="BR223" s="312"/>
      <c r="BS223" s="322"/>
      <c r="BT223" s="322"/>
      <c r="BU223" s="322"/>
      <c r="BV223" s="322"/>
      <c r="BW223" s="322"/>
      <c r="BX223" s="322"/>
      <c r="BY223" s="166"/>
      <c r="BZ223" s="166"/>
      <c r="CA223" s="167"/>
      <c r="CB223" s="168"/>
      <c r="CC223" s="169"/>
      <c r="CD223" s="169"/>
      <c r="CE223" s="169"/>
      <c r="CF223" s="169"/>
      <c r="CG223" s="167"/>
      <c r="CH223" s="167"/>
      <c r="CI223" s="170"/>
      <c r="CJ223" s="170"/>
      <c r="CK223" s="167"/>
      <c r="CL223" s="170"/>
      <c r="CM223" s="170"/>
      <c r="CN223" s="170"/>
      <c r="CO223" s="170"/>
      <c r="CP223" s="170"/>
      <c r="CQ223" s="170"/>
      <c r="CR223" s="170"/>
      <c r="CS223" s="170"/>
      <c r="CT223" s="170"/>
      <c r="CU223" s="170"/>
      <c r="CV223" s="170"/>
      <c r="CW223" s="167"/>
      <c r="CX223" s="170"/>
      <c r="CY223" s="170"/>
      <c r="CZ223" s="170"/>
      <c r="DA223" s="170"/>
      <c r="DB223" s="170"/>
      <c r="DC223" s="170"/>
      <c r="DD223" s="170"/>
      <c r="DE223" s="170"/>
      <c r="DF223" s="170"/>
      <c r="DG223" s="170"/>
      <c r="DH223" s="170"/>
      <c r="DI223" s="170"/>
      <c r="DJ223" s="170"/>
      <c r="DK223" s="170"/>
      <c r="DL223" s="170"/>
      <c r="DM223" s="170"/>
      <c r="DN223" s="170"/>
      <c r="DO223" s="170"/>
      <c r="DP223" s="170"/>
      <c r="DQ223" s="170"/>
      <c r="DR223" s="170"/>
      <c r="DS223" s="170"/>
      <c r="DT223" s="170"/>
      <c r="DU223" s="170"/>
      <c r="DV223" s="170"/>
    </row>
    <row r="224" spans="59:126" ht="15" hidden="1" x14ac:dyDescent="0.25">
      <c r="BG224" s="262"/>
      <c r="BH224" s="263"/>
      <c r="BI224" s="263"/>
      <c r="BJ224" s="305"/>
      <c r="BK224" s="265"/>
      <c r="BL224" s="265"/>
      <c r="BM224" s="265"/>
      <c r="BN224" s="312"/>
      <c r="BO224" s="312"/>
      <c r="BP224" s="322"/>
      <c r="BQ224" s="312"/>
      <c r="BR224" s="312"/>
      <c r="BS224" s="322"/>
      <c r="BT224" s="322"/>
      <c r="BU224" s="322"/>
      <c r="BV224" s="322"/>
      <c r="BW224" s="322"/>
      <c r="BX224" s="322"/>
      <c r="BY224" s="326" t="s">
        <v>217</v>
      </c>
      <c r="BZ224" s="326" t="s">
        <v>415</v>
      </c>
      <c r="CA224" s="248">
        <f>11.7*CG29/1000</f>
        <v>1.17</v>
      </c>
      <c r="CB224" s="168"/>
      <c r="CC224" s="169"/>
      <c r="CD224" s="169"/>
      <c r="CE224" s="169"/>
      <c r="CF224" s="169"/>
      <c r="CG224" s="167"/>
      <c r="CH224" s="167"/>
      <c r="CI224" s="170"/>
      <c r="CJ224" s="170"/>
      <c r="CK224" s="167"/>
      <c r="CL224" s="170"/>
      <c r="CM224" s="170"/>
      <c r="CN224" s="170"/>
      <c r="CO224" s="170"/>
      <c r="CP224" s="170"/>
      <c r="CQ224" s="170"/>
      <c r="CR224" s="170"/>
      <c r="CS224" s="170"/>
      <c r="CT224" s="170"/>
      <c r="CU224" s="170"/>
      <c r="CV224" s="170"/>
      <c r="CW224" s="167"/>
      <c r="CX224" s="170"/>
      <c r="CY224" s="170"/>
      <c r="CZ224" s="170"/>
      <c r="DA224" s="170"/>
      <c r="DB224" s="170"/>
      <c r="DC224" s="170"/>
      <c r="DD224" s="170"/>
      <c r="DE224" s="170"/>
      <c r="DF224" s="170"/>
      <c r="DG224" s="170"/>
      <c r="DH224" s="170"/>
      <c r="DI224" s="170"/>
      <c r="DJ224" s="170"/>
      <c r="DK224" s="170"/>
      <c r="DL224" s="170"/>
      <c r="DM224" s="170"/>
      <c r="DN224" s="170"/>
      <c r="DO224" s="170"/>
      <c r="DP224" s="170"/>
      <c r="DQ224" s="170"/>
      <c r="DR224" s="170"/>
      <c r="DS224" s="170"/>
      <c r="DT224" s="170"/>
      <c r="DU224" s="170"/>
      <c r="DV224" s="170"/>
    </row>
    <row r="225" spans="59:126" ht="15" hidden="1" x14ac:dyDescent="0.25">
      <c r="BG225" s="262"/>
      <c r="BH225" s="263"/>
      <c r="BI225" s="263"/>
      <c r="BJ225" s="265"/>
      <c r="BK225" s="265"/>
      <c r="BL225" s="265"/>
      <c r="BM225" s="265"/>
      <c r="BN225" s="312"/>
      <c r="BO225" s="312"/>
      <c r="BP225" s="322"/>
      <c r="BQ225" s="312"/>
      <c r="BR225" s="312"/>
      <c r="BS225" s="322"/>
      <c r="BT225" s="322"/>
      <c r="BU225" s="322"/>
      <c r="BV225" s="322"/>
      <c r="BW225" s="322"/>
      <c r="BX225" s="322"/>
      <c r="BY225" s="326"/>
      <c r="BZ225" s="326" t="s">
        <v>414</v>
      </c>
      <c r="CA225" s="248">
        <f>CA188*(54.8*CA187^-0.3981)</f>
        <v>8.5240123718894836</v>
      </c>
      <c r="CB225" s="168"/>
      <c r="CC225" s="169"/>
      <c r="CD225" s="169"/>
      <c r="CE225" s="169"/>
      <c r="CF225" s="169"/>
      <c r="CG225" s="167"/>
      <c r="CH225" s="167"/>
      <c r="CI225" s="170"/>
      <c r="CJ225" s="170"/>
      <c r="CK225" s="167"/>
      <c r="CL225" s="170"/>
      <c r="CM225" s="170"/>
      <c r="CN225" s="170"/>
      <c r="CO225" s="170"/>
      <c r="CP225" s="170"/>
      <c r="CQ225" s="170"/>
      <c r="CR225" s="170"/>
      <c r="CS225" s="170"/>
      <c r="CT225" s="170"/>
      <c r="CU225" s="170"/>
      <c r="CV225" s="170"/>
      <c r="CW225" s="167"/>
      <c r="CX225" s="170"/>
      <c r="CY225" s="170"/>
      <c r="CZ225" s="170"/>
      <c r="DA225" s="170"/>
      <c r="DB225" s="170"/>
      <c r="DC225" s="170"/>
      <c r="DD225" s="170"/>
      <c r="DE225" s="170"/>
      <c r="DF225" s="170"/>
      <c r="DG225" s="170"/>
      <c r="DH225" s="170"/>
      <c r="DI225" s="170"/>
      <c r="DJ225" s="170"/>
      <c r="DK225" s="170"/>
      <c r="DL225" s="170"/>
      <c r="DM225" s="170"/>
      <c r="DN225" s="170"/>
      <c r="DO225" s="170"/>
      <c r="DP225" s="170"/>
      <c r="DQ225" s="170"/>
      <c r="DR225" s="170"/>
      <c r="DS225" s="170"/>
      <c r="DT225" s="170"/>
      <c r="DU225" s="170"/>
      <c r="DV225" s="170"/>
    </row>
    <row r="226" spans="59:126" ht="15" hidden="1" x14ac:dyDescent="0.25">
      <c r="BG226" s="262"/>
      <c r="BH226" s="263"/>
      <c r="BI226" s="263"/>
      <c r="BJ226" s="333"/>
      <c r="BK226" s="333"/>
      <c r="BL226" s="265"/>
      <c r="BM226" s="265"/>
      <c r="BN226" s="312"/>
      <c r="BO226" s="312"/>
      <c r="BP226" s="322"/>
      <c r="BQ226" s="312"/>
      <c r="BR226" s="312"/>
      <c r="BS226" s="322"/>
      <c r="BT226" s="322"/>
      <c r="BU226" s="322"/>
      <c r="BV226" s="322"/>
      <c r="BW226" s="322"/>
      <c r="BX226" s="322"/>
      <c r="BY226" s="326"/>
      <c r="BZ226" s="326" t="s">
        <v>418</v>
      </c>
      <c r="CA226" s="248">
        <f>CA225+CA224</f>
        <v>9.6940123718894835</v>
      </c>
      <c r="CB226" s="168"/>
      <c r="CC226" s="169"/>
      <c r="CD226" s="169"/>
      <c r="CE226" s="169"/>
      <c r="CF226" s="169"/>
      <c r="CG226" s="167"/>
      <c r="CH226" s="167"/>
      <c r="CI226" s="170"/>
      <c r="CJ226" s="170"/>
      <c r="CK226" s="167"/>
      <c r="CL226" s="170"/>
      <c r="CM226" s="170"/>
      <c r="CN226" s="170"/>
      <c r="CO226" s="170"/>
      <c r="CP226" s="170"/>
      <c r="CQ226" s="170"/>
      <c r="CR226" s="170"/>
      <c r="CS226" s="170"/>
      <c r="CT226" s="170"/>
      <c r="CU226" s="170"/>
      <c r="CV226" s="170"/>
      <c r="CW226" s="167"/>
      <c r="CX226" s="170"/>
      <c r="CY226" s="170"/>
      <c r="CZ226" s="170"/>
      <c r="DA226" s="170"/>
      <c r="DB226" s="170"/>
      <c r="DC226" s="170"/>
      <c r="DD226" s="170"/>
      <c r="DE226" s="170"/>
      <c r="DF226" s="170"/>
      <c r="DG226" s="170"/>
      <c r="DH226" s="170"/>
      <c r="DI226" s="170"/>
      <c r="DJ226" s="170"/>
      <c r="DK226" s="170"/>
      <c r="DL226" s="170"/>
      <c r="DM226" s="170"/>
      <c r="DN226" s="170"/>
      <c r="DO226" s="170"/>
      <c r="DP226" s="170"/>
      <c r="DQ226" s="170"/>
      <c r="DR226" s="170"/>
      <c r="DS226" s="170"/>
      <c r="DT226" s="170"/>
      <c r="DU226" s="170"/>
      <c r="DV226" s="170"/>
    </row>
    <row r="227" spans="59:126" ht="15" hidden="1" x14ac:dyDescent="0.25">
      <c r="BG227" s="262"/>
      <c r="BH227" s="263"/>
      <c r="BI227" s="263"/>
      <c r="BJ227" s="265"/>
      <c r="BK227" s="265"/>
      <c r="BL227" s="265"/>
      <c r="BM227" s="265"/>
      <c r="BN227" s="312"/>
      <c r="BO227" s="312"/>
      <c r="BP227" s="322"/>
      <c r="BQ227" s="312"/>
      <c r="BR227" s="312"/>
      <c r="BS227" s="322"/>
      <c r="BT227" s="322"/>
      <c r="BU227" s="322"/>
      <c r="BV227" s="322"/>
      <c r="BW227" s="322"/>
      <c r="BX227" s="322"/>
      <c r="BY227" s="326"/>
      <c r="BZ227" s="326" t="s">
        <v>420</v>
      </c>
      <c r="CA227" s="167"/>
      <c r="CB227" s="168"/>
      <c r="CC227" s="169"/>
      <c r="CD227" s="169"/>
      <c r="CE227" s="169"/>
      <c r="CF227" s="169"/>
      <c r="CG227" s="167"/>
      <c r="CH227" s="167"/>
      <c r="CI227" s="170"/>
      <c r="CJ227" s="170"/>
      <c r="CK227" s="167"/>
      <c r="CL227" s="170"/>
      <c r="CM227" s="170"/>
      <c r="CN227" s="170"/>
      <c r="CO227" s="170"/>
      <c r="CP227" s="170"/>
      <c r="CQ227" s="170"/>
      <c r="CR227" s="170"/>
      <c r="CS227" s="170"/>
      <c r="CT227" s="170"/>
      <c r="CU227" s="170"/>
      <c r="CV227" s="170"/>
      <c r="CW227" s="167"/>
      <c r="CX227" s="170"/>
      <c r="CY227" s="170"/>
      <c r="CZ227" s="170"/>
      <c r="DA227" s="170"/>
      <c r="DB227" s="170"/>
      <c r="DC227" s="170"/>
      <c r="DD227" s="170"/>
      <c r="DE227" s="170"/>
      <c r="DF227" s="170"/>
      <c r="DG227" s="170"/>
      <c r="DH227" s="170"/>
      <c r="DI227" s="170"/>
      <c r="DJ227" s="170"/>
      <c r="DK227" s="170"/>
      <c r="DL227" s="170"/>
      <c r="DM227" s="170"/>
      <c r="DN227" s="170"/>
      <c r="DO227" s="170"/>
      <c r="DP227" s="170"/>
      <c r="DQ227" s="170"/>
      <c r="DR227" s="170"/>
      <c r="DS227" s="170"/>
      <c r="DT227" s="170"/>
      <c r="DU227" s="170"/>
      <c r="DV227" s="170"/>
    </row>
    <row r="228" spans="59:126" ht="15" hidden="1" x14ac:dyDescent="0.25">
      <c r="BG228" s="262"/>
      <c r="BH228" s="263"/>
      <c r="BI228" s="263"/>
      <c r="BJ228" s="305"/>
      <c r="BK228" s="265"/>
      <c r="BL228" s="265"/>
      <c r="BM228" s="265"/>
      <c r="BN228" s="312"/>
      <c r="BO228" s="312"/>
      <c r="BP228" s="322"/>
      <c r="BQ228" s="312"/>
      <c r="BR228" s="312"/>
      <c r="BS228" s="322"/>
      <c r="BT228" s="322"/>
      <c r="BU228" s="322"/>
      <c r="BV228" s="322"/>
      <c r="BW228" s="322"/>
      <c r="BX228" s="322"/>
      <c r="BY228" s="326"/>
      <c r="BZ228" s="330" t="s">
        <v>422</v>
      </c>
      <c r="CA228" s="331">
        <f>CA226/DD21</f>
        <v>17.066923189946277</v>
      </c>
      <c r="CB228" s="168"/>
      <c r="CC228" s="169"/>
      <c r="CD228" s="169"/>
      <c r="CE228" s="169"/>
      <c r="CF228" s="169"/>
      <c r="CG228" s="167"/>
      <c r="CH228" s="167"/>
      <c r="CI228" s="170"/>
      <c r="CJ228" s="170"/>
      <c r="CK228" s="167"/>
      <c r="CL228" s="170"/>
      <c r="CM228" s="170"/>
      <c r="CN228" s="170"/>
      <c r="CO228" s="170"/>
      <c r="CP228" s="170"/>
      <c r="CQ228" s="170"/>
      <c r="CR228" s="170"/>
      <c r="CS228" s="170"/>
      <c r="CT228" s="170"/>
      <c r="CU228" s="170"/>
      <c r="CV228" s="170"/>
      <c r="CW228" s="167"/>
      <c r="CX228" s="170"/>
      <c r="CY228" s="170"/>
      <c r="CZ228" s="170"/>
      <c r="DA228" s="170"/>
      <c r="DB228" s="170"/>
      <c r="DC228" s="170"/>
      <c r="DD228" s="170"/>
      <c r="DE228" s="170"/>
      <c r="DF228" s="170"/>
      <c r="DG228" s="170"/>
      <c r="DH228" s="170"/>
      <c r="DI228" s="170"/>
      <c r="DJ228" s="170"/>
      <c r="DK228" s="170"/>
      <c r="DL228" s="170"/>
      <c r="DM228" s="170"/>
      <c r="DN228" s="170"/>
      <c r="DO228" s="170"/>
      <c r="DP228" s="170"/>
      <c r="DQ228" s="170"/>
      <c r="DR228" s="170"/>
      <c r="DS228" s="170"/>
      <c r="DT228" s="170"/>
      <c r="DU228" s="170"/>
      <c r="DV228" s="170"/>
    </row>
    <row r="229" spans="59:126" ht="15" hidden="1" x14ac:dyDescent="0.25">
      <c r="BG229" s="262"/>
      <c r="BH229" s="263"/>
      <c r="BI229" s="263"/>
      <c r="BJ229" s="305"/>
      <c r="BK229" s="265"/>
      <c r="BL229" s="265"/>
      <c r="BM229" s="265"/>
      <c r="BN229" s="312"/>
      <c r="BO229" s="312"/>
      <c r="BP229" s="322"/>
      <c r="BQ229" s="312"/>
      <c r="BR229" s="312"/>
      <c r="BS229" s="322"/>
      <c r="BT229" s="322"/>
      <c r="BU229" s="322"/>
      <c r="BV229" s="322"/>
      <c r="BW229" s="322"/>
      <c r="BX229" s="322"/>
      <c r="BY229" s="326"/>
      <c r="BZ229" s="326"/>
      <c r="CA229" s="167"/>
      <c r="CB229" s="168"/>
      <c r="CC229" s="169"/>
      <c r="CD229" s="169"/>
      <c r="CE229" s="169"/>
      <c r="CF229" s="169"/>
      <c r="CG229" s="167"/>
      <c r="CH229" s="167"/>
      <c r="CI229" s="170"/>
      <c r="CJ229" s="170"/>
      <c r="CK229" s="167"/>
      <c r="CL229" s="170"/>
      <c r="CM229" s="170"/>
      <c r="CN229" s="170"/>
      <c r="CO229" s="170"/>
      <c r="CP229" s="170"/>
      <c r="CQ229" s="170"/>
      <c r="CR229" s="170"/>
      <c r="CS229" s="170"/>
      <c r="CT229" s="170"/>
      <c r="CU229" s="170"/>
      <c r="CV229" s="170"/>
      <c r="CW229" s="167"/>
      <c r="CX229" s="170"/>
      <c r="CY229" s="170"/>
      <c r="CZ229" s="170"/>
      <c r="DA229" s="170"/>
      <c r="DB229" s="170"/>
      <c r="DC229" s="170"/>
      <c r="DD229" s="170"/>
      <c r="DE229" s="170"/>
      <c r="DF229" s="170"/>
      <c r="DG229" s="170"/>
      <c r="DH229" s="170"/>
      <c r="DI229" s="170"/>
      <c r="DJ229" s="170"/>
      <c r="DK229" s="170"/>
      <c r="DL229" s="170"/>
      <c r="DM229" s="170"/>
      <c r="DN229" s="170"/>
      <c r="DO229" s="170"/>
      <c r="DP229" s="170"/>
      <c r="DQ229" s="170"/>
      <c r="DR229" s="170"/>
      <c r="DS229" s="170"/>
      <c r="DT229" s="170"/>
      <c r="DU229" s="170"/>
      <c r="DV229" s="170"/>
    </row>
    <row r="230" spans="59:126" ht="15" hidden="1" x14ac:dyDescent="0.25">
      <c r="BG230" s="262"/>
      <c r="BH230" s="263"/>
      <c r="BI230" s="263"/>
      <c r="BJ230" s="265"/>
      <c r="BK230" s="265"/>
      <c r="BL230" s="265"/>
      <c r="BM230" s="265"/>
      <c r="BN230" s="312"/>
      <c r="BO230" s="312"/>
      <c r="BP230" s="322"/>
      <c r="BQ230" s="312"/>
      <c r="BR230" s="312"/>
      <c r="BS230" s="322"/>
      <c r="BT230" s="322"/>
      <c r="BU230" s="322"/>
      <c r="BV230" s="322"/>
      <c r="BW230" s="322"/>
      <c r="BX230" s="322"/>
      <c r="BY230" s="326" t="s">
        <v>425</v>
      </c>
      <c r="BZ230" s="326" t="s">
        <v>426</v>
      </c>
      <c r="CA230" s="248">
        <f>13.5*CG29/1000</f>
        <v>1.35</v>
      </c>
      <c r="CB230" s="168"/>
      <c r="CC230" s="169"/>
      <c r="CD230" s="169"/>
      <c r="CE230" s="169"/>
      <c r="CF230" s="169"/>
      <c r="CG230" s="167"/>
      <c r="CH230" s="167"/>
      <c r="CI230" s="170"/>
      <c r="CJ230" s="170"/>
      <c r="CK230" s="167"/>
      <c r="CL230" s="170"/>
      <c r="CM230" s="170"/>
      <c r="CN230" s="170"/>
      <c r="CO230" s="170"/>
      <c r="CP230" s="170"/>
      <c r="CQ230" s="170"/>
      <c r="CR230" s="170"/>
      <c r="CS230" s="170"/>
      <c r="CT230" s="170"/>
      <c r="CU230" s="170"/>
      <c r="CV230" s="170"/>
      <c r="CW230" s="167"/>
      <c r="CX230" s="170"/>
      <c r="CY230" s="170"/>
      <c r="CZ230" s="170"/>
      <c r="DA230" s="170"/>
      <c r="DB230" s="170"/>
      <c r="DC230" s="170"/>
      <c r="DD230" s="170"/>
      <c r="DE230" s="170"/>
      <c r="DF230" s="170"/>
      <c r="DG230" s="170"/>
      <c r="DH230" s="170"/>
      <c r="DI230" s="170"/>
      <c r="DJ230" s="170"/>
      <c r="DK230" s="170"/>
      <c r="DL230" s="170"/>
      <c r="DM230" s="170"/>
      <c r="DN230" s="170"/>
      <c r="DO230" s="170"/>
      <c r="DP230" s="170"/>
      <c r="DQ230" s="170"/>
      <c r="DR230" s="170"/>
      <c r="DS230" s="170"/>
      <c r="DT230" s="170"/>
      <c r="DU230" s="170"/>
      <c r="DV230" s="170"/>
    </row>
    <row r="231" spans="59:126" ht="15" hidden="1" x14ac:dyDescent="0.25">
      <c r="BG231" s="262"/>
      <c r="BH231" s="263"/>
      <c r="BI231" s="263"/>
      <c r="BJ231" s="333"/>
      <c r="BK231" s="265"/>
      <c r="BL231" s="265"/>
      <c r="BM231" s="265"/>
      <c r="BN231" s="312"/>
      <c r="BO231" s="312"/>
      <c r="BP231" s="322"/>
      <c r="BQ231" s="312"/>
      <c r="BR231" s="312"/>
      <c r="BS231" s="322"/>
      <c r="BT231" s="322"/>
      <c r="BU231" s="322"/>
      <c r="BV231" s="322"/>
      <c r="BW231" s="322"/>
      <c r="BX231" s="322"/>
      <c r="BY231" s="326"/>
      <c r="BZ231" s="326" t="s">
        <v>428</v>
      </c>
      <c r="CA231" s="248">
        <f>CA188*(8.6*CA187^-0.0371)</f>
        <v>6.9548563647586858</v>
      </c>
      <c r="CB231" s="168"/>
      <c r="CC231" s="169"/>
      <c r="CD231" s="169"/>
      <c r="CE231" s="169"/>
      <c r="CF231" s="169"/>
      <c r="CG231" s="167"/>
      <c r="CH231" s="167"/>
      <c r="CI231" s="170"/>
      <c r="CJ231" s="170"/>
      <c r="CK231" s="167"/>
      <c r="CL231" s="170"/>
      <c r="CM231" s="170"/>
      <c r="CN231" s="170"/>
      <c r="CO231" s="170"/>
      <c r="CP231" s="170"/>
      <c r="CQ231" s="170"/>
      <c r="CR231" s="170"/>
      <c r="CS231" s="170"/>
      <c r="CT231" s="170"/>
      <c r="CU231" s="170"/>
      <c r="CV231" s="170"/>
      <c r="CW231" s="167"/>
      <c r="CX231" s="170"/>
      <c r="CY231" s="170"/>
      <c r="CZ231" s="170"/>
      <c r="DA231" s="170"/>
      <c r="DB231" s="170"/>
      <c r="DC231" s="170"/>
      <c r="DD231" s="170"/>
      <c r="DE231" s="170"/>
      <c r="DF231" s="170"/>
      <c r="DG231" s="170"/>
      <c r="DH231" s="170"/>
      <c r="DI231" s="170"/>
      <c r="DJ231" s="170"/>
      <c r="DK231" s="170"/>
      <c r="DL231" s="170"/>
      <c r="DM231" s="170"/>
      <c r="DN231" s="170"/>
      <c r="DO231" s="170"/>
      <c r="DP231" s="170"/>
      <c r="DQ231" s="170"/>
      <c r="DR231" s="170"/>
      <c r="DS231" s="170"/>
      <c r="DT231" s="170"/>
      <c r="DU231" s="170"/>
      <c r="DV231" s="170"/>
    </row>
    <row r="232" spans="59:126" ht="15" hidden="1" x14ac:dyDescent="0.25">
      <c r="BG232" s="262"/>
      <c r="BH232" s="263"/>
      <c r="BI232" s="263"/>
      <c r="BJ232" s="265"/>
      <c r="BK232" s="265"/>
      <c r="BL232" s="265"/>
      <c r="BM232" s="265"/>
      <c r="BN232" s="312"/>
      <c r="BO232" s="312"/>
      <c r="BP232" s="322"/>
      <c r="BQ232" s="312"/>
      <c r="BR232" s="312"/>
      <c r="BS232" s="322"/>
      <c r="BT232" s="322"/>
      <c r="BU232" s="322"/>
      <c r="BV232" s="322"/>
      <c r="BW232" s="322"/>
      <c r="BX232" s="322"/>
      <c r="BY232" s="326"/>
      <c r="BZ232" s="326" t="s">
        <v>430</v>
      </c>
      <c r="CA232" s="248">
        <f>CA231+CA230</f>
        <v>8.3048563647586864</v>
      </c>
      <c r="CB232" s="168"/>
      <c r="CC232" s="169"/>
      <c r="CD232" s="169"/>
      <c r="CE232" s="169"/>
      <c r="CF232" s="169"/>
      <c r="CG232" s="167"/>
      <c r="CH232" s="167"/>
      <c r="CI232" s="170"/>
      <c r="CJ232" s="170"/>
      <c r="CK232" s="167"/>
      <c r="CL232" s="170"/>
      <c r="CM232" s="170"/>
      <c r="CN232" s="170"/>
      <c r="CO232" s="170"/>
      <c r="CP232" s="170"/>
      <c r="CQ232" s="170"/>
      <c r="CR232" s="170"/>
      <c r="CS232" s="170"/>
      <c r="CT232" s="170"/>
      <c r="CU232" s="170"/>
      <c r="CV232" s="170"/>
      <c r="CW232" s="167"/>
      <c r="CX232" s="170"/>
      <c r="CY232" s="170"/>
      <c r="CZ232" s="170"/>
      <c r="DA232" s="170"/>
      <c r="DB232" s="170"/>
      <c r="DC232" s="170"/>
      <c r="DD232" s="170"/>
      <c r="DE232" s="170"/>
      <c r="DF232" s="170"/>
      <c r="DG232" s="170"/>
      <c r="DH232" s="170"/>
      <c r="DI232" s="170"/>
      <c r="DJ232" s="170"/>
      <c r="DK232" s="170"/>
      <c r="DL232" s="170"/>
      <c r="DM232" s="170"/>
      <c r="DN232" s="170"/>
      <c r="DO232" s="170"/>
      <c r="DP232" s="170"/>
      <c r="DQ232" s="170"/>
      <c r="DR232" s="170"/>
      <c r="DS232" s="170"/>
      <c r="DT232" s="170"/>
      <c r="DU232" s="170"/>
      <c r="DV232" s="170"/>
    </row>
    <row r="233" spans="59:126" ht="15" hidden="1" x14ac:dyDescent="0.25">
      <c r="BG233" s="262"/>
      <c r="BH233" s="263"/>
      <c r="BI233" s="263"/>
      <c r="BJ233" s="305"/>
      <c r="BK233" s="265"/>
      <c r="BL233" s="265"/>
      <c r="BM233" s="265"/>
      <c r="BN233" s="312"/>
      <c r="BO233" s="312"/>
      <c r="BP233" s="322"/>
      <c r="BQ233" s="312"/>
      <c r="BR233" s="312"/>
      <c r="BS233" s="322"/>
      <c r="BT233" s="322"/>
      <c r="BU233" s="322"/>
      <c r="BV233" s="322"/>
      <c r="BW233" s="322"/>
      <c r="BX233" s="322"/>
      <c r="BY233" s="326"/>
      <c r="BZ233" s="326" t="s">
        <v>258</v>
      </c>
      <c r="CA233" s="167"/>
      <c r="CB233" s="168"/>
      <c r="CC233" s="169"/>
      <c r="CD233" s="169"/>
      <c r="CE233" s="169"/>
      <c r="CF233" s="169"/>
      <c r="CG233" s="167"/>
      <c r="CH233" s="167"/>
      <c r="CI233" s="170"/>
      <c r="CJ233" s="170"/>
      <c r="CK233" s="167"/>
      <c r="CL233" s="170"/>
      <c r="CM233" s="170"/>
      <c r="CN233" s="170"/>
      <c r="CO233" s="170"/>
      <c r="CP233" s="170"/>
      <c r="CQ233" s="170"/>
      <c r="CR233" s="170"/>
      <c r="CS233" s="170"/>
      <c r="CT233" s="170"/>
      <c r="CU233" s="170"/>
      <c r="CV233" s="170"/>
      <c r="CW233" s="167"/>
      <c r="CX233" s="170"/>
      <c r="CY233" s="170"/>
      <c r="CZ233" s="170"/>
      <c r="DA233" s="170"/>
      <c r="DB233" s="170"/>
      <c r="DC233" s="170"/>
      <c r="DD233" s="170"/>
      <c r="DE233" s="170"/>
      <c r="DF233" s="170"/>
      <c r="DG233" s="170"/>
      <c r="DH233" s="170"/>
      <c r="DI233" s="170"/>
      <c r="DJ233" s="170"/>
      <c r="DK233" s="170"/>
      <c r="DL233" s="170"/>
      <c r="DM233" s="170"/>
      <c r="DN233" s="170"/>
      <c r="DO233" s="170"/>
      <c r="DP233" s="170"/>
      <c r="DQ233" s="170"/>
      <c r="DR233" s="170"/>
      <c r="DS233" s="170"/>
      <c r="DT233" s="170"/>
      <c r="DU233" s="170"/>
      <c r="DV233" s="170"/>
    </row>
    <row r="234" spans="59:126" ht="15" hidden="1" x14ac:dyDescent="0.25">
      <c r="BG234" s="262"/>
      <c r="BH234" s="263"/>
      <c r="BI234" s="263"/>
      <c r="BJ234" s="305"/>
      <c r="BK234" s="265"/>
      <c r="BL234" s="265"/>
      <c r="BM234" s="265"/>
      <c r="BN234" s="312"/>
      <c r="BO234" s="312"/>
      <c r="BP234" s="322"/>
      <c r="BQ234" s="312"/>
      <c r="BR234" s="312"/>
      <c r="BS234" s="322"/>
      <c r="BT234" s="322"/>
      <c r="BU234" s="322"/>
      <c r="BV234" s="322"/>
      <c r="BW234" s="322"/>
      <c r="BX234" s="322"/>
      <c r="BY234" s="326"/>
      <c r="BZ234" s="330" t="s">
        <v>431</v>
      </c>
      <c r="CA234" s="331">
        <f>CA232/DD23</f>
        <v>12.249050685484788</v>
      </c>
      <c r="CB234" s="335"/>
      <c r="CC234" s="169"/>
      <c r="CD234" s="169"/>
      <c r="CE234" s="169"/>
      <c r="CF234" s="169"/>
      <c r="CG234" s="167"/>
      <c r="CH234" s="167"/>
      <c r="CI234" s="170"/>
      <c r="CJ234" s="170"/>
      <c r="CK234" s="167"/>
      <c r="CL234" s="170"/>
      <c r="CM234" s="170"/>
      <c r="CN234" s="170"/>
      <c r="CO234" s="170"/>
      <c r="CP234" s="170"/>
      <c r="CQ234" s="170"/>
      <c r="CR234" s="170"/>
      <c r="CS234" s="170"/>
      <c r="CT234" s="170"/>
      <c r="CU234" s="170"/>
      <c r="CV234" s="170"/>
      <c r="CW234" s="167"/>
      <c r="CX234" s="170"/>
      <c r="CY234" s="170"/>
      <c r="CZ234" s="170"/>
      <c r="DA234" s="170"/>
      <c r="DB234" s="170"/>
      <c r="DC234" s="170"/>
      <c r="DD234" s="170"/>
      <c r="DE234" s="170"/>
      <c r="DF234" s="170"/>
      <c r="DG234" s="170"/>
      <c r="DH234" s="170"/>
      <c r="DI234" s="170"/>
      <c r="DJ234" s="170"/>
      <c r="DK234" s="170"/>
      <c r="DL234" s="170"/>
      <c r="DM234" s="170"/>
      <c r="DN234" s="170"/>
      <c r="DO234" s="170"/>
      <c r="DP234" s="170"/>
      <c r="DQ234" s="170"/>
      <c r="DR234" s="170"/>
      <c r="DS234" s="170"/>
      <c r="DT234" s="170"/>
      <c r="DU234" s="170"/>
      <c r="DV234" s="170"/>
    </row>
    <row r="235" spans="59:126" ht="15" hidden="1" x14ac:dyDescent="0.25">
      <c r="BG235" s="262"/>
      <c r="BH235" s="263"/>
      <c r="BI235" s="263"/>
      <c r="BJ235" s="265"/>
      <c r="BK235" s="265"/>
      <c r="BL235" s="265"/>
      <c r="BM235" s="265"/>
      <c r="BN235" s="312"/>
      <c r="BO235" s="312"/>
      <c r="BP235" s="322"/>
      <c r="BQ235" s="312"/>
      <c r="BR235" s="312"/>
      <c r="BS235" s="322"/>
      <c r="BT235" s="322"/>
      <c r="BU235" s="322"/>
      <c r="BV235" s="322"/>
      <c r="BW235" s="322"/>
      <c r="BX235" s="322"/>
      <c r="BY235" s="330"/>
      <c r="BZ235" s="330"/>
      <c r="CA235" s="167"/>
      <c r="CB235" s="168"/>
      <c r="CC235" s="169"/>
      <c r="CD235" s="169"/>
      <c r="CE235" s="169"/>
      <c r="CF235" s="169"/>
      <c r="CG235" s="167"/>
      <c r="CH235" s="167"/>
      <c r="CI235" s="170"/>
      <c r="CJ235" s="170"/>
      <c r="CK235" s="167"/>
      <c r="CL235" s="170"/>
      <c r="CM235" s="170"/>
      <c r="CN235" s="170"/>
      <c r="CO235" s="170"/>
      <c r="CP235" s="170"/>
      <c r="CQ235" s="170"/>
      <c r="CR235" s="170"/>
      <c r="CS235" s="170"/>
      <c r="CT235" s="170"/>
      <c r="CU235" s="170"/>
      <c r="CV235" s="170"/>
      <c r="CW235" s="167"/>
      <c r="CX235" s="170"/>
      <c r="CY235" s="170"/>
      <c r="CZ235" s="170"/>
      <c r="DA235" s="170"/>
      <c r="DB235" s="170"/>
      <c r="DC235" s="170"/>
      <c r="DD235" s="170"/>
      <c r="DE235" s="170"/>
      <c r="DF235" s="170"/>
      <c r="DG235" s="170"/>
      <c r="DH235" s="170"/>
      <c r="DI235" s="170"/>
      <c r="DJ235" s="170"/>
      <c r="DK235" s="170"/>
      <c r="DL235" s="170"/>
      <c r="DM235" s="170"/>
      <c r="DN235" s="170"/>
      <c r="DO235" s="170"/>
      <c r="DP235" s="170"/>
      <c r="DQ235" s="170"/>
      <c r="DR235" s="170"/>
      <c r="DS235" s="170"/>
      <c r="DT235" s="170"/>
      <c r="DU235" s="170"/>
      <c r="DV235" s="170"/>
    </row>
    <row r="236" spans="59:126" ht="15" hidden="1" x14ac:dyDescent="0.25">
      <c r="BG236" s="262"/>
      <c r="BH236" s="263"/>
      <c r="BI236" s="263"/>
      <c r="BJ236" s="333"/>
      <c r="BK236" s="333"/>
      <c r="BL236" s="265"/>
      <c r="BM236" s="265"/>
      <c r="BN236" s="312"/>
      <c r="BO236" s="312"/>
      <c r="BP236" s="322"/>
      <c r="BQ236" s="312"/>
      <c r="BR236" s="312"/>
      <c r="BS236" s="322"/>
      <c r="BT236" s="322"/>
      <c r="BU236" s="322"/>
      <c r="BV236" s="322"/>
      <c r="BW236" s="322"/>
      <c r="BX236" s="322"/>
      <c r="BY236" s="334" t="s">
        <v>432</v>
      </c>
      <c r="BZ236" s="334"/>
      <c r="CA236" s="335">
        <f>CA228/CA234</f>
        <v>1.3933261954880065</v>
      </c>
      <c r="CB236" s="168"/>
      <c r="CC236" s="169"/>
      <c r="CD236" s="169"/>
      <c r="CE236" s="169"/>
      <c r="CF236" s="169"/>
      <c r="CG236" s="167"/>
      <c r="CH236" s="167"/>
      <c r="CI236" s="170"/>
      <c r="CJ236" s="170"/>
      <c r="CK236" s="167"/>
      <c r="CL236" s="170"/>
      <c r="CM236" s="170"/>
      <c r="CN236" s="170"/>
      <c r="CO236" s="170"/>
      <c r="CP236" s="170"/>
      <c r="CQ236" s="170"/>
      <c r="CR236" s="170"/>
      <c r="CS236" s="170"/>
      <c r="CT236" s="170"/>
      <c r="CU236" s="170"/>
      <c r="CV236" s="170"/>
      <c r="CW236" s="167"/>
      <c r="CX236" s="170"/>
      <c r="CY236" s="170"/>
      <c r="CZ236" s="170"/>
      <c r="DA236" s="170"/>
      <c r="DB236" s="170"/>
      <c r="DC236" s="170"/>
      <c r="DD236" s="170"/>
      <c r="DE236" s="170"/>
      <c r="DF236" s="170"/>
      <c r="DG236" s="170"/>
      <c r="DH236" s="170"/>
      <c r="DI236" s="170"/>
      <c r="DJ236" s="170"/>
      <c r="DK236" s="170"/>
      <c r="DL236" s="170"/>
      <c r="DM236" s="170"/>
      <c r="DN236" s="170"/>
      <c r="DO236" s="170"/>
      <c r="DP236" s="170"/>
      <c r="DQ236" s="170"/>
      <c r="DR236" s="170"/>
      <c r="DS236" s="170"/>
      <c r="DT236" s="170"/>
      <c r="DU236" s="170"/>
      <c r="DV236" s="170"/>
    </row>
    <row r="237" spans="59:126" ht="15" hidden="1" x14ac:dyDescent="0.25">
      <c r="BG237" s="262"/>
      <c r="BH237" s="263"/>
      <c r="BI237" s="263"/>
      <c r="BJ237" s="265"/>
      <c r="BK237" s="265"/>
      <c r="BL237" s="265"/>
      <c r="BM237" s="265"/>
      <c r="BN237" s="312"/>
      <c r="BO237" s="312"/>
      <c r="BP237" s="322"/>
      <c r="BQ237" s="312"/>
      <c r="BR237" s="312"/>
      <c r="BS237" s="322"/>
      <c r="BT237" s="322"/>
      <c r="BU237" s="322"/>
      <c r="BV237" s="322"/>
      <c r="BW237" s="322"/>
      <c r="BX237" s="322"/>
      <c r="BY237" s="326"/>
      <c r="BZ237" s="326"/>
      <c r="CA237" s="167"/>
      <c r="CB237" s="168"/>
      <c r="CC237" s="169"/>
      <c r="CD237" s="169"/>
      <c r="CE237" s="169"/>
      <c r="CF237" s="169"/>
      <c r="CG237" s="167"/>
      <c r="CH237" s="167"/>
      <c r="CI237" s="170"/>
      <c r="CJ237" s="170"/>
      <c r="CK237" s="167"/>
      <c r="CL237" s="170"/>
      <c r="CM237" s="170"/>
      <c r="CN237" s="170"/>
      <c r="CO237" s="170"/>
      <c r="CP237" s="170"/>
      <c r="CQ237" s="170"/>
      <c r="CR237" s="170"/>
      <c r="CS237" s="170"/>
      <c r="CT237" s="170"/>
      <c r="CU237" s="170"/>
      <c r="CV237" s="170"/>
      <c r="CW237" s="167"/>
      <c r="CX237" s="170"/>
      <c r="CY237" s="170"/>
      <c r="CZ237" s="170"/>
      <c r="DA237" s="170"/>
      <c r="DB237" s="170"/>
      <c r="DC237" s="170"/>
      <c r="DD237" s="170"/>
      <c r="DE237" s="170"/>
      <c r="DF237" s="170"/>
      <c r="DG237" s="170"/>
      <c r="DH237" s="170"/>
      <c r="DI237" s="170"/>
      <c r="DJ237" s="170"/>
      <c r="DK237" s="170"/>
      <c r="DL237" s="170"/>
      <c r="DM237" s="170"/>
      <c r="DN237" s="170"/>
      <c r="DO237" s="170"/>
      <c r="DP237" s="170"/>
      <c r="DQ237" s="170"/>
      <c r="DR237" s="170"/>
      <c r="DS237" s="170"/>
      <c r="DT237" s="170"/>
      <c r="DU237" s="170"/>
      <c r="DV237" s="170"/>
    </row>
    <row r="238" spans="59:126" ht="15" hidden="1" x14ac:dyDescent="0.25">
      <c r="BG238" s="262"/>
      <c r="BH238" s="263"/>
      <c r="BI238" s="263"/>
      <c r="BJ238" s="305"/>
      <c r="BK238" s="265"/>
      <c r="BL238" s="265"/>
      <c r="BM238" s="265"/>
      <c r="BN238" s="312"/>
      <c r="BO238" s="312"/>
      <c r="BP238" s="322"/>
      <c r="BQ238" s="312"/>
      <c r="BR238" s="312"/>
      <c r="BS238" s="322"/>
      <c r="BT238" s="322"/>
      <c r="BU238" s="322"/>
      <c r="BV238" s="322"/>
      <c r="BW238" s="322"/>
      <c r="BX238" s="322"/>
      <c r="BY238" s="326" t="s">
        <v>227</v>
      </c>
      <c r="BZ238" s="326" t="s">
        <v>433</v>
      </c>
      <c r="CA238" s="248">
        <f>CG29*5.9/1000</f>
        <v>0.59</v>
      </c>
      <c r="CB238" s="168"/>
      <c r="CC238" s="169"/>
      <c r="CD238" s="169"/>
      <c r="CE238" s="169"/>
      <c r="CF238" s="169"/>
      <c r="CG238" s="167"/>
      <c r="CH238" s="167"/>
      <c r="CI238" s="170"/>
      <c r="CJ238" s="170"/>
      <c r="CK238" s="167"/>
      <c r="CL238" s="170"/>
      <c r="CM238" s="170"/>
      <c r="CN238" s="170"/>
      <c r="CO238" s="170"/>
      <c r="CP238" s="170"/>
      <c r="CQ238" s="170"/>
      <c r="CR238" s="170"/>
      <c r="CS238" s="170"/>
      <c r="CT238" s="170"/>
      <c r="CU238" s="170"/>
      <c r="CV238" s="170"/>
      <c r="CW238" s="167"/>
      <c r="CX238" s="170"/>
      <c r="CY238" s="170"/>
      <c r="CZ238" s="170"/>
      <c r="DA238" s="170"/>
      <c r="DB238" s="170"/>
      <c r="DC238" s="170"/>
      <c r="DD238" s="170"/>
      <c r="DE238" s="170"/>
      <c r="DF238" s="170"/>
      <c r="DG238" s="170"/>
      <c r="DH238" s="170"/>
      <c r="DI238" s="170"/>
      <c r="DJ238" s="170"/>
      <c r="DK238" s="170"/>
      <c r="DL238" s="170"/>
      <c r="DM238" s="170"/>
      <c r="DN238" s="170"/>
      <c r="DO238" s="170"/>
      <c r="DP238" s="170"/>
      <c r="DQ238" s="170"/>
      <c r="DR238" s="170"/>
      <c r="DS238" s="170"/>
      <c r="DT238" s="170"/>
      <c r="DU238" s="170"/>
      <c r="DV238" s="170"/>
    </row>
    <row r="239" spans="59:126" ht="15" hidden="1" x14ac:dyDescent="0.25">
      <c r="BG239" s="262"/>
      <c r="BH239" s="263"/>
      <c r="BI239" s="263"/>
      <c r="BJ239" s="305"/>
      <c r="BK239" s="265"/>
      <c r="BL239" s="265"/>
      <c r="BM239" s="265"/>
      <c r="BN239" s="312"/>
      <c r="BO239" s="312"/>
      <c r="BP239" s="322"/>
      <c r="BQ239" s="312"/>
      <c r="BR239" s="312"/>
      <c r="BS239" s="322"/>
      <c r="BT239" s="322"/>
      <c r="BU239" s="322"/>
      <c r="BV239" s="322"/>
      <c r="BW239" s="322"/>
      <c r="BX239" s="322"/>
      <c r="BY239" s="326"/>
      <c r="BZ239" s="326" t="s">
        <v>519</v>
      </c>
      <c r="CA239" s="248">
        <f>CA188*(0.3466*CG29^-0.0173)</f>
        <v>0.30661547314796261</v>
      </c>
      <c r="CB239" s="168"/>
      <c r="CC239" s="169"/>
      <c r="CD239" s="169"/>
      <c r="CE239" s="169"/>
      <c r="CF239" s="169"/>
      <c r="CG239" s="167"/>
      <c r="CH239" s="167"/>
      <c r="CI239" s="170"/>
      <c r="CJ239" s="170"/>
      <c r="CK239" s="167"/>
      <c r="CL239" s="170"/>
      <c r="CM239" s="170"/>
      <c r="CN239" s="170"/>
      <c r="CO239" s="170"/>
      <c r="CP239" s="170"/>
      <c r="CQ239" s="170"/>
      <c r="CR239" s="170"/>
      <c r="CS239" s="170"/>
      <c r="CT239" s="170"/>
      <c r="CU239" s="170"/>
      <c r="CV239" s="170"/>
      <c r="CW239" s="167"/>
      <c r="CX239" s="170"/>
      <c r="CY239" s="170"/>
      <c r="CZ239" s="170"/>
      <c r="DA239" s="170"/>
      <c r="DB239" s="170"/>
      <c r="DC239" s="170"/>
      <c r="DD239" s="170"/>
      <c r="DE239" s="170"/>
      <c r="DF239" s="170"/>
      <c r="DG239" s="170"/>
      <c r="DH239" s="170"/>
      <c r="DI239" s="170"/>
      <c r="DJ239" s="170"/>
      <c r="DK239" s="170"/>
      <c r="DL239" s="170"/>
      <c r="DM239" s="170"/>
      <c r="DN239" s="170"/>
      <c r="DO239" s="170"/>
      <c r="DP239" s="170"/>
      <c r="DQ239" s="170"/>
      <c r="DR239" s="170"/>
      <c r="DS239" s="170"/>
      <c r="DT239" s="170"/>
      <c r="DU239" s="170"/>
      <c r="DV239" s="170"/>
    </row>
    <row r="240" spans="59:126" ht="15" hidden="1" x14ac:dyDescent="0.25">
      <c r="BG240" s="262"/>
      <c r="BH240" s="263"/>
      <c r="BI240" s="263"/>
      <c r="BJ240" s="265"/>
      <c r="BK240" s="265"/>
      <c r="BL240" s="265"/>
      <c r="BM240" s="265"/>
      <c r="BN240" s="312"/>
      <c r="BO240" s="312"/>
      <c r="BP240" s="322"/>
      <c r="BQ240" s="312"/>
      <c r="BR240" s="312"/>
      <c r="BS240" s="322"/>
      <c r="BT240" s="322"/>
      <c r="BU240" s="322"/>
      <c r="BV240" s="322"/>
      <c r="BW240" s="322"/>
      <c r="BX240" s="322"/>
      <c r="BY240" s="326"/>
      <c r="BZ240" s="326" t="s">
        <v>436</v>
      </c>
      <c r="CA240" s="248">
        <f>CA239+CA238</f>
        <v>0.89661547314796253</v>
      </c>
      <c r="CB240" s="168"/>
      <c r="CC240" s="169"/>
      <c r="CD240" s="169"/>
      <c r="CE240" s="169"/>
      <c r="CF240" s="169"/>
      <c r="CG240" s="167"/>
      <c r="CH240" s="167"/>
      <c r="CI240" s="170"/>
      <c r="CJ240" s="170"/>
      <c r="CK240" s="167"/>
      <c r="CL240" s="170"/>
      <c r="CM240" s="170"/>
      <c r="CN240" s="170"/>
      <c r="CO240" s="170"/>
      <c r="CP240" s="170"/>
      <c r="CQ240" s="170"/>
      <c r="CR240" s="170"/>
      <c r="CS240" s="170"/>
      <c r="CT240" s="170"/>
      <c r="CU240" s="170"/>
      <c r="CV240" s="170"/>
      <c r="CW240" s="167"/>
      <c r="CX240" s="170"/>
      <c r="CY240" s="170"/>
      <c r="CZ240" s="170"/>
      <c r="DA240" s="170"/>
      <c r="DB240" s="170"/>
      <c r="DC240" s="170"/>
      <c r="DD240" s="170"/>
      <c r="DE240" s="170"/>
      <c r="DF240" s="170"/>
      <c r="DG240" s="170"/>
      <c r="DH240" s="170"/>
      <c r="DI240" s="170"/>
      <c r="DJ240" s="170"/>
      <c r="DK240" s="170"/>
      <c r="DL240" s="170"/>
      <c r="DM240" s="170"/>
      <c r="DN240" s="170"/>
      <c r="DO240" s="170"/>
      <c r="DP240" s="170"/>
      <c r="DQ240" s="170"/>
      <c r="DR240" s="170"/>
      <c r="DS240" s="170"/>
      <c r="DT240" s="170"/>
      <c r="DU240" s="170"/>
      <c r="DV240" s="170"/>
    </row>
    <row r="241" spans="59:126" ht="15" hidden="1" x14ac:dyDescent="0.25">
      <c r="BG241" s="262"/>
      <c r="BH241" s="263"/>
      <c r="BI241" s="263"/>
      <c r="BJ241" s="333"/>
      <c r="BK241" s="333"/>
      <c r="BL241" s="265"/>
      <c r="BM241" s="265"/>
      <c r="BN241" s="312"/>
      <c r="BO241" s="312"/>
      <c r="BP241" s="322"/>
      <c r="BQ241" s="312"/>
      <c r="BR241" s="312"/>
      <c r="BS241" s="322"/>
      <c r="BT241" s="322"/>
      <c r="BU241" s="322"/>
      <c r="BV241" s="322"/>
      <c r="BW241" s="322"/>
      <c r="BX241" s="322"/>
      <c r="BY241" s="326"/>
      <c r="BZ241" s="326" t="s">
        <v>258</v>
      </c>
      <c r="CA241" s="167"/>
      <c r="CB241" s="168"/>
      <c r="CC241" s="169"/>
      <c r="CD241" s="169"/>
      <c r="CE241" s="169"/>
      <c r="CF241" s="169"/>
      <c r="CG241" s="167"/>
      <c r="CH241" s="167"/>
      <c r="CI241" s="170"/>
      <c r="CJ241" s="170"/>
      <c r="CK241" s="167"/>
      <c r="CL241" s="170"/>
      <c r="CM241" s="170"/>
      <c r="CN241" s="170"/>
      <c r="CO241" s="170"/>
      <c r="CP241" s="170"/>
      <c r="CQ241" s="170"/>
      <c r="CR241" s="170"/>
      <c r="CS241" s="170"/>
      <c r="CT241" s="170"/>
      <c r="CU241" s="170"/>
      <c r="CV241" s="170"/>
      <c r="CW241" s="167"/>
      <c r="CX241" s="170"/>
      <c r="CY241" s="170"/>
      <c r="CZ241" s="170"/>
      <c r="DA241" s="170"/>
      <c r="DB241" s="170"/>
      <c r="DC241" s="170"/>
      <c r="DD241" s="170"/>
      <c r="DE241" s="170"/>
      <c r="DF241" s="170"/>
      <c r="DG241" s="170"/>
      <c r="DH241" s="170"/>
      <c r="DI241" s="170"/>
      <c r="DJ241" s="170"/>
      <c r="DK241" s="170"/>
      <c r="DL241" s="170"/>
      <c r="DM241" s="170"/>
      <c r="DN241" s="170"/>
      <c r="DO241" s="170"/>
      <c r="DP241" s="170"/>
      <c r="DQ241" s="170"/>
      <c r="DR241" s="170"/>
      <c r="DS241" s="170"/>
      <c r="DT241" s="170"/>
      <c r="DU241" s="170"/>
      <c r="DV241" s="170"/>
    </row>
    <row r="242" spans="59:126" ht="15" hidden="1" x14ac:dyDescent="0.25">
      <c r="BG242" s="262"/>
      <c r="BH242" s="263"/>
      <c r="BI242" s="263"/>
      <c r="BJ242" s="265"/>
      <c r="BK242" s="265"/>
      <c r="BL242" s="265"/>
      <c r="BM242" s="265"/>
      <c r="BN242" s="312"/>
      <c r="BO242" s="312"/>
      <c r="BP242" s="322"/>
      <c r="BQ242" s="312"/>
      <c r="BR242" s="312"/>
      <c r="BS242" s="322"/>
      <c r="BT242" s="322"/>
      <c r="BU242" s="322"/>
      <c r="BV242" s="322"/>
      <c r="BW242" s="322"/>
      <c r="BX242" s="322"/>
      <c r="BY242" s="326"/>
      <c r="BZ242" s="330" t="s">
        <v>437</v>
      </c>
      <c r="CA242" s="335">
        <f>CA240/DD26</f>
        <v>2.5256773891491902</v>
      </c>
      <c r="CB242" s="336"/>
      <c r="CC242" s="169"/>
      <c r="CD242" s="169"/>
      <c r="CE242" s="169"/>
      <c r="CF242" s="169"/>
      <c r="CG242" s="167"/>
      <c r="CH242" s="167"/>
      <c r="CI242" s="170"/>
      <c r="CJ242" s="170"/>
      <c r="CK242" s="167"/>
      <c r="CL242" s="170"/>
      <c r="CM242" s="170"/>
      <c r="CN242" s="170"/>
      <c r="CO242" s="170"/>
      <c r="CP242" s="170"/>
      <c r="CQ242" s="170"/>
      <c r="CR242" s="170"/>
      <c r="CS242" s="170"/>
      <c r="CT242" s="170"/>
      <c r="CU242" s="170"/>
      <c r="CV242" s="170"/>
      <c r="CW242" s="167"/>
      <c r="CX242" s="170"/>
      <c r="CY242" s="170"/>
      <c r="CZ242" s="170"/>
      <c r="DA242" s="170"/>
      <c r="DB242" s="170"/>
      <c r="DC242" s="170"/>
      <c r="DD242" s="170"/>
      <c r="DE242" s="170"/>
      <c r="DF242" s="170"/>
      <c r="DG242" s="170"/>
      <c r="DH242" s="170"/>
      <c r="DI242" s="170"/>
      <c r="DJ242" s="170"/>
      <c r="DK242" s="170"/>
      <c r="DL242" s="170"/>
      <c r="DM242" s="170"/>
      <c r="DN242" s="170"/>
      <c r="DO242" s="170"/>
      <c r="DP242" s="170"/>
      <c r="DQ242" s="170"/>
      <c r="DR242" s="170"/>
      <c r="DS242" s="170"/>
      <c r="DT242" s="170"/>
      <c r="DU242" s="170"/>
      <c r="DV242" s="170"/>
    </row>
    <row r="243" spans="59:126" ht="15" hidden="1" x14ac:dyDescent="0.25">
      <c r="BG243" s="262"/>
      <c r="BH243" s="263"/>
      <c r="BI243" s="263"/>
      <c r="BJ243" s="305"/>
      <c r="BK243" s="265"/>
      <c r="BL243" s="265"/>
      <c r="BM243" s="265"/>
      <c r="BN243" s="312"/>
      <c r="BO243" s="312"/>
      <c r="BP243" s="322"/>
      <c r="BQ243" s="312"/>
      <c r="BR243" s="312"/>
      <c r="BS243" s="322"/>
      <c r="BT243" s="322"/>
      <c r="BU243" s="322"/>
      <c r="BV243" s="322"/>
      <c r="BW243" s="322"/>
      <c r="BX243" s="322"/>
      <c r="BY243" s="326"/>
      <c r="BZ243" s="330"/>
      <c r="CA243" s="167"/>
      <c r="CB243" s="168"/>
      <c r="CC243" s="169"/>
      <c r="CD243" s="169"/>
      <c r="CE243" s="169"/>
      <c r="CF243" s="169"/>
      <c r="CG243" s="167"/>
      <c r="CH243" s="167"/>
      <c r="CI243" s="170"/>
      <c r="CJ243" s="170"/>
      <c r="CK243" s="167"/>
      <c r="CL243" s="170"/>
      <c r="CM243" s="170"/>
      <c r="CN243" s="170"/>
      <c r="CO243" s="170"/>
      <c r="CP243" s="170"/>
      <c r="CQ243" s="170"/>
      <c r="CR243" s="170"/>
      <c r="CS243" s="170"/>
      <c r="CT243" s="170"/>
      <c r="CU243" s="170"/>
      <c r="CV243" s="170"/>
      <c r="CW243" s="167"/>
      <c r="CX243" s="170"/>
      <c r="CY243" s="170"/>
      <c r="CZ243" s="170"/>
      <c r="DA243" s="170"/>
      <c r="DB243" s="170"/>
      <c r="DC243" s="170"/>
      <c r="DD243" s="170"/>
      <c r="DE243" s="170"/>
      <c r="DF243" s="170"/>
      <c r="DG243" s="170"/>
      <c r="DH243" s="170"/>
      <c r="DI243" s="170"/>
      <c r="DJ243" s="170"/>
      <c r="DK243" s="170"/>
      <c r="DL243" s="170"/>
      <c r="DM243" s="170"/>
      <c r="DN243" s="170"/>
      <c r="DO243" s="170"/>
      <c r="DP243" s="170"/>
      <c r="DQ243" s="170"/>
      <c r="DR243" s="170"/>
      <c r="DS243" s="170"/>
      <c r="DT243" s="170"/>
      <c r="DU243" s="170"/>
      <c r="DV243" s="170"/>
    </row>
    <row r="244" spans="59:126" ht="15" hidden="1" x14ac:dyDescent="0.25">
      <c r="BG244" s="262"/>
      <c r="BH244" s="263"/>
      <c r="BI244" s="263"/>
      <c r="BJ244" s="305"/>
      <c r="BK244" s="265"/>
      <c r="BL244" s="265"/>
      <c r="BM244" s="265"/>
      <c r="BN244" s="312"/>
      <c r="BO244" s="312"/>
      <c r="BP244" s="322"/>
      <c r="BQ244" s="312"/>
      <c r="BR244" s="312"/>
      <c r="BS244" s="322"/>
      <c r="BT244" s="322"/>
      <c r="BU244" s="322"/>
      <c r="BV244" s="322"/>
      <c r="BW244" s="322"/>
      <c r="BX244" s="322"/>
      <c r="BY244" s="326" t="s">
        <v>238</v>
      </c>
      <c r="BZ244" s="326" t="s">
        <v>438</v>
      </c>
      <c r="CA244" s="248">
        <f>CG29*6.3/1000</f>
        <v>0.63</v>
      </c>
      <c r="CB244" s="168"/>
      <c r="CC244" s="169"/>
      <c r="CD244" s="169"/>
      <c r="CE244" s="169"/>
      <c r="CF244" s="169"/>
      <c r="CG244" s="167"/>
      <c r="CH244" s="167"/>
      <c r="CI244" s="170"/>
      <c r="CJ244" s="170"/>
      <c r="CK244" s="167"/>
      <c r="CL244" s="170"/>
      <c r="CM244" s="170"/>
      <c r="CN244" s="170"/>
      <c r="CO244" s="170"/>
      <c r="CP244" s="170"/>
      <c r="CQ244" s="170"/>
      <c r="CR244" s="170"/>
      <c r="CS244" s="170"/>
      <c r="CT244" s="170"/>
      <c r="CU244" s="170"/>
      <c r="CV244" s="170"/>
      <c r="CW244" s="167"/>
      <c r="CX244" s="170"/>
      <c r="CY244" s="170"/>
      <c r="CZ244" s="170"/>
      <c r="DA244" s="170"/>
      <c r="DB244" s="170"/>
      <c r="DC244" s="170"/>
      <c r="DD244" s="170"/>
      <c r="DE244" s="170"/>
      <c r="DF244" s="170"/>
      <c r="DG244" s="170"/>
      <c r="DH244" s="170"/>
      <c r="DI244" s="170"/>
      <c r="DJ244" s="170"/>
      <c r="DK244" s="170"/>
      <c r="DL244" s="170"/>
      <c r="DM244" s="170"/>
      <c r="DN244" s="170"/>
      <c r="DO244" s="170"/>
      <c r="DP244" s="170"/>
      <c r="DQ244" s="170"/>
      <c r="DR244" s="170"/>
      <c r="DS244" s="170"/>
      <c r="DT244" s="170"/>
      <c r="DU244" s="170"/>
      <c r="DV244" s="170"/>
    </row>
    <row r="245" spans="59:126" ht="15" hidden="1" x14ac:dyDescent="0.25">
      <c r="BG245" s="262"/>
      <c r="BH245" s="263"/>
      <c r="BI245" s="263"/>
      <c r="BJ245" s="265"/>
      <c r="BK245" s="265"/>
      <c r="BL245" s="265"/>
      <c r="BM245" s="265"/>
      <c r="BN245" s="312"/>
      <c r="BO245" s="312"/>
      <c r="BP245" s="322"/>
      <c r="BQ245" s="312"/>
      <c r="BR245" s="312"/>
      <c r="BS245" s="322"/>
      <c r="BT245" s="322"/>
      <c r="BU245" s="322"/>
      <c r="BV245" s="322"/>
      <c r="BW245" s="322"/>
      <c r="BX245" s="322"/>
      <c r="BY245" s="326"/>
      <c r="BZ245" s="326" t="s">
        <v>520</v>
      </c>
      <c r="CA245" s="248">
        <f>CA188*(1.2*CG29^-0.0209)</f>
        <v>1.0441112017721372</v>
      </c>
      <c r="CB245" s="168"/>
      <c r="CC245" s="169"/>
      <c r="CD245" s="169"/>
      <c r="CE245" s="169"/>
      <c r="CF245" s="169"/>
      <c r="CG245" s="167"/>
      <c r="CH245" s="167"/>
      <c r="CI245" s="170"/>
      <c r="CJ245" s="170"/>
      <c r="CK245" s="167"/>
      <c r="CL245" s="170"/>
      <c r="CM245" s="170"/>
      <c r="CN245" s="170"/>
      <c r="CO245" s="170"/>
      <c r="CP245" s="170"/>
      <c r="CQ245" s="170"/>
      <c r="CR245" s="170"/>
      <c r="CS245" s="170"/>
      <c r="CT245" s="170"/>
      <c r="CU245" s="170"/>
      <c r="CV245" s="170"/>
      <c r="CW245" s="167"/>
      <c r="CX245" s="170"/>
      <c r="CY245" s="170"/>
      <c r="CZ245" s="170"/>
      <c r="DA245" s="170"/>
      <c r="DB245" s="170"/>
      <c r="DC245" s="170"/>
      <c r="DD245" s="170"/>
      <c r="DE245" s="170"/>
      <c r="DF245" s="170"/>
      <c r="DG245" s="170"/>
      <c r="DH245" s="170"/>
      <c r="DI245" s="170"/>
      <c r="DJ245" s="170"/>
      <c r="DK245" s="170"/>
      <c r="DL245" s="170"/>
      <c r="DM245" s="170"/>
      <c r="DN245" s="170"/>
      <c r="DO245" s="170"/>
      <c r="DP245" s="170"/>
      <c r="DQ245" s="170"/>
      <c r="DR245" s="170"/>
      <c r="DS245" s="170"/>
      <c r="DT245" s="170"/>
      <c r="DU245" s="170"/>
      <c r="DV245" s="170"/>
    </row>
    <row r="246" spans="59:126" ht="15" hidden="1" x14ac:dyDescent="0.25">
      <c r="BG246" s="262"/>
      <c r="BH246" s="263"/>
      <c r="BI246" s="263"/>
      <c r="BJ246" s="333"/>
      <c r="BK246" s="333"/>
      <c r="BL246" s="265"/>
      <c r="BM246" s="265"/>
      <c r="BN246" s="312"/>
      <c r="BO246" s="312"/>
      <c r="BP246" s="322"/>
      <c r="BQ246" s="312"/>
      <c r="BR246" s="312"/>
      <c r="BS246" s="322"/>
      <c r="BT246" s="322"/>
      <c r="BU246" s="322"/>
      <c r="BV246" s="322"/>
      <c r="BW246" s="322"/>
      <c r="BX246" s="322"/>
      <c r="BY246" s="326"/>
      <c r="BZ246" s="326" t="s">
        <v>441</v>
      </c>
      <c r="CA246" s="248">
        <f>CA245+CA244</f>
        <v>1.6741112017721371</v>
      </c>
      <c r="CB246" s="168"/>
      <c r="CC246" s="169"/>
      <c r="CD246" s="169"/>
      <c r="CE246" s="169"/>
      <c r="CF246" s="169"/>
      <c r="CG246" s="167"/>
      <c r="CH246" s="167"/>
      <c r="CI246" s="170"/>
      <c r="CJ246" s="170"/>
      <c r="CK246" s="167"/>
      <c r="CL246" s="170"/>
      <c r="CM246" s="170"/>
      <c r="CN246" s="170"/>
      <c r="CO246" s="170"/>
      <c r="CP246" s="170"/>
      <c r="CQ246" s="170"/>
      <c r="CR246" s="170"/>
      <c r="CS246" s="170"/>
      <c r="CT246" s="170"/>
      <c r="CU246" s="170"/>
      <c r="CV246" s="170"/>
      <c r="CW246" s="167"/>
      <c r="CX246" s="170"/>
      <c r="CY246" s="170"/>
      <c r="CZ246" s="170"/>
      <c r="DA246" s="170"/>
      <c r="DB246" s="170"/>
      <c r="DC246" s="170"/>
      <c r="DD246" s="170"/>
      <c r="DE246" s="170"/>
      <c r="DF246" s="170"/>
      <c r="DG246" s="170"/>
      <c r="DH246" s="170"/>
      <c r="DI246" s="170"/>
      <c r="DJ246" s="170"/>
      <c r="DK246" s="170"/>
      <c r="DL246" s="170"/>
      <c r="DM246" s="170"/>
      <c r="DN246" s="170"/>
      <c r="DO246" s="170"/>
      <c r="DP246" s="170"/>
      <c r="DQ246" s="170"/>
      <c r="DR246" s="170"/>
      <c r="DS246" s="170"/>
      <c r="DT246" s="170"/>
      <c r="DU246" s="170"/>
      <c r="DV246" s="170"/>
    </row>
    <row r="247" spans="59:126" ht="15" hidden="1" x14ac:dyDescent="0.25">
      <c r="BG247" s="262"/>
      <c r="BH247" s="263"/>
      <c r="BI247" s="263"/>
      <c r="BJ247" s="265"/>
      <c r="BK247" s="265"/>
      <c r="BL247" s="265"/>
      <c r="BM247" s="265"/>
      <c r="BN247" s="312"/>
      <c r="BO247" s="312"/>
      <c r="BP247" s="322"/>
      <c r="BQ247" s="312"/>
      <c r="BR247" s="312"/>
      <c r="BS247" s="322"/>
      <c r="BT247" s="322"/>
      <c r="BU247" s="322"/>
      <c r="BV247" s="322"/>
      <c r="BW247" s="322"/>
      <c r="BX247" s="322"/>
      <c r="BY247" s="326"/>
      <c r="BZ247" s="326" t="s">
        <v>258</v>
      </c>
      <c r="CA247" s="167"/>
      <c r="CB247" s="168"/>
      <c r="CC247" s="169"/>
      <c r="CD247" s="169"/>
      <c r="CE247" s="169"/>
      <c r="CF247" s="169"/>
      <c r="CG247" s="167"/>
      <c r="CH247" s="167"/>
      <c r="CI247" s="170"/>
      <c r="CJ247" s="170"/>
      <c r="CK247" s="167"/>
      <c r="CL247" s="170"/>
      <c r="CM247" s="170"/>
      <c r="CN247" s="170"/>
      <c r="CO247" s="170"/>
      <c r="CP247" s="170"/>
      <c r="CQ247" s="170"/>
      <c r="CR247" s="170"/>
      <c r="CS247" s="170"/>
      <c r="CT247" s="170"/>
      <c r="CU247" s="170"/>
      <c r="CV247" s="170"/>
      <c r="CW247" s="167"/>
      <c r="CX247" s="170"/>
      <c r="CY247" s="170"/>
      <c r="CZ247" s="170"/>
      <c r="DA247" s="170"/>
      <c r="DB247" s="170"/>
      <c r="DC247" s="170"/>
      <c r="DD247" s="170"/>
      <c r="DE247" s="170"/>
      <c r="DF247" s="170"/>
      <c r="DG247" s="170"/>
      <c r="DH247" s="170"/>
      <c r="DI247" s="170"/>
      <c r="DJ247" s="170"/>
      <c r="DK247" s="170"/>
      <c r="DL247" s="170"/>
      <c r="DM247" s="170"/>
      <c r="DN247" s="170"/>
      <c r="DO247" s="170"/>
      <c r="DP247" s="170"/>
      <c r="DQ247" s="170"/>
      <c r="DR247" s="170"/>
      <c r="DS247" s="170"/>
      <c r="DT247" s="170"/>
      <c r="DU247" s="170"/>
      <c r="DV247" s="170"/>
    </row>
    <row r="248" spans="59:126" ht="15" hidden="1" x14ac:dyDescent="0.25">
      <c r="BG248" s="262"/>
      <c r="BH248" s="263"/>
      <c r="BI248" s="263"/>
      <c r="BJ248" s="305"/>
      <c r="BK248" s="265"/>
      <c r="BL248" s="265"/>
      <c r="BM248" s="265"/>
      <c r="BN248" s="312"/>
      <c r="BO248" s="312"/>
      <c r="BP248" s="322"/>
      <c r="BQ248" s="312"/>
      <c r="BR248" s="312"/>
      <c r="BS248" s="322"/>
      <c r="BT248" s="322"/>
      <c r="BU248" s="322"/>
      <c r="BV248" s="322"/>
      <c r="BW248" s="322"/>
      <c r="BX248" s="322"/>
      <c r="BY248" s="326"/>
      <c r="BZ248" s="330" t="s">
        <v>442</v>
      </c>
      <c r="CA248" s="335">
        <f>CA246/DD28</f>
        <v>4.5124291152887794</v>
      </c>
      <c r="CB248" s="335"/>
      <c r="CC248" s="169"/>
      <c r="CD248" s="169"/>
      <c r="CE248" s="169"/>
      <c r="CF248" s="169"/>
      <c r="CG248" s="167"/>
      <c r="CH248" s="167"/>
      <c r="CI248" s="170"/>
      <c r="CJ248" s="170"/>
      <c r="CK248" s="167"/>
      <c r="CL248" s="170"/>
      <c r="CM248" s="170"/>
      <c r="CN248" s="170"/>
      <c r="CO248" s="170"/>
      <c r="CP248" s="170"/>
      <c r="CQ248" s="170"/>
      <c r="CR248" s="170"/>
      <c r="CS248" s="170"/>
      <c r="CT248" s="170"/>
      <c r="CU248" s="170"/>
      <c r="CV248" s="170"/>
      <c r="CW248" s="167"/>
      <c r="CX248" s="170"/>
      <c r="CY248" s="170"/>
      <c r="CZ248" s="170"/>
      <c r="DA248" s="170"/>
      <c r="DB248" s="170"/>
      <c r="DC248" s="170"/>
      <c r="DD248" s="170"/>
      <c r="DE248" s="170"/>
      <c r="DF248" s="170"/>
      <c r="DG248" s="170"/>
      <c r="DH248" s="170"/>
      <c r="DI248" s="170"/>
      <c r="DJ248" s="170"/>
      <c r="DK248" s="170"/>
      <c r="DL248" s="170"/>
      <c r="DM248" s="170"/>
      <c r="DN248" s="170"/>
      <c r="DO248" s="170"/>
      <c r="DP248" s="170"/>
      <c r="DQ248" s="170"/>
      <c r="DR248" s="170"/>
      <c r="DS248" s="170"/>
      <c r="DT248" s="170"/>
      <c r="DU248" s="170"/>
      <c r="DV248" s="170"/>
    </row>
    <row r="249" spans="59:126" ht="15" hidden="1" x14ac:dyDescent="0.25">
      <c r="BG249" s="262"/>
      <c r="BH249" s="263"/>
      <c r="BI249" s="263"/>
      <c r="BJ249" s="305"/>
      <c r="BK249" s="265"/>
      <c r="BL249" s="265"/>
      <c r="BM249" s="265"/>
      <c r="BN249" s="312"/>
      <c r="BO249" s="312"/>
      <c r="BP249" s="322"/>
      <c r="BQ249" s="312"/>
      <c r="BR249" s="312"/>
      <c r="BS249" s="322"/>
      <c r="BT249" s="322"/>
      <c r="BU249" s="322"/>
      <c r="BV249" s="322"/>
      <c r="BW249" s="322"/>
      <c r="BX249" s="322"/>
      <c r="BY249" s="326"/>
      <c r="BZ249" s="330"/>
      <c r="CA249" s="167"/>
      <c r="CB249" s="168"/>
      <c r="CC249" s="169"/>
      <c r="CD249" s="169"/>
      <c r="CE249" s="169"/>
      <c r="CF249" s="169"/>
      <c r="CG249" s="167"/>
      <c r="CH249" s="167"/>
      <c r="CI249" s="170"/>
      <c r="CJ249" s="170"/>
      <c r="CK249" s="167"/>
      <c r="CL249" s="170"/>
      <c r="CM249" s="170"/>
      <c r="CN249" s="170"/>
      <c r="CO249" s="170"/>
      <c r="CP249" s="170"/>
      <c r="CQ249" s="170"/>
      <c r="CR249" s="170"/>
      <c r="CS249" s="170"/>
      <c r="CT249" s="170"/>
      <c r="CU249" s="170"/>
      <c r="CV249" s="170"/>
      <c r="CW249" s="167"/>
      <c r="CX249" s="170"/>
      <c r="CY249" s="170"/>
      <c r="CZ249" s="170"/>
      <c r="DA249" s="170"/>
      <c r="DB249" s="170"/>
      <c r="DC249" s="170"/>
      <c r="DD249" s="170"/>
      <c r="DE249" s="170"/>
      <c r="DF249" s="170"/>
      <c r="DG249" s="170"/>
      <c r="DH249" s="170"/>
      <c r="DI249" s="170"/>
      <c r="DJ249" s="170"/>
      <c r="DK249" s="170"/>
      <c r="DL249" s="170"/>
      <c r="DM249" s="170"/>
      <c r="DN249" s="170"/>
      <c r="DO249" s="170"/>
      <c r="DP249" s="170"/>
      <c r="DQ249" s="170"/>
      <c r="DR249" s="170"/>
      <c r="DS249" s="170"/>
      <c r="DT249" s="170"/>
      <c r="DU249" s="170"/>
      <c r="DV249" s="170"/>
    </row>
    <row r="250" spans="59:126" ht="15" hidden="1" x14ac:dyDescent="0.25">
      <c r="BG250" s="262"/>
      <c r="BH250" s="263"/>
      <c r="BI250" s="263"/>
      <c r="BJ250" s="265"/>
      <c r="BK250" s="265"/>
      <c r="BL250" s="265"/>
      <c r="BM250" s="265"/>
      <c r="BN250" s="312"/>
      <c r="BO250" s="312"/>
      <c r="BP250" s="322"/>
      <c r="BQ250" s="312"/>
      <c r="BR250" s="312"/>
      <c r="BS250" s="322"/>
      <c r="BT250" s="322"/>
      <c r="BU250" s="322"/>
      <c r="BV250" s="322"/>
      <c r="BW250" s="322"/>
      <c r="BX250" s="322"/>
      <c r="BY250" s="326" t="s">
        <v>233</v>
      </c>
      <c r="BZ250" s="326" t="s">
        <v>443</v>
      </c>
      <c r="CA250" s="248">
        <f>23.5*CG29/1000</f>
        <v>2.35</v>
      </c>
      <c r="CB250" s="168"/>
      <c r="CC250" s="169"/>
      <c r="CD250" s="169"/>
      <c r="CE250" s="169"/>
      <c r="CF250" s="169"/>
      <c r="CG250" s="167"/>
      <c r="CH250" s="167"/>
      <c r="CI250" s="170"/>
      <c r="CJ250" s="170"/>
      <c r="CK250" s="167"/>
      <c r="CL250" s="170"/>
      <c r="CM250" s="170"/>
      <c r="CN250" s="170"/>
      <c r="CO250" s="170"/>
      <c r="CP250" s="170"/>
      <c r="CQ250" s="170"/>
      <c r="CR250" s="170"/>
      <c r="CS250" s="170"/>
      <c r="CT250" s="170"/>
      <c r="CU250" s="170"/>
      <c r="CV250" s="170"/>
      <c r="CW250" s="167"/>
      <c r="CX250" s="170"/>
      <c r="CY250" s="170"/>
      <c r="CZ250" s="170"/>
      <c r="DA250" s="170"/>
      <c r="DB250" s="170"/>
      <c r="DC250" s="170"/>
      <c r="DD250" s="170"/>
      <c r="DE250" s="170"/>
      <c r="DF250" s="170"/>
      <c r="DG250" s="170"/>
      <c r="DH250" s="170"/>
      <c r="DI250" s="170"/>
      <c r="DJ250" s="170"/>
      <c r="DK250" s="170"/>
      <c r="DL250" s="170"/>
      <c r="DM250" s="170"/>
      <c r="DN250" s="170"/>
      <c r="DO250" s="170"/>
      <c r="DP250" s="170"/>
      <c r="DQ250" s="170"/>
      <c r="DR250" s="170"/>
      <c r="DS250" s="170"/>
      <c r="DT250" s="170"/>
      <c r="DU250" s="170"/>
      <c r="DV250" s="170"/>
    </row>
    <row r="251" spans="59:126" ht="15" hidden="1" x14ac:dyDescent="0.25">
      <c r="BG251" s="262"/>
      <c r="BH251" s="263"/>
      <c r="BI251" s="263"/>
      <c r="BJ251" s="333"/>
      <c r="BK251" s="333"/>
      <c r="BL251" s="265"/>
      <c r="BM251" s="265"/>
      <c r="BN251" s="312"/>
      <c r="BO251" s="312"/>
      <c r="BP251" s="322"/>
      <c r="BQ251" s="312"/>
      <c r="BR251" s="312"/>
      <c r="BS251" s="322"/>
      <c r="BT251" s="322"/>
      <c r="BU251" s="322"/>
      <c r="BV251" s="322"/>
      <c r="BW251" s="322"/>
      <c r="BX251" s="322"/>
      <c r="BY251" s="326"/>
      <c r="BZ251" s="326" t="s">
        <v>521</v>
      </c>
      <c r="CA251" s="248">
        <f>CA188*(1.5*CA187^-0.0636)</f>
        <v>1.0747979602355016</v>
      </c>
      <c r="CB251" s="168"/>
      <c r="CC251" s="169"/>
      <c r="CD251" s="169"/>
      <c r="CE251" s="169"/>
      <c r="CF251" s="169"/>
      <c r="CG251" s="167"/>
      <c r="CH251" s="167"/>
      <c r="CI251" s="170"/>
      <c r="CJ251" s="170"/>
      <c r="CK251" s="167"/>
      <c r="CL251" s="170"/>
      <c r="CM251" s="170"/>
      <c r="CN251" s="170"/>
      <c r="CO251" s="170"/>
      <c r="CP251" s="170"/>
      <c r="CQ251" s="170"/>
      <c r="CR251" s="170"/>
      <c r="CS251" s="170"/>
      <c r="CT251" s="170"/>
      <c r="CU251" s="170"/>
      <c r="CV251" s="170"/>
      <c r="CW251" s="167"/>
      <c r="CX251" s="170"/>
      <c r="CY251" s="170"/>
      <c r="CZ251" s="170"/>
      <c r="DA251" s="170"/>
      <c r="DB251" s="170"/>
      <c r="DC251" s="170"/>
      <c r="DD251" s="170"/>
      <c r="DE251" s="170"/>
      <c r="DF251" s="170"/>
      <c r="DG251" s="170"/>
      <c r="DH251" s="170"/>
      <c r="DI251" s="170"/>
      <c r="DJ251" s="170"/>
      <c r="DK251" s="170"/>
      <c r="DL251" s="170"/>
      <c r="DM251" s="170"/>
      <c r="DN251" s="170"/>
      <c r="DO251" s="170"/>
      <c r="DP251" s="170"/>
      <c r="DQ251" s="170"/>
      <c r="DR251" s="170"/>
      <c r="DS251" s="170"/>
      <c r="DT251" s="170"/>
      <c r="DU251" s="170"/>
      <c r="DV251" s="170"/>
    </row>
    <row r="252" spans="59:126" ht="15" hidden="1" x14ac:dyDescent="0.25">
      <c r="BG252" s="262"/>
      <c r="BH252" s="263"/>
      <c r="BI252" s="263"/>
      <c r="BJ252" s="265"/>
      <c r="BK252" s="265"/>
      <c r="BL252" s="265"/>
      <c r="BM252" s="265"/>
      <c r="BN252" s="312"/>
      <c r="BO252" s="312"/>
      <c r="BP252" s="322"/>
      <c r="BQ252" s="312"/>
      <c r="BR252" s="312"/>
      <c r="BS252" s="322"/>
      <c r="BT252" s="322"/>
      <c r="BU252" s="322"/>
      <c r="BV252" s="322"/>
      <c r="BW252" s="322"/>
      <c r="BX252" s="322"/>
      <c r="BY252" s="326"/>
      <c r="BZ252" s="326" t="s">
        <v>446</v>
      </c>
      <c r="CA252" s="248">
        <f>CA251+CA250</f>
        <v>3.4247979602355016</v>
      </c>
      <c r="CB252" s="168"/>
      <c r="CC252" s="169"/>
      <c r="CD252" s="169"/>
      <c r="CE252" s="169"/>
      <c r="CF252" s="169"/>
      <c r="CG252" s="167"/>
      <c r="CH252" s="167"/>
      <c r="CI252" s="170"/>
      <c r="CJ252" s="170"/>
      <c r="CK252" s="167"/>
      <c r="CL252" s="170"/>
      <c r="CM252" s="170"/>
      <c r="CN252" s="170"/>
      <c r="CO252" s="170"/>
      <c r="CP252" s="170"/>
      <c r="CQ252" s="170"/>
      <c r="CR252" s="170"/>
      <c r="CS252" s="170"/>
      <c r="CT252" s="170"/>
      <c r="CU252" s="170"/>
      <c r="CV252" s="170"/>
      <c r="CW252" s="167"/>
      <c r="CX252" s="170"/>
      <c r="CY252" s="170"/>
      <c r="CZ252" s="170"/>
      <c r="DA252" s="170"/>
      <c r="DB252" s="170"/>
      <c r="DC252" s="170"/>
      <c r="DD252" s="170"/>
      <c r="DE252" s="170"/>
      <c r="DF252" s="170"/>
      <c r="DG252" s="170"/>
      <c r="DH252" s="170"/>
      <c r="DI252" s="170"/>
      <c r="DJ252" s="170"/>
      <c r="DK252" s="170"/>
      <c r="DL252" s="170"/>
      <c r="DM252" s="170"/>
      <c r="DN252" s="170"/>
      <c r="DO252" s="170"/>
      <c r="DP252" s="170"/>
      <c r="DQ252" s="170"/>
      <c r="DR252" s="170"/>
      <c r="DS252" s="170"/>
      <c r="DT252" s="170"/>
      <c r="DU252" s="170"/>
      <c r="DV252" s="170"/>
    </row>
    <row r="253" spans="59:126" ht="15" hidden="1" x14ac:dyDescent="0.25">
      <c r="BG253" s="262"/>
      <c r="BH253" s="263"/>
      <c r="BI253" s="263"/>
      <c r="BJ253" s="305"/>
      <c r="BK253" s="265"/>
      <c r="BL253" s="265"/>
      <c r="BM253" s="265"/>
      <c r="BN253" s="312"/>
      <c r="BO253" s="312"/>
      <c r="BP253" s="322"/>
      <c r="BQ253" s="312"/>
      <c r="BR253" s="312"/>
      <c r="BS253" s="322"/>
      <c r="BT253" s="322"/>
      <c r="BU253" s="322"/>
      <c r="BV253" s="322"/>
      <c r="BW253" s="322"/>
      <c r="BX253" s="322"/>
      <c r="BY253" s="326"/>
      <c r="BZ253" s="326" t="s">
        <v>258</v>
      </c>
      <c r="CA253" s="167"/>
      <c r="CB253" s="168"/>
      <c r="CC253" s="169"/>
      <c r="CD253" s="169"/>
      <c r="CE253" s="169"/>
      <c r="CF253" s="169"/>
      <c r="CG253" s="167"/>
      <c r="CH253" s="167"/>
      <c r="CI253" s="170"/>
      <c r="CJ253" s="170"/>
      <c r="CK253" s="167"/>
      <c r="CL253" s="170"/>
      <c r="CM253" s="170"/>
      <c r="CN253" s="170"/>
      <c r="CO253" s="170"/>
      <c r="CP253" s="170"/>
      <c r="CQ253" s="170"/>
      <c r="CR253" s="170"/>
      <c r="CS253" s="170"/>
      <c r="CT253" s="170"/>
      <c r="CU253" s="170"/>
      <c r="CV253" s="170"/>
      <c r="CW253" s="167"/>
      <c r="CX253" s="170"/>
      <c r="CY253" s="170"/>
      <c r="CZ253" s="170"/>
      <c r="DA253" s="170"/>
      <c r="DB253" s="170"/>
      <c r="DC253" s="170"/>
      <c r="DD253" s="170"/>
      <c r="DE253" s="170"/>
      <c r="DF253" s="170"/>
      <c r="DG253" s="170"/>
      <c r="DH253" s="170"/>
      <c r="DI253" s="170"/>
      <c r="DJ253" s="170"/>
      <c r="DK253" s="170"/>
      <c r="DL253" s="170"/>
      <c r="DM253" s="170"/>
      <c r="DN253" s="170"/>
      <c r="DO253" s="170"/>
      <c r="DP253" s="170"/>
      <c r="DQ253" s="170"/>
      <c r="DR253" s="170"/>
      <c r="DS253" s="170"/>
      <c r="DT253" s="170"/>
      <c r="DU253" s="170"/>
      <c r="DV253" s="170"/>
    </row>
    <row r="254" spans="59:126" ht="15" hidden="1" x14ac:dyDescent="0.25">
      <c r="BG254" s="262"/>
      <c r="BH254" s="263"/>
      <c r="BI254" s="263"/>
      <c r="BJ254" s="305"/>
      <c r="BK254" s="265"/>
      <c r="BL254" s="265"/>
      <c r="BM254" s="265"/>
      <c r="BN254" s="312"/>
      <c r="BO254" s="312"/>
      <c r="BP254" s="322"/>
      <c r="BQ254" s="312"/>
      <c r="BR254" s="312"/>
      <c r="BS254" s="322"/>
      <c r="BT254" s="322"/>
      <c r="BU254" s="322"/>
      <c r="BV254" s="322"/>
      <c r="BW254" s="322"/>
      <c r="BX254" s="322"/>
      <c r="BY254" s="326"/>
      <c r="BZ254" s="330" t="s">
        <v>447</v>
      </c>
      <c r="CA254" s="335">
        <f>CA252/DD30</f>
        <v>7.0760288434617804</v>
      </c>
      <c r="CB254" s="335"/>
      <c r="CC254" s="169"/>
      <c r="CD254" s="169"/>
      <c r="CE254" s="169"/>
      <c r="CF254" s="169"/>
      <c r="CG254" s="167"/>
      <c r="CH254" s="167"/>
      <c r="CI254" s="170"/>
      <c r="CJ254" s="170"/>
      <c r="CK254" s="167"/>
      <c r="CL254" s="170"/>
      <c r="CM254" s="170"/>
      <c r="CN254" s="170"/>
      <c r="CO254" s="170"/>
      <c r="CP254" s="170"/>
      <c r="CQ254" s="170"/>
      <c r="CR254" s="170"/>
      <c r="CS254" s="170"/>
      <c r="CT254" s="170"/>
      <c r="CU254" s="170"/>
      <c r="CV254" s="170"/>
      <c r="CW254" s="167"/>
      <c r="CX254" s="170"/>
      <c r="CY254" s="170"/>
      <c r="CZ254" s="170"/>
      <c r="DA254" s="170"/>
      <c r="DB254" s="170"/>
      <c r="DC254" s="170"/>
      <c r="DD254" s="170"/>
      <c r="DE254" s="170"/>
      <c r="DF254" s="170"/>
      <c r="DG254" s="170"/>
      <c r="DH254" s="170"/>
      <c r="DI254" s="170"/>
      <c r="DJ254" s="170"/>
      <c r="DK254" s="170"/>
      <c r="DL254" s="170"/>
      <c r="DM254" s="170"/>
      <c r="DN254" s="170"/>
      <c r="DO254" s="170"/>
      <c r="DP254" s="170"/>
      <c r="DQ254" s="170"/>
      <c r="DR254" s="170"/>
      <c r="DS254" s="170"/>
      <c r="DT254" s="170"/>
      <c r="DU254" s="170"/>
      <c r="DV254" s="170"/>
    </row>
    <row r="255" spans="59:126" ht="15" hidden="1" x14ac:dyDescent="0.25">
      <c r="BG255" s="262"/>
      <c r="BH255" s="263"/>
      <c r="BI255" s="263"/>
      <c r="BJ255" s="265"/>
      <c r="BK255" s="265"/>
      <c r="BL255" s="265"/>
      <c r="BM255" s="265"/>
      <c r="BN255" s="312"/>
      <c r="BO255" s="312"/>
      <c r="BP255" s="322"/>
      <c r="BQ255" s="312"/>
      <c r="BR255" s="312"/>
      <c r="BS255" s="322"/>
      <c r="BT255" s="322"/>
      <c r="BU255" s="322"/>
      <c r="BV255" s="322"/>
      <c r="BW255" s="322"/>
      <c r="BX255" s="322"/>
      <c r="BY255" s="326"/>
      <c r="BZ255" s="330"/>
      <c r="CA255" s="167"/>
      <c r="CB255" s="168"/>
      <c r="CC255" s="169"/>
      <c r="CD255" s="169"/>
      <c r="CE255" s="169"/>
      <c r="CF255" s="169"/>
      <c r="CG255" s="167"/>
      <c r="CH255" s="167"/>
      <c r="CI255" s="170"/>
      <c r="CJ255" s="170"/>
      <c r="CK255" s="167"/>
      <c r="CL255" s="170"/>
      <c r="CM255" s="170"/>
      <c r="CN255" s="170"/>
      <c r="CO255" s="170"/>
      <c r="CP255" s="170"/>
      <c r="CQ255" s="170"/>
      <c r="CR255" s="170"/>
      <c r="CS255" s="170"/>
      <c r="CT255" s="170"/>
      <c r="CU255" s="170"/>
      <c r="CV255" s="170"/>
      <c r="CW255" s="167"/>
      <c r="CX255" s="170"/>
      <c r="CY255" s="170"/>
      <c r="CZ255" s="170"/>
      <c r="DA255" s="170"/>
      <c r="DB255" s="170"/>
      <c r="DC255" s="170"/>
      <c r="DD255" s="170"/>
      <c r="DE255" s="170"/>
      <c r="DF255" s="170"/>
      <c r="DG255" s="170"/>
      <c r="DH255" s="170"/>
      <c r="DI255" s="170"/>
      <c r="DJ255" s="170"/>
      <c r="DK255" s="170"/>
      <c r="DL255" s="170"/>
      <c r="DM255" s="170"/>
      <c r="DN255" s="170"/>
      <c r="DO255" s="170"/>
      <c r="DP255" s="170"/>
      <c r="DQ255" s="170"/>
      <c r="DR255" s="170"/>
      <c r="DS255" s="170"/>
      <c r="DT255" s="170"/>
      <c r="DU255" s="170"/>
      <c r="DV255" s="170"/>
    </row>
    <row r="256" spans="59:126" ht="15" hidden="1" x14ac:dyDescent="0.25">
      <c r="BG256" s="262"/>
      <c r="BH256" s="263"/>
      <c r="BI256" s="263"/>
      <c r="BJ256" s="333"/>
      <c r="BK256" s="333"/>
      <c r="BL256" s="265"/>
      <c r="BM256" s="265"/>
      <c r="BN256" s="312"/>
      <c r="BO256" s="312"/>
      <c r="BP256" s="322"/>
      <c r="BQ256" s="312"/>
      <c r="BR256" s="312"/>
      <c r="BS256" s="322"/>
      <c r="BT256" s="322"/>
      <c r="BU256" s="322"/>
      <c r="BV256" s="322"/>
      <c r="BW256" s="322"/>
      <c r="BX256" s="322"/>
      <c r="BY256" s="166"/>
      <c r="BZ256" s="166"/>
      <c r="CA256" s="167"/>
      <c r="CB256" s="168"/>
      <c r="CC256" s="169"/>
      <c r="CD256" s="169"/>
      <c r="CE256" s="169"/>
      <c r="CF256" s="169"/>
      <c r="CG256" s="167"/>
      <c r="CH256" s="167"/>
      <c r="CI256" s="170"/>
      <c r="CJ256" s="170"/>
      <c r="CK256" s="167"/>
      <c r="CL256" s="170"/>
      <c r="CM256" s="170"/>
      <c r="CN256" s="170"/>
      <c r="CO256" s="170"/>
      <c r="CP256" s="170"/>
      <c r="CQ256" s="170"/>
      <c r="CR256" s="170"/>
      <c r="CS256" s="170"/>
      <c r="CT256" s="170"/>
      <c r="CU256" s="170"/>
      <c r="CV256" s="170"/>
      <c r="CW256" s="167"/>
      <c r="CX256" s="170"/>
      <c r="CY256" s="170"/>
      <c r="CZ256" s="170"/>
      <c r="DA256" s="170"/>
      <c r="DB256" s="170"/>
      <c r="DC256" s="170"/>
      <c r="DD256" s="170"/>
      <c r="DE256" s="170"/>
      <c r="DF256" s="170"/>
      <c r="DG256" s="170"/>
      <c r="DH256" s="170"/>
      <c r="DI256" s="170"/>
      <c r="DJ256" s="170"/>
      <c r="DK256" s="170"/>
      <c r="DL256" s="170"/>
      <c r="DM256" s="170"/>
      <c r="DN256" s="170"/>
      <c r="DO256" s="170"/>
      <c r="DP256" s="170"/>
      <c r="DQ256" s="170"/>
      <c r="DR256" s="170"/>
      <c r="DS256" s="170"/>
      <c r="DT256" s="170"/>
      <c r="DU256" s="170"/>
      <c r="DV256" s="170"/>
    </row>
    <row r="257" spans="59:126" ht="15" hidden="1" x14ac:dyDescent="0.25">
      <c r="BG257" s="262"/>
      <c r="BH257" s="263"/>
      <c r="BI257" s="263"/>
      <c r="BJ257" s="265"/>
      <c r="BK257" s="265"/>
      <c r="BL257" s="265"/>
      <c r="BM257" s="265"/>
      <c r="BN257" s="312"/>
      <c r="BO257" s="312"/>
      <c r="BP257" s="322"/>
      <c r="BQ257" s="312"/>
      <c r="BR257" s="312"/>
      <c r="BS257" s="322"/>
      <c r="BT257" s="322"/>
      <c r="BU257" s="322"/>
      <c r="BV257" s="322"/>
      <c r="BW257" s="322"/>
      <c r="BX257" s="322"/>
      <c r="BY257" s="247" t="s">
        <v>495</v>
      </c>
      <c r="BZ257" s="247"/>
      <c r="CA257" s="341">
        <f>CG29</f>
        <v>100</v>
      </c>
      <c r="CB257" s="168"/>
      <c r="CC257" s="169"/>
      <c r="CD257" s="169"/>
      <c r="CE257" s="169"/>
      <c r="CF257" s="169"/>
      <c r="CG257" s="167"/>
      <c r="CH257" s="167"/>
      <c r="CI257" s="170"/>
      <c r="CJ257" s="170"/>
      <c r="CK257" s="167"/>
      <c r="CL257" s="170"/>
      <c r="CM257" s="170"/>
      <c r="CN257" s="170"/>
      <c r="CO257" s="170"/>
      <c r="CP257" s="170"/>
      <c r="CQ257" s="170"/>
      <c r="CR257" s="170"/>
      <c r="CS257" s="170"/>
      <c r="CT257" s="170"/>
      <c r="CU257" s="170"/>
      <c r="CV257" s="170"/>
      <c r="CW257" s="167"/>
      <c r="CX257" s="170"/>
      <c r="CY257" s="170"/>
      <c r="CZ257" s="170"/>
      <c r="DA257" s="170"/>
      <c r="DB257" s="170"/>
      <c r="DC257" s="170"/>
      <c r="DD257" s="170"/>
      <c r="DE257" s="170"/>
      <c r="DF257" s="170"/>
      <c r="DG257" s="170"/>
      <c r="DH257" s="170"/>
      <c r="DI257" s="170"/>
      <c r="DJ257" s="170"/>
      <c r="DK257" s="170"/>
      <c r="DL257" s="170"/>
      <c r="DM257" s="170"/>
      <c r="DN257" s="170"/>
      <c r="DO257" s="170"/>
      <c r="DP257" s="170"/>
      <c r="DQ257" s="170"/>
      <c r="DR257" s="170"/>
      <c r="DS257" s="170"/>
      <c r="DT257" s="170"/>
      <c r="DU257" s="170"/>
      <c r="DV257" s="170"/>
    </row>
    <row r="258" spans="59:126" ht="15" hidden="1" x14ac:dyDescent="0.25">
      <c r="BG258" s="262"/>
      <c r="BH258" s="263"/>
      <c r="BI258" s="263"/>
      <c r="BJ258" s="305"/>
      <c r="BK258" s="265"/>
      <c r="BL258" s="265"/>
      <c r="BM258" s="265"/>
      <c r="BN258" s="312"/>
      <c r="BO258" s="312"/>
      <c r="BP258" s="322"/>
      <c r="BQ258" s="312"/>
      <c r="BR258" s="312"/>
      <c r="BS258" s="322"/>
      <c r="BT258" s="322"/>
      <c r="BU258" s="322"/>
      <c r="BV258" s="322"/>
      <c r="BW258" s="322"/>
      <c r="BX258" s="322"/>
      <c r="BY258" s="247" t="s">
        <v>522</v>
      </c>
      <c r="BZ258" s="247"/>
      <c r="CA258" s="332">
        <f>CG31</f>
        <v>6.01</v>
      </c>
      <c r="CB258" s="168"/>
      <c r="CC258" s="169"/>
      <c r="CD258" s="169"/>
      <c r="CE258" s="169"/>
      <c r="CF258" s="169"/>
      <c r="CG258" s="167"/>
      <c r="CH258" s="167"/>
      <c r="CI258" s="170"/>
      <c r="CJ258" s="170"/>
      <c r="CK258" s="167"/>
      <c r="CL258" s="170"/>
      <c r="CM258" s="170"/>
      <c r="CN258" s="170"/>
      <c r="CO258" s="170"/>
      <c r="CP258" s="170"/>
      <c r="CQ258" s="170"/>
      <c r="CR258" s="170"/>
      <c r="CS258" s="170"/>
      <c r="CT258" s="170"/>
      <c r="CU258" s="170"/>
      <c r="CV258" s="170"/>
      <c r="CW258" s="167"/>
      <c r="CX258" s="170"/>
      <c r="CY258" s="170"/>
      <c r="CZ258" s="170"/>
      <c r="DA258" s="170"/>
      <c r="DB258" s="170"/>
      <c r="DC258" s="170"/>
      <c r="DD258" s="170"/>
      <c r="DE258" s="170"/>
      <c r="DF258" s="170"/>
      <c r="DG258" s="170"/>
      <c r="DH258" s="170"/>
      <c r="DI258" s="170"/>
      <c r="DJ258" s="170"/>
      <c r="DK258" s="170"/>
      <c r="DL258" s="170"/>
      <c r="DM258" s="170"/>
      <c r="DN258" s="170"/>
      <c r="DO258" s="170"/>
      <c r="DP258" s="170"/>
      <c r="DQ258" s="170"/>
      <c r="DR258" s="170"/>
      <c r="DS258" s="170"/>
      <c r="DT258" s="170"/>
      <c r="DU258" s="170"/>
      <c r="DV258" s="170"/>
    </row>
    <row r="259" spans="59:126" ht="15" hidden="1" x14ac:dyDescent="0.25">
      <c r="BG259" s="262"/>
      <c r="BH259" s="263"/>
      <c r="BI259" s="263"/>
      <c r="BJ259" s="305"/>
      <c r="BK259" s="265"/>
      <c r="BL259" s="265"/>
      <c r="BM259" s="265"/>
      <c r="BN259" s="312"/>
      <c r="BO259" s="312"/>
      <c r="BP259" s="322"/>
      <c r="BQ259" s="312"/>
      <c r="BR259" s="312"/>
      <c r="BS259" s="322"/>
      <c r="BT259" s="322"/>
      <c r="BU259" s="322"/>
      <c r="BV259" s="322"/>
      <c r="BW259" s="322"/>
      <c r="BX259" s="322"/>
      <c r="BY259" s="247" t="s">
        <v>231</v>
      </c>
      <c r="BZ259" s="247"/>
      <c r="CA259" s="332">
        <f>CG33</f>
        <v>1</v>
      </c>
      <c r="CB259" s="168"/>
      <c r="CC259" s="169"/>
      <c r="CD259" s="169"/>
      <c r="CE259" s="169"/>
      <c r="CF259" s="169"/>
      <c r="CG259" s="167"/>
      <c r="CH259" s="167"/>
      <c r="CI259" s="170"/>
      <c r="CJ259" s="170"/>
      <c r="CK259" s="167"/>
      <c r="CL259" s="170"/>
      <c r="CM259" s="170"/>
      <c r="CN259" s="170"/>
      <c r="CO259" s="170"/>
      <c r="CP259" s="170"/>
      <c r="CQ259" s="170"/>
      <c r="CR259" s="170"/>
      <c r="CS259" s="170"/>
      <c r="CT259" s="170"/>
      <c r="CU259" s="170"/>
      <c r="CV259" s="170"/>
      <c r="CW259" s="167"/>
      <c r="CX259" s="170"/>
      <c r="CY259" s="170"/>
      <c r="CZ259" s="170"/>
      <c r="DA259" s="170"/>
      <c r="DB259" s="170"/>
      <c r="DC259" s="170"/>
      <c r="DD259" s="170"/>
      <c r="DE259" s="170"/>
      <c r="DF259" s="170"/>
      <c r="DG259" s="170"/>
      <c r="DH259" s="170"/>
      <c r="DI259" s="170"/>
      <c r="DJ259" s="170"/>
      <c r="DK259" s="170"/>
      <c r="DL259" s="170"/>
      <c r="DM259" s="170"/>
      <c r="DN259" s="170"/>
      <c r="DO259" s="170"/>
      <c r="DP259" s="170"/>
      <c r="DQ259" s="170"/>
      <c r="DR259" s="170"/>
      <c r="DS259" s="170"/>
      <c r="DT259" s="170"/>
      <c r="DU259" s="170"/>
      <c r="DV259" s="170"/>
    </row>
    <row r="260" spans="59:126" ht="15" hidden="1" x14ac:dyDescent="0.25">
      <c r="BG260" s="262"/>
      <c r="BH260" s="263"/>
      <c r="BI260" s="263"/>
      <c r="BJ260" s="265"/>
      <c r="BK260" s="265"/>
      <c r="BL260" s="265"/>
      <c r="BM260" s="265"/>
      <c r="BN260" s="312"/>
      <c r="BO260" s="312"/>
      <c r="BP260" s="322"/>
      <c r="BQ260" s="312"/>
      <c r="BR260" s="312"/>
      <c r="BS260" s="322"/>
      <c r="BT260" s="322"/>
      <c r="BU260" s="322"/>
      <c r="BV260" s="322"/>
      <c r="BW260" s="322"/>
      <c r="BX260" s="322"/>
      <c r="BY260" s="170"/>
      <c r="BZ260" s="170"/>
      <c r="CA260" s="170"/>
      <c r="CB260" s="168"/>
      <c r="CC260" s="169"/>
      <c r="CD260" s="169"/>
      <c r="CE260" s="169"/>
      <c r="CF260" s="169"/>
      <c r="CG260" s="167"/>
      <c r="CH260" s="167"/>
      <c r="CI260" s="170"/>
      <c r="CJ260" s="170"/>
      <c r="CK260" s="167"/>
      <c r="CL260" s="170"/>
      <c r="CM260" s="170"/>
      <c r="CN260" s="170"/>
      <c r="CO260" s="170"/>
      <c r="CP260" s="170"/>
      <c r="CQ260" s="170"/>
      <c r="CR260" s="170"/>
      <c r="CS260" s="170"/>
      <c r="CT260" s="170"/>
      <c r="CU260" s="170"/>
      <c r="CV260" s="170"/>
      <c r="CW260" s="167"/>
      <c r="CX260" s="170"/>
      <c r="CY260" s="170"/>
      <c r="CZ260" s="170"/>
      <c r="DA260" s="170"/>
      <c r="DB260" s="170"/>
      <c r="DC260" s="170"/>
      <c r="DD260" s="170"/>
      <c r="DE260" s="170"/>
      <c r="DF260" s="170"/>
      <c r="DG260" s="170"/>
      <c r="DH260" s="170"/>
      <c r="DI260" s="170"/>
      <c r="DJ260" s="170"/>
      <c r="DK260" s="170"/>
      <c r="DL260" s="170"/>
      <c r="DM260" s="170"/>
      <c r="DN260" s="170"/>
      <c r="DO260" s="170"/>
      <c r="DP260" s="170"/>
      <c r="DQ260" s="170"/>
      <c r="DR260" s="170"/>
      <c r="DS260" s="170"/>
      <c r="DT260" s="170"/>
      <c r="DU260" s="170"/>
      <c r="DV260" s="170"/>
    </row>
    <row r="261" spans="59:126" ht="15" hidden="1" x14ac:dyDescent="0.25">
      <c r="BG261" s="262"/>
      <c r="BH261" s="263"/>
      <c r="BI261" s="263"/>
      <c r="BJ261" s="333"/>
      <c r="BK261" s="265"/>
      <c r="BL261" s="265"/>
      <c r="BM261" s="265"/>
      <c r="BN261" s="312"/>
      <c r="BO261" s="312"/>
      <c r="BP261" s="322"/>
      <c r="BQ261" s="312"/>
      <c r="BR261" s="312"/>
      <c r="BS261" s="322"/>
      <c r="BT261" s="322"/>
      <c r="BU261" s="322"/>
      <c r="BV261" s="322"/>
      <c r="BW261" s="322"/>
      <c r="BX261" s="322"/>
      <c r="BY261" s="170"/>
      <c r="BZ261" s="170"/>
      <c r="CA261" s="170"/>
      <c r="CB261" s="169"/>
      <c r="CC261" s="169"/>
      <c r="CD261" s="169"/>
      <c r="CE261" s="169"/>
      <c r="CF261" s="169"/>
      <c r="CG261" s="167"/>
      <c r="CH261" s="167"/>
      <c r="CI261" s="170"/>
      <c r="CJ261" s="170"/>
      <c r="CK261" s="167"/>
      <c r="CL261" s="170"/>
      <c r="CM261" s="170"/>
      <c r="CN261" s="170"/>
      <c r="CO261" s="170"/>
      <c r="CP261" s="170"/>
      <c r="CQ261" s="170"/>
      <c r="CR261" s="170"/>
      <c r="CS261" s="170"/>
      <c r="CT261" s="170"/>
      <c r="CU261" s="170"/>
      <c r="CV261" s="170"/>
      <c r="CW261" s="167"/>
      <c r="CX261" s="170"/>
      <c r="CY261" s="170"/>
      <c r="CZ261" s="170"/>
      <c r="DA261" s="170"/>
      <c r="DB261" s="170"/>
      <c r="DC261" s="170"/>
      <c r="DD261" s="170"/>
      <c r="DE261" s="170"/>
      <c r="DF261" s="170"/>
      <c r="DG261" s="170"/>
      <c r="DH261" s="170"/>
      <c r="DI261" s="170"/>
      <c r="DJ261" s="170"/>
      <c r="DK261" s="170"/>
      <c r="DL261" s="170"/>
      <c r="DM261" s="170"/>
      <c r="DN261" s="170"/>
      <c r="DO261" s="170"/>
      <c r="DP261" s="170"/>
      <c r="DQ261" s="170"/>
      <c r="DR261" s="170"/>
      <c r="DS261" s="170"/>
      <c r="DT261" s="170"/>
      <c r="DU261" s="170"/>
      <c r="DV261" s="170"/>
    </row>
    <row r="262" spans="59:126" ht="15" hidden="1" x14ac:dyDescent="0.25">
      <c r="BG262" s="262"/>
      <c r="BH262" s="263"/>
      <c r="BI262" s="263"/>
      <c r="BJ262" s="265"/>
      <c r="BK262" s="265"/>
      <c r="BL262" s="265"/>
      <c r="BM262" s="265"/>
      <c r="BN262" s="312"/>
      <c r="BO262" s="312"/>
      <c r="BP262" s="322"/>
      <c r="BQ262" s="312"/>
      <c r="BR262" s="312"/>
      <c r="BS262" s="322"/>
      <c r="BT262" s="322"/>
      <c r="BU262" s="322"/>
      <c r="BV262" s="322"/>
      <c r="BW262" s="322"/>
      <c r="BX262" s="322"/>
      <c r="BY262" s="166"/>
      <c r="BZ262" s="166"/>
      <c r="CA262" s="167"/>
      <c r="CB262" s="168"/>
      <c r="CC262" s="169"/>
      <c r="CD262" s="169"/>
      <c r="CE262" s="169"/>
      <c r="CF262" s="169"/>
      <c r="CG262" s="167"/>
      <c r="CH262" s="167"/>
      <c r="CI262" s="170"/>
      <c r="CJ262" s="170"/>
      <c r="CK262" s="167"/>
      <c r="CL262" s="170"/>
      <c r="CM262" s="170"/>
      <c r="CN262" s="170"/>
      <c r="CO262" s="170"/>
      <c r="CP262" s="170"/>
      <c r="CQ262" s="170"/>
      <c r="CR262" s="170"/>
      <c r="CS262" s="170"/>
      <c r="CT262" s="170"/>
      <c r="CU262" s="170"/>
      <c r="CV262" s="170"/>
      <c r="CW262" s="167"/>
      <c r="CX262" s="170"/>
      <c r="CY262" s="170"/>
      <c r="CZ262" s="170"/>
      <c r="DA262" s="170"/>
      <c r="DB262" s="170"/>
      <c r="DC262" s="170"/>
      <c r="DD262" s="170"/>
      <c r="DE262" s="170"/>
      <c r="DF262" s="170"/>
      <c r="DG262" s="170"/>
      <c r="DH262" s="170"/>
      <c r="DI262" s="170"/>
      <c r="DJ262" s="170"/>
      <c r="DK262" s="170"/>
      <c r="DL262" s="170"/>
      <c r="DM262" s="170"/>
      <c r="DN262" s="170"/>
      <c r="DO262" s="170"/>
      <c r="DP262" s="170"/>
      <c r="DQ262" s="170"/>
      <c r="DR262" s="170"/>
      <c r="DS262" s="170"/>
      <c r="DT262" s="170"/>
      <c r="DU262" s="170"/>
      <c r="DV262" s="170"/>
    </row>
    <row r="263" spans="59:126" ht="15" hidden="1" x14ac:dyDescent="0.25">
      <c r="BG263" s="262"/>
      <c r="BH263" s="263"/>
      <c r="BI263" s="263"/>
      <c r="BJ263" s="305"/>
      <c r="BK263" s="265"/>
      <c r="BL263" s="265"/>
      <c r="BM263" s="265"/>
      <c r="BN263" s="312"/>
      <c r="BO263" s="312"/>
      <c r="BP263" s="322"/>
      <c r="BQ263" s="312"/>
      <c r="BR263" s="312"/>
      <c r="BS263" s="322"/>
      <c r="BT263" s="322"/>
      <c r="BU263" s="322"/>
      <c r="BV263" s="322"/>
      <c r="BW263" s="322"/>
      <c r="BX263" s="322"/>
      <c r="BY263" s="247" t="s">
        <v>495</v>
      </c>
      <c r="BZ263" s="247"/>
      <c r="CA263" s="341">
        <f>CG29</f>
        <v>100</v>
      </c>
      <c r="CB263" s="168"/>
      <c r="CC263" s="169"/>
      <c r="CD263" s="169"/>
      <c r="CE263" s="169"/>
      <c r="CF263" s="169"/>
      <c r="CG263" s="167"/>
      <c r="CH263" s="167"/>
      <c r="CI263" s="170"/>
      <c r="CJ263" s="170"/>
      <c r="CK263" s="167"/>
      <c r="CL263" s="170"/>
      <c r="CM263" s="170"/>
      <c r="CN263" s="170"/>
      <c r="CO263" s="170"/>
      <c r="CP263" s="170"/>
      <c r="CQ263" s="170"/>
      <c r="CR263" s="170"/>
      <c r="CS263" s="170"/>
      <c r="CT263" s="170"/>
      <c r="CU263" s="170"/>
      <c r="CV263" s="170"/>
      <c r="CW263" s="167"/>
      <c r="CX263" s="170"/>
      <c r="CY263" s="170"/>
      <c r="CZ263" s="170"/>
      <c r="DA263" s="170"/>
      <c r="DB263" s="170"/>
      <c r="DC263" s="170"/>
      <c r="DD263" s="170"/>
      <c r="DE263" s="170"/>
      <c r="DF263" s="170"/>
      <c r="DG263" s="170"/>
      <c r="DH263" s="170"/>
      <c r="DI263" s="170"/>
      <c r="DJ263" s="170"/>
      <c r="DK263" s="170"/>
      <c r="DL263" s="170"/>
      <c r="DM263" s="170"/>
      <c r="DN263" s="170"/>
      <c r="DO263" s="170"/>
      <c r="DP263" s="170"/>
      <c r="DQ263" s="170"/>
      <c r="DR263" s="170"/>
      <c r="DS263" s="170"/>
      <c r="DT263" s="170"/>
      <c r="DU263" s="170"/>
      <c r="DV263" s="170"/>
    </row>
    <row r="264" spans="59:126" ht="15" hidden="1" x14ac:dyDescent="0.25">
      <c r="BG264" s="262"/>
      <c r="BH264" s="263"/>
      <c r="BI264" s="263"/>
      <c r="BJ264" s="305"/>
      <c r="BK264" s="265"/>
      <c r="BL264" s="265"/>
      <c r="BM264" s="265"/>
      <c r="BN264" s="312"/>
      <c r="BO264" s="312"/>
      <c r="BP264" s="322"/>
      <c r="BQ264" s="312"/>
      <c r="BR264" s="312"/>
      <c r="BS264" s="322"/>
      <c r="BT264" s="322"/>
      <c r="BU264" s="322"/>
      <c r="BV264" s="322"/>
      <c r="BW264" s="322"/>
      <c r="BX264" s="322"/>
      <c r="BY264" s="247" t="s">
        <v>523</v>
      </c>
      <c r="BZ264" s="247"/>
      <c r="CA264" s="332">
        <f>CG31</f>
        <v>6.01</v>
      </c>
      <c r="CB264" s="168"/>
      <c r="CC264" s="169"/>
      <c r="CD264" s="169"/>
      <c r="CE264" s="169"/>
      <c r="CF264" s="169"/>
      <c r="CG264" s="167"/>
      <c r="CH264" s="167"/>
      <c r="CI264" s="170"/>
      <c r="CJ264" s="170"/>
      <c r="CK264" s="167"/>
      <c r="CL264" s="170"/>
      <c r="CM264" s="170"/>
      <c r="CN264" s="170"/>
      <c r="CO264" s="170"/>
      <c r="CP264" s="170"/>
      <c r="CQ264" s="170"/>
      <c r="CR264" s="170"/>
      <c r="CS264" s="170"/>
      <c r="CT264" s="170"/>
      <c r="CU264" s="170"/>
      <c r="CV264" s="170"/>
      <c r="CW264" s="167"/>
      <c r="CX264" s="170"/>
      <c r="CY264" s="170"/>
      <c r="CZ264" s="170"/>
      <c r="DA264" s="170"/>
      <c r="DB264" s="170"/>
      <c r="DC264" s="170"/>
      <c r="DD264" s="170"/>
      <c r="DE264" s="170"/>
      <c r="DF264" s="170"/>
      <c r="DG264" s="170"/>
      <c r="DH264" s="170"/>
      <c r="DI264" s="170"/>
      <c r="DJ264" s="170"/>
      <c r="DK264" s="170"/>
      <c r="DL264" s="170"/>
      <c r="DM264" s="170"/>
      <c r="DN264" s="170"/>
      <c r="DO264" s="170"/>
      <c r="DP264" s="170"/>
      <c r="DQ264" s="170"/>
      <c r="DR264" s="170"/>
      <c r="DS264" s="170"/>
      <c r="DT264" s="170"/>
      <c r="DU264" s="170"/>
      <c r="DV264" s="170"/>
    </row>
    <row r="265" spans="59:126" ht="15" hidden="1" x14ac:dyDescent="0.25">
      <c r="BG265" s="262"/>
      <c r="BH265" s="263"/>
      <c r="BI265" s="263"/>
      <c r="BJ265" s="265"/>
      <c r="BK265" s="265"/>
      <c r="BL265" s="265"/>
      <c r="BM265" s="265"/>
      <c r="BN265" s="312"/>
      <c r="BO265" s="312"/>
      <c r="BP265" s="322"/>
      <c r="BQ265" s="312"/>
      <c r="BR265" s="312"/>
      <c r="BS265" s="322"/>
      <c r="BT265" s="322"/>
      <c r="BU265" s="322"/>
      <c r="BV265" s="322"/>
      <c r="BW265" s="322"/>
      <c r="BX265" s="322"/>
      <c r="BY265" s="247" t="s">
        <v>231</v>
      </c>
      <c r="BZ265" s="247"/>
      <c r="CA265" s="332">
        <f>CG33</f>
        <v>1</v>
      </c>
      <c r="CB265" s="332"/>
      <c r="CC265" s="169"/>
      <c r="CD265" s="169"/>
      <c r="CE265" s="169"/>
      <c r="CF265" s="169"/>
      <c r="CG265" s="167"/>
      <c r="CH265" s="167"/>
      <c r="CI265" s="170"/>
      <c r="CJ265" s="170"/>
      <c r="CK265" s="167"/>
      <c r="CL265" s="170"/>
      <c r="CM265" s="170"/>
      <c r="CN265" s="170"/>
      <c r="CO265" s="170"/>
      <c r="CP265" s="170"/>
      <c r="CQ265" s="170"/>
      <c r="CR265" s="170"/>
      <c r="CS265" s="170"/>
      <c r="CT265" s="170"/>
      <c r="CU265" s="170"/>
      <c r="CV265" s="170"/>
      <c r="CW265" s="167"/>
      <c r="CX265" s="170"/>
      <c r="CY265" s="170"/>
      <c r="CZ265" s="170"/>
      <c r="DA265" s="170"/>
      <c r="DB265" s="170"/>
      <c r="DC265" s="170"/>
      <c r="DD265" s="170"/>
      <c r="DE265" s="170"/>
      <c r="DF265" s="170"/>
      <c r="DG265" s="170"/>
      <c r="DH265" s="170"/>
      <c r="DI265" s="170"/>
      <c r="DJ265" s="170"/>
      <c r="DK265" s="170"/>
      <c r="DL265" s="170"/>
      <c r="DM265" s="170"/>
      <c r="DN265" s="170"/>
      <c r="DO265" s="170"/>
      <c r="DP265" s="170"/>
      <c r="DQ265" s="170"/>
      <c r="DR265" s="170"/>
      <c r="DS265" s="170"/>
      <c r="DT265" s="170"/>
      <c r="DU265" s="170"/>
      <c r="DV265" s="170"/>
    </row>
    <row r="266" spans="59:126" ht="15" hidden="1" x14ac:dyDescent="0.25">
      <c r="BG266" s="262"/>
      <c r="BH266" s="263"/>
      <c r="BI266" s="263"/>
      <c r="BJ266" s="333"/>
      <c r="BK266" s="333"/>
      <c r="BL266" s="265"/>
      <c r="BM266" s="265"/>
      <c r="BN266" s="312"/>
      <c r="BO266" s="312"/>
      <c r="BP266" s="322"/>
      <c r="BQ266" s="312"/>
      <c r="BR266" s="312"/>
      <c r="BS266" s="322"/>
      <c r="BT266" s="322"/>
      <c r="BU266" s="322"/>
      <c r="BV266" s="322"/>
      <c r="BW266" s="322"/>
      <c r="BX266" s="322"/>
      <c r="BY266" s="166"/>
      <c r="BZ266" s="166"/>
      <c r="CA266" s="167"/>
      <c r="CB266" s="168"/>
      <c r="CC266" s="169"/>
      <c r="CD266" s="169"/>
      <c r="CE266" s="169"/>
      <c r="CF266" s="169"/>
      <c r="CG266" s="167"/>
      <c r="CH266" s="167"/>
      <c r="CI266" s="170"/>
      <c r="CJ266" s="170"/>
      <c r="CK266" s="167"/>
      <c r="CL266" s="170"/>
      <c r="CM266" s="170"/>
      <c r="CN266" s="170"/>
      <c r="CO266" s="170"/>
      <c r="CP266" s="170"/>
      <c r="CQ266" s="170"/>
      <c r="CR266" s="170"/>
      <c r="CS266" s="170"/>
      <c r="CT266" s="170"/>
      <c r="CU266" s="170"/>
      <c r="CV266" s="170"/>
      <c r="CW266" s="167"/>
      <c r="CX266" s="170"/>
      <c r="CY266" s="170"/>
      <c r="CZ266" s="170"/>
      <c r="DA266" s="170"/>
      <c r="DB266" s="170"/>
      <c r="DC266" s="170"/>
      <c r="DD266" s="170"/>
      <c r="DE266" s="170"/>
      <c r="DF266" s="170"/>
      <c r="DG266" s="170"/>
      <c r="DH266" s="170"/>
      <c r="DI266" s="170"/>
      <c r="DJ266" s="170"/>
      <c r="DK266" s="170"/>
      <c r="DL266" s="170"/>
      <c r="DM266" s="170"/>
      <c r="DN266" s="170"/>
      <c r="DO266" s="170"/>
      <c r="DP266" s="170"/>
      <c r="DQ266" s="170"/>
      <c r="DR266" s="170"/>
      <c r="DS266" s="170"/>
      <c r="DT266" s="170"/>
      <c r="DU266" s="170"/>
      <c r="DV266" s="170"/>
    </row>
    <row r="267" spans="59:126" ht="15" hidden="1" x14ac:dyDescent="0.25">
      <c r="BG267" s="262"/>
      <c r="BH267" s="263"/>
      <c r="BI267" s="263"/>
      <c r="BJ267" s="265"/>
      <c r="BK267" s="265"/>
      <c r="BL267" s="265"/>
      <c r="BM267" s="265"/>
      <c r="BN267" s="312"/>
      <c r="BO267" s="312"/>
      <c r="BP267" s="322"/>
      <c r="BQ267" s="312"/>
      <c r="BR267" s="312"/>
      <c r="BS267" s="322"/>
      <c r="BT267" s="322"/>
      <c r="BU267" s="322"/>
      <c r="BV267" s="322"/>
      <c r="BW267" s="322"/>
      <c r="BX267" s="322"/>
      <c r="BY267" s="170"/>
      <c r="BZ267" s="170"/>
      <c r="CA267" s="170"/>
      <c r="CB267" s="168"/>
      <c r="CC267" s="169"/>
      <c r="CD267" s="169"/>
      <c r="CE267" s="169"/>
      <c r="CF267" s="169"/>
      <c r="CG267" s="167"/>
      <c r="CH267" s="167"/>
      <c r="CI267" s="170"/>
      <c r="CJ267" s="170"/>
      <c r="CK267" s="167"/>
      <c r="CL267" s="170"/>
      <c r="CM267" s="170"/>
      <c r="CN267" s="170"/>
      <c r="CO267" s="170"/>
      <c r="CP267" s="170"/>
      <c r="CQ267" s="170"/>
      <c r="CR267" s="170"/>
      <c r="CS267" s="170"/>
      <c r="CT267" s="170"/>
      <c r="CU267" s="170"/>
      <c r="CV267" s="170"/>
      <c r="CW267" s="167"/>
      <c r="CX267" s="170"/>
      <c r="CY267" s="170"/>
      <c r="CZ267" s="170"/>
      <c r="DA267" s="170"/>
      <c r="DB267" s="170"/>
      <c r="DC267" s="170"/>
      <c r="DD267" s="170"/>
      <c r="DE267" s="170"/>
      <c r="DF267" s="170"/>
      <c r="DG267" s="170"/>
      <c r="DH267" s="170"/>
      <c r="DI267" s="170"/>
      <c r="DJ267" s="170"/>
      <c r="DK267" s="170"/>
      <c r="DL267" s="170"/>
      <c r="DM267" s="170"/>
      <c r="DN267" s="170"/>
      <c r="DO267" s="170"/>
      <c r="DP267" s="170"/>
      <c r="DQ267" s="170"/>
      <c r="DR267" s="170"/>
      <c r="DS267" s="170"/>
      <c r="DT267" s="170"/>
      <c r="DU267" s="170"/>
      <c r="DV267" s="170"/>
    </row>
    <row r="268" spans="59:126" ht="15" hidden="1" x14ac:dyDescent="0.25">
      <c r="BG268" s="262"/>
      <c r="BH268" s="263"/>
      <c r="BI268" s="263"/>
      <c r="BJ268" s="305"/>
      <c r="BK268" s="265"/>
      <c r="BL268" s="265"/>
      <c r="BM268" s="265"/>
      <c r="BN268" s="312"/>
      <c r="BO268" s="312"/>
      <c r="BP268" s="322"/>
      <c r="BQ268" s="312"/>
      <c r="BR268" s="312"/>
      <c r="BS268" s="322"/>
      <c r="BT268" s="322"/>
      <c r="BU268" s="322"/>
      <c r="BV268" s="322"/>
      <c r="BW268" s="322"/>
      <c r="BX268" s="322"/>
      <c r="BY268" s="170"/>
      <c r="BZ268" s="170"/>
      <c r="CA268" s="170"/>
      <c r="CB268" s="168"/>
      <c r="CC268" s="169"/>
      <c r="CD268" s="169"/>
      <c r="CE268" s="169"/>
      <c r="CF268" s="169"/>
      <c r="CG268" s="167"/>
      <c r="CH268" s="167"/>
      <c r="CI268" s="170"/>
      <c r="CJ268" s="170"/>
      <c r="CK268" s="167"/>
      <c r="CL268" s="170"/>
      <c r="CM268" s="170"/>
      <c r="CN268" s="170"/>
      <c r="CO268" s="170"/>
      <c r="CP268" s="170"/>
      <c r="CQ268" s="170"/>
      <c r="CR268" s="170"/>
      <c r="CS268" s="170"/>
      <c r="CT268" s="170"/>
      <c r="CU268" s="170"/>
      <c r="CV268" s="170"/>
      <c r="CW268" s="167"/>
      <c r="CX268" s="170"/>
      <c r="CY268" s="170"/>
      <c r="CZ268" s="170"/>
      <c r="DA268" s="170"/>
      <c r="DB268" s="170"/>
      <c r="DC268" s="170"/>
      <c r="DD268" s="170"/>
      <c r="DE268" s="170"/>
      <c r="DF268" s="170"/>
      <c r="DG268" s="170"/>
      <c r="DH268" s="170"/>
      <c r="DI268" s="170"/>
      <c r="DJ268" s="170"/>
      <c r="DK268" s="170"/>
      <c r="DL268" s="170"/>
      <c r="DM268" s="170"/>
      <c r="DN268" s="170"/>
      <c r="DO268" s="170"/>
      <c r="DP268" s="170"/>
      <c r="DQ268" s="170"/>
      <c r="DR268" s="170"/>
      <c r="DS268" s="170"/>
      <c r="DT268" s="170"/>
      <c r="DU268" s="170"/>
      <c r="DV268" s="170"/>
    </row>
    <row r="269" spans="59:126" ht="15" hidden="1" x14ac:dyDescent="0.25">
      <c r="BG269" s="262"/>
      <c r="BH269" s="263"/>
      <c r="BI269" s="263"/>
      <c r="BJ269" s="305"/>
      <c r="BK269" s="265"/>
      <c r="BL269" s="265"/>
      <c r="BM269" s="265"/>
      <c r="BN269" s="312"/>
      <c r="BO269" s="312"/>
      <c r="BP269" s="322"/>
      <c r="BQ269" s="312"/>
      <c r="BR269" s="312"/>
      <c r="BS269" s="322"/>
      <c r="BT269" s="322"/>
      <c r="BU269" s="322"/>
      <c r="BV269" s="322"/>
      <c r="BW269" s="322"/>
      <c r="BX269" s="322"/>
      <c r="BY269" s="170" t="s">
        <v>524</v>
      </c>
      <c r="BZ269" s="170"/>
      <c r="CA269" s="170"/>
      <c r="CB269" s="168"/>
      <c r="CC269" s="169"/>
      <c r="CD269" s="169"/>
      <c r="CE269" s="169"/>
      <c r="CF269" s="169"/>
      <c r="CG269" s="167"/>
      <c r="CH269" s="167"/>
      <c r="CI269" s="170"/>
      <c r="CJ269" s="170"/>
      <c r="CK269" s="167"/>
      <c r="CL269" s="170"/>
      <c r="CM269" s="170"/>
      <c r="CN269" s="170"/>
      <c r="CO269" s="170"/>
      <c r="CP269" s="170"/>
      <c r="CQ269" s="170"/>
      <c r="CR269" s="170"/>
      <c r="CS269" s="170"/>
      <c r="CT269" s="170"/>
      <c r="CU269" s="170"/>
      <c r="CV269" s="170"/>
      <c r="CW269" s="167"/>
      <c r="CX269" s="170"/>
      <c r="CY269" s="170"/>
      <c r="CZ269" s="170"/>
      <c r="DA269" s="170"/>
      <c r="DB269" s="170"/>
      <c r="DC269" s="170"/>
      <c r="DD269" s="170"/>
      <c r="DE269" s="170"/>
      <c r="DF269" s="170"/>
      <c r="DG269" s="170"/>
      <c r="DH269" s="170"/>
      <c r="DI269" s="170"/>
      <c r="DJ269" s="170"/>
      <c r="DK269" s="170"/>
      <c r="DL269" s="170"/>
      <c r="DM269" s="170"/>
      <c r="DN269" s="170"/>
      <c r="DO269" s="170"/>
      <c r="DP269" s="170"/>
      <c r="DQ269" s="170"/>
      <c r="DR269" s="170"/>
      <c r="DS269" s="170"/>
      <c r="DT269" s="170"/>
      <c r="DU269" s="170"/>
      <c r="DV269" s="170"/>
    </row>
    <row r="270" spans="59:126" ht="15" hidden="1" x14ac:dyDescent="0.25">
      <c r="BG270" s="262"/>
      <c r="BH270" s="263"/>
      <c r="BI270" s="263"/>
      <c r="BJ270" s="265"/>
      <c r="BK270" s="265"/>
      <c r="BL270" s="265"/>
      <c r="BM270" s="265"/>
      <c r="BN270" s="312"/>
      <c r="BO270" s="312"/>
      <c r="BP270" s="322"/>
      <c r="BQ270" s="312"/>
      <c r="BR270" s="312"/>
      <c r="BS270" s="322"/>
      <c r="BT270" s="322"/>
      <c r="BU270" s="322"/>
      <c r="BV270" s="322"/>
      <c r="BW270" s="322"/>
      <c r="BX270" s="322"/>
      <c r="BY270" s="307" t="s">
        <v>245</v>
      </c>
      <c r="BZ270" s="307" t="s">
        <v>448</v>
      </c>
      <c r="CA270" s="344">
        <f>CG29*10.4/1000</f>
        <v>1.04</v>
      </c>
      <c r="CB270" s="168"/>
      <c r="CC270" s="169"/>
      <c r="CD270" s="169"/>
      <c r="CE270" s="169"/>
      <c r="CF270" s="169"/>
      <c r="CG270" s="167"/>
      <c r="CH270" s="167"/>
      <c r="CI270" s="170"/>
      <c r="CJ270" s="170"/>
      <c r="CK270" s="167"/>
      <c r="CL270" s="170"/>
      <c r="CM270" s="170"/>
      <c r="CN270" s="170"/>
      <c r="CO270" s="170"/>
      <c r="CP270" s="170"/>
      <c r="CQ270" s="170"/>
      <c r="CR270" s="170"/>
      <c r="CS270" s="170"/>
      <c r="CT270" s="170"/>
      <c r="CU270" s="170"/>
      <c r="CV270" s="170"/>
      <c r="CW270" s="167"/>
      <c r="CX270" s="170"/>
      <c r="CY270" s="170"/>
      <c r="CZ270" s="170"/>
      <c r="DA270" s="170"/>
      <c r="DB270" s="170"/>
      <c r="DC270" s="170"/>
      <c r="DD270" s="170"/>
      <c r="DE270" s="170"/>
      <c r="DF270" s="170"/>
      <c r="DG270" s="170"/>
      <c r="DH270" s="170"/>
      <c r="DI270" s="170"/>
      <c r="DJ270" s="170"/>
      <c r="DK270" s="170"/>
      <c r="DL270" s="170"/>
      <c r="DM270" s="170"/>
      <c r="DN270" s="170"/>
      <c r="DO270" s="170"/>
      <c r="DP270" s="170"/>
      <c r="DQ270" s="170"/>
      <c r="DR270" s="170"/>
      <c r="DS270" s="170"/>
      <c r="DT270" s="170"/>
      <c r="DU270" s="170"/>
      <c r="DV270" s="170"/>
    </row>
    <row r="271" spans="59:126" ht="15" hidden="1" x14ac:dyDescent="0.25">
      <c r="BG271" s="262"/>
      <c r="BH271" s="263"/>
      <c r="BI271" s="263"/>
      <c r="BJ271" s="333"/>
      <c r="BK271" s="333"/>
      <c r="BL271" s="265"/>
      <c r="BM271" s="265"/>
      <c r="BN271" s="312"/>
      <c r="BO271" s="312"/>
      <c r="BP271" s="322"/>
      <c r="BQ271" s="312"/>
      <c r="BR271" s="312"/>
      <c r="BS271" s="322"/>
      <c r="BT271" s="322"/>
      <c r="BU271" s="322"/>
      <c r="BV271" s="322"/>
      <c r="BW271" s="322"/>
      <c r="BX271" s="322"/>
      <c r="BY271" s="307"/>
      <c r="BZ271" s="307" t="s">
        <v>449</v>
      </c>
      <c r="CA271" s="344">
        <f>CA188*(0.03*CA187^0.89)</f>
        <v>1.6730640904979177</v>
      </c>
      <c r="CB271" s="168"/>
      <c r="CC271" s="169"/>
      <c r="CD271" s="169"/>
      <c r="CE271" s="169"/>
      <c r="CF271" s="169"/>
      <c r="CG271" s="167"/>
      <c r="CH271" s="167"/>
      <c r="CI271" s="170"/>
      <c r="CJ271" s="170"/>
      <c r="CK271" s="167"/>
      <c r="CL271" s="170"/>
      <c r="CM271" s="170"/>
      <c r="CN271" s="170"/>
      <c r="CO271" s="170"/>
      <c r="CP271" s="170"/>
      <c r="CQ271" s="170"/>
      <c r="CR271" s="170"/>
      <c r="CS271" s="170"/>
      <c r="CT271" s="170"/>
      <c r="CU271" s="170"/>
      <c r="CV271" s="170"/>
      <c r="CW271" s="167"/>
      <c r="CX271" s="170"/>
      <c r="CY271" s="170"/>
      <c r="CZ271" s="170"/>
      <c r="DA271" s="170"/>
      <c r="DB271" s="170"/>
      <c r="DC271" s="170"/>
      <c r="DD271" s="170"/>
      <c r="DE271" s="170"/>
      <c r="DF271" s="170"/>
      <c r="DG271" s="170"/>
      <c r="DH271" s="170"/>
      <c r="DI271" s="170"/>
      <c r="DJ271" s="170"/>
      <c r="DK271" s="170"/>
      <c r="DL271" s="170"/>
      <c r="DM271" s="170"/>
      <c r="DN271" s="170"/>
      <c r="DO271" s="170"/>
      <c r="DP271" s="170"/>
      <c r="DQ271" s="170"/>
      <c r="DR271" s="170"/>
      <c r="DS271" s="170"/>
      <c r="DT271" s="170"/>
      <c r="DU271" s="170"/>
      <c r="DV271" s="170"/>
    </row>
    <row r="272" spans="59:126" ht="15" hidden="1" x14ac:dyDescent="0.25">
      <c r="BG272" s="262"/>
      <c r="BH272" s="263"/>
      <c r="BI272" s="263"/>
      <c r="BJ272" s="265"/>
      <c r="BK272" s="265"/>
      <c r="BL272" s="265"/>
      <c r="BM272" s="265"/>
      <c r="BN272" s="312"/>
      <c r="BO272" s="312"/>
      <c r="BP272" s="322"/>
      <c r="BQ272" s="312"/>
      <c r="BR272" s="312"/>
      <c r="BS272" s="322"/>
      <c r="BT272" s="322"/>
      <c r="BU272" s="322"/>
      <c r="BV272" s="322"/>
      <c r="BW272" s="322"/>
      <c r="BX272" s="322"/>
      <c r="BY272" s="307"/>
      <c r="BZ272" s="307" t="s">
        <v>451</v>
      </c>
      <c r="CA272" s="344">
        <f>CA271+CA270</f>
        <v>2.7130640904979177</v>
      </c>
      <c r="CB272" s="168"/>
      <c r="CC272" s="169"/>
      <c r="CD272" s="169"/>
      <c r="CE272" s="169"/>
      <c r="CF272" s="169"/>
      <c r="CG272" s="167"/>
      <c r="CH272" s="167"/>
      <c r="CI272" s="170"/>
      <c r="CJ272" s="170"/>
      <c r="CK272" s="167"/>
      <c r="CL272" s="170"/>
      <c r="CM272" s="170"/>
      <c r="CN272" s="170"/>
      <c r="CO272" s="170"/>
      <c r="CP272" s="170"/>
      <c r="CQ272" s="170"/>
      <c r="CR272" s="170"/>
      <c r="CS272" s="170"/>
      <c r="CT272" s="170"/>
      <c r="CU272" s="170"/>
      <c r="CV272" s="170"/>
      <c r="CW272" s="167"/>
      <c r="CX272" s="170"/>
      <c r="CY272" s="170"/>
      <c r="CZ272" s="170"/>
      <c r="DA272" s="170"/>
      <c r="DB272" s="170"/>
      <c r="DC272" s="170"/>
      <c r="DD272" s="170"/>
      <c r="DE272" s="170"/>
      <c r="DF272" s="170"/>
      <c r="DG272" s="170"/>
      <c r="DH272" s="170"/>
      <c r="DI272" s="170"/>
      <c r="DJ272" s="170"/>
      <c r="DK272" s="170"/>
      <c r="DL272" s="170"/>
      <c r="DM272" s="170"/>
      <c r="DN272" s="170"/>
      <c r="DO272" s="170"/>
      <c r="DP272" s="170"/>
      <c r="DQ272" s="170"/>
      <c r="DR272" s="170"/>
      <c r="DS272" s="170"/>
      <c r="DT272" s="170"/>
      <c r="DU272" s="170"/>
      <c r="DV272" s="170"/>
    </row>
    <row r="273" spans="59:126" ht="15" hidden="1" x14ac:dyDescent="0.25">
      <c r="BG273" s="262"/>
      <c r="BH273" s="263"/>
      <c r="BI273" s="263"/>
      <c r="BJ273" s="305"/>
      <c r="BK273" s="265"/>
      <c r="BL273" s="265"/>
      <c r="BM273" s="265"/>
      <c r="BN273" s="312"/>
      <c r="BO273" s="312"/>
      <c r="BP273" s="322"/>
      <c r="BQ273" s="312"/>
      <c r="BR273" s="312"/>
      <c r="BS273" s="322"/>
      <c r="BT273" s="322"/>
      <c r="BU273" s="322"/>
      <c r="BV273" s="322"/>
      <c r="BW273" s="322"/>
      <c r="BX273" s="322"/>
      <c r="BY273" s="307"/>
      <c r="BZ273" s="307" t="s">
        <v>258</v>
      </c>
      <c r="CA273" s="309"/>
      <c r="CB273" s="168"/>
      <c r="CC273" s="169"/>
      <c r="CD273" s="169"/>
      <c r="CE273" s="169"/>
      <c r="CF273" s="169"/>
      <c r="CG273" s="167"/>
      <c r="CH273" s="167"/>
      <c r="CI273" s="170"/>
      <c r="CJ273" s="170"/>
      <c r="CK273" s="167"/>
      <c r="CL273" s="170"/>
      <c r="CM273" s="170"/>
      <c r="CN273" s="170"/>
      <c r="CO273" s="170"/>
      <c r="CP273" s="170"/>
      <c r="CQ273" s="170"/>
      <c r="CR273" s="170"/>
      <c r="CS273" s="170"/>
      <c r="CT273" s="170"/>
      <c r="CU273" s="170"/>
      <c r="CV273" s="170"/>
      <c r="CW273" s="167"/>
      <c r="CX273" s="170"/>
      <c r="CY273" s="170"/>
      <c r="CZ273" s="170"/>
      <c r="DA273" s="170"/>
      <c r="DB273" s="170"/>
      <c r="DC273" s="170"/>
      <c r="DD273" s="170"/>
      <c r="DE273" s="170"/>
      <c r="DF273" s="170"/>
      <c r="DG273" s="170"/>
      <c r="DH273" s="170"/>
      <c r="DI273" s="170"/>
      <c r="DJ273" s="170"/>
      <c r="DK273" s="170"/>
      <c r="DL273" s="170"/>
      <c r="DM273" s="170"/>
      <c r="DN273" s="170"/>
      <c r="DO273" s="170"/>
      <c r="DP273" s="170"/>
      <c r="DQ273" s="170"/>
      <c r="DR273" s="170"/>
      <c r="DS273" s="170"/>
      <c r="DT273" s="170"/>
      <c r="DU273" s="170"/>
      <c r="DV273" s="170"/>
    </row>
    <row r="274" spans="59:126" ht="15" hidden="1" x14ac:dyDescent="0.25">
      <c r="BG274" s="262"/>
      <c r="BH274" s="263"/>
      <c r="BI274" s="263"/>
      <c r="BJ274" s="305"/>
      <c r="BK274" s="265"/>
      <c r="BL274" s="265"/>
      <c r="BM274" s="265"/>
      <c r="BN274" s="312"/>
      <c r="BO274" s="312"/>
      <c r="BP274" s="322"/>
      <c r="BQ274" s="312"/>
      <c r="BR274" s="312"/>
      <c r="BS274" s="322"/>
      <c r="BT274" s="322"/>
      <c r="BU274" s="322"/>
      <c r="BV274" s="322"/>
      <c r="BW274" s="322"/>
      <c r="BX274" s="322"/>
      <c r="BY274" s="307"/>
      <c r="BZ274" s="308" t="s">
        <v>452</v>
      </c>
      <c r="CA274" s="345">
        <f>CA272/DD32</f>
        <v>3.5234598577895033</v>
      </c>
      <c r="CB274" s="168"/>
      <c r="CC274" s="169"/>
      <c r="CD274" s="169"/>
      <c r="CE274" s="169"/>
      <c r="CF274" s="169"/>
      <c r="CG274" s="167"/>
      <c r="CH274" s="167"/>
      <c r="CI274" s="170"/>
      <c r="CJ274" s="170"/>
      <c r="CK274" s="167"/>
      <c r="CL274" s="170"/>
      <c r="CM274" s="170"/>
      <c r="CN274" s="170"/>
      <c r="CO274" s="170"/>
      <c r="CP274" s="170"/>
      <c r="CQ274" s="170"/>
      <c r="CR274" s="170"/>
      <c r="CS274" s="170"/>
      <c r="CT274" s="170"/>
      <c r="CU274" s="170"/>
      <c r="CV274" s="170"/>
      <c r="CW274" s="167"/>
      <c r="CX274" s="170"/>
      <c r="CY274" s="170"/>
      <c r="CZ274" s="170"/>
      <c r="DA274" s="170"/>
      <c r="DB274" s="170"/>
      <c r="DC274" s="170"/>
      <c r="DD274" s="170"/>
      <c r="DE274" s="170"/>
      <c r="DF274" s="170"/>
      <c r="DG274" s="170"/>
      <c r="DH274" s="170"/>
      <c r="DI274" s="170"/>
      <c r="DJ274" s="170"/>
      <c r="DK274" s="170"/>
      <c r="DL274" s="170"/>
      <c r="DM274" s="170"/>
      <c r="DN274" s="170"/>
      <c r="DO274" s="170"/>
      <c r="DP274" s="170"/>
      <c r="DQ274" s="170"/>
      <c r="DR274" s="170"/>
      <c r="DS274" s="170"/>
      <c r="DT274" s="170"/>
      <c r="DU274" s="170"/>
      <c r="DV274" s="170"/>
    </row>
    <row r="275" spans="59:126" ht="15" hidden="1" x14ac:dyDescent="0.25">
      <c r="BG275" s="262"/>
      <c r="BH275" s="263"/>
      <c r="BI275" s="263"/>
      <c r="BJ275" s="265"/>
      <c r="BK275" s="265"/>
      <c r="BL275" s="265"/>
      <c r="BM275" s="265"/>
      <c r="BN275" s="312"/>
      <c r="BO275" s="312"/>
      <c r="BP275" s="322"/>
      <c r="BQ275" s="312"/>
      <c r="BR275" s="312"/>
      <c r="BS275" s="322"/>
      <c r="BT275" s="322"/>
      <c r="BU275" s="322"/>
      <c r="BV275" s="322"/>
      <c r="BW275" s="322"/>
      <c r="BX275" s="322"/>
      <c r="BY275" s="307"/>
      <c r="BZ275" s="308"/>
      <c r="CA275" s="309"/>
      <c r="CB275" s="168"/>
      <c r="CC275" s="169"/>
      <c r="CD275" s="169"/>
      <c r="CE275" s="169"/>
      <c r="CF275" s="169"/>
      <c r="CG275" s="167"/>
      <c r="CH275" s="167"/>
      <c r="CI275" s="170"/>
      <c r="CJ275" s="170"/>
      <c r="CK275" s="167"/>
      <c r="CL275" s="170"/>
      <c r="CM275" s="170"/>
      <c r="CN275" s="170"/>
      <c r="CO275" s="170"/>
      <c r="CP275" s="170"/>
      <c r="CQ275" s="170"/>
      <c r="CR275" s="170"/>
      <c r="CS275" s="170"/>
      <c r="CT275" s="170"/>
      <c r="CU275" s="170"/>
      <c r="CV275" s="170"/>
      <c r="CW275" s="167"/>
      <c r="CX275" s="170"/>
      <c r="CY275" s="170"/>
      <c r="CZ275" s="170"/>
      <c r="DA275" s="170"/>
      <c r="DB275" s="170"/>
      <c r="DC275" s="170"/>
      <c r="DD275" s="170"/>
      <c r="DE275" s="170"/>
      <c r="DF275" s="170"/>
      <c r="DG275" s="170"/>
      <c r="DH275" s="170"/>
      <c r="DI275" s="170"/>
      <c r="DJ275" s="170"/>
      <c r="DK275" s="170"/>
      <c r="DL275" s="170"/>
      <c r="DM275" s="170"/>
      <c r="DN275" s="170"/>
      <c r="DO275" s="170"/>
      <c r="DP275" s="170"/>
      <c r="DQ275" s="170"/>
      <c r="DR275" s="170"/>
      <c r="DS275" s="170"/>
      <c r="DT275" s="170"/>
      <c r="DU275" s="170"/>
      <c r="DV275" s="170"/>
    </row>
    <row r="276" spans="59:126" ht="15" hidden="1" x14ac:dyDescent="0.25">
      <c r="BG276" s="262"/>
      <c r="BH276" s="263"/>
      <c r="BI276" s="263"/>
      <c r="BJ276" s="333"/>
      <c r="BK276" s="333"/>
      <c r="BL276" s="265"/>
      <c r="BM276" s="265"/>
      <c r="BN276" s="312"/>
      <c r="BO276" s="312"/>
      <c r="BP276" s="322"/>
      <c r="BQ276" s="312"/>
      <c r="BR276" s="312"/>
      <c r="BS276" s="322"/>
      <c r="BT276" s="322"/>
      <c r="BU276" s="322"/>
      <c r="BV276" s="322"/>
      <c r="BW276" s="322"/>
      <c r="BX276" s="322"/>
      <c r="BY276" s="307" t="s">
        <v>262</v>
      </c>
      <c r="BZ276" s="307" t="s">
        <v>453</v>
      </c>
      <c r="CA276" s="344">
        <f>CG29*95.6/1000</f>
        <v>9.56</v>
      </c>
      <c r="CB276" s="168"/>
      <c r="CC276" s="169"/>
      <c r="CD276" s="169"/>
      <c r="CE276" s="169"/>
      <c r="CF276" s="169"/>
      <c r="CG276" s="167"/>
      <c r="CH276" s="167"/>
      <c r="CI276" s="170"/>
      <c r="CJ276" s="170"/>
      <c r="CK276" s="167"/>
      <c r="CL276" s="170"/>
      <c r="CM276" s="170"/>
      <c r="CN276" s="170"/>
      <c r="CO276" s="170"/>
      <c r="CP276" s="170"/>
      <c r="CQ276" s="170"/>
      <c r="CR276" s="170"/>
      <c r="CS276" s="170"/>
      <c r="CT276" s="170"/>
      <c r="CU276" s="170"/>
      <c r="CV276" s="170"/>
      <c r="CW276" s="167"/>
      <c r="CX276" s="170"/>
      <c r="CY276" s="170"/>
      <c r="CZ276" s="170"/>
      <c r="DA276" s="170"/>
      <c r="DB276" s="170"/>
      <c r="DC276" s="170"/>
      <c r="DD276" s="170"/>
      <c r="DE276" s="170"/>
      <c r="DF276" s="170"/>
      <c r="DG276" s="170"/>
      <c r="DH276" s="170"/>
      <c r="DI276" s="170"/>
      <c r="DJ276" s="170"/>
      <c r="DK276" s="170"/>
      <c r="DL276" s="170"/>
      <c r="DM276" s="170"/>
      <c r="DN276" s="170"/>
      <c r="DO276" s="170"/>
      <c r="DP276" s="170"/>
      <c r="DQ276" s="170"/>
      <c r="DR276" s="170"/>
      <c r="DS276" s="170"/>
      <c r="DT276" s="170"/>
      <c r="DU276" s="170"/>
      <c r="DV276" s="170"/>
    </row>
    <row r="277" spans="59:126" ht="15" hidden="1" x14ac:dyDescent="0.25">
      <c r="BG277" s="262"/>
      <c r="BH277" s="263"/>
      <c r="BI277" s="263"/>
      <c r="BJ277" s="265"/>
      <c r="BK277" s="265"/>
      <c r="BL277" s="265"/>
      <c r="BM277" s="265"/>
      <c r="BN277" s="312"/>
      <c r="BO277" s="312"/>
      <c r="BP277" s="322"/>
      <c r="BQ277" s="312"/>
      <c r="BR277" s="312"/>
      <c r="BS277" s="322"/>
      <c r="BT277" s="322"/>
      <c r="BU277" s="322"/>
      <c r="BV277" s="322"/>
      <c r="BW277" s="322"/>
      <c r="BX277" s="322"/>
      <c r="BY277" s="307"/>
      <c r="BZ277" s="307" t="s">
        <v>454</v>
      </c>
      <c r="CA277" s="344">
        <f>CA188*(1.25*CA187^0.33)</f>
        <v>5.404098992657425</v>
      </c>
      <c r="CB277" s="168"/>
      <c r="CC277" s="169"/>
      <c r="CD277" s="169"/>
      <c r="CE277" s="169"/>
      <c r="CF277" s="169"/>
      <c r="CG277" s="167"/>
      <c r="CH277" s="167"/>
      <c r="CI277" s="170"/>
      <c r="CJ277" s="170"/>
      <c r="CK277" s="167"/>
      <c r="CL277" s="170"/>
      <c r="CM277" s="170"/>
      <c r="CN277" s="170"/>
      <c r="CO277" s="170"/>
      <c r="CP277" s="170"/>
      <c r="CQ277" s="170"/>
      <c r="CR277" s="170"/>
      <c r="CS277" s="170"/>
      <c r="CT277" s="170"/>
      <c r="CU277" s="170"/>
      <c r="CV277" s="170"/>
      <c r="CW277" s="167"/>
      <c r="CX277" s="170"/>
      <c r="CY277" s="170"/>
      <c r="CZ277" s="170"/>
      <c r="DA277" s="170"/>
      <c r="DB277" s="170"/>
      <c r="DC277" s="170"/>
      <c r="DD277" s="170"/>
      <c r="DE277" s="170"/>
      <c r="DF277" s="170"/>
      <c r="DG277" s="170"/>
      <c r="DH277" s="170"/>
      <c r="DI277" s="170"/>
      <c r="DJ277" s="170"/>
      <c r="DK277" s="170"/>
      <c r="DL277" s="170"/>
      <c r="DM277" s="170"/>
      <c r="DN277" s="170"/>
      <c r="DO277" s="170"/>
      <c r="DP277" s="170"/>
      <c r="DQ277" s="170"/>
      <c r="DR277" s="170"/>
      <c r="DS277" s="170"/>
      <c r="DT277" s="170"/>
      <c r="DU277" s="170"/>
      <c r="DV277" s="170"/>
    </row>
    <row r="278" spans="59:126" ht="15" hidden="1" x14ac:dyDescent="0.25">
      <c r="BG278" s="262"/>
      <c r="BH278" s="263"/>
      <c r="BI278" s="263"/>
      <c r="BJ278" s="305"/>
      <c r="BK278" s="265"/>
      <c r="BL278" s="265"/>
      <c r="BM278" s="265"/>
      <c r="BN278" s="312"/>
      <c r="BO278" s="312"/>
      <c r="BP278" s="322"/>
      <c r="BQ278" s="312"/>
      <c r="BR278" s="312"/>
      <c r="BS278" s="322"/>
      <c r="BT278" s="322"/>
      <c r="BU278" s="322"/>
      <c r="BV278" s="322"/>
      <c r="BW278" s="322"/>
      <c r="BX278" s="322"/>
      <c r="BY278" s="307"/>
      <c r="BZ278" s="307" t="s">
        <v>456</v>
      </c>
      <c r="CA278" s="344">
        <f>CA277+CA276</f>
        <v>14.964098992657426</v>
      </c>
      <c r="CB278" s="168"/>
      <c r="CC278" s="169"/>
      <c r="CD278" s="169"/>
      <c r="CE278" s="169"/>
      <c r="CF278" s="169"/>
      <c r="CG278" s="167"/>
      <c r="CH278" s="167"/>
      <c r="CI278" s="170"/>
      <c r="CJ278" s="170"/>
      <c r="CK278" s="167"/>
      <c r="CL278" s="170"/>
      <c r="CM278" s="170"/>
      <c r="CN278" s="170"/>
      <c r="CO278" s="170"/>
      <c r="CP278" s="170"/>
      <c r="CQ278" s="170"/>
      <c r="CR278" s="170"/>
      <c r="CS278" s="170"/>
      <c r="CT278" s="170"/>
      <c r="CU278" s="170"/>
      <c r="CV278" s="170"/>
      <c r="CW278" s="167"/>
      <c r="CX278" s="170"/>
      <c r="CY278" s="170"/>
      <c r="CZ278" s="170"/>
      <c r="DA278" s="170"/>
      <c r="DB278" s="170"/>
      <c r="DC278" s="170"/>
      <c r="DD278" s="170"/>
      <c r="DE278" s="170"/>
      <c r="DF278" s="170"/>
      <c r="DG278" s="170"/>
      <c r="DH278" s="170"/>
      <c r="DI278" s="170"/>
      <c r="DJ278" s="170"/>
      <c r="DK278" s="170"/>
      <c r="DL278" s="170"/>
      <c r="DM278" s="170"/>
      <c r="DN278" s="170"/>
      <c r="DO278" s="170"/>
      <c r="DP278" s="170"/>
      <c r="DQ278" s="170"/>
      <c r="DR278" s="170"/>
      <c r="DS278" s="170"/>
      <c r="DT278" s="170"/>
      <c r="DU278" s="170"/>
      <c r="DV278" s="170"/>
    </row>
    <row r="279" spans="59:126" ht="15" hidden="1" x14ac:dyDescent="0.25">
      <c r="BG279" s="262"/>
      <c r="BH279" s="263"/>
      <c r="BI279" s="263"/>
      <c r="BJ279" s="305"/>
      <c r="BK279" s="265"/>
      <c r="BL279" s="265"/>
      <c r="BM279" s="265"/>
      <c r="BN279" s="312"/>
      <c r="BO279" s="312"/>
      <c r="BP279" s="322"/>
      <c r="BQ279" s="312"/>
      <c r="BR279" s="312"/>
      <c r="BS279" s="322"/>
      <c r="BT279" s="322"/>
      <c r="BU279" s="322"/>
      <c r="BV279" s="322"/>
      <c r="BW279" s="322"/>
      <c r="BX279" s="322"/>
      <c r="BY279" s="307"/>
      <c r="BZ279" s="307" t="s">
        <v>258</v>
      </c>
      <c r="CA279" s="309"/>
      <c r="CB279" s="168"/>
      <c r="CC279" s="169"/>
      <c r="CD279" s="169"/>
      <c r="CE279" s="169"/>
      <c r="CF279" s="169"/>
      <c r="CG279" s="167"/>
      <c r="CH279" s="167"/>
      <c r="CI279" s="170"/>
      <c r="CJ279" s="170"/>
      <c r="CK279" s="167"/>
      <c r="CL279" s="170"/>
      <c r="CM279" s="170"/>
      <c r="CN279" s="170"/>
      <c r="CO279" s="170"/>
      <c r="CP279" s="170"/>
      <c r="CQ279" s="170"/>
      <c r="CR279" s="170"/>
      <c r="CS279" s="170"/>
      <c r="CT279" s="170"/>
      <c r="CU279" s="170"/>
      <c r="CV279" s="170"/>
      <c r="CW279" s="167"/>
      <c r="CX279" s="170"/>
      <c r="CY279" s="170"/>
      <c r="CZ279" s="170"/>
      <c r="DA279" s="170"/>
      <c r="DB279" s="170"/>
      <c r="DC279" s="170"/>
      <c r="DD279" s="170"/>
      <c r="DE279" s="170"/>
      <c r="DF279" s="170"/>
      <c r="DG279" s="170"/>
      <c r="DH279" s="170"/>
      <c r="DI279" s="170"/>
      <c r="DJ279" s="170"/>
      <c r="DK279" s="170"/>
      <c r="DL279" s="170"/>
      <c r="DM279" s="170"/>
      <c r="DN279" s="170"/>
      <c r="DO279" s="170"/>
      <c r="DP279" s="170"/>
      <c r="DQ279" s="170"/>
      <c r="DR279" s="170"/>
      <c r="DS279" s="170"/>
      <c r="DT279" s="170"/>
      <c r="DU279" s="170"/>
      <c r="DV279" s="170"/>
    </row>
    <row r="280" spans="59:126" ht="15" hidden="1" x14ac:dyDescent="0.25">
      <c r="BG280" s="262"/>
      <c r="BH280" s="263"/>
      <c r="BI280" s="263"/>
      <c r="BJ280" s="265"/>
      <c r="BK280" s="265"/>
      <c r="BL280" s="265"/>
      <c r="BM280" s="265"/>
      <c r="BN280" s="312"/>
      <c r="BO280" s="312"/>
      <c r="BP280" s="322"/>
      <c r="BQ280" s="312"/>
      <c r="BR280" s="312"/>
      <c r="BS280" s="322"/>
      <c r="BT280" s="322"/>
      <c r="BU280" s="322"/>
      <c r="BV280" s="322"/>
      <c r="BW280" s="322"/>
      <c r="BX280" s="322"/>
      <c r="BY280" s="307"/>
      <c r="BZ280" s="308" t="s">
        <v>457</v>
      </c>
      <c r="CA280" s="345">
        <f>CA278/DD35</f>
        <v>20.221755395483008</v>
      </c>
      <c r="CB280" s="168"/>
      <c r="CC280" s="169"/>
      <c r="CD280" s="169"/>
      <c r="CE280" s="169"/>
      <c r="CF280" s="169"/>
      <c r="CG280" s="167"/>
      <c r="CH280" s="167"/>
      <c r="CI280" s="170"/>
      <c r="CJ280" s="170"/>
      <c r="CK280" s="167"/>
      <c r="CL280" s="170"/>
      <c r="CM280" s="170"/>
      <c r="CN280" s="170"/>
      <c r="CO280" s="170"/>
      <c r="CP280" s="170"/>
      <c r="CQ280" s="170"/>
      <c r="CR280" s="170"/>
      <c r="CS280" s="170"/>
      <c r="CT280" s="170"/>
      <c r="CU280" s="170"/>
      <c r="CV280" s="170"/>
      <c r="CW280" s="167"/>
      <c r="CX280" s="170"/>
      <c r="CY280" s="170"/>
      <c r="CZ280" s="170"/>
      <c r="DA280" s="170"/>
      <c r="DB280" s="170"/>
      <c r="DC280" s="170"/>
      <c r="DD280" s="170"/>
      <c r="DE280" s="170"/>
      <c r="DF280" s="170"/>
      <c r="DG280" s="170"/>
      <c r="DH280" s="170"/>
      <c r="DI280" s="170"/>
      <c r="DJ280" s="170"/>
      <c r="DK280" s="170"/>
      <c r="DL280" s="170"/>
      <c r="DM280" s="170"/>
      <c r="DN280" s="170"/>
      <c r="DO280" s="170"/>
      <c r="DP280" s="170"/>
      <c r="DQ280" s="170"/>
      <c r="DR280" s="170"/>
      <c r="DS280" s="170"/>
      <c r="DT280" s="170"/>
      <c r="DU280" s="170"/>
      <c r="DV280" s="170"/>
    </row>
    <row r="281" spans="59:126" ht="15" hidden="1" x14ac:dyDescent="0.25">
      <c r="BG281" s="262"/>
      <c r="BH281" s="263"/>
      <c r="BI281" s="263"/>
      <c r="BJ281" s="333"/>
      <c r="BK281" s="333"/>
      <c r="BL281" s="265"/>
      <c r="BM281" s="265"/>
      <c r="BN281" s="312"/>
      <c r="BO281" s="312"/>
      <c r="BP281" s="322"/>
      <c r="BQ281" s="312"/>
      <c r="BR281" s="312"/>
      <c r="BS281" s="322"/>
      <c r="BT281" s="322"/>
      <c r="BU281" s="322"/>
      <c r="BV281" s="322"/>
      <c r="BW281" s="322"/>
      <c r="BX281" s="322"/>
      <c r="BY281" s="307"/>
      <c r="BZ281" s="308"/>
      <c r="CA281" s="309"/>
      <c r="CB281" s="168"/>
      <c r="CC281" s="169"/>
      <c r="CD281" s="169"/>
      <c r="CE281" s="169"/>
      <c r="CF281" s="169"/>
      <c r="CG281" s="167"/>
      <c r="CH281" s="167"/>
      <c r="CI281" s="170"/>
      <c r="CJ281" s="170"/>
      <c r="CK281" s="167"/>
      <c r="CL281" s="170"/>
      <c r="CM281" s="170"/>
      <c r="CN281" s="170"/>
      <c r="CO281" s="170"/>
      <c r="CP281" s="170"/>
      <c r="CQ281" s="170"/>
      <c r="CR281" s="170"/>
      <c r="CS281" s="170"/>
      <c r="CT281" s="170"/>
      <c r="CU281" s="170"/>
      <c r="CV281" s="170"/>
      <c r="CW281" s="167"/>
      <c r="CX281" s="170"/>
      <c r="CY281" s="170"/>
      <c r="CZ281" s="170"/>
      <c r="DA281" s="170"/>
      <c r="DB281" s="170"/>
      <c r="DC281" s="170"/>
      <c r="DD281" s="170"/>
      <c r="DE281" s="170"/>
      <c r="DF281" s="170"/>
      <c r="DG281" s="170"/>
      <c r="DH281" s="170"/>
      <c r="DI281" s="170"/>
      <c r="DJ281" s="170"/>
      <c r="DK281" s="170"/>
      <c r="DL281" s="170"/>
      <c r="DM281" s="170"/>
      <c r="DN281" s="170"/>
      <c r="DO281" s="170"/>
      <c r="DP281" s="170"/>
      <c r="DQ281" s="170"/>
      <c r="DR281" s="170"/>
      <c r="DS281" s="170"/>
      <c r="DT281" s="170"/>
      <c r="DU281" s="170"/>
      <c r="DV281" s="170"/>
    </row>
    <row r="282" spans="59:126" ht="15" hidden="1" x14ac:dyDescent="0.25">
      <c r="BG282" s="262"/>
      <c r="BH282" s="263"/>
      <c r="BI282" s="263"/>
      <c r="BJ282" s="265"/>
      <c r="BK282" s="265"/>
      <c r="BL282" s="265"/>
      <c r="BM282" s="265"/>
      <c r="BN282" s="312"/>
      <c r="BO282" s="312"/>
      <c r="BP282" s="322"/>
      <c r="BQ282" s="312"/>
      <c r="BR282" s="312"/>
      <c r="BS282" s="322"/>
      <c r="BT282" s="322"/>
      <c r="BU282" s="322"/>
      <c r="BV282" s="322"/>
      <c r="BW282" s="322"/>
      <c r="BX282" s="322"/>
      <c r="BY282" s="307" t="s">
        <v>249</v>
      </c>
      <c r="BZ282" s="307" t="s">
        <v>458</v>
      </c>
      <c r="CA282" s="344">
        <f>CG29*13.5/1000</f>
        <v>1.35</v>
      </c>
      <c r="CB282" s="168"/>
      <c r="CC282" s="169"/>
      <c r="CD282" s="169"/>
      <c r="CE282" s="169"/>
      <c r="CF282" s="169"/>
      <c r="CG282" s="167"/>
      <c r="CH282" s="167"/>
      <c r="CI282" s="170"/>
      <c r="CJ282" s="170"/>
      <c r="CK282" s="167"/>
      <c r="CL282" s="170"/>
      <c r="CM282" s="170"/>
      <c r="CN282" s="170"/>
      <c r="CO282" s="170"/>
      <c r="CP282" s="170"/>
      <c r="CQ282" s="170"/>
      <c r="CR282" s="170"/>
      <c r="CS282" s="170"/>
      <c r="CT282" s="170"/>
      <c r="CU282" s="170"/>
      <c r="CV282" s="170"/>
      <c r="CW282" s="167"/>
      <c r="CX282" s="170"/>
      <c r="CY282" s="170"/>
      <c r="CZ282" s="170"/>
      <c r="DA282" s="170"/>
      <c r="DB282" s="170"/>
      <c r="DC282" s="170"/>
      <c r="DD282" s="170"/>
      <c r="DE282" s="170"/>
      <c r="DF282" s="170"/>
      <c r="DG282" s="170"/>
      <c r="DH282" s="170"/>
      <c r="DI282" s="170"/>
      <c r="DJ282" s="170"/>
      <c r="DK282" s="170"/>
      <c r="DL282" s="170"/>
      <c r="DM282" s="170"/>
      <c r="DN282" s="170"/>
      <c r="DO282" s="170"/>
      <c r="DP282" s="170"/>
      <c r="DQ282" s="170"/>
      <c r="DR282" s="170"/>
      <c r="DS282" s="170"/>
      <c r="DT282" s="170"/>
      <c r="DU282" s="170"/>
      <c r="DV282" s="170"/>
    </row>
    <row r="283" spans="59:126" ht="15" hidden="1" x14ac:dyDescent="0.25">
      <c r="BG283" s="262"/>
      <c r="BH283" s="263"/>
      <c r="BI283" s="263"/>
      <c r="BJ283" s="305"/>
      <c r="BK283" s="265"/>
      <c r="BL283" s="265"/>
      <c r="BM283" s="265"/>
      <c r="BN283" s="312"/>
      <c r="BO283" s="312"/>
      <c r="BP283" s="322"/>
      <c r="BQ283" s="312"/>
      <c r="BR283" s="312"/>
      <c r="BS283" s="322"/>
      <c r="BT283" s="322"/>
      <c r="BU283" s="322"/>
      <c r="BV283" s="322"/>
      <c r="BW283" s="322"/>
      <c r="BX283" s="322"/>
      <c r="BY283" s="307"/>
      <c r="BZ283" s="307" t="s">
        <v>459</v>
      </c>
      <c r="CA283" s="344">
        <f>CA188*(0.045*CA187^-0.023)</f>
        <v>3.8811908262883076E-2</v>
      </c>
      <c r="CB283" s="168"/>
      <c r="CC283" s="169"/>
      <c r="CD283" s="169"/>
      <c r="CE283" s="169"/>
      <c r="CF283" s="169"/>
      <c r="CG283" s="167"/>
      <c r="CH283" s="167"/>
      <c r="CI283" s="170"/>
      <c r="CJ283" s="170"/>
      <c r="CK283" s="167"/>
      <c r="CL283" s="170"/>
      <c r="CM283" s="170"/>
      <c r="CN283" s="170"/>
      <c r="CO283" s="170"/>
      <c r="CP283" s="170"/>
      <c r="CQ283" s="170"/>
      <c r="CR283" s="170"/>
      <c r="CS283" s="170"/>
      <c r="CT283" s="170"/>
      <c r="CU283" s="170"/>
      <c r="CV283" s="170"/>
      <c r="CW283" s="167"/>
      <c r="CX283" s="170"/>
      <c r="CY283" s="170"/>
      <c r="CZ283" s="170"/>
      <c r="DA283" s="170"/>
      <c r="DB283" s="170"/>
      <c r="DC283" s="170"/>
      <c r="DD283" s="170"/>
      <c r="DE283" s="170"/>
      <c r="DF283" s="170"/>
      <c r="DG283" s="170"/>
      <c r="DH283" s="170"/>
      <c r="DI283" s="170"/>
      <c r="DJ283" s="170"/>
      <c r="DK283" s="170"/>
      <c r="DL283" s="170"/>
      <c r="DM283" s="170"/>
      <c r="DN283" s="170"/>
      <c r="DO283" s="170"/>
      <c r="DP283" s="170"/>
      <c r="DQ283" s="170"/>
      <c r="DR283" s="170"/>
      <c r="DS283" s="170"/>
      <c r="DT283" s="170"/>
      <c r="DU283" s="170"/>
      <c r="DV283" s="170"/>
    </row>
    <row r="284" spans="59:126" ht="15" hidden="1" x14ac:dyDescent="0.25">
      <c r="BG284" s="262"/>
      <c r="BH284" s="263"/>
      <c r="BI284" s="263"/>
      <c r="BJ284" s="305"/>
      <c r="BK284" s="265"/>
      <c r="BL284" s="265"/>
      <c r="BM284" s="265"/>
      <c r="BN284" s="312"/>
      <c r="BO284" s="312"/>
      <c r="BP284" s="322"/>
      <c r="BQ284" s="312"/>
      <c r="BR284" s="312"/>
      <c r="BS284" s="322"/>
      <c r="BT284" s="322"/>
      <c r="BU284" s="322"/>
      <c r="BV284" s="322"/>
      <c r="BW284" s="322"/>
      <c r="BX284" s="322"/>
      <c r="BY284" s="307"/>
      <c r="BZ284" s="307" t="s">
        <v>461</v>
      </c>
      <c r="CA284" s="344">
        <f>CA283+CA282</f>
        <v>1.3888119082628831</v>
      </c>
      <c r="CB284" s="168"/>
      <c r="CC284" s="169"/>
      <c r="CD284" s="169"/>
      <c r="CE284" s="169"/>
      <c r="CF284" s="169"/>
      <c r="CG284" s="167"/>
      <c r="CH284" s="167"/>
      <c r="CI284" s="170"/>
      <c r="CJ284" s="170"/>
      <c r="CK284" s="167"/>
      <c r="CL284" s="170"/>
      <c r="CM284" s="170"/>
      <c r="CN284" s="170"/>
      <c r="CO284" s="170"/>
      <c r="CP284" s="170"/>
      <c r="CQ284" s="170"/>
      <c r="CR284" s="170"/>
      <c r="CS284" s="170"/>
      <c r="CT284" s="170"/>
      <c r="CU284" s="170"/>
      <c r="CV284" s="170"/>
      <c r="CW284" s="167"/>
      <c r="CX284" s="170"/>
      <c r="CY284" s="170"/>
      <c r="CZ284" s="170"/>
      <c r="DA284" s="170"/>
      <c r="DB284" s="170"/>
      <c r="DC284" s="170"/>
      <c r="DD284" s="170"/>
      <c r="DE284" s="170"/>
      <c r="DF284" s="170"/>
      <c r="DG284" s="170"/>
      <c r="DH284" s="170"/>
      <c r="DI284" s="170"/>
      <c r="DJ284" s="170"/>
      <c r="DK284" s="170"/>
      <c r="DL284" s="170"/>
      <c r="DM284" s="170"/>
      <c r="DN284" s="170"/>
      <c r="DO284" s="170"/>
      <c r="DP284" s="170"/>
      <c r="DQ284" s="170"/>
      <c r="DR284" s="170"/>
      <c r="DS284" s="170"/>
      <c r="DT284" s="170"/>
      <c r="DU284" s="170"/>
      <c r="DV284" s="170"/>
    </row>
    <row r="285" spans="59:126" ht="15" hidden="1" x14ac:dyDescent="0.25">
      <c r="BG285" s="262"/>
      <c r="BH285" s="263"/>
      <c r="BI285" s="263"/>
      <c r="BJ285" s="265"/>
      <c r="BK285" s="265"/>
      <c r="BL285" s="265"/>
      <c r="BM285" s="265"/>
      <c r="BN285" s="312"/>
      <c r="BO285" s="312"/>
      <c r="BP285" s="322"/>
      <c r="BQ285" s="312"/>
      <c r="BR285" s="312"/>
      <c r="BS285" s="322"/>
      <c r="BT285" s="322"/>
      <c r="BU285" s="322"/>
      <c r="BV285" s="322"/>
      <c r="BW285" s="322"/>
      <c r="BX285" s="322"/>
      <c r="BY285" s="307"/>
      <c r="BZ285" s="307" t="s">
        <v>258</v>
      </c>
      <c r="CA285" s="309"/>
      <c r="CB285" s="168"/>
      <c r="CC285" s="169"/>
      <c r="CD285" s="169"/>
      <c r="CE285" s="169"/>
      <c r="CF285" s="169"/>
      <c r="CG285" s="167"/>
      <c r="CH285" s="167"/>
      <c r="CI285" s="170"/>
      <c r="CJ285" s="170"/>
      <c r="CK285" s="167"/>
      <c r="CL285" s="170"/>
      <c r="CM285" s="170"/>
      <c r="CN285" s="170"/>
      <c r="CO285" s="170"/>
      <c r="CP285" s="170"/>
      <c r="CQ285" s="170"/>
      <c r="CR285" s="170"/>
      <c r="CS285" s="170"/>
      <c r="CT285" s="170"/>
      <c r="CU285" s="170"/>
      <c r="CV285" s="170"/>
      <c r="CW285" s="167"/>
      <c r="CX285" s="170"/>
      <c r="CY285" s="170"/>
      <c r="CZ285" s="170"/>
      <c r="DA285" s="170"/>
      <c r="DB285" s="170"/>
      <c r="DC285" s="170"/>
      <c r="DD285" s="170"/>
      <c r="DE285" s="170"/>
      <c r="DF285" s="170"/>
      <c r="DG285" s="170"/>
      <c r="DH285" s="170"/>
      <c r="DI285" s="170"/>
      <c r="DJ285" s="170"/>
      <c r="DK285" s="170"/>
      <c r="DL285" s="170"/>
      <c r="DM285" s="170"/>
      <c r="DN285" s="170"/>
      <c r="DO285" s="170"/>
      <c r="DP285" s="170"/>
      <c r="DQ285" s="170"/>
      <c r="DR285" s="170"/>
      <c r="DS285" s="170"/>
      <c r="DT285" s="170"/>
      <c r="DU285" s="170"/>
      <c r="DV285" s="170"/>
    </row>
    <row r="286" spans="59:126" ht="15" hidden="1" x14ac:dyDescent="0.25">
      <c r="BG286" s="262"/>
      <c r="BH286" s="263"/>
      <c r="BI286" s="263"/>
      <c r="BJ286" s="333"/>
      <c r="BK286" s="333"/>
      <c r="BL286" s="265"/>
      <c r="BM286" s="265"/>
      <c r="BN286" s="312"/>
      <c r="BO286" s="312"/>
      <c r="BP286" s="322"/>
      <c r="BQ286" s="312"/>
      <c r="BR286" s="312"/>
      <c r="BS286" s="322"/>
      <c r="BT286" s="322"/>
      <c r="BU286" s="322"/>
      <c r="BV286" s="322"/>
      <c r="BW286" s="322"/>
      <c r="BX286" s="322"/>
      <c r="BY286" s="307"/>
      <c r="BZ286" s="308" t="s">
        <v>462</v>
      </c>
      <c r="CA286" s="345">
        <f>CA284/DD37</f>
        <v>1.5963355267389461</v>
      </c>
      <c r="CB286" s="168"/>
      <c r="CC286" s="169"/>
      <c r="CD286" s="169"/>
      <c r="CE286" s="169"/>
      <c r="CF286" s="169"/>
      <c r="CG286" s="167"/>
      <c r="CH286" s="167"/>
      <c r="CI286" s="170"/>
      <c r="CJ286" s="170"/>
      <c r="CK286" s="167"/>
      <c r="CL286" s="170"/>
      <c r="CM286" s="170"/>
      <c r="CN286" s="170"/>
      <c r="CO286" s="170"/>
      <c r="CP286" s="170"/>
      <c r="CQ286" s="170"/>
      <c r="CR286" s="170"/>
      <c r="CS286" s="170"/>
      <c r="CT286" s="170"/>
      <c r="CU286" s="170"/>
      <c r="CV286" s="170"/>
      <c r="CW286" s="167"/>
      <c r="CX286" s="170"/>
      <c r="CY286" s="170"/>
      <c r="CZ286" s="170"/>
      <c r="DA286" s="170"/>
      <c r="DB286" s="170"/>
      <c r="DC286" s="170"/>
      <c r="DD286" s="170"/>
      <c r="DE286" s="170"/>
      <c r="DF286" s="170"/>
      <c r="DG286" s="170"/>
      <c r="DH286" s="170"/>
      <c r="DI286" s="170"/>
      <c r="DJ286" s="170"/>
      <c r="DK286" s="170"/>
      <c r="DL286" s="170"/>
      <c r="DM286" s="170"/>
      <c r="DN286" s="170"/>
      <c r="DO286" s="170"/>
      <c r="DP286" s="170"/>
      <c r="DQ286" s="170"/>
      <c r="DR286" s="170"/>
      <c r="DS286" s="170"/>
      <c r="DT286" s="170"/>
      <c r="DU286" s="170"/>
      <c r="DV286" s="170"/>
    </row>
    <row r="287" spans="59:126" ht="15" hidden="1" x14ac:dyDescent="0.25">
      <c r="BG287" s="262"/>
      <c r="BH287" s="263"/>
      <c r="BI287" s="263"/>
      <c r="BJ287" s="265"/>
      <c r="BK287" s="265"/>
      <c r="BL287" s="265"/>
      <c r="BM287" s="265"/>
      <c r="BN287" s="312"/>
      <c r="BO287" s="312"/>
      <c r="BP287" s="322"/>
      <c r="BQ287" s="312"/>
      <c r="BR287" s="312"/>
      <c r="BS287" s="322"/>
      <c r="BT287" s="322"/>
      <c r="BU287" s="322"/>
      <c r="BV287" s="322"/>
      <c r="BW287" s="322"/>
      <c r="BX287" s="322"/>
      <c r="BY287" s="307"/>
      <c r="BZ287" s="307"/>
      <c r="CA287" s="309"/>
      <c r="CB287" s="168"/>
      <c r="CC287" s="169"/>
      <c r="CD287" s="169"/>
      <c r="CE287" s="169"/>
      <c r="CF287" s="169"/>
      <c r="CG287" s="167"/>
      <c r="CH287" s="167"/>
      <c r="CI287" s="170"/>
      <c r="CJ287" s="170"/>
      <c r="CK287" s="167"/>
      <c r="CL287" s="170"/>
      <c r="CM287" s="170"/>
      <c r="CN287" s="170"/>
      <c r="CO287" s="170"/>
      <c r="CP287" s="170"/>
      <c r="CQ287" s="170"/>
      <c r="CR287" s="170"/>
      <c r="CS287" s="170"/>
      <c r="CT287" s="170"/>
      <c r="CU287" s="170"/>
      <c r="CV287" s="170"/>
      <c r="CW287" s="167"/>
      <c r="CX287" s="170"/>
      <c r="CY287" s="170"/>
      <c r="CZ287" s="170"/>
      <c r="DA287" s="170"/>
      <c r="DB287" s="170"/>
      <c r="DC287" s="170"/>
      <c r="DD287" s="170"/>
      <c r="DE287" s="170"/>
      <c r="DF287" s="170"/>
      <c r="DG287" s="170"/>
      <c r="DH287" s="170"/>
      <c r="DI287" s="170"/>
      <c r="DJ287" s="170"/>
      <c r="DK287" s="170"/>
      <c r="DL287" s="170"/>
      <c r="DM287" s="170"/>
      <c r="DN287" s="170"/>
      <c r="DO287" s="170"/>
      <c r="DP287" s="170"/>
      <c r="DQ287" s="170"/>
      <c r="DR287" s="170"/>
      <c r="DS287" s="170"/>
      <c r="DT287" s="170"/>
      <c r="DU287" s="170"/>
      <c r="DV287" s="170"/>
    </row>
    <row r="288" spans="59:126" ht="15" hidden="1" x14ac:dyDescent="0.25">
      <c r="BG288" s="262"/>
      <c r="BH288" s="263"/>
      <c r="BI288" s="263"/>
      <c r="BJ288" s="305"/>
      <c r="BK288" s="265"/>
      <c r="BL288" s="265"/>
      <c r="BM288" s="265"/>
      <c r="BN288" s="312"/>
      <c r="BO288" s="312"/>
      <c r="BP288" s="322"/>
      <c r="BQ288" s="312"/>
      <c r="BR288" s="312"/>
      <c r="BS288" s="322"/>
      <c r="BT288" s="322"/>
      <c r="BU288" s="322"/>
      <c r="BV288" s="322"/>
      <c r="BW288" s="322"/>
      <c r="BX288" s="322"/>
      <c r="BY288" s="307" t="s">
        <v>463</v>
      </c>
      <c r="BZ288" s="307" t="s">
        <v>464</v>
      </c>
      <c r="CA288" s="344">
        <f>CG29*22.9/1000</f>
        <v>2.29</v>
      </c>
      <c r="CB288" s="168"/>
      <c r="CC288" s="169"/>
      <c r="CD288" s="169"/>
      <c r="CE288" s="169"/>
      <c r="CF288" s="169"/>
      <c r="CG288" s="167"/>
      <c r="CH288" s="167"/>
      <c r="CI288" s="170"/>
      <c r="CJ288" s="170"/>
      <c r="CK288" s="167"/>
      <c r="CL288" s="170"/>
      <c r="CM288" s="170"/>
      <c r="CN288" s="170"/>
      <c r="CO288" s="170"/>
      <c r="CP288" s="170"/>
      <c r="CQ288" s="170"/>
      <c r="CR288" s="170"/>
      <c r="CS288" s="170"/>
      <c r="CT288" s="170"/>
      <c r="CU288" s="170"/>
      <c r="CV288" s="170"/>
      <c r="CW288" s="167"/>
      <c r="CX288" s="170"/>
      <c r="CY288" s="170"/>
      <c r="CZ288" s="170"/>
      <c r="DA288" s="170"/>
      <c r="DB288" s="170"/>
      <c r="DC288" s="170"/>
      <c r="DD288" s="170"/>
      <c r="DE288" s="170"/>
      <c r="DF288" s="170"/>
      <c r="DG288" s="170"/>
      <c r="DH288" s="170"/>
      <c r="DI288" s="170"/>
      <c r="DJ288" s="170"/>
      <c r="DK288" s="170"/>
      <c r="DL288" s="170"/>
      <c r="DM288" s="170"/>
      <c r="DN288" s="170"/>
      <c r="DO288" s="170"/>
      <c r="DP288" s="170"/>
      <c r="DQ288" s="170"/>
      <c r="DR288" s="170"/>
      <c r="DS288" s="170"/>
      <c r="DT288" s="170"/>
      <c r="DU288" s="170"/>
      <c r="DV288" s="170"/>
    </row>
    <row r="289" spans="59:126" ht="15" hidden="1" x14ac:dyDescent="0.25">
      <c r="BG289" s="262"/>
      <c r="BH289" s="263"/>
      <c r="BI289" s="263"/>
      <c r="BJ289" s="305"/>
      <c r="BK289" s="265"/>
      <c r="BL289" s="265"/>
      <c r="BM289" s="265"/>
      <c r="BN289" s="312"/>
      <c r="BO289" s="312"/>
      <c r="BP289" s="322"/>
      <c r="BQ289" s="312"/>
      <c r="BR289" s="312"/>
      <c r="BS289" s="322"/>
      <c r="BT289" s="322"/>
      <c r="BU289" s="322"/>
      <c r="BV289" s="322"/>
      <c r="BW289" s="322"/>
      <c r="BX289" s="322"/>
      <c r="BY289" s="307"/>
      <c r="BZ289" s="307" t="s">
        <v>465</v>
      </c>
      <c r="CA289" s="344">
        <f>CA188*(0.23*CA187^0.61)</f>
        <v>3.5713312916699191</v>
      </c>
      <c r="CB289" s="168"/>
      <c r="CC289" s="169"/>
      <c r="CD289" s="169"/>
      <c r="CE289" s="169"/>
      <c r="CF289" s="169"/>
      <c r="CG289" s="167"/>
      <c r="CH289" s="167"/>
      <c r="CI289" s="170"/>
      <c r="CJ289" s="170"/>
      <c r="CK289" s="167"/>
      <c r="CL289" s="170"/>
      <c r="CM289" s="170"/>
      <c r="CN289" s="170"/>
      <c r="CO289" s="170"/>
      <c r="CP289" s="170"/>
      <c r="CQ289" s="170"/>
      <c r="CR289" s="170"/>
      <c r="CS289" s="170"/>
      <c r="CT289" s="170"/>
      <c r="CU289" s="170"/>
      <c r="CV289" s="170"/>
      <c r="CW289" s="167"/>
      <c r="CX289" s="170"/>
      <c r="CY289" s="170"/>
      <c r="CZ289" s="170"/>
      <c r="DA289" s="170"/>
      <c r="DB289" s="170"/>
      <c r="DC289" s="170"/>
      <c r="DD289" s="170"/>
      <c r="DE289" s="170"/>
      <c r="DF289" s="170"/>
      <c r="DG289" s="170"/>
      <c r="DH289" s="170"/>
      <c r="DI289" s="170"/>
      <c r="DJ289" s="170"/>
      <c r="DK289" s="170"/>
      <c r="DL289" s="170"/>
      <c r="DM289" s="170"/>
      <c r="DN289" s="170"/>
      <c r="DO289" s="170"/>
      <c r="DP289" s="170"/>
      <c r="DQ289" s="170"/>
      <c r="DR289" s="170"/>
      <c r="DS289" s="170"/>
      <c r="DT289" s="170"/>
      <c r="DU289" s="170"/>
      <c r="DV289" s="170"/>
    </row>
    <row r="290" spans="59:126" ht="15" hidden="1" x14ac:dyDescent="0.25">
      <c r="BG290" s="262"/>
      <c r="BH290" s="263"/>
      <c r="BI290" s="263"/>
      <c r="BJ290" s="265"/>
      <c r="BK290" s="265"/>
      <c r="BL290" s="265"/>
      <c r="BM290" s="265"/>
      <c r="BN290" s="312"/>
      <c r="BO290" s="312"/>
      <c r="BP290" s="322"/>
      <c r="BQ290" s="312"/>
      <c r="BR290" s="312"/>
      <c r="BS290" s="322"/>
      <c r="BT290" s="322"/>
      <c r="BU290" s="322"/>
      <c r="BV290" s="322"/>
      <c r="BW290" s="322"/>
      <c r="BX290" s="322"/>
      <c r="BY290" s="307"/>
      <c r="BZ290" s="307" t="s">
        <v>467</v>
      </c>
      <c r="CA290" s="344">
        <f>CA289+CA288</f>
        <v>5.8613312916699192</v>
      </c>
      <c r="CB290" s="168"/>
      <c r="CC290" s="169"/>
      <c r="CD290" s="169"/>
      <c r="CE290" s="169"/>
      <c r="CF290" s="169"/>
      <c r="CG290" s="167"/>
      <c r="CH290" s="167"/>
      <c r="CI290" s="170"/>
      <c r="CJ290" s="170"/>
      <c r="CK290" s="167"/>
      <c r="CL290" s="170"/>
      <c r="CM290" s="170"/>
      <c r="CN290" s="170"/>
      <c r="CO290" s="170"/>
      <c r="CP290" s="170"/>
      <c r="CQ290" s="170"/>
      <c r="CR290" s="170"/>
      <c r="CS290" s="170"/>
      <c r="CT290" s="170"/>
      <c r="CU290" s="170"/>
      <c r="CV290" s="170"/>
      <c r="CW290" s="167"/>
      <c r="CX290" s="170"/>
      <c r="CY290" s="170"/>
      <c r="CZ290" s="170"/>
      <c r="DA290" s="170"/>
      <c r="DB290" s="170"/>
      <c r="DC290" s="170"/>
      <c r="DD290" s="170"/>
      <c r="DE290" s="170"/>
      <c r="DF290" s="170"/>
      <c r="DG290" s="170"/>
      <c r="DH290" s="170"/>
      <c r="DI290" s="170"/>
      <c r="DJ290" s="170"/>
      <c r="DK290" s="170"/>
      <c r="DL290" s="170"/>
      <c r="DM290" s="170"/>
      <c r="DN290" s="170"/>
      <c r="DO290" s="170"/>
      <c r="DP290" s="170"/>
      <c r="DQ290" s="170"/>
      <c r="DR290" s="170"/>
      <c r="DS290" s="170"/>
      <c r="DT290" s="170"/>
      <c r="DU290" s="170"/>
      <c r="DV290" s="170"/>
    </row>
    <row r="291" spans="59:126" ht="15" hidden="1" x14ac:dyDescent="0.25">
      <c r="BG291" s="262"/>
      <c r="BH291" s="263"/>
      <c r="BI291" s="263"/>
      <c r="BJ291" s="333"/>
      <c r="BK291" s="265"/>
      <c r="BL291" s="265"/>
      <c r="BM291" s="265"/>
      <c r="BN291" s="312"/>
      <c r="BO291" s="312"/>
      <c r="BP291" s="322"/>
      <c r="BQ291" s="312"/>
      <c r="BR291" s="312"/>
      <c r="BS291" s="322"/>
      <c r="BT291" s="322"/>
      <c r="BU291" s="322"/>
      <c r="BV291" s="322"/>
      <c r="BW291" s="322"/>
      <c r="BX291" s="322"/>
      <c r="BY291" s="307"/>
      <c r="BZ291" s="307" t="s">
        <v>258</v>
      </c>
      <c r="CA291" s="309"/>
      <c r="CB291" s="168"/>
      <c r="CC291" s="169"/>
      <c r="CD291" s="169"/>
      <c r="CE291" s="169"/>
      <c r="CF291" s="169"/>
      <c r="CG291" s="167"/>
      <c r="CH291" s="167"/>
      <c r="CI291" s="170"/>
      <c r="CJ291" s="170"/>
      <c r="CK291" s="167"/>
      <c r="CL291" s="170"/>
      <c r="CM291" s="170"/>
      <c r="CN291" s="170"/>
      <c r="CO291" s="170"/>
      <c r="CP291" s="170"/>
      <c r="CQ291" s="170"/>
      <c r="CR291" s="170"/>
      <c r="CS291" s="170"/>
      <c r="CT291" s="170"/>
      <c r="CU291" s="170"/>
      <c r="CV291" s="170"/>
      <c r="CW291" s="167"/>
      <c r="CX291" s="170"/>
      <c r="CY291" s="170"/>
      <c r="CZ291" s="170"/>
      <c r="DA291" s="170"/>
      <c r="DB291" s="170"/>
      <c r="DC291" s="170"/>
      <c r="DD291" s="170"/>
      <c r="DE291" s="170"/>
      <c r="DF291" s="170"/>
      <c r="DG291" s="170"/>
      <c r="DH291" s="170"/>
      <c r="DI291" s="170"/>
      <c r="DJ291" s="170"/>
      <c r="DK291" s="170"/>
      <c r="DL291" s="170"/>
      <c r="DM291" s="170"/>
      <c r="DN291" s="170"/>
      <c r="DO291" s="170"/>
      <c r="DP291" s="170"/>
      <c r="DQ291" s="170"/>
      <c r="DR291" s="170"/>
      <c r="DS291" s="170"/>
      <c r="DT291" s="170"/>
      <c r="DU291" s="170"/>
      <c r="DV291" s="170"/>
    </row>
    <row r="292" spans="59:126" ht="15" hidden="1" x14ac:dyDescent="0.25">
      <c r="BG292" s="262"/>
      <c r="BH292" s="263"/>
      <c r="BI292" s="263"/>
      <c r="BJ292" s="265"/>
      <c r="BK292" s="265"/>
      <c r="BL292" s="265"/>
      <c r="BM292" s="265"/>
      <c r="BN292" s="312"/>
      <c r="BO292" s="312"/>
      <c r="BP292" s="322"/>
      <c r="BQ292" s="312"/>
      <c r="BR292" s="312"/>
      <c r="BS292" s="322"/>
      <c r="BT292" s="322"/>
      <c r="BU292" s="322"/>
      <c r="BV292" s="322"/>
      <c r="BW292" s="322"/>
      <c r="BX292" s="322"/>
      <c r="BY292" s="307"/>
      <c r="BZ292" s="308" t="s">
        <v>468</v>
      </c>
      <c r="CA292" s="345">
        <f>CA290/DD39</f>
        <v>7.5145272970127168</v>
      </c>
      <c r="CB292" s="168"/>
      <c r="CC292" s="169"/>
      <c r="CD292" s="169"/>
      <c r="CE292" s="169"/>
      <c r="CF292" s="169"/>
      <c r="CG292" s="167"/>
      <c r="CH292" s="167"/>
      <c r="CI292" s="170"/>
      <c r="CJ292" s="170"/>
      <c r="CK292" s="167"/>
      <c r="CL292" s="170"/>
      <c r="CM292" s="170"/>
      <c r="CN292" s="170"/>
      <c r="CO292" s="170"/>
      <c r="CP292" s="170"/>
      <c r="CQ292" s="170"/>
      <c r="CR292" s="170"/>
      <c r="CS292" s="170"/>
      <c r="CT292" s="170"/>
      <c r="CU292" s="170"/>
      <c r="CV292" s="170"/>
      <c r="CW292" s="167"/>
      <c r="CX292" s="170"/>
      <c r="CY292" s="170"/>
      <c r="CZ292" s="170"/>
      <c r="DA292" s="170"/>
      <c r="DB292" s="170"/>
      <c r="DC292" s="170"/>
      <c r="DD292" s="170"/>
      <c r="DE292" s="170"/>
      <c r="DF292" s="170"/>
      <c r="DG292" s="170"/>
      <c r="DH292" s="170"/>
      <c r="DI292" s="170"/>
      <c r="DJ292" s="170"/>
      <c r="DK292" s="170"/>
      <c r="DL292" s="170"/>
      <c r="DM292" s="170"/>
      <c r="DN292" s="170"/>
      <c r="DO292" s="170"/>
      <c r="DP292" s="170"/>
      <c r="DQ292" s="170"/>
      <c r="DR292" s="170"/>
      <c r="DS292" s="170"/>
      <c r="DT292" s="170"/>
      <c r="DU292" s="170"/>
      <c r="DV292" s="170"/>
    </row>
    <row r="293" spans="59:126" ht="15" hidden="1" x14ac:dyDescent="0.25">
      <c r="BG293" s="262"/>
      <c r="BH293" s="263"/>
      <c r="BI293" s="263"/>
      <c r="BJ293" s="305"/>
      <c r="BK293" s="265"/>
      <c r="BL293" s="265"/>
      <c r="BM293" s="265"/>
      <c r="BN293" s="312"/>
      <c r="BO293" s="312"/>
      <c r="BP293" s="322"/>
      <c r="BQ293" s="312"/>
      <c r="BR293" s="312"/>
      <c r="BS293" s="322"/>
      <c r="BT293" s="322"/>
      <c r="BU293" s="322"/>
      <c r="BV293" s="322"/>
      <c r="BW293" s="322"/>
      <c r="BX293" s="322"/>
      <c r="BY293" s="307"/>
      <c r="BZ293" s="307"/>
      <c r="CA293" s="309"/>
      <c r="CB293" s="168"/>
      <c r="CC293" s="169"/>
      <c r="CD293" s="169"/>
      <c r="CE293" s="169"/>
      <c r="CF293" s="169"/>
      <c r="CG293" s="167"/>
      <c r="CH293" s="167"/>
      <c r="CI293" s="170"/>
      <c r="CJ293" s="170"/>
      <c r="CK293" s="167"/>
      <c r="CL293" s="170"/>
      <c r="CM293" s="170"/>
      <c r="CN293" s="170"/>
      <c r="CO293" s="170"/>
      <c r="CP293" s="170"/>
      <c r="CQ293" s="170"/>
      <c r="CR293" s="170"/>
      <c r="CS293" s="170"/>
      <c r="CT293" s="170"/>
      <c r="CU293" s="170"/>
      <c r="CV293" s="170"/>
      <c r="CW293" s="167"/>
      <c r="CX293" s="170"/>
      <c r="CY293" s="170"/>
      <c r="CZ293" s="170"/>
      <c r="DA293" s="170"/>
      <c r="DB293" s="170"/>
      <c r="DC293" s="170"/>
      <c r="DD293" s="170"/>
      <c r="DE293" s="170"/>
      <c r="DF293" s="170"/>
      <c r="DG293" s="170"/>
      <c r="DH293" s="170"/>
      <c r="DI293" s="170"/>
      <c r="DJ293" s="170"/>
      <c r="DK293" s="170"/>
      <c r="DL293" s="170"/>
      <c r="DM293" s="170"/>
      <c r="DN293" s="170"/>
      <c r="DO293" s="170"/>
      <c r="DP293" s="170"/>
      <c r="DQ293" s="170"/>
      <c r="DR293" s="170"/>
      <c r="DS293" s="170"/>
      <c r="DT293" s="170"/>
      <c r="DU293" s="170"/>
      <c r="DV293" s="170"/>
    </row>
    <row r="294" spans="59:126" ht="15" hidden="1" x14ac:dyDescent="0.25">
      <c r="BG294" s="262"/>
      <c r="BH294" s="263"/>
      <c r="BI294" s="263"/>
      <c r="BJ294" s="305"/>
      <c r="BK294" s="265"/>
      <c r="BL294" s="265"/>
      <c r="BM294" s="265"/>
      <c r="BN294" s="312"/>
      <c r="BO294" s="312"/>
      <c r="BP294" s="322"/>
      <c r="BQ294" s="312"/>
      <c r="BR294" s="312"/>
      <c r="BS294" s="322"/>
      <c r="BT294" s="322"/>
      <c r="BU294" s="322"/>
      <c r="BV294" s="322"/>
      <c r="BW294" s="322"/>
      <c r="BX294" s="322"/>
      <c r="BY294" s="307" t="s">
        <v>469</v>
      </c>
      <c r="BZ294" s="307" t="s">
        <v>470</v>
      </c>
      <c r="CA294" s="352">
        <f>CG29*2942/1000</f>
        <v>294.2</v>
      </c>
      <c r="CB294" s="168"/>
      <c r="CC294" s="169"/>
      <c r="CD294" s="169"/>
      <c r="CE294" s="169"/>
      <c r="CF294" s="169"/>
      <c r="CG294" s="167"/>
      <c r="CH294" s="167"/>
      <c r="CI294" s="170"/>
      <c r="CJ294" s="170"/>
      <c r="CK294" s="167"/>
      <c r="CL294" s="170"/>
      <c r="CM294" s="170"/>
      <c r="CN294" s="170"/>
      <c r="CO294" s="170"/>
      <c r="CP294" s="170"/>
      <c r="CQ294" s="170"/>
      <c r="CR294" s="170"/>
      <c r="CS294" s="170"/>
      <c r="CT294" s="170"/>
      <c r="CU294" s="170"/>
      <c r="CV294" s="170"/>
      <c r="CW294" s="167"/>
      <c r="CX294" s="170"/>
      <c r="CY294" s="170"/>
      <c r="CZ294" s="170"/>
      <c r="DA294" s="170"/>
      <c r="DB294" s="170"/>
      <c r="DC294" s="170"/>
      <c r="DD294" s="170"/>
      <c r="DE294" s="170"/>
      <c r="DF294" s="170"/>
      <c r="DG294" s="170"/>
      <c r="DH294" s="170"/>
      <c r="DI294" s="170"/>
      <c r="DJ294" s="170"/>
      <c r="DK294" s="170"/>
      <c r="DL294" s="170"/>
      <c r="DM294" s="170"/>
      <c r="DN294" s="170"/>
      <c r="DO294" s="170"/>
      <c r="DP294" s="170"/>
      <c r="DQ294" s="170"/>
      <c r="DR294" s="170"/>
      <c r="DS294" s="170"/>
      <c r="DT294" s="170"/>
      <c r="DU294" s="170"/>
      <c r="DV294" s="170"/>
    </row>
    <row r="295" spans="59:126" ht="15" hidden="1" x14ac:dyDescent="0.25">
      <c r="BG295" s="262"/>
      <c r="BH295" s="263"/>
      <c r="BI295" s="263"/>
      <c r="BJ295" s="265"/>
      <c r="BK295" s="265"/>
      <c r="BL295" s="265"/>
      <c r="BM295" s="265"/>
      <c r="BN295" s="312"/>
      <c r="BO295" s="312"/>
      <c r="BP295" s="322"/>
      <c r="BQ295" s="312"/>
      <c r="BR295" s="312"/>
      <c r="BS295" s="322"/>
      <c r="BT295" s="322"/>
      <c r="BU295" s="322"/>
      <c r="BV295" s="322"/>
      <c r="BW295" s="322"/>
      <c r="BX295" s="322"/>
      <c r="BY295" s="307"/>
      <c r="BZ295" s="307" t="s">
        <v>471</v>
      </c>
      <c r="CA295" s="353">
        <f>CA188*(10.4*CA187^0.24)</f>
        <v>29.809923784490916</v>
      </c>
      <c r="CB295" s="168"/>
      <c r="CC295" s="169"/>
      <c r="CD295" s="169"/>
      <c r="CE295" s="169"/>
      <c r="CF295" s="169"/>
      <c r="CG295" s="167"/>
      <c r="CH295" s="167"/>
      <c r="CI295" s="170"/>
      <c r="CJ295" s="170"/>
      <c r="CK295" s="167"/>
      <c r="CL295" s="170"/>
      <c r="CM295" s="170"/>
      <c r="CN295" s="170"/>
      <c r="CO295" s="170"/>
      <c r="CP295" s="170"/>
      <c r="CQ295" s="170"/>
      <c r="CR295" s="170"/>
      <c r="CS295" s="170"/>
      <c r="CT295" s="170"/>
      <c r="CU295" s="170"/>
      <c r="CV295" s="170"/>
      <c r="CW295" s="167"/>
      <c r="CX295" s="170"/>
      <c r="CY295" s="170"/>
      <c r="CZ295" s="170"/>
      <c r="DA295" s="170"/>
      <c r="DB295" s="170"/>
      <c r="DC295" s="170"/>
      <c r="DD295" s="170"/>
      <c r="DE295" s="170"/>
      <c r="DF295" s="170"/>
      <c r="DG295" s="170"/>
      <c r="DH295" s="170"/>
      <c r="DI295" s="170"/>
      <c r="DJ295" s="170"/>
      <c r="DK295" s="170"/>
      <c r="DL295" s="170"/>
      <c r="DM295" s="170"/>
      <c r="DN295" s="170"/>
      <c r="DO295" s="170"/>
      <c r="DP295" s="170"/>
      <c r="DQ295" s="170"/>
      <c r="DR295" s="170"/>
      <c r="DS295" s="170"/>
      <c r="DT295" s="170"/>
      <c r="DU295" s="170"/>
      <c r="DV295" s="170"/>
    </row>
    <row r="296" spans="59:126" ht="15" hidden="1" x14ac:dyDescent="0.25">
      <c r="BG296" s="262"/>
      <c r="BH296" s="263"/>
      <c r="BI296" s="263"/>
      <c r="BJ296" s="333"/>
      <c r="BK296" s="265"/>
      <c r="BL296" s="265"/>
      <c r="BM296" s="265"/>
      <c r="BN296" s="312"/>
      <c r="BO296" s="312"/>
      <c r="BP296" s="322"/>
      <c r="BQ296" s="312"/>
      <c r="BR296" s="312"/>
      <c r="BS296" s="322"/>
      <c r="BT296" s="322"/>
      <c r="BU296" s="322"/>
      <c r="BV296" s="322"/>
      <c r="BW296" s="322"/>
      <c r="BX296" s="322"/>
      <c r="BY296" s="307"/>
      <c r="BZ296" s="307" t="s">
        <v>473</v>
      </c>
      <c r="CA296" s="352">
        <f>CA295+CA294</f>
        <v>324.00992378449092</v>
      </c>
      <c r="CB296" s="168"/>
      <c r="CC296" s="169"/>
      <c r="CD296" s="169"/>
      <c r="CE296" s="169"/>
      <c r="CF296" s="169"/>
      <c r="CG296" s="167"/>
      <c r="CH296" s="167"/>
      <c r="CI296" s="170"/>
      <c r="CJ296" s="170"/>
      <c r="CK296" s="167"/>
      <c r="CL296" s="170"/>
      <c r="CM296" s="170"/>
      <c r="CN296" s="170"/>
      <c r="CO296" s="170"/>
      <c r="CP296" s="170"/>
      <c r="CQ296" s="170"/>
      <c r="CR296" s="170"/>
      <c r="CS296" s="170"/>
      <c r="CT296" s="170"/>
      <c r="CU296" s="170"/>
      <c r="CV296" s="170"/>
      <c r="CW296" s="167"/>
      <c r="CX296" s="170"/>
      <c r="CY296" s="170"/>
      <c r="CZ296" s="170"/>
      <c r="DA296" s="170"/>
      <c r="DB296" s="170"/>
      <c r="DC296" s="170"/>
      <c r="DD296" s="170"/>
      <c r="DE296" s="170"/>
      <c r="DF296" s="170"/>
      <c r="DG296" s="170"/>
      <c r="DH296" s="170"/>
      <c r="DI296" s="170"/>
      <c r="DJ296" s="170"/>
      <c r="DK296" s="170"/>
      <c r="DL296" s="170"/>
      <c r="DM296" s="170"/>
      <c r="DN296" s="170"/>
      <c r="DO296" s="170"/>
      <c r="DP296" s="170"/>
      <c r="DQ296" s="170"/>
      <c r="DR296" s="170"/>
      <c r="DS296" s="170"/>
      <c r="DT296" s="170"/>
      <c r="DU296" s="170"/>
      <c r="DV296" s="170"/>
    </row>
    <row r="297" spans="59:126" ht="15" hidden="1" x14ac:dyDescent="0.25">
      <c r="BG297" s="262"/>
      <c r="BH297" s="263"/>
      <c r="BI297" s="263"/>
      <c r="BJ297" s="265"/>
      <c r="BK297" s="265"/>
      <c r="BL297" s="265"/>
      <c r="BM297" s="265"/>
      <c r="BN297" s="312"/>
      <c r="BO297" s="312"/>
      <c r="BP297" s="322"/>
      <c r="BQ297" s="312"/>
      <c r="BR297" s="312"/>
      <c r="BS297" s="322"/>
      <c r="BT297" s="322"/>
      <c r="BU297" s="322"/>
      <c r="BV297" s="322"/>
      <c r="BW297" s="322"/>
      <c r="BX297" s="322"/>
      <c r="BY297" s="307"/>
      <c r="BZ297" s="307" t="s">
        <v>258</v>
      </c>
      <c r="CA297" s="309"/>
      <c r="CB297" s="168"/>
      <c r="CC297" s="169"/>
      <c r="CD297" s="169"/>
      <c r="CE297" s="169"/>
      <c r="CF297" s="169"/>
      <c r="CG297" s="167"/>
      <c r="CH297" s="167"/>
      <c r="CI297" s="170"/>
      <c r="CJ297" s="170"/>
      <c r="CK297" s="167"/>
      <c r="CL297" s="170"/>
      <c r="CM297" s="170"/>
      <c r="CN297" s="170"/>
      <c r="CO297" s="170"/>
      <c r="CP297" s="170"/>
      <c r="CQ297" s="170"/>
      <c r="CR297" s="170"/>
      <c r="CS297" s="170"/>
      <c r="CT297" s="170"/>
      <c r="CU297" s="170"/>
      <c r="CV297" s="170"/>
      <c r="CW297" s="167"/>
      <c r="CX297" s="170"/>
      <c r="CY297" s="170"/>
      <c r="CZ297" s="170"/>
      <c r="DA297" s="170"/>
      <c r="DB297" s="170"/>
      <c r="DC297" s="170"/>
      <c r="DD297" s="170"/>
      <c r="DE297" s="170"/>
      <c r="DF297" s="170"/>
      <c r="DG297" s="170"/>
      <c r="DH297" s="170"/>
      <c r="DI297" s="170"/>
      <c r="DJ297" s="170"/>
      <c r="DK297" s="170"/>
      <c r="DL297" s="170"/>
      <c r="DM297" s="170"/>
      <c r="DN297" s="170"/>
      <c r="DO297" s="170"/>
      <c r="DP297" s="170"/>
      <c r="DQ297" s="170"/>
      <c r="DR297" s="170"/>
      <c r="DS297" s="170"/>
      <c r="DT297" s="170"/>
      <c r="DU297" s="170"/>
      <c r="DV297" s="170"/>
    </row>
    <row r="298" spans="59:126" ht="15" hidden="1" x14ac:dyDescent="0.25">
      <c r="BG298" s="262"/>
      <c r="BH298" s="263"/>
      <c r="BI298" s="263"/>
      <c r="BJ298" s="265"/>
      <c r="BK298" s="265"/>
      <c r="BL298" s="265"/>
      <c r="BM298" s="265"/>
      <c r="BN298" s="312"/>
      <c r="BO298" s="312"/>
      <c r="BP298" s="322"/>
      <c r="BQ298" s="312"/>
      <c r="BR298" s="312"/>
      <c r="BS298" s="322"/>
      <c r="BT298" s="322"/>
      <c r="BU298" s="322"/>
      <c r="BV298" s="322"/>
      <c r="BW298" s="322"/>
      <c r="BX298" s="322"/>
      <c r="BY298" s="307"/>
      <c r="BZ298" s="308" t="s">
        <v>474</v>
      </c>
      <c r="CA298" s="354">
        <f>CA296/DD41</f>
        <v>443.84921066368622</v>
      </c>
      <c r="CB298" s="168"/>
      <c r="CC298" s="169"/>
      <c r="CD298" s="169"/>
      <c r="CE298" s="169"/>
      <c r="CF298" s="169"/>
      <c r="CG298" s="167"/>
      <c r="CH298" s="167"/>
      <c r="CI298" s="170"/>
      <c r="CJ298" s="170"/>
      <c r="CK298" s="167"/>
      <c r="CL298" s="170"/>
      <c r="CM298" s="170"/>
      <c r="CN298" s="170"/>
      <c r="CO298" s="170"/>
      <c r="CP298" s="170"/>
      <c r="CQ298" s="170"/>
      <c r="CR298" s="170"/>
      <c r="CS298" s="170"/>
      <c r="CT298" s="170"/>
      <c r="CU298" s="170"/>
      <c r="CV298" s="170"/>
      <c r="CW298" s="167"/>
      <c r="CX298" s="170"/>
      <c r="CY298" s="170"/>
      <c r="CZ298" s="170"/>
      <c r="DA298" s="170"/>
      <c r="DB298" s="170"/>
      <c r="DC298" s="170"/>
      <c r="DD298" s="170"/>
      <c r="DE298" s="170"/>
      <c r="DF298" s="170"/>
      <c r="DG298" s="170"/>
      <c r="DH298" s="170"/>
      <c r="DI298" s="170"/>
      <c r="DJ298" s="170"/>
      <c r="DK298" s="170"/>
      <c r="DL298" s="170"/>
      <c r="DM298" s="170"/>
      <c r="DN298" s="170"/>
      <c r="DO298" s="170"/>
      <c r="DP298" s="170"/>
      <c r="DQ298" s="170"/>
      <c r="DR298" s="170"/>
      <c r="DS298" s="170"/>
      <c r="DT298" s="170"/>
      <c r="DU298" s="170"/>
      <c r="DV298" s="170"/>
    </row>
    <row r="299" spans="59:126" ht="15" hidden="1" x14ac:dyDescent="0.25">
      <c r="BG299" s="262"/>
      <c r="BH299" s="304"/>
      <c r="BI299" s="304"/>
      <c r="BJ299" s="305"/>
      <c r="BK299" s="265"/>
      <c r="BL299" s="265"/>
      <c r="BM299" s="265"/>
      <c r="BN299" s="312"/>
      <c r="BO299" s="312"/>
      <c r="BP299" s="322"/>
      <c r="BQ299" s="312"/>
      <c r="BR299" s="312"/>
      <c r="BS299" s="322"/>
      <c r="BT299" s="322"/>
      <c r="BU299" s="322"/>
      <c r="BV299" s="322"/>
      <c r="BW299" s="322"/>
      <c r="BX299" s="322"/>
      <c r="BY299" s="307"/>
      <c r="BZ299" s="307"/>
      <c r="CA299" s="309"/>
      <c r="CB299" s="168"/>
      <c r="CC299" s="169"/>
      <c r="CD299" s="169"/>
      <c r="CE299" s="169"/>
      <c r="CF299" s="169"/>
      <c r="CG299" s="167"/>
      <c r="CH299" s="167"/>
      <c r="CI299" s="170"/>
      <c r="CJ299" s="170"/>
      <c r="CK299" s="167"/>
      <c r="CL299" s="170"/>
      <c r="CM299" s="170"/>
      <c r="CN299" s="170"/>
      <c r="CO299" s="170"/>
      <c r="CP299" s="170"/>
      <c r="CQ299" s="170"/>
      <c r="CR299" s="170"/>
      <c r="CS299" s="170"/>
      <c r="CT299" s="170"/>
      <c r="CU299" s="170"/>
      <c r="CV299" s="170"/>
      <c r="CW299" s="167"/>
      <c r="CX299" s="170"/>
      <c r="CY299" s="170"/>
      <c r="CZ299" s="170"/>
      <c r="DA299" s="170"/>
      <c r="DB299" s="170"/>
      <c r="DC299" s="170"/>
      <c r="DD299" s="170"/>
      <c r="DE299" s="170"/>
      <c r="DF299" s="170"/>
      <c r="DG299" s="170"/>
      <c r="DH299" s="170"/>
      <c r="DI299" s="170"/>
      <c r="DJ299" s="170"/>
      <c r="DK299" s="170"/>
      <c r="DL299" s="170"/>
      <c r="DM299" s="170"/>
      <c r="DN299" s="170"/>
      <c r="DO299" s="170"/>
      <c r="DP299" s="170"/>
      <c r="DQ299" s="170"/>
      <c r="DR299" s="170"/>
      <c r="DS299" s="170"/>
      <c r="DT299" s="170"/>
      <c r="DU299" s="170"/>
      <c r="DV299" s="170"/>
    </row>
    <row r="300" spans="59:126" ht="15" hidden="1" x14ac:dyDescent="0.25">
      <c r="BG300" s="262"/>
      <c r="BH300" s="304"/>
      <c r="BI300" s="304"/>
      <c r="BJ300" s="337"/>
      <c r="BK300" s="265"/>
      <c r="BL300" s="265"/>
      <c r="BM300" s="265"/>
      <c r="BN300" s="312"/>
      <c r="BO300" s="312"/>
      <c r="BP300" s="322"/>
      <c r="BQ300" s="312"/>
      <c r="BR300" s="312"/>
      <c r="BS300" s="322"/>
      <c r="BT300" s="322"/>
      <c r="BU300" s="322"/>
      <c r="BV300" s="322"/>
      <c r="BW300" s="322"/>
      <c r="BX300" s="322"/>
      <c r="BY300" s="307" t="s">
        <v>274</v>
      </c>
      <c r="BZ300" s="307" t="s">
        <v>475</v>
      </c>
      <c r="CA300" s="352">
        <f>CG29*184.9/1000</f>
        <v>18.489999999999998</v>
      </c>
      <c r="CB300" s="168"/>
      <c r="CC300" s="169"/>
      <c r="CD300" s="169"/>
      <c r="CE300" s="169"/>
      <c r="CF300" s="169"/>
      <c r="CG300" s="167"/>
      <c r="CH300" s="167"/>
      <c r="CI300" s="170"/>
      <c r="CJ300" s="170"/>
      <c r="CK300" s="167"/>
      <c r="CL300" s="170"/>
      <c r="CM300" s="170"/>
      <c r="CN300" s="170"/>
      <c r="CO300" s="170"/>
      <c r="CP300" s="170"/>
      <c r="CQ300" s="170"/>
      <c r="CR300" s="170"/>
      <c r="CS300" s="170"/>
      <c r="CT300" s="170"/>
      <c r="CU300" s="170"/>
      <c r="CV300" s="170"/>
      <c r="CW300" s="167"/>
      <c r="CX300" s="170"/>
      <c r="CY300" s="170"/>
      <c r="CZ300" s="170"/>
      <c r="DA300" s="170"/>
      <c r="DB300" s="170"/>
      <c r="DC300" s="170"/>
      <c r="DD300" s="170"/>
      <c r="DE300" s="170"/>
      <c r="DF300" s="170"/>
      <c r="DG300" s="170"/>
      <c r="DH300" s="170"/>
      <c r="DI300" s="170"/>
      <c r="DJ300" s="170"/>
      <c r="DK300" s="170"/>
      <c r="DL300" s="170"/>
      <c r="DM300" s="170"/>
      <c r="DN300" s="170"/>
      <c r="DO300" s="170"/>
      <c r="DP300" s="170"/>
      <c r="DQ300" s="170"/>
      <c r="DR300" s="170"/>
      <c r="DS300" s="170"/>
      <c r="DT300" s="170"/>
      <c r="DU300" s="170"/>
      <c r="DV300" s="170"/>
    </row>
    <row r="301" spans="59:126" ht="15" hidden="1" x14ac:dyDescent="0.25">
      <c r="BG301" s="262"/>
      <c r="BH301" s="262"/>
      <c r="BI301" s="262"/>
      <c r="BJ301" s="262"/>
      <c r="BK301" s="265"/>
      <c r="BL301" s="265"/>
      <c r="BM301" s="265"/>
      <c r="BN301" s="312"/>
      <c r="BO301" s="312"/>
      <c r="BP301" s="322"/>
      <c r="BQ301" s="312"/>
      <c r="BR301" s="312"/>
      <c r="BS301" s="322"/>
      <c r="BT301" s="322"/>
      <c r="BU301" s="322"/>
      <c r="BV301" s="322"/>
      <c r="BW301" s="322"/>
      <c r="BX301" s="322"/>
      <c r="BY301" s="307"/>
      <c r="BZ301" s="307" t="s">
        <v>476</v>
      </c>
      <c r="CA301" s="353">
        <f>CA188*(0.07*CA187^0.8)</f>
        <v>2.5882344097986261</v>
      </c>
      <c r="CB301" s="168"/>
      <c r="CC301" s="169"/>
      <c r="CD301" s="169"/>
      <c r="CE301" s="169"/>
      <c r="CF301" s="169"/>
      <c r="CG301" s="167"/>
      <c r="CH301" s="167"/>
      <c r="CI301" s="170"/>
      <c r="CJ301" s="170"/>
      <c r="CK301" s="167"/>
      <c r="CL301" s="170"/>
      <c r="CM301" s="170"/>
      <c r="CN301" s="170"/>
      <c r="CO301" s="170"/>
      <c r="CP301" s="170"/>
      <c r="CQ301" s="170"/>
      <c r="CR301" s="170"/>
      <c r="CS301" s="170"/>
      <c r="CT301" s="170"/>
      <c r="CU301" s="170"/>
      <c r="CV301" s="170"/>
      <c r="CW301" s="167"/>
      <c r="CX301" s="170"/>
      <c r="CY301" s="170"/>
      <c r="CZ301" s="170"/>
      <c r="DA301" s="170"/>
      <c r="DB301" s="170"/>
      <c r="DC301" s="170"/>
      <c r="DD301" s="170"/>
      <c r="DE301" s="170"/>
      <c r="DF301" s="170"/>
      <c r="DG301" s="170"/>
      <c r="DH301" s="170"/>
      <c r="DI301" s="170"/>
      <c r="DJ301" s="170"/>
      <c r="DK301" s="170"/>
      <c r="DL301" s="170"/>
      <c r="DM301" s="170"/>
      <c r="DN301" s="170"/>
      <c r="DO301" s="170"/>
      <c r="DP301" s="170"/>
      <c r="DQ301" s="170"/>
      <c r="DR301" s="170"/>
      <c r="DS301" s="170"/>
      <c r="DT301" s="170"/>
      <c r="DU301" s="170"/>
      <c r="DV301" s="170"/>
    </row>
    <row r="302" spans="59:126" ht="0" hidden="1" customHeight="1" x14ac:dyDescent="0.25">
      <c r="BY302" s="307"/>
      <c r="BZ302" s="307" t="s">
        <v>478</v>
      </c>
      <c r="CA302" s="352">
        <f>CA301+CA300</f>
        <v>21.078234409798625</v>
      </c>
      <c r="CB302" s="168"/>
      <c r="CC302" s="169"/>
      <c r="CD302" s="169"/>
      <c r="CE302" s="169"/>
      <c r="CF302" s="169"/>
      <c r="CG302" s="167"/>
      <c r="CH302" s="167"/>
      <c r="CI302" s="170"/>
      <c r="CJ302" s="170"/>
      <c r="CK302" s="167"/>
      <c r="CL302" s="170"/>
      <c r="CM302" s="170"/>
      <c r="CN302" s="170"/>
      <c r="CO302" s="170"/>
      <c r="CP302" s="170"/>
      <c r="CQ302" s="170"/>
      <c r="CR302" s="170"/>
      <c r="CS302" s="170"/>
      <c r="CT302" s="170"/>
      <c r="CU302" s="170"/>
      <c r="CV302" s="170"/>
      <c r="CW302" s="167"/>
      <c r="CX302" s="170"/>
      <c r="CY302" s="170"/>
      <c r="CZ302" s="170"/>
      <c r="DA302" s="170"/>
      <c r="DB302" s="170"/>
      <c r="DC302" s="170"/>
      <c r="DD302" s="170"/>
      <c r="DE302" s="170"/>
      <c r="DF302" s="170"/>
      <c r="DG302" s="170"/>
      <c r="DH302" s="170"/>
      <c r="DI302" s="170"/>
      <c r="DJ302" s="170"/>
      <c r="DK302" s="170"/>
      <c r="DL302" s="170"/>
      <c r="DM302" s="170"/>
      <c r="DN302" s="170"/>
      <c r="DO302" s="170"/>
      <c r="DP302" s="170"/>
      <c r="DQ302" s="170"/>
      <c r="DR302" s="170"/>
      <c r="DS302" s="170"/>
      <c r="DT302" s="170"/>
      <c r="DU302" s="170"/>
      <c r="DV302" s="170"/>
    </row>
    <row r="303" spans="59:126" ht="0" hidden="1" customHeight="1" x14ac:dyDescent="0.25">
      <c r="BY303" s="307"/>
      <c r="BZ303" s="307" t="s">
        <v>258</v>
      </c>
      <c r="CA303" s="309"/>
      <c r="CB303" s="168"/>
      <c r="CC303" s="169"/>
      <c r="CD303" s="169"/>
      <c r="CE303" s="169"/>
      <c r="CF303" s="169"/>
      <c r="CG303" s="167"/>
      <c r="CH303" s="167"/>
      <c r="CI303" s="170"/>
      <c r="CJ303" s="170"/>
      <c r="CK303" s="167"/>
      <c r="CL303" s="170"/>
      <c r="CM303" s="170"/>
      <c r="CN303" s="170"/>
      <c r="CO303" s="170"/>
      <c r="CP303" s="170"/>
      <c r="CQ303" s="170"/>
      <c r="CR303" s="170"/>
      <c r="CS303" s="170"/>
      <c r="CT303" s="170"/>
      <c r="CU303" s="170"/>
      <c r="CV303" s="170"/>
      <c r="CW303" s="167"/>
      <c r="CX303" s="170"/>
      <c r="CY303" s="170"/>
      <c r="CZ303" s="170"/>
      <c r="DA303" s="170"/>
      <c r="DB303" s="170"/>
      <c r="DC303" s="170"/>
      <c r="DD303" s="170"/>
      <c r="DE303" s="170"/>
      <c r="DF303" s="170"/>
      <c r="DG303" s="170"/>
      <c r="DH303" s="170"/>
      <c r="DI303" s="170"/>
      <c r="DJ303" s="170"/>
      <c r="DK303" s="170"/>
      <c r="DL303" s="170"/>
      <c r="DM303" s="170"/>
      <c r="DN303" s="170"/>
      <c r="DO303" s="170"/>
      <c r="DP303" s="170"/>
      <c r="DQ303" s="170"/>
      <c r="DR303" s="170"/>
      <c r="DS303" s="170"/>
      <c r="DT303" s="170"/>
      <c r="DU303" s="170"/>
      <c r="DV303" s="170"/>
    </row>
    <row r="304" spans="59:126" ht="0" hidden="1" customHeight="1" x14ac:dyDescent="0.25">
      <c r="BY304" s="307"/>
      <c r="BZ304" s="308" t="s">
        <v>479</v>
      </c>
      <c r="CA304" s="355">
        <f>CA302/DD43</f>
        <v>47.905078204087786</v>
      </c>
      <c r="CB304" s="168"/>
      <c r="CC304" s="169"/>
      <c r="CD304" s="169"/>
      <c r="CE304" s="169"/>
      <c r="CF304" s="169"/>
      <c r="CG304" s="167"/>
      <c r="CH304" s="167"/>
      <c r="CI304" s="170"/>
      <c r="CJ304" s="170"/>
      <c r="CK304" s="167"/>
      <c r="CL304" s="170"/>
      <c r="CM304" s="170"/>
      <c r="CN304" s="170"/>
      <c r="CO304" s="170"/>
      <c r="CP304" s="170"/>
      <c r="CQ304" s="170"/>
      <c r="CR304" s="170"/>
      <c r="CS304" s="170"/>
      <c r="CT304" s="170"/>
      <c r="CU304" s="170"/>
      <c r="CV304" s="170"/>
      <c r="CW304" s="167"/>
      <c r="CX304" s="170"/>
      <c r="CY304" s="170"/>
      <c r="CZ304" s="170"/>
      <c r="DA304" s="170"/>
      <c r="DB304" s="170"/>
      <c r="DC304" s="170"/>
      <c r="DD304" s="170"/>
      <c r="DE304" s="170"/>
      <c r="DF304" s="170"/>
      <c r="DG304" s="170"/>
      <c r="DH304" s="170"/>
      <c r="DI304" s="170"/>
      <c r="DJ304" s="170"/>
      <c r="DK304" s="170"/>
      <c r="DL304" s="170"/>
      <c r="DM304" s="170"/>
      <c r="DN304" s="170"/>
      <c r="DO304" s="170"/>
      <c r="DP304" s="170"/>
      <c r="DQ304" s="170"/>
      <c r="DR304" s="170"/>
      <c r="DS304" s="170"/>
      <c r="DT304" s="170"/>
      <c r="DU304" s="170"/>
      <c r="DV304" s="170"/>
    </row>
    <row r="305" spans="77:126" ht="0" hidden="1" customHeight="1" x14ac:dyDescent="0.25">
      <c r="BY305" s="307"/>
      <c r="BZ305" s="307"/>
      <c r="CA305" s="309"/>
      <c r="CB305" s="168"/>
      <c r="CC305" s="169"/>
      <c r="CD305" s="169"/>
      <c r="CE305" s="169"/>
      <c r="CF305" s="169"/>
      <c r="CG305" s="167"/>
      <c r="CH305" s="167"/>
      <c r="CI305" s="170"/>
      <c r="CJ305" s="170"/>
      <c r="CK305" s="167"/>
      <c r="CL305" s="170"/>
      <c r="CM305" s="170"/>
      <c r="CN305" s="170"/>
      <c r="CO305" s="170"/>
      <c r="CP305" s="170"/>
      <c r="CQ305" s="170"/>
      <c r="CR305" s="170"/>
      <c r="CS305" s="170"/>
      <c r="CT305" s="170"/>
      <c r="CU305" s="170"/>
      <c r="CV305" s="170"/>
      <c r="CW305" s="167"/>
      <c r="CX305" s="170"/>
      <c r="CY305" s="170"/>
      <c r="CZ305" s="170"/>
      <c r="DA305" s="170"/>
      <c r="DB305" s="170"/>
      <c r="DC305" s="170"/>
      <c r="DD305" s="170"/>
      <c r="DE305" s="170"/>
      <c r="DF305" s="170"/>
      <c r="DG305" s="170"/>
      <c r="DH305" s="170"/>
      <c r="DI305" s="170"/>
      <c r="DJ305" s="170"/>
      <c r="DK305" s="170"/>
      <c r="DL305" s="170"/>
      <c r="DM305" s="170"/>
      <c r="DN305" s="170"/>
      <c r="DO305" s="170"/>
      <c r="DP305" s="170"/>
      <c r="DQ305" s="170"/>
      <c r="DR305" s="170"/>
      <c r="DS305" s="170"/>
      <c r="DT305" s="170"/>
      <c r="DU305" s="170"/>
      <c r="DV305" s="170"/>
    </row>
    <row r="306" spans="77:126" ht="0" hidden="1" customHeight="1" x14ac:dyDescent="0.25">
      <c r="BY306" s="307" t="s">
        <v>486</v>
      </c>
      <c r="BZ306" s="307" t="s">
        <v>487</v>
      </c>
      <c r="CA306" s="344">
        <f>CG29*3.27/1000</f>
        <v>0.32700000000000001</v>
      </c>
      <c r="CB306" s="168"/>
      <c r="CC306" s="169"/>
      <c r="CD306" s="169"/>
      <c r="CE306" s="169"/>
      <c r="CF306" s="169"/>
      <c r="CG306" s="167"/>
      <c r="CH306" s="167"/>
      <c r="CI306" s="170"/>
      <c r="CJ306" s="170"/>
      <c r="CK306" s="167"/>
      <c r="CL306" s="170"/>
      <c r="CM306" s="170"/>
      <c r="CN306" s="170"/>
      <c r="CO306" s="170"/>
      <c r="CP306" s="170"/>
      <c r="CQ306" s="170"/>
      <c r="CR306" s="170"/>
      <c r="CS306" s="170"/>
      <c r="CT306" s="170"/>
      <c r="CU306" s="170"/>
      <c r="CV306" s="170"/>
      <c r="CW306" s="167"/>
      <c r="CX306" s="170"/>
      <c r="CY306" s="170"/>
      <c r="CZ306" s="170"/>
      <c r="DA306" s="170"/>
      <c r="DB306" s="170"/>
      <c r="DC306" s="170"/>
      <c r="DD306" s="170"/>
      <c r="DE306" s="170"/>
      <c r="DF306" s="170"/>
      <c r="DG306" s="170"/>
      <c r="DH306" s="170"/>
      <c r="DI306" s="170"/>
      <c r="DJ306" s="170"/>
      <c r="DK306" s="170"/>
      <c r="DL306" s="170"/>
      <c r="DM306" s="170"/>
      <c r="DN306" s="170"/>
      <c r="DO306" s="170"/>
      <c r="DP306" s="170"/>
      <c r="DQ306" s="170"/>
      <c r="DR306" s="170"/>
      <c r="DS306" s="170"/>
      <c r="DT306" s="170"/>
      <c r="DU306" s="170"/>
      <c r="DV306" s="170"/>
    </row>
    <row r="307" spans="77:126" ht="0" hidden="1" customHeight="1" x14ac:dyDescent="0.25">
      <c r="BY307" s="307"/>
      <c r="BZ307" s="307" t="s">
        <v>488</v>
      </c>
      <c r="CA307" s="344">
        <f>CA188*(0.0035*CA187^0.41)</f>
        <v>2.1803957807718675E-2</v>
      </c>
      <c r="CB307" s="168"/>
      <c r="CC307" s="169"/>
      <c r="CD307" s="169"/>
      <c r="CE307" s="169"/>
      <c r="CF307" s="169"/>
      <c r="CG307" s="167"/>
      <c r="CH307" s="167"/>
      <c r="CI307" s="170"/>
      <c r="CJ307" s="170"/>
      <c r="CK307" s="167"/>
      <c r="CL307" s="170"/>
      <c r="CM307" s="170"/>
      <c r="CN307" s="170"/>
      <c r="CO307" s="170"/>
      <c r="CP307" s="170"/>
      <c r="CQ307" s="170"/>
      <c r="CR307" s="170"/>
      <c r="CS307" s="170"/>
      <c r="CT307" s="170"/>
      <c r="CU307" s="170"/>
      <c r="CV307" s="170"/>
      <c r="CW307" s="167"/>
      <c r="CX307" s="170"/>
      <c r="CY307" s="170"/>
      <c r="CZ307" s="170"/>
      <c r="DA307" s="170"/>
      <c r="DB307" s="170"/>
      <c r="DC307" s="170"/>
      <c r="DD307" s="170"/>
      <c r="DE307" s="170"/>
      <c r="DF307" s="170"/>
      <c r="DG307" s="170"/>
      <c r="DH307" s="170"/>
      <c r="DI307" s="170"/>
      <c r="DJ307" s="170"/>
      <c r="DK307" s="170"/>
      <c r="DL307" s="170"/>
      <c r="DM307" s="170"/>
      <c r="DN307" s="170"/>
      <c r="DO307" s="170"/>
      <c r="DP307" s="170"/>
      <c r="DQ307" s="170"/>
      <c r="DR307" s="170"/>
      <c r="DS307" s="170"/>
      <c r="DT307" s="170"/>
      <c r="DU307" s="170"/>
      <c r="DV307" s="170"/>
    </row>
    <row r="308" spans="77:126" ht="0" hidden="1" customHeight="1" x14ac:dyDescent="0.25">
      <c r="BY308" s="307"/>
      <c r="BZ308" s="307" t="s">
        <v>489</v>
      </c>
      <c r="CA308" s="344">
        <f>CA307+CA306</f>
        <v>0.34880395780771867</v>
      </c>
      <c r="CB308" s="168"/>
      <c r="CC308" s="169"/>
      <c r="CD308" s="169"/>
      <c r="CE308" s="169"/>
      <c r="CF308" s="169"/>
      <c r="CG308" s="167"/>
      <c r="CH308" s="167"/>
      <c r="CI308" s="170"/>
      <c r="CJ308" s="170"/>
      <c r="CK308" s="167"/>
      <c r="CL308" s="170"/>
      <c r="CM308" s="170"/>
      <c r="CN308" s="170"/>
      <c r="CO308" s="170"/>
      <c r="CP308" s="170"/>
      <c r="CQ308" s="170"/>
      <c r="CR308" s="170"/>
      <c r="CS308" s="170"/>
      <c r="CT308" s="170"/>
      <c r="CU308" s="170"/>
      <c r="CV308" s="170"/>
      <c r="CW308" s="167"/>
      <c r="CX308" s="170"/>
      <c r="CY308" s="170"/>
      <c r="CZ308" s="170"/>
      <c r="DA308" s="170"/>
      <c r="DB308" s="170"/>
      <c r="DC308" s="170"/>
      <c r="DD308" s="170"/>
      <c r="DE308" s="170"/>
      <c r="DF308" s="170"/>
      <c r="DG308" s="170"/>
      <c r="DH308" s="170"/>
      <c r="DI308" s="170"/>
      <c r="DJ308" s="170"/>
      <c r="DK308" s="170"/>
      <c r="DL308" s="170"/>
      <c r="DM308" s="170"/>
      <c r="DN308" s="170"/>
      <c r="DO308" s="170"/>
      <c r="DP308" s="170"/>
      <c r="DQ308" s="170"/>
      <c r="DR308" s="170"/>
      <c r="DS308" s="170"/>
      <c r="DT308" s="170"/>
      <c r="DU308" s="170"/>
      <c r="DV308" s="170"/>
    </row>
    <row r="309" spans="77:126" ht="0" hidden="1" customHeight="1" x14ac:dyDescent="0.25">
      <c r="BY309" s="307"/>
      <c r="BZ309" s="307" t="s">
        <v>258</v>
      </c>
      <c r="CA309" s="309"/>
      <c r="CB309" s="168"/>
      <c r="CC309" s="169"/>
      <c r="CD309" s="169"/>
      <c r="CE309" s="169"/>
      <c r="CF309" s="169"/>
      <c r="CG309" s="167"/>
      <c r="CH309" s="167"/>
      <c r="CI309" s="170"/>
      <c r="CJ309" s="170"/>
      <c r="CK309" s="167"/>
      <c r="CL309" s="170"/>
      <c r="CM309" s="170"/>
      <c r="CN309" s="170"/>
      <c r="CO309" s="170"/>
      <c r="CP309" s="170"/>
      <c r="CQ309" s="170"/>
      <c r="CR309" s="170"/>
      <c r="CS309" s="170"/>
      <c r="CT309" s="170"/>
      <c r="CU309" s="170"/>
      <c r="CV309" s="170"/>
      <c r="CW309" s="167"/>
      <c r="CX309" s="170"/>
      <c r="CY309" s="170"/>
      <c r="CZ309" s="170"/>
      <c r="DA309" s="170"/>
      <c r="DB309" s="170"/>
      <c r="DC309" s="170"/>
      <c r="DD309" s="170"/>
      <c r="DE309" s="170"/>
      <c r="DF309" s="170"/>
      <c r="DG309" s="170"/>
      <c r="DH309" s="170"/>
      <c r="DI309" s="170"/>
      <c r="DJ309" s="170"/>
      <c r="DK309" s="170"/>
      <c r="DL309" s="170"/>
      <c r="DM309" s="170"/>
      <c r="DN309" s="170"/>
      <c r="DO309" s="170"/>
      <c r="DP309" s="170"/>
      <c r="DQ309" s="170"/>
      <c r="DR309" s="170"/>
      <c r="DS309" s="170"/>
      <c r="DT309" s="170"/>
      <c r="DU309" s="170"/>
      <c r="DV309" s="170"/>
    </row>
    <row r="310" spans="77:126" ht="0" hidden="1" customHeight="1" x14ac:dyDescent="0.25">
      <c r="BY310" s="307"/>
      <c r="BZ310" s="308" t="s">
        <v>490</v>
      </c>
      <c r="CA310" s="345">
        <f>CA308/DD45</f>
        <v>0.69760791561543734</v>
      </c>
      <c r="CB310" s="168"/>
      <c r="CC310" s="169"/>
      <c r="CD310" s="169"/>
      <c r="CE310" s="169"/>
      <c r="CF310" s="169"/>
      <c r="CG310" s="167"/>
      <c r="CH310" s="167"/>
      <c r="CI310" s="170"/>
      <c r="CJ310" s="170"/>
      <c r="CK310" s="167"/>
      <c r="CL310" s="170"/>
      <c r="CM310" s="170"/>
      <c r="CN310" s="170"/>
      <c r="CO310" s="170"/>
      <c r="CP310" s="170"/>
      <c r="CQ310" s="170"/>
      <c r="CR310" s="170"/>
      <c r="CS310" s="170"/>
      <c r="CT310" s="170"/>
      <c r="CU310" s="170"/>
      <c r="CV310" s="170"/>
      <c r="CW310" s="167"/>
      <c r="CX310" s="170"/>
      <c r="CY310" s="170"/>
      <c r="CZ310" s="170"/>
      <c r="DA310" s="170"/>
      <c r="DB310" s="170"/>
      <c r="DC310" s="170"/>
      <c r="DD310" s="170"/>
      <c r="DE310" s="170"/>
      <c r="DF310" s="170"/>
      <c r="DG310" s="170"/>
      <c r="DH310" s="170"/>
      <c r="DI310" s="170"/>
      <c r="DJ310" s="170"/>
      <c r="DK310" s="170"/>
      <c r="DL310" s="170"/>
      <c r="DM310" s="170"/>
      <c r="DN310" s="170"/>
      <c r="DO310" s="170"/>
      <c r="DP310" s="170"/>
      <c r="DQ310" s="170"/>
      <c r="DR310" s="170"/>
      <c r="DS310" s="170"/>
      <c r="DT310" s="170"/>
      <c r="DU310" s="170"/>
      <c r="DV310" s="170"/>
    </row>
    <row r="311" spans="77:126" ht="0" hidden="1" customHeight="1" x14ac:dyDescent="0.25">
      <c r="BY311" s="307"/>
      <c r="BZ311" s="307"/>
      <c r="CA311" s="309"/>
      <c r="CB311" s="168"/>
      <c r="CC311" s="169"/>
      <c r="CD311" s="169"/>
      <c r="CE311" s="169"/>
      <c r="CF311" s="169"/>
      <c r="CG311" s="167"/>
      <c r="CH311" s="167"/>
      <c r="CI311" s="170"/>
      <c r="CJ311" s="170"/>
      <c r="CK311" s="167"/>
      <c r="CL311" s="170"/>
      <c r="CM311" s="170"/>
      <c r="CN311" s="170"/>
      <c r="CO311" s="170"/>
      <c r="CP311" s="170"/>
      <c r="CQ311" s="170"/>
      <c r="CR311" s="170"/>
      <c r="CS311" s="170"/>
      <c r="CT311" s="170"/>
      <c r="CU311" s="170"/>
      <c r="CV311" s="170"/>
      <c r="CW311" s="167"/>
      <c r="CX311" s="170"/>
      <c r="CY311" s="170"/>
      <c r="CZ311" s="170"/>
      <c r="DA311" s="170"/>
      <c r="DB311" s="170"/>
      <c r="DC311" s="170"/>
      <c r="DD311" s="170"/>
      <c r="DE311" s="170"/>
      <c r="DF311" s="170"/>
      <c r="DG311" s="170"/>
      <c r="DH311" s="170"/>
      <c r="DI311" s="170"/>
      <c r="DJ311" s="170"/>
      <c r="DK311" s="170"/>
      <c r="DL311" s="170"/>
      <c r="DM311" s="170"/>
      <c r="DN311" s="170"/>
      <c r="DO311" s="170"/>
      <c r="DP311" s="170"/>
      <c r="DQ311" s="170"/>
      <c r="DR311" s="170"/>
      <c r="DS311" s="170"/>
      <c r="DT311" s="170"/>
      <c r="DU311" s="170"/>
      <c r="DV311" s="170"/>
    </row>
    <row r="312" spans="77:126" ht="0" hidden="1" customHeight="1" x14ac:dyDescent="0.25">
      <c r="BY312" s="307" t="s">
        <v>280</v>
      </c>
      <c r="BZ312" s="307" t="s">
        <v>491</v>
      </c>
      <c r="CA312" s="344">
        <f>CG29*3.72/1000</f>
        <v>0.372</v>
      </c>
      <c r="CB312" s="168"/>
      <c r="CC312" s="169"/>
      <c r="CD312" s="169"/>
      <c r="CE312" s="169"/>
      <c r="CF312" s="169"/>
      <c r="CG312" s="167"/>
      <c r="CH312" s="167"/>
      <c r="CI312" s="170"/>
      <c r="CJ312" s="170"/>
      <c r="CK312" s="167"/>
      <c r="CL312" s="170"/>
      <c r="CM312" s="170"/>
      <c r="CN312" s="170"/>
      <c r="CO312" s="170"/>
      <c r="CP312" s="170"/>
      <c r="CQ312" s="170"/>
      <c r="CR312" s="170"/>
      <c r="CS312" s="170"/>
      <c r="CT312" s="170"/>
      <c r="CU312" s="170"/>
      <c r="CV312" s="170"/>
      <c r="CW312" s="167"/>
      <c r="CX312" s="170"/>
      <c r="CY312" s="170"/>
      <c r="CZ312" s="170"/>
      <c r="DA312" s="170"/>
      <c r="DB312" s="170"/>
      <c r="DC312" s="170"/>
      <c r="DD312" s="170"/>
      <c r="DE312" s="170"/>
      <c r="DF312" s="170"/>
      <c r="DG312" s="170"/>
      <c r="DH312" s="170"/>
      <c r="DI312" s="170"/>
      <c r="DJ312" s="170"/>
      <c r="DK312" s="170"/>
      <c r="DL312" s="170"/>
      <c r="DM312" s="170"/>
      <c r="DN312" s="170"/>
      <c r="DO312" s="170"/>
      <c r="DP312" s="170"/>
      <c r="DQ312" s="170"/>
      <c r="DR312" s="170"/>
      <c r="DS312" s="170"/>
      <c r="DT312" s="170"/>
      <c r="DU312" s="170"/>
      <c r="DV312" s="170"/>
    </row>
    <row r="313" spans="77:126" ht="0" hidden="1" customHeight="1" x14ac:dyDescent="0.25">
      <c r="BY313" s="307"/>
      <c r="BZ313" s="307" t="s">
        <v>492</v>
      </c>
      <c r="CA313" s="344">
        <f>CA188*(1.07*CA187^-0.07)</f>
        <v>0.74460685777452884</v>
      </c>
      <c r="CB313" s="168"/>
      <c r="CC313" s="169"/>
      <c r="CD313" s="169"/>
      <c r="CE313" s="169"/>
      <c r="CF313" s="169"/>
      <c r="CG313" s="167"/>
      <c r="CH313" s="167"/>
      <c r="CI313" s="170"/>
      <c r="CJ313" s="170"/>
      <c r="CK313" s="167"/>
      <c r="CL313" s="170"/>
      <c r="CM313" s="170"/>
      <c r="CN313" s="170"/>
      <c r="CO313" s="170"/>
      <c r="CP313" s="170"/>
      <c r="CQ313" s="170"/>
      <c r="CR313" s="170"/>
      <c r="CS313" s="170"/>
      <c r="CT313" s="170"/>
      <c r="CU313" s="170"/>
      <c r="CV313" s="170"/>
      <c r="CW313" s="167"/>
      <c r="CX313" s="170"/>
      <c r="CY313" s="170"/>
      <c r="CZ313" s="170"/>
      <c r="DA313" s="170"/>
      <c r="DB313" s="170"/>
      <c r="DC313" s="170"/>
      <c r="DD313" s="170"/>
      <c r="DE313" s="170"/>
      <c r="DF313" s="170"/>
      <c r="DG313" s="170"/>
      <c r="DH313" s="170"/>
      <c r="DI313" s="170"/>
      <c r="DJ313" s="170"/>
      <c r="DK313" s="170"/>
      <c r="DL313" s="170"/>
      <c r="DM313" s="170"/>
      <c r="DN313" s="170"/>
      <c r="DO313" s="170"/>
      <c r="DP313" s="170"/>
      <c r="DQ313" s="170"/>
      <c r="DR313" s="170"/>
      <c r="DS313" s="170"/>
      <c r="DT313" s="170"/>
      <c r="DU313" s="170"/>
      <c r="DV313" s="170"/>
    </row>
    <row r="314" spans="77:126" ht="0" hidden="1" customHeight="1" x14ac:dyDescent="0.25">
      <c r="BY314" s="307"/>
      <c r="BZ314" s="307" t="s">
        <v>493</v>
      </c>
      <c r="CA314" s="344">
        <f>CA313+CA312</f>
        <v>1.1166068577745287</v>
      </c>
      <c r="CB314" s="168"/>
      <c r="CC314" s="169"/>
      <c r="CD314" s="169"/>
      <c r="CE314" s="169"/>
      <c r="CF314" s="169"/>
      <c r="CG314" s="167"/>
      <c r="CH314" s="167"/>
      <c r="CI314" s="170"/>
      <c r="CJ314" s="170"/>
      <c r="CK314" s="167"/>
      <c r="CL314" s="170"/>
      <c r="CM314" s="170"/>
      <c r="CN314" s="170"/>
      <c r="CO314" s="170"/>
      <c r="CP314" s="170"/>
      <c r="CQ314" s="170"/>
      <c r="CR314" s="170"/>
      <c r="CS314" s="170"/>
      <c r="CT314" s="170"/>
      <c r="CU314" s="170"/>
      <c r="CV314" s="170"/>
      <c r="CW314" s="167"/>
      <c r="CX314" s="170"/>
      <c r="CY314" s="170"/>
      <c r="CZ314" s="170"/>
      <c r="DA314" s="170"/>
      <c r="DB314" s="170"/>
      <c r="DC314" s="170"/>
      <c r="DD314" s="170"/>
      <c r="DE314" s="170"/>
      <c r="DF314" s="170"/>
      <c r="DG314" s="170"/>
      <c r="DH314" s="170"/>
      <c r="DI314" s="170"/>
      <c r="DJ314" s="170"/>
      <c r="DK314" s="170"/>
      <c r="DL314" s="170"/>
      <c r="DM314" s="170"/>
      <c r="DN314" s="170"/>
      <c r="DO314" s="170"/>
      <c r="DP314" s="170"/>
      <c r="DQ314" s="170"/>
      <c r="DR314" s="170"/>
      <c r="DS314" s="170"/>
      <c r="DT314" s="170"/>
      <c r="DU314" s="170"/>
      <c r="DV314" s="170"/>
    </row>
    <row r="315" spans="77:126" ht="0" hidden="1" customHeight="1" x14ac:dyDescent="0.25">
      <c r="BY315" s="307"/>
      <c r="BZ315" s="307" t="s">
        <v>258</v>
      </c>
      <c r="CA315" s="309"/>
      <c r="CB315" s="168"/>
      <c r="CC315" s="169"/>
      <c r="CD315" s="169"/>
      <c r="CE315" s="169"/>
      <c r="CF315" s="169"/>
      <c r="CG315" s="167"/>
      <c r="CH315" s="167"/>
      <c r="CI315" s="170"/>
      <c r="CJ315" s="170"/>
      <c r="CK315" s="167"/>
      <c r="CL315" s="170"/>
      <c r="CM315" s="170"/>
      <c r="CN315" s="170"/>
      <c r="CO315" s="170"/>
      <c r="CP315" s="170"/>
      <c r="CQ315" s="170"/>
      <c r="CR315" s="170"/>
      <c r="CS315" s="170"/>
      <c r="CT315" s="170"/>
      <c r="CU315" s="170"/>
      <c r="CV315" s="170"/>
      <c r="CW315" s="167"/>
      <c r="CX315" s="170"/>
      <c r="CY315" s="170"/>
      <c r="CZ315" s="170"/>
      <c r="DA315" s="170"/>
      <c r="DB315" s="170"/>
      <c r="DC315" s="170"/>
      <c r="DD315" s="170"/>
      <c r="DE315" s="170"/>
      <c r="DF315" s="170"/>
      <c r="DG315" s="170"/>
      <c r="DH315" s="170"/>
      <c r="DI315" s="170"/>
      <c r="DJ315" s="170"/>
      <c r="DK315" s="170"/>
      <c r="DL315" s="170"/>
      <c r="DM315" s="170"/>
      <c r="DN315" s="170"/>
      <c r="DO315" s="170"/>
      <c r="DP315" s="170"/>
      <c r="DQ315" s="170"/>
      <c r="DR315" s="170"/>
      <c r="DS315" s="170"/>
      <c r="DT315" s="170"/>
      <c r="DU315" s="170"/>
      <c r="DV315" s="170"/>
    </row>
    <row r="316" spans="77:126" ht="0" hidden="1" customHeight="1" x14ac:dyDescent="0.25">
      <c r="BY316" s="307"/>
      <c r="BZ316" s="308" t="s">
        <v>494</v>
      </c>
      <c r="CA316" s="345">
        <f>CA314/DD47</f>
        <v>2.2787895056623038</v>
      </c>
      <c r="CB316" s="168"/>
      <c r="CC316" s="169"/>
      <c r="CD316" s="169"/>
      <c r="CE316" s="169"/>
      <c r="CF316" s="169"/>
      <c r="CG316" s="167"/>
      <c r="CH316" s="167"/>
      <c r="CI316" s="170"/>
      <c r="CJ316" s="170"/>
      <c r="CK316" s="167"/>
      <c r="CL316" s="170"/>
      <c r="CM316" s="170"/>
      <c r="CN316" s="170"/>
      <c r="CO316" s="170"/>
      <c r="CP316" s="170"/>
      <c r="CQ316" s="170"/>
      <c r="CR316" s="170"/>
      <c r="CS316" s="170"/>
      <c r="CT316" s="170"/>
      <c r="CU316" s="170"/>
      <c r="CV316" s="170"/>
      <c r="CW316" s="167"/>
      <c r="CX316" s="170"/>
      <c r="CY316" s="170"/>
      <c r="CZ316" s="170"/>
      <c r="DA316" s="170"/>
      <c r="DB316" s="170"/>
      <c r="DC316" s="170"/>
      <c r="DD316" s="170"/>
      <c r="DE316" s="170"/>
      <c r="DF316" s="170"/>
      <c r="DG316" s="170"/>
      <c r="DH316" s="170"/>
      <c r="DI316" s="170"/>
      <c r="DJ316" s="170"/>
      <c r="DK316" s="170"/>
      <c r="DL316" s="170"/>
      <c r="DM316" s="170"/>
      <c r="DN316" s="170"/>
      <c r="DO316" s="170"/>
      <c r="DP316" s="170"/>
      <c r="DQ316" s="170"/>
      <c r="DR316" s="170"/>
      <c r="DS316" s="170"/>
      <c r="DT316" s="170"/>
      <c r="DU316" s="170"/>
      <c r="DV316" s="170"/>
    </row>
    <row r="317" spans="77:126" ht="0" hidden="1" customHeight="1" x14ac:dyDescent="0.25">
      <c r="BY317" s="307"/>
      <c r="BZ317" s="307"/>
      <c r="CA317" s="309"/>
      <c r="CB317" s="168"/>
      <c r="CC317" s="169"/>
      <c r="CD317" s="169"/>
      <c r="CE317" s="169"/>
      <c r="CF317" s="169"/>
      <c r="CG317" s="167"/>
      <c r="CH317" s="167"/>
      <c r="CI317" s="170"/>
      <c r="CJ317" s="170"/>
      <c r="CK317" s="167"/>
      <c r="CL317" s="170"/>
      <c r="CM317" s="170"/>
      <c r="CN317" s="170"/>
      <c r="CO317" s="170"/>
      <c r="CP317" s="170"/>
      <c r="CQ317" s="170"/>
      <c r="CR317" s="170"/>
      <c r="CS317" s="170"/>
      <c r="CT317" s="170"/>
      <c r="CU317" s="170"/>
      <c r="CV317" s="170"/>
      <c r="CW317" s="167"/>
      <c r="CX317" s="170"/>
      <c r="CY317" s="170"/>
      <c r="CZ317" s="170"/>
      <c r="DA317" s="170"/>
      <c r="DB317" s="170"/>
      <c r="DC317" s="170"/>
      <c r="DD317" s="170"/>
      <c r="DE317" s="170"/>
      <c r="DF317" s="170"/>
      <c r="DG317" s="170"/>
      <c r="DH317" s="170"/>
      <c r="DI317" s="170"/>
      <c r="DJ317" s="170"/>
      <c r="DK317" s="170"/>
      <c r="DL317" s="170"/>
      <c r="DM317" s="170"/>
      <c r="DN317" s="170"/>
      <c r="DO317" s="170"/>
      <c r="DP317" s="170"/>
      <c r="DQ317" s="170"/>
      <c r="DR317" s="170"/>
      <c r="DS317" s="170"/>
      <c r="DT317" s="170"/>
      <c r="DU317" s="170"/>
      <c r="DV317" s="170"/>
    </row>
    <row r="318" spans="77:126" ht="0" hidden="1" customHeight="1" x14ac:dyDescent="0.25">
      <c r="BY318" s="307" t="s">
        <v>287</v>
      </c>
      <c r="BZ318" s="307" t="s">
        <v>480</v>
      </c>
      <c r="CA318" s="344">
        <f>CG29*334.4/1000</f>
        <v>33.44</v>
      </c>
      <c r="CB318" s="168"/>
      <c r="CC318" s="169"/>
      <c r="CD318" s="169"/>
      <c r="CE318" s="169"/>
      <c r="CF318" s="169"/>
      <c r="CG318" s="167"/>
      <c r="CH318" s="167"/>
      <c r="CI318" s="170"/>
      <c r="CJ318" s="170"/>
      <c r="CK318" s="167"/>
      <c r="CL318" s="170"/>
      <c r="CM318" s="170"/>
      <c r="CN318" s="170"/>
      <c r="CO318" s="170"/>
      <c r="CP318" s="170"/>
      <c r="CQ318" s="170"/>
      <c r="CR318" s="170"/>
      <c r="CS318" s="170"/>
      <c r="CT318" s="170"/>
      <c r="CU318" s="170"/>
      <c r="CV318" s="170"/>
      <c r="CW318" s="167"/>
      <c r="CX318" s="170"/>
      <c r="CY318" s="170"/>
      <c r="CZ318" s="170"/>
      <c r="DA318" s="170"/>
      <c r="DB318" s="170"/>
      <c r="DC318" s="170"/>
      <c r="DD318" s="170"/>
      <c r="DE318" s="170"/>
      <c r="DF318" s="170"/>
      <c r="DG318" s="170"/>
      <c r="DH318" s="170"/>
      <c r="DI318" s="170"/>
      <c r="DJ318" s="170"/>
      <c r="DK318" s="170"/>
      <c r="DL318" s="170"/>
      <c r="DM318" s="170"/>
      <c r="DN318" s="170"/>
      <c r="DO318" s="170"/>
      <c r="DP318" s="170"/>
      <c r="DQ318" s="170"/>
      <c r="DR318" s="170"/>
      <c r="DS318" s="170"/>
      <c r="DT318" s="170"/>
      <c r="DU318" s="170"/>
      <c r="DV318" s="170"/>
    </row>
    <row r="319" spans="77:126" ht="0" hidden="1" customHeight="1" x14ac:dyDescent="0.25">
      <c r="BY319" s="307"/>
      <c r="BZ319" s="307" t="s">
        <v>481</v>
      </c>
      <c r="CA319" s="344">
        <f>CA188*(1.16*CA187^0.86)</f>
        <v>56.409735096596066</v>
      </c>
      <c r="CB319" s="168"/>
      <c r="CC319" s="169"/>
      <c r="CD319" s="169"/>
      <c r="CE319" s="169"/>
      <c r="CF319" s="169"/>
      <c r="CG319" s="167"/>
      <c r="CH319" s="167"/>
      <c r="CI319" s="170"/>
      <c r="CJ319" s="170"/>
      <c r="CK319" s="167"/>
      <c r="CL319" s="170"/>
      <c r="CM319" s="170"/>
      <c r="CN319" s="170"/>
      <c r="CO319" s="170"/>
      <c r="CP319" s="170"/>
      <c r="CQ319" s="170"/>
      <c r="CR319" s="170"/>
      <c r="CS319" s="170"/>
      <c r="CT319" s="170"/>
      <c r="CU319" s="170"/>
      <c r="CV319" s="170"/>
      <c r="CW319" s="167"/>
      <c r="CX319" s="170"/>
      <c r="CY319" s="170"/>
      <c r="CZ319" s="170"/>
      <c r="DA319" s="170"/>
      <c r="DB319" s="170"/>
      <c r="DC319" s="170"/>
      <c r="DD319" s="170"/>
      <c r="DE319" s="170"/>
      <c r="DF319" s="170"/>
      <c r="DG319" s="170"/>
      <c r="DH319" s="170"/>
      <c r="DI319" s="170"/>
      <c r="DJ319" s="170"/>
      <c r="DK319" s="170"/>
      <c r="DL319" s="170"/>
      <c r="DM319" s="170"/>
      <c r="DN319" s="170"/>
      <c r="DO319" s="170"/>
      <c r="DP319" s="170"/>
      <c r="DQ319" s="170"/>
      <c r="DR319" s="170"/>
      <c r="DS319" s="170"/>
      <c r="DT319" s="170"/>
      <c r="DU319" s="170"/>
      <c r="DV319" s="170"/>
    </row>
    <row r="320" spans="77:126" ht="0" hidden="1" customHeight="1" x14ac:dyDescent="0.25">
      <c r="BY320" s="307"/>
      <c r="BZ320" s="307" t="s">
        <v>483</v>
      </c>
      <c r="CA320" s="344">
        <f>CA319+CA318</f>
        <v>89.849735096596063</v>
      </c>
      <c r="CB320" s="168"/>
      <c r="CC320" s="169"/>
      <c r="CD320" s="169"/>
      <c r="CE320" s="169"/>
      <c r="CF320" s="169"/>
      <c r="CG320" s="167"/>
      <c r="CH320" s="167"/>
      <c r="CI320" s="170"/>
      <c r="CJ320" s="170"/>
      <c r="CK320" s="167"/>
      <c r="CL320" s="170"/>
      <c r="CM320" s="170"/>
      <c r="CN320" s="170"/>
      <c r="CO320" s="170"/>
      <c r="CP320" s="170"/>
      <c r="CQ320" s="170"/>
      <c r="CR320" s="170"/>
      <c r="CS320" s="170"/>
      <c r="CT320" s="170"/>
      <c r="CU320" s="170"/>
      <c r="CV320" s="170"/>
      <c r="CW320" s="167"/>
      <c r="CX320" s="170"/>
      <c r="CY320" s="170"/>
      <c r="CZ320" s="170"/>
      <c r="DA320" s="170"/>
      <c r="DB320" s="170"/>
      <c r="DC320" s="170"/>
      <c r="DD320" s="170"/>
      <c r="DE320" s="170"/>
      <c r="DF320" s="170"/>
      <c r="DG320" s="170"/>
      <c r="DH320" s="170"/>
      <c r="DI320" s="170"/>
      <c r="DJ320" s="170"/>
      <c r="DK320" s="170"/>
      <c r="DL320" s="170"/>
      <c r="DM320" s="170"/>
      <c r="DN320" s="170"/>
      <c r="DO320" s="170"/>
      <c r="DP320" s="170"/>
      <c r="DQ320" s="170"/>
      <c r="DR320" s="170"/>
      <c r="DS320" s="170"/>
      <c r="DT320" s="170"/>
      <c r="DU320" s="170"/>
      <c r="DV320" s="170"/>
    </row>
    <row r="321" spans="77:126" ht="0" hidden="1" customHeight="1" x14ac:dyDescent="0.25">
      <c r="BY321" s="307"/>
      <c r="BZ321" s="307" t="s">
        <v>258</v>
      </c>
      <c r="CA321" s="309"/>
      <c r="CB321" s="168"/>
      <c r="CC321" s="169"/>
      <c r="CD321" s="169"/>
      <c r="CE321" s="169"/>
      <c r="CF321" s="169"/>
      <c r="CG321" s="167"/>
      <c r="CH321" s="167"/>
      <c r="CI321" s="170"/>
      <c r="CJ321" s="170"/>
      <c r="CK321" s="167"/>
      <c r="CL321" s="170"/>
      <c r="CM321" s="170"/>
      <c r="CN321" s="170"/>
      <c r="CO321" s="170"/>
      <c r="CP321" s="170"/>
      <c r="CQ321" s="170"/>
      <c r="CR321" s="170"/>
      <c r="CS321" s="170"/>
      <c r="CT321" s="170"/>
      <c r="CU321" s="170"/>
      <c r="CV321" s="170"/>
      <c r="CW321" s="167"/>
      <c r="CX321" s="170"/>
      <c r="CY321" s="170"/>
      <c r="CZ321" s="170"/>
      <c r="DA321" s="170"/>
      <c r="DB321" s="170"/>
      <c r="DC321" s="170"/>
      <c r="DD321" s="170"/>
      <c r="DE321" s="170"/>
      <c r="DF321" s="170"/>
      <c r="DG321" s="170"/>
      <c r="DH321" s="170"/>
      <c r="DI321" s="170"/>
      <c r="DJ321" s="170"/>
      <c r="DK321" s="170"/>
      <c r="DL321" s="170"/>
      <c r="DM321" s="170"/>
      <c r="DN321" s="170"/>
      <c r="DO321" s="170"/>
      <c r="DP321" s="170"/>
      <c r="DQ321" s="170"/>
      <c r="DR321" s="170"/>
      <c r="DS321" s="170"/>
      <c r="DT321" s="170"/>
      <c r="DU321" s="170"/>
      <c r="DV321" s="170"/>
    </row>
    <row r="322" spans="77:126" ht="0" hidden="1" customHeight="1" x14ac:dyDescent="0.25">
      <c r="BY322" s="307"/>
      <c r="BZ322" s="308" t="s">
        <v>484</v>
      </c>
      <c r="CA322" s="354">
        <f>CA320/DD49</f>
        <v>134.10408223372545</v>
      </c>
      <c r="CB322" s="168"/>
      <c r="CC322" s="169"/>
      <c r="CD322" s="169"/>
      <c r="CE322" s="169"/>
      <c r="CF322" s="169"/>
      <c r="CG322" s="167"/>
      <c r="CH322" s="167"/>
      <c r="CI322" s="170"/>
      <c r="CJ322" s="170"/>
      <c r="CK322" s="167"/>
      <c r="CL322" s="170"/>
      <c r="CM322" s="170"/>
      <c r="CN322" s="170"/>
      <c r="CO322" s="170"/>
      <c r="CP322" s="170"/>
      <c r="CQ322" s="170"/>
      <c r="CR322" s="170"/>
      <c r="CS322" s="170"/>
      <c r="CT322" s="170"/>
      <c r="CU322" s="170"/>
      <c r="CV322" s="170"/>
      <c r="CW322" s="167"/>
      <c r="CX322" s="170"/>
      <c r="CY322" s="170"/>
      <c r="CZ322" s="170"/>
      <c r="DA322" s="170"/>
      <c r="DB322" s="170"/>
      <c r="DC322" s="170"/>
      <c r="DD322" s="170"/>
      <c r="DE322" s="170"/>
      <c r="DF322" s="170"/>
      <c r="DG322" s="170"/>
      <c r="DH322" s="170"/>
      <c r="DI322" s="170"/>
      <c r="DJ322" s="170"/>
      <c r="DK322" s="170"/>
      <c r="DL322" s="170"/>
      <c r="DM322" s="170"/>
      <c r="DN322" s="170"/>
      <c r="DO322" s="170"/>
      <c r="DP322" s="170"/>
      <c r="DQ322" s="170"/>
      <c r="DR322" s="170"/>
      <c r="DS322" s="170"/>
      <c r="DT322" s="170"/>
      <c r="DU322" s="170"/>
      <c r="DV322" s="170"/>
    </row>
    <row r="323" spans="77:126" ht="0" hidden="1" customHeight="1" x14ac:dyDescent="0.25">
      <c r="BY323" s="167"/>
      <c r="BZ323" s="170"/>
      <c r="CA323" s="170"/>
      <c r="CB323" s="168"/>
      <c r="CC323" s="169"/>
      <c r="CD323" s="169"/>
      <c r="CE323" s="169"/>
      <c r="CF323" s="169"/>
      <c r="CG323" s="167"/>
      <c r="CH323" s="167"/>
      <c r="CI323" s="170"/>
      <c r="CJ323" s="170"/>
      <c r="CK323" s="167"/>
      <c r="CL323" s="170"/>
      <c r="CM323" s="170"/>
      <c r="CN323" s="170"/>
      <c r="CO323" s="170"/>
      <c r="CP323" s="170"/>
      <c r="CQ323" s="170"/>
      <c r="CR323" s="170"/>
      <c r="CS323" s="170"/>
      <c r="CT323" s="170"/>
      <c r="CU323" s="170"/>
      <c r="CV323" s="170"/>
      <c r="CW323" s="167"/>
      <c r="CX323" s="170"/>
      <c r="CY323" s="170"/>
      <c r="CZ323" s="170"/>
      <c r="DA323" s="170"/>
      <c r="DB323" s="170"/>
      <c r="DC323" s="170"/>
      <c r="DD323" s="170"/>
      <c r="DE323" s="170"/>
      <c r="DF323" s="170"/>
      <c r="DG323" s="170"/>
      <c r="DH323" s="170"/>
      <c r="DI323" s="170"/>
      <c r="DJ323" s="170"/>
      <c r="DK323" s="170"/>
      <c r="DL323" s="170"/>
      <c r="DM323" s="170"/>
      <c r="DN323" s="170"/>
      <c r="DO323" s="170"/>
      <c r="DP323" s="170"/>
      <c r="DQ323" s="170"/>
      <c r="DR323" s="170"/>
      <c r="DS323" s="170"/>
      <c r="DT323" s="170"/>
      <c r="DU323" s="170"/>
      <c r="DV323" s="170"/>
    </row>
    <row r="324" spans="77:126" ht="0" hidden="1" customHeight="1" x14ac:dyDescent="0.25">
      <c r="BY324" s="167"/>
      <c r="BZ324" s="170"/>
      <c r="CA324" s="170"/>
      <c r="CB324" s="168"/>
      <c r="CC324" s="169"/>
      <c r="CD324" s="169"/>
      <c r="CE324" s="169"/>
      <c r="CF324" s="169"/>
      <c r="CG324" s="167"/>
      <c r="CH324" s="167"/>
      <c r="CI324" s="170"/>
      <c r="CJ324" s="170"/>
      <c r="CK324" s="167"/>
      <c r="CL324" s="170"/>
      <c r="CM324" s="170"/>
      <c r="CN324" s="170"/>
      <c r="CO324" s="170"/>
      <c r="CP324" s="170"/>
      <c r="CQ324" s="170"/>
      <c r="CR324" s="170"/>
      <c r="CS324" s="170"/>
      <c r="CT324" s="170"/>
      <c r="CU324" s="170"/>
      <c r="CV324" s="170"/>
      <c r="CW324" s="167"/>
      <c r="CX324" s="170"/>
      <c r="CY324" s="170"/>
      <c r="CZ324" s="170"/>
      <c r="DA324" s="170"/>
      <c r="DB324" s="170"/>
      <c r="DC324" s="170"/>
      <c r="DD324" s="170"/>
      <c r="DE324" s="170"/>
      <c r="DF324" s="170"/>
      <c r="DG324" s="170"/>
      <c r="DH324" s="170"/>
      <c r="DI324" s="170"/>
      <c r="DJ324" s="170"/>
      <c r="DK324" s="170"/>
      <c r="DL324" s="170"/>
      <c r="DM324" s="170"/>
      <c r="DN324" s="170"/>
      <c r="DO324" s="170"/>
      <c r="DP324" s="170"/>
      <c r="DQ324" s="170"/>
      <c r="DR324" s="170"/>
      <c r="DS324" s="170"/>
      <c r="DT324" s="170"/>
      <c r="DU324" s="170"/>
      <c r="DV324" s="170"/>
    </row>
  </sheetData>
  <sheetProtection algorithmName="SHA-512" hashValue="nM8Dwbow+3UdhP9g8/awqWLszuYROuC1bSb3mJ4GsppzBTiNq41pfaOQWNWEdciOpVFcI8i1Qw2j5k+bGoRlnA==" saltValue="rNjq6kDkzQoQ5K+/brNBJg==" spinCount="100000" sheet="1" objects="1" scenarios="1" selectLockedCells="1"/>
  <mergeCells count="11">
    <mergeCell ref="R22:X22"/>
    <mergeCell ref="R23:X23"/>
    <mergeCell ref="R24:X24"/>
    <mergeCell ref="J25:K25"/>
    <mergeCell ref="B27:U27"/>
    <mergeCell ref="F21:G21"/>
    <mergeCell ref="B5:C5"/>
    <mergeCell ref="E5:H5"/>
    <mergeCell ref="J5:P5"/>
    <mergeCell ref="R5:X5"/>
    <mergeCell ref="B15:C15"/>
  </mergeCells>
  <conditionalFormatting sqref="F21">
    <cfRule type="cellIs" dxfId="49" priority="30" operator="lessThan">
      <formula>1</formula>
    </cfRule>
    <cfRule type="cellIs" dxfId="48" priority="31" operator="greaterThan">
      <formula>1</formula>
    </cfRule>
  </conditionalFormatting>
  <conditionalFormatting sqref="O7:P10 O11:O15 N7:N15 N16:O23">
    <cfRule type="cellIs" dxfId="47" priority="25" operator="equal">
      <formula>"REDUZIR"</formula>
    </cfRule>
    <cfRule type="cellIs" dxfId="46" priority="26" operator="equal">
      <formula>"AUMENTAR"</formula>
    </cfRule>
    <cfRule type="cellIs" dxfId="45" priority="27" operator="equal">
      <formula>"Sobra"</formula>
    </cfRule>
    <cfRule type="cellIs" dxfId="44" priority="28" operator="equal">
      <formula>"Falta"</formula>
    </cfRule>
    <cfRule type="cellIs" dxfId="43" priority="29" operator="equal">
      <formula>"Ok"</formula>
    </cfRule>
  </conditionalFormatting>
  <conditionalFormatting sqref="P11:P17">
    <cfRule type="cellIs" dxfId="42" priority="20" operator="equal">
      <formula>"REDUZIR"</formula>
    </cfRule>
    <cfRule type="cellIs" dxfId="41" priority="21" operator="equal">
      <formula>"AUMENTAR"</formula>
    </cfRule>
    <cfRule type="cellIs" dxfId="40" priority="22" operator="equal">
      <formula>"Sobra"</formula>
    </cfRule>
    <cfRule type="cellIs" dxfId="39" priority="23" operator="equal">
      <formula>"Falta"</formula>
    </cfRule>
    <cfRule type="cellIs" dxfId="38" priority="24" operator="equal">
      <formula>"Ok"</formula>
    </cfRule>
  </conditionalFormatting>
  <conditionalFormatting sqref="P18:P22">
    <cfRule type="cellIs" dxfId="37" priority="15" operator="equal">
      <formula>"REDUZIR"</formula>
    </cfRule>
    <cfRule type="cellIs" dxfId="36" priority="16" operator="equal">
      <formula>"AUMENTAR"</formula>
    </cfRule>
    <cfRule type="cellIs" dxfId="35" priority="17" operator="equal">
      <formula>"Sobra"</formula>
    </cfRule>
    <cfRule type="cellIs" dxfId="34" priority="18" operator="equal">
      <formula>"Falta"</formula>
    </cfRule>
    <cfRule type="cellIs" dxfId="33" priority="19" operator="equal">
      <formula>"Ok"</formula>
    </cfRule>
  </conditionalFormatting>
  <conditionalFormatting sqref="P23">
    <cfRule type="cellIs" dxfId="32" priority="10" operator="equal">
      <formula>"REDUZIR"</formula>
    </cfRule>
    <cfRule type="cellIs" dxfId="31" priority="11" operator="equal">
      <formula>"AUMENTAR"</formula>
    </cfRule>
    <cfRule type="cellIs" dxfId="30" priority="12" operator="equal">
      <formula>"Sobra"</formula>
    </cfRule>
    <cfRule type="cellIs" dxfId="29" priority="13" operator="equal">
      <formula>"Falta"</formula>
    </cfRule>
    <cfRule type="cellIs" dxfId="28" priority="14" operator="equal">
      <formula>"Ok"</formula>
    </cfRule>
  </conditionalFormatting>
  <conditionalFormatting sqref="J23:P23">
    <cfRule type="expression" dxfId="27" priority="9">
      <formula>$N$23="Reduzir"</formula>
    </cfRule>
  </conditionalFormatting>
  <conditionalFormatting sqref="J8:P8">
    <cfRule type="expression" dxfId="26" priority="8">
      <formula>$N$8="Reduzir"</formula>
    </cfRule>
  </conditionalFormatting>
  <conditionalFormatting sqref="J9:P9">
    <cfRule type="expression" dxfId="25" priority="7">
      <formula>$N$9="Reduzir"</formula>
    </cfRule>
  </conditionalFormatting>
  <conditionalFormatting sqref="B29:U40">
    <cfRule type="expression" dxfId="24" priority="6">
      <formula>COUNTIF($R$7:$R$20, $B29)</formula>
    </cfRule>
  </conditionalFormatting>
  <conditionalFormatting sqref="B43:X54">
    <cfRule type="expression" dxfId="23" priority="5">
      <formula>COUNTIF($E$7:$E$21, $B43)</formula>
    </cfRule>
  </conditionalFormatting>
  <conditionalFormatting sqref="B57:W68">
    <cfRule type="expression" dxfId="22" priority="4">
      <formula>COUNTIF($E$7:$E$21, $B57)</formula>
    </cfRule>
  </conditionalFormatting>
  <conditionalFormatting sqref="W43:W54">
    <cfRule type="colorScale" priority="3">
      <colorScale>
        <cfvo type="min"/>
        <cfvo type="percentile" val="50"/>
        <cfvo type="max"/>
        <color rgb="FF63BE7B"/>
        <color rgb="FFFFEB84"/>
        <color rgb="FFF8696B"/>
      </colorScale>
    </cfRule>
  </conditionalFormatting>
  <conditionalFormatting sqref="X43:X54">
    <cfRule type="colorScale" priority="2">
      <colorScale>
        <cfvo type="min"/>
        <cfvo type="percentile" val="50"/>
        <cfvo type="max"/>
        <color rgb="FF63BE7B"/>
        <color rgb="FFFFEB84"/>
        <color rgb="FFF8696B"/>
      </colorScale>
    </cfRule>
  </conditionalFormatting>
  <conditionalFormatting sqref="N23">
    <cfRule type="expression" dxfId="21" priority="1">
      <formula>$N$8="Reduzir"</formula>
    </cfRule>
  </conditionalFormatting>
  <dataValidations count="16">
    <dataValidation type="whole" allowBlank="1" showInputMessage="1" showErrorMessage="1" errorTitle="APENAS NÚMEROS!" error="Digite apenas os números, sem letras ou outros caracteres." sqref="C16" xr:uid="{E61043F1-F82C-4602-A504-625062BAC2BC}">
      <formula1>0</formula1>
      <formula2>365</formula2>
    </dataValidation>
    <dataValidation type="decimal" allowBlank="1" showInputMessage="1" showErrorMessage="1" sqref="C7" xr:uid="{1BD9DC0A-33AB-44FB-9FA0-8F432F8CF6CA}">
      <formula1>0.001</formula1>
      <formula2>2</formula2>
    </dataValidation>
    <dataValidation type="list" allowBlank="1" showErrorMessage="1" sqref="C9" xr:uid="{A449B229-C8F3-48C9-993C-F311FD91D20D}">
      <formula1>"Lactante, Gestante e lactante"</formula1>
    </dataValidation>
    <dataValidation type="whole" allowBlank="1" showInputMessage="1" showErrorMessage="1" sqref="C10" xr:uid="{38DC5B22-D865-4F71-A6F6-3AFA8AAAE164}">
      <formula1>1</formula1>
      <formula2>40</formula2>
    </dataValidation>
    <dataValidation type="list" allowBlank="1" showErrorMessage="1" sqref="C8" xr:uid="{43D798B3-222E-4A5A-8CE3-3D11D6F88093}">
      <formula1>"Primípara,Multípara"</formula1>
    </dataValidation>
    <dataValidation type="whole" operator="greaterThan" showInputMessage="1" showErrorMessage="1" errorTitle="Atenção" error="Confira se os dados de entrada fazem sentido biológico!" promptTitle="Atenção" sqref="CY40" xr:uid="{95EC6A25-8122-4AF1-9711-22C5677B0D94}">
      <formula1>100</formula1>
    </dataValidation>
    <dataValidation type="whole" errorStyle="warning" operator="lessThan" allowBlank="1" showInputMessage="1" showErrorMessage="1" errorTitle="Atençao!" error="Confira se os dados de entrada fazem sentido biológico!" sqref="CY37" xr:uid="{1F98A08C-1AA8-4EE8-9343-DFEE88F8DC2E}">
      <formula1>0</formula1>
    </dataValidation>
    <dataValidation type="custom" errorStyle="warning" operator="lessThan" allowBlank="1" showInputMessage="1" showErrorMessage="1" errorTitle="Atenção" error="Confira se os dados informados fazem sentido biológico." sqref="CG31" xr:uid="{4C955EEE-8F55-4399-B5A0-A1AA503800DC}">
      <formula1>CY38&gt;100</formula1>
    </dataValidation>
    <dataValidation type="list" allowBlank="1" showInputMessage="1" showErrorMessage="1" sqref="AE14" xr:uid="{FC8E466E-BDD4-45A1-9443-8828B83F2D51}">
      <formula1>"Corte,Cruzado leiteiro,Leiteiro"</formula1>
    </dataValidation>
    <dataValidation type="list" allowBlank="1" showInputMessage="1" showErrorMessage="1" sqref="AE13" xr:uid="{97F1FB9A-F06E-4D40-8B31-4B10AAC2F43A}">
      <formula1>"Sim,Não"</formula1>
    </dataValidation>
    <dataValidation type="whole" allowBlank="1" showInputMessage="1" showErrorMessage="1" sqref="C6" xr:uid="{D875FB14-98C3-4215-8338-DD8D115B4837}">
      <formula1>0</formula1>
      <formula2>1000</formula2>
    </dataValidation>
    <dataValidation type="decimal" allowBlank="1" showInputMessage="1" showErrorMessage="1" promptTitle="CUIDADO!" prompt="Só faça um acréscimo de consumo se já dominar de forma avançada tudo que envolve nutrição animal!" sqref="L25" xr:uid="{A0D035E1-88EE-4355-94AB-24AC555ACB9A}">
      <formula1>0</formula1>
      <formula2>1</formula2>
    </dataValidation>
    <dataValidation type="list" allowBlank="1" showInputMessage="1" showErrorMessage="1" errorTitle="Essa forragem não está na lista!" sqref="C18" xr:uid="{CDFA26BF-44A2-48ED-8FDC-8892E2F21E2F}">
      <formula1>$B$29:$B$40</formula1>
    </dataValidation>
    <dataValidation type="list" allowBlank="1" showInputMessage="1" showErrorMessage="1" sqref="E7:E13" xr:uid="{DF11A2D1-EDEF-4031-A7B7-A27428049E92}">
      <formula1>$B$43:$B$55</formula1>
    </dataValidation>
    <dataValidation type="list" allowBlank="1" showInputMessage="1" showErrorMessage="1" sqref="E14:E20" xr:uid="{69B5679E-2E50-4E62-9589-2A21269FDC30}">
      <formula1>$B$57:$B$68</formula1>
    </dataValidation>
    <dataValidation type="decimal" allowBlank="1" showInputMessage="1" showErrorMessage="1" sqref="C19" xr:uid="{6799E9A8-D12D-4E69-B611-7FC66B43D0D5}">
      <formula1>0</formula1>
      <formula2>0.025</formula2>
    </dataValidation>
  </dataValidations>
  <pageMargins left="0.511811024" right="0.511811024" top="0.78740157499999996" bottom="0.78740157499999996" header="0.31496062000000002" footer="0.31496062000000002"/>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0426-C0D4-4CB9-A475-8EE9EA86DBFB}">
  <sheetPr codeName="Planilha15"/>
  <dimension ref="A1:XFC41"/>
  <sheetViews>
    <sheetView showGridLines="0" zoomScale="130" zoomScaleNormal="130" workbookViewId="0">
      <selection activeCell="B8" sqref="B8:D19"/>
    </sheetView>
  </sheetViews>
  <sheetFormatPr defaultColWidth="0" defaultRowHeight="15" customHeight="1" zeroHeight="1" x14ac:dyDescent="0.25"/>
  <cols>
    <col min="1" max="1" width="10.7109375" customWidth="1"/>
    <col min="2" max="8" width="10.7109375" style="1" customWidth="1"/>
    <col min="9" max="9" width="9.140625" hidden="1"/>
    <col min="10" max="20" width="9.140625" style="1" hidden="1"/>
    <col min="21" max="16383" width="9.140625" hidden="1"/>
    <col min="16384" max="16384" width="4.28515625" hidden="1"/>
  </cols>
  <sheetData>
    <row r="1" spans="1:20" ht="25.5" customHeight="1" x14ac:dyDescent="0.25">
      <c r="A1" s="654" t="s">
        <v>663</v>
      </c>
      <c r="B1" s="654"/>
      <c r="C1" s="654"/>
      <c r="D1" s="654"/>
      <c r="E1" s="654"/>
      <c r="F1" s="654"/>
      <c r="G1" s="654"/>
      <c r="H1" s="654"/>
    </row>
    <row r="2" spans="1:20" x14ac:dyDescent="0.25">
      <c r="A2" s="494" t="s">
        <v>662</v>
      </c>
      <c r="B2" s="493"/>
      <c r="C2" s="493"/>
      <c r="D2" s="493"/>
      <c r="E2" s="493"/>
      <c r="F2" s="493"/>
      <c r="G2" s="493"/>
    </row>
    <row r="3" spans="1:20" x14ac:dyDescent="0.25">
      <c r="A3" s="494" t="s">
        <v>661</v>
      </c>
      <c r="B3" s="493"/>
      <c r="C3" s="493"/>
      <c r="D3" s="493"/>
      <c r="E3" s="493"/>
      <c r="F3" s="493"/>
      <c r="G3" s="493"/>
    </row>
    <row r="4" spans="1:20" x14ac:dyDescent="0.25">
      <c r="A4" s="494" t="s">
        <v>660</v>
      </c>
      <c r="B4" s="493"/>
      <c r="C4" s="493"/>
      <c r="D4" s="493"/>
      <c r="E4" s="493"/>
      <c r="F4" s="493"/>
      <c r="G4" s="493"/>
    </row>
    <row r="5" spans="1:20" x14ac:dyDescent="0.25">
      <c r="A5" s="494" t="s">
        <v>659</v>
      </c>
      <c r="B5" s="493"/>
      <c r="C5" s="493"/>
      <c r="D5" s="493"/>
      <c r="E5" s="493"/>
      <c r="F5" s="493"/>
      <c r="G5" s="493"/>
    </row>
    <row r="6" spans="1:20" x14ac:dyDescent="0.25">
      <c r="A6" s="494"/>
      <c r="B6" s="493"/>
      <c r="C6" s="493"/>
      <c r="D6" s="493"/>
      <c r="E6" s="493"/>
      <c r="F6" s="493"/>
      <c r="G6" s="493"/>
    </row>
    <row r="7" spans="1:20" ht="15.75" thickBot="1" x14ac:dyDescent="0.3">
      <c r="A7" s="478" t="s">
        <v>30</v>
      </c>
      <c r="B7" s="478" t="s">
        <v>658</v>
      </c>
      <c r="C7" s="478" t="s">
        <v>657</v>
      </c>
      <c r="D7" s="478" t="s">
        <v>656</v>
      </c>
      <c r="E7" s="474"/>
      <c r="F7" s="655" t="s">
        <v>85</v>
      </c>
      <c r="G7" s="655"/>
      <c r="H7" s="655"/>
    </row>
    <row r="8" spans="1:20" ht="15.75" thickTop="1" x14ac:dyDescent="0.25">
      <c r="A8" s="489" t="s">
        <v>655</v>
      </c>
      <c r="B8" s="495"/>
      <c r="C8" s="495"/>
      <c r="D8" s="495"/>
      <c r="E8" s="484" t="s">
        <v>575</v>
      </c>
      <c r="F8" s="492" t="str">
        <f>IF(D8="","",IF(Q8=30,"Chuva",IF(Q8=0,"Seca",IF(Q8=20,"Chuva -1",IF(Q8=10,"Transição",0)))))</f>
        <v/>
      </c>
      <c r="G8" s="491" t="str">
        <f>IF(OR(B8="",C8=""),"",IF(S8=1,"Verão",IF(S8=0,"Inverno",IF(S8=0.5,"Transição",IF(S8=0.75,"Transição",0)))))</f>
        <v/>
      </c>
      <c r="H8" s="490" t="str">
        <f>IF(OR(F8="",G8=""),"",IF(AND(G8="Verão",F8="Chuva"),"Ok","Cuidado"))</f>
        <v/>
      </c>
      <c r="Q8" s="480" t="str">
        <f>IF(D8="","",IF(D8&gt;=150,30,IF(AND(D8&gt;=120,D8&lt;150),20,IF(AND(D8&gt;=60,D8&lt;120),10,0))))</f>
        <v/>
      </c>
      <c r="R8" s="1" t="str">
        <f>IF(OR(B8="",C8=""),"",AVERAGE(B8:C8))</f>
        <v/>
      </c>
      <c r="S8" s="1" t="str">
        <f>IF(R8="","",IF(AND(R8&lt;=19,R8&gt;=17),0.5,IF(R8&lt;16,0,IF(AND(R8&gt;19,R8&lt;20),0.75,IF(R8&gt;19,1,0)))))</f>
        <v/>
      </c>
      <c r="T8" s="1" t="str">
        <f>IF(S8="","", S8*Q8)</f>
        <v/>
      </c>
    </row>
    <row r="9" spans="1:20" x14ac:dyDescent="0.25">
      <c r="A9" s="489" t="s">
        <v>654</v>
      </c>
      <c r="B9" s="495"/>
      <c r="C9" s="495"/>
      <c r="D9" s="495"/>
      <c r="E9" s="484" t="s">
        <v>575</v>
      </c>
      <c r="F9" s="488" t="str">
        <f t="shared" ref="F9:F19" si="0">IF(D9="","",IF(Q9=30,"Chuva",IF(Q9=0,"Seca",IF(Q9=20,"Chuva -1",IF(Q9=10,"Transição",0)))))</f>
        <v/>
      </c>
      <c r="G9" s="487" t="str">
        <f t="shared" ref="G9:G19" si="1">IF(OR(B9="",C9=""),"",IF(S9=1,"Verão",IF(S9=0,"Inverno",IF(S9=0.5,"Transição",IF(S9=0.75,"Transição",0)))))</f>
        <v/>
      </c>
      <c r="H9" s="486" t="str">
        <f t="shared" ref="H9:H19" si="2">IF(OR(F9="",G9=""),"",IF(AND(G9="Verão",F9="Chuva"),"Ok","Cuidado"))</f>
        <v/>
      </c>
      <c r="Q9" s="480" t="str">
        <f t="shared" ref="Q9:Q19" si="3">IF(D9="","",IF(D9&gt;=150,30,IF(AND(D9&gt;=120,D9&lt;150),20,IF(AND(D9&gt;=60,D9&lt;120),10,0))))</f>
        <v/>
      </c>
      <c r="R9" s="1" t="str">
        <f t="shared" ref="R9:R19" si="4">IF(OR(B9="",C9=""),"",AVERAGE(B9:C9))</f>
        <v/>
      </c>
      <c r="S9" s="1" t="str">
        <f t="shared" ref="S9:S19" si="5">IF(R9="","",IF(AND(R9&lt;=19,R9&gt;=17),0.5,IF(R9&lt;16,0,IF(AND(R9&gt;19,R9&lt;20),0.75,IF(R9&gt;19,1,0)))))</f>
        <v/>
      </c>
      <c r="T9" s="1" t="str">
        <f t="shared" ref="T9:T19" si="6">IF(S9="","", S9*Q9)</f>
        <v/>
      </c>
    </row>
    <row r="10" spans="1:20" x14ac:dyDescent="0.25">
      <c r="A10" s="489" t="s">
        <v>653</v>
      </c>
      <c r="B10" s="495"/>
      <c r="C10" s="495"/>
      <c r="D10" s="495"/>
      <c r="E10" s="484" t="s">
        <v>575</v>
      </c>
      <c r="F10" s="488" t="str">
        <f t="shared" si="0"/>
        <v/>
      </c>
      <c r="G10" s="487" t="str">
        <f t="shared" si="1"/>
        <v/>
      </c>
      <c r="H10" s="486" t="str">
        <f t="shared" si="2"/>
        <v/>
      </c>
      <c r="Q10" s="480" t="str">
        <f t="shared" si="3"/>
        <v/>
      </c>
      <c r="R10" s="1" t="str">
        <f t="shared" si="4"/>
        <v/>
      </c>
      <c r="S10" s="1" t="str">
        <f t="shared" si="5"/>
        <v/>
      </c>
      <c r="T10" s="1" t="str">
        <f t="shared" si="6"/>
        <v/>
      </c>
    </row>
    <row r="11" spans="1:20" x14ac:dyDescent="0.25">
      <c r="A11" s="489" t="s">
        <v>652</v>
      </c>
      <c r="B11" s="495"/>
      <c r="C11" s="495"/>
      <c r="D11" s="495"/>
      <c r="E11" s="484" t="s">
        <v>575</v>
      </c>
      <c r="F11" s="488" t="str">
        <f t="shared" si="0"/>
        <v/>
      </c>
      <c r="G11" s="487" t="str">
        <f t="shared" si="1"/>
        <v/>
      </c>
      <c r="H11" s="486" t="str">
        <f t="shared" si="2"/>
        <v/>
      </c>
      <c r="Q11" s="480" t="str">
        <f t="shared" si="3"/>
        <v/>
      </c>
      <c r="R11" s="1" t="str">
        <f t="shared" si="4"/>
        <v/>
      </c>
      <c r="S11" s="1" t="str">
        <f t="shared" si="5"/>
        <v/>
      </c>
      <c r="T11" s="1" t="str">
        <f t="shared" si="6"/>
        <v/>
      </c>
    </row>
    <row r="12" spans="1:20" x14ac:dyDescent="0.25">
      <c r="A12" s="489" t="s">
        <v>651</v>
      </c>
      <c r="B12" s="495"/>
      <c r="C12" s="495"/>
      <c r="D12" s="495"/>
      <c r="E12" s="484" t="s">
        <v>575</v>
      </c>
      <c r="F12" s="488" t="str">
        <f t="shared" si="0"/>
        <v/>
      </c>
      <c r="G12" s="487" t="str">
        <f>IF(OR(B12="",C12=""),"",IF(S12=1,"Verão",IF(S12=0,"Inverno",IF(S12=0.5,"Transição",IF(S12=0.75,"Transição",0)))))</f>
        <v/>
      </c>
      <c r="H12" s="486" t="str">
        <f t="shared" si="2"/>
        <v/>
      </c>
      <c r="Q12" s="480" t="str">
        <f t="shared" si="3"/>
        <v/>
      </c>
      <c r="R12" s="1" t="str">
        <f>IF(OR(B12="",C12=""),"",AVERAGE(B12:C12))</f>
        <v/>
      </c>
      <c r="S12" s="1" t="str">
        <f t="shared" si="5"/>
        <v/>
      </c>
      <c r="T12" s="1" t="str">
        <f t="shared" si="6"/>
        <v/>
      </c>
    </row>
    <row r="13" spans="1:20" x14ac:dyDescent="0.25">
      <c r="A13" s="489" t="s">
        <v>650</v>
      </c>
      <c r="B13" s="495"/>
      <c r="C13" s="495"/>
      <c r="D13" s="495"/>
      <c r="E13" s="484" t="s">
        <v>575</v>
      </c>
      <c r="F13" s="488" t="str">
        <f t="shared" si="0"/>
        <v/>
      </c>
      <c r="G13" s="487" t="str">
        <f>IF(OR(B13="",C13=""),"",IF(S13=1,"Verão",IF(S13=0,"Inverno",IF(S13=0.5,"Transição",IF(S13=0.75,"Transição",0)))))</f>
        <v/>
      </c>
      <c r="H13" s="486" t="str">
        <f t="shared" si="2"/>
        <v/>
      </c>
      <c r="Q13" s="480" t="str">
        <f t="shared" si="3"/>
        <v/>
      </c>
      <c r="R13" s="1" t="str">
        <f>IF(OR(B13="",C13=""),"",AVERAGE(B13:C13))</f>
        <v/>
      </c>
      <c r="S13" s="1" t="str">
        <f t="shared" si="5"/>
        <v/>
      </c>
      <c r="T13" s="1" t="str">
        <f t="shared" si="6"/>
        <v/>
      </c>
    </row>
    <row r="14" spans="1:20" x14ac:dyDescent="0.25">
      <c r="A14" s="489" t="s">
        <v>649</v>
      </c>
      <c r="B14" s="495"/>
      <c r="C14" s="495"/>
      <c r="D14" s="495"/>
      <c r="E14" s="484" t="s">
        <v>575</v>
      </c>
      <c r="F14" s="488" t="str">
        <f t="shared" si="0"/>
        <v/>
      </c>
      <c r="G14" s="487" t="str">
        <f t="shared" si="1"/>
        <v/>
      </c>
      <c r="H14" s="486" t="str">
        <f t="shared" si="2"/>
        <v/>
      </c>
      <c r="Q14" s="480" t="str">
        <f t="shared" si="3"/>
        <v/>
      </c>
      <c r="R14" s="1" t="str">
        <f t="shared" si="4"/>
        <v/>
      </c>
      <c r="S14" s="1" t="str">
        <f t="shared" si="5"/>
        <v/>
      </c>
      <c r="T14" s="1" t="str">
        <f t="shared" si="6"/>
        <v/>
      </c>
    </row>
    <row r="15" spans="1:20" x14ac:dyDescent="0.25">
      <c r="A15" s="489" t="s">
        <v>648</v>
      </c>
      <c r="B15" s="495"/>
      <c r="C15" s="495"/>
      <c r="D15" s="495"/>
      <c r="E15" s="484" t="s">
        <v>575</v>
      </c>
      <c r="F15" s="488" t="str">
        <f t="shared" si="0"/>
        <v/>
      </c>
      <c r="G15" s="487" t="str">
        <f t="shared" si="1"/>
        <v/>
      </c>
      <c r="H15" s="486" t="str">
        <f t="shared" si="2"/>
        <v/>
      </c>
      <c r="Q15" s="480" t="str">
        <f t="shared" si="3"/>
        <v/>
      </c>
      <c r="R15" s="1" t="str">
        <f t="shared" si="4"/>
        <v/>
      </c>
      <c r="S15" s="1" t="str">
        <f t="shared" si="5"/>
        <v/>
      </c>
      <c r="T15" s="1" t="str">
        <f t="shared" si="6"/>
        <v/>
      </c>
    </row>
    <row r="16" spans="1:20" x14ac:dyDescent="0.25">
      <c r="A16" s="489" t="s">
        <v>647</v>
      </c>
      <c r="B16" s="495"/>
      <c r="C16" s="495"/>
      <c r="D16" s="495"/>
      <c r="E16" s="484" t="s">
        <v>575</v>
      </c>
      <c r="F16" s="488" t="str">
        <f t="shared" si="0"/>
        <v/>
      </c>
      <c r="G16" s="487" t="str">
        <f t="shared" si="1"/>
        <v/>
      </c>
      <c r="H16" s="486" t="str">
        <f t="shared" si="2"/>
        <v/>
      </c>
      <c r="Q16" s="480" t="str">
        <f t="shared" si="3"/>
        <v/>
      </c>
      <c r="R16" s="1" t="str">
        <f t="shared" si="4"/>
        <v/>
      </c>
      <c r="S16" s="1" t="str">
        <f t="shared" si="5"/>
        <v/>
      </c>
      <c r="T16" s="1" t="str">
        <f t="shared" si="6"/>
        <v/>
      </c>
    </row>
    <row r="17" spans="1:20" x14ac:dyDescent="0.25">
      <c r="A17" s="489" t="s">
        <v>646</v>
      </c>
      <c r="B17" s="495"/>
      <c r="C17" s="495"/>
      <c r="D17" s="495"/>
      <c r="E17" s="484" t="s">
        <v>575</v>
      </c>
      <c r="F17" s="488" t="str">
        <f t="shared" si="0"/>
        <v/>
      </c>
      <c r="G17" s="487" t="str">
        <f t="shared" si="1"/>
        <v/>
      </c>
      <c r="H17" s="486" t="str">
        <f t="shared" si="2"/>
        <v/>
      </c>
      <c r="Q17" s="480" t="str">
        <f t="shared" si="3"/>
        <v/>
      </c>
      <c r="R17" s="1" t="str">
        <f t="shared" si="4"/>
        <v/>
      </c>
      <c r="S17" s="1" t="str">
        <f t="shared" si="5"/>
        <v/>
      </c>
      <c r="T17" s="1" t="str">
        <f t="shared" si="6"/>
        <v/>
      </c>
    </row>
    <row r="18" spans="1:20" x14ac:dyDescent="0.25">
      <c r="A18" s="489" t="s">
        <v>645</v>
      </c>
      <c r="B18" s="495"/>
      <c r="C18" s="495"/>
      <c r="D18" s="495"/>
      <c r="E18" s="484" t="s">
        <v>575</v>
      </c>
      <c r="F18" s="488" t="str">
        <f t="shared" si="0"/>
        <v/>
      </c>
      <c r="G18" s="487" t="str">
        <f t="shared" si="1"/>
        <v/>
      </c>
      <c r="H18" s="486" t="str">
        <f t="shared" si="2"/>
        <v/>
      </c>
      <c r="Q18" s="480" t="str">
        <f t="shared" si="3"/>
        <v/>
      </c>
      <c r="R18" s="1" t="str">
        <f t="shared" si="4"/>
        <v/>
      </c>
      <c r="S18" s="1" t="str">
        <f t="shared" si="5"/>
        <v/>
      </c>
      <c r="T18" s="1" t="str">
        <f t="shared" si="6"/>
        <v/>
      </c>
    </row>
    <row r="19" spans="1:20" ht="15.75" thickBot="1" x14ac:dyDescent="0.3">
      <c r="A19" s="485" t="s">
        <v>644</v>
      </c>
      <c r="B19" s="496"/>
      <c r="C19" s="496"/>
      <c r="D19" s="496"/>
      <c r="E19" s="484" t="s">
        <v>575</v>
      </c>
      <c r="F19" s="483" t="str">
        <f t="shared" si="0"/>
        <v/>
      </c>
      <c r="G19" s="482" t="str">
        <f t="shared" si="1"/>
        <v/>
      </c>
      <c r="H19" s="481" t="str">
        <f t="shared" si="2"/>
        <v/>
      </c>
      <c r="Q19" s="480" t="str">
        <f t="shared" si="3"/>
        <v/>
      </c>
      <c r="R19" s="1" t="str">
        <f t="shared" si="4"/>
        <v/>
      </c>
      <c r="S19" s="1" t="str">
        <f t="shared" si="5"/>
        <v/>
      </c>
      <c r="T19" s="1" t="str">
        <f t="shared" si="6"/>
        <v/>
      </c>
    </row>
    <row r="20" spans="1:20" ht="16.5" thickTop="1" thickBot="1" x14ac:dyDescent="0.3">
      <c r="A20" s="478" t="s">
        <v>265</v>
      </c>
      <c r="B20" s="479" t="str">
        <f>IFERROR(AVERAGE(B8:B19),"")</f>
        <v/>
      </c>
      <c r="C20" s="479" t="str">
        <f>IFERROR(AVERAGE(C8:C19),"")</f>
        <v/>
      </c>
      <c r="D20" s="478">
        <f>SUM(D8:D19)</f>
        <v>0</v>
      </c>
      <c r="E20" s="474"/>
      <c r="F20" s="474"/>
      <c r="G20" s="474"/>
    </row>
    <row r="21" spans="1:20" ht="15.75" thickTop="1" x14ac:dyDescent="0.25">
      <c r="A21" s="475"/>
      <c r="B21" s="476"/>
      <c r="C21" s="476"/>
      <c r="D21" s="475"/>
      <c r="E21" s="474"/>
      <c r="F21" s="474"/>
      <c r="G21" s="474"/>
    </row>
    <row r="22" spans="1:20" x14ac:dyDescent="0.25">
      <c r="A22" s="477" t="s">
        <v>643</v>
      </c>
      <c r="B22" s="476"/>
      <c r="C22" s="476"/>
      <c r="D22" s="475"/>
      <c r="E22" s="474"/>
      <c r="F22" s="474"/>
      <c r="G22" s="474"/>
    </row>
    <row r="23" spans="1:20" x14ac:dyDescent="0.25">
      <c r="A23" s="477" t="s">
        <v>642</v>
      </c>
      <c r="B23" s="476"/>
      <c r="C23" s="476"/>
      <c r="D23" s="475"/>
      <c r="E23" s="474"/>
      <c r="F23" s="474"/>
      <c r="G23" s="474"/>
    </row>
    <row r="24" spans="1:20" x14ac:dyDescent="0.25">
      <c r="A24" s="477" t="s">
        <v>641</v>
      </c>
      <c r="B24" s="476"/>
      <c r="C24" s="476"/>
      <c r="D24" s="475"/>
      <c r="E24" s="474"/>
      <c r="F24" s="474"/>
      <c r="G24" s="474"/>
    </row>
    <row r="25" spans="1:20" x14ac:dyDescent="0.25">
      <c r="A25" s="475"/>
      <c r="B25" s="475"/>
      <c r="C25" s="474"/>
      <c r="D25" s="474"/>
      <c r="E25" s="474"/>
      <c r="F25" s="474"/>
      <c r="G25" s="474"/>
    </row>
    <row r="26" spans="1:20" x14ac:dyDescent="0.25"/>
    <row r="27" spans="1:20" x14ac:dyDescent="0.25"/>
    <row r="28" spans="1:20" x14ac:dyDescent="0.25">
      <c r="A28" s="429"/>
      <c r="B28" s="429"/>
      <c r="C28" s="429"/>
      <c r="D28" s="429"/>
      <c r="E28" s="429"/>
      <c r="F28" s="429"/>
      <c r="G28" s="429"/>
      <c r="H28" s="429"/>
      <c r="I28" s="429"/>
      <c r="J28" s="429"/>
      <c r="K28" s="429"/>
      <c r="L28" s="429"/>
    </row>
    <row r="29" spans="1:20" x14ac:dyDescent="0.25"/>
    <row r="30" spans="1:20" x14ac:dyDescent="0.25"/>
    <row r="31" spans="1:20" x14ac:dyDescent="0.25"/>
    <row r="32" spans="1:20" x14ac:dyDescent="0.25"/>
    <row r="33" spans="1:9" x14ac:dyDescent="0.25"/>
    <row r="34" spans="1:9" x14ac:dyDescent="0.25"/>
    <row r="35" spans="1:9" x14ac:dyDescent="0.25"/>
    <row r="36" spans="1:9" x14ac:dyDescent="0.25"/>
    <row r="37" spans="1:9" x14ac:dyDescent="0.25"/>
    <row r="38" spans="1:9" x14ac:dyDescent="0.25"/>
    <row r="39" spans="1:9" x14ac:dyDescent="0.25">
      <c r="A39" s="656" t="s">
        <v>640</v>
      </c>
      <c r="B39" s="656"/>
      <c r="C39" s="656"/>
      <c r="D39" s="656"/>
      <c r="E39" s="657" t="str">
        <f>"de "&amp;COUNTIFS(H8:H19,"Ok")*30&amp;" a "&amp;SUM(T8:T19)&amp;" dias disponíveis."</f>
        <v>de 0 a 0 dias disponíveis.</v>
      </c>
      <c r="F39" s="657"/>
      <c r="G39" s="657"/>
      <c r="H39" s="657"/>
      <c r="I39" s="473"/>
    </row>
    <row r="40" spans="1:9" ht="15" customHeight="1" x14ac:dyDescent="0.25">
      <c r="A40" s="656" t="s">
        <v>664</v>
      </c>
      <c r="B40" s="656"/>
      <c r="C40" s="656"/>
      <c r="D40" s="656"/>
      <c r="E40" s="657" t="str">
        <f>"de "&amp;COUNTIFS(H8:H19,"Ok")&amp;" a "&amp;ROUND(SUM(T8:T19)/30,0)&amp;" U.A/ha na época das chuvas."</f>
        <v>de 0 a 0 U.A/ha na época das chuvas.</v>
      </c>
      <c r="F40" s="657"/>
      <c r="G40" s="657"/>
      <c r="H40" s="657"/>
      <c r="I40" s="473"/>
    </row>
    <row r="41" spans="1:9" x14ac:dyDescent="0.25"/>
  </sheetData>
  <sheetProtection algorithmName="SHA-512" hashValue="NQnVgXyRzFaVvX9CECOBlO4/ttuMYjchWLIVgs7lfqvGQ6QDa4fCdDmG5WpUmGWaKvwLXIXLiyEHay8l+Q6jCw==" saltValue="d99tFIRzcfzZ3+cvZCbg+Q==" spinCount="100000" sheet="1" objects="1" scenarios="1" selectLockedCells="1"/>
  <mergeCells count="6">
    <mergeCell ref="A1:H1"/>
    <mergeCell ref="F7:H7"/>
    <mergeCell ref="A39:D39"/>
    <mergeCell ref="E39:H39"/>
    <mergeCell ref="A40:D40"/>
    <mergeCell ref="E40:H40"/>
  </mergeCells>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8087-11BF-4214-8C66-1EBB2E9DE9FA}">
  <sheetPr codeName="Planilha8"/>
  <dimension ref="A1:V61"/>
  <sheetViews>
    <sheetView showGridLines="0" zoomScale="175" zoomScaleNormal="175" workbookViewId="0">
      <selection activeCell="A11" sqref="A11"/>
    </sheetView>
  </sheetViews>
  <sheetFormatPr defaultRowHeight="15" x14ac:dyDescent="0.25"/>
  <cols>
    <col min="1" max="2" width="9.140625" style="387"/>
    <col min="3" max="3" width="10.5703125" style="387" bestFit="1" customWidth="1"/>
    <col min="4" max="10" width="9.140625" style="387"/>
    <col min="11" max="22" width="9.7109375" style="387" customWidth="1"/>
  </cols>
  <sheetData>
    <row r="1" spans="1:22" x14ac:dyDescent="0.25">
      <c r="A1" s="658" t="s">
        <v>525</v>
      </c>
      <c r="B1" s="658"/>
      <c r="C1" s="658"/>
      <c r="D1" s="658"/>
      <c r="F1" s="659" t="s">
        <v>526</v>
      </c>
      <c r="G1" s="660"/>
      <c r="H1" s="660"/>
      <c r="J1" s="661" t="s">
        <v>527</v>
      </c>
      <c r="K1" s="661"/>
      <c r="L1" s="661"/>
      <c r="M1" s="661"/>
      <c r="N1" s="661"/>
      <c r="O1" s="661"/>
      <c r="P1" s="661"/>
      <c r="Q1" s="661"/>
      <c r="R1" s="661"/>
      <c r="S1" s="661"/>
      <c r="T1" s="661"/>
      <c r="U1" s="661"/>
      <c r="V1" s="661"/>
    </row>
    <row r="2" spans="1:22" ht="15.75" customHeight="1" x14ac:dyDescent="0.25">
      <c r="A2" s="388" t="s">
        <v>528</v>
      </c>
      <c r="B2" s="389" t="s">
        <v>529</v>
      </c>
      <c r="C2" s="389" t="s">
        <v>530</v>
      </c>
      <c r="D2" s="390" t="s">
        <v>531</v>
      </c>
      <c r="F2" s="391" t="s">
        <v>532</v>
      </c>
      <c r="G2" s="391" t="s">
        <v>533</v>
      </c>
      <c r="H2" s="391" t="s">
        <v>534</v>
      </c>
      <c r="J2" s="392" t="s">
        <v>535</v>
      </c>
      <c r="K2" s="393" t="s">
        <v>536</v>
      </c>
      <c r="L2" s="393" t="s">
        <v>537</v>
      </c>
      <c r="M2" s="393" t="s">
        <v>538</v>
      </c>
      <c r="N2" s="393" t="s">
        <v>539</v>
      </c>
      <c r="O2" s="393" t="s">
        <v>540</v>
      </c>
      <c r="P2" s="393" t="s">
        <v>541</v>
      </c>
      <c r="Q2" s="393" t="s">
        <v>542</v>
      </c>
      <c r="R2" s="393" t="s">
        <v>543</v>
      </c>
      <c r="S2" s="393" t="s">
        <v>544</v>
      </c>
      <c r="T2" s="393" t="s">
        <v>545</v>
      </c>
      <c r="U2" s="393" t="s">
        <v>546</v>
      </c>
      <c r="V2" s="393" t="s">
        <v>547</v>
      </c>
    </row>
    <row r="3" spans="1:22" x14ac:dyDescent="0.25">
      <c r="A3" s="497">
        <v>1</v>
      </c>
      <c r="B3" s="498">
        <v>10</v>
      </c>
      <c r="C3" s="498">
        <v>1</v>
      </c>
      <c r="D3" s="394">
        <f>IF(C3="","",IF(C3=1,B3,IF(C3=2,B3*0.8,IF(C3=3,B3*0.5,B3*0.2))))</f>
        <v>10</v>
      </c>
      <c r="F3" s="395">
        <v>1</v>
      </c>
      <c r="G3" s="396">
        <f>SUMIFS($B$3:$B$60,$C$3:$C$60,F3)</f>
        <v>60</v>
      </c>
      <c r="H3" s="397">
        <f>IFERROR(G3/SUM($G$3:$G$6),"")</f>
        <v>0.5</v>
      </c>
      <c r="J3" s="392" t="s">
        <v>30</v>
      </c>
      <c r="K3" s="398" t="s">
        <v>548</v>
      </c>
      <c r="L3" s="398" t="s">
        <v>549</v>
      </c>
      <c r="M3" s="398" t="s">
        <v>550</v>
      </c>
      <c r="N3" s="398" t="s">
        <v>551</v>
      </c>
      <c r="O3" s="398" t="s">
        <v>552</v>
      </c>
      <c r="P3" s="398" t="s">
        <v>553</v>
      </c>
      <c r="Q3" s="398" t="s">
        <v>554</v>
      </c>
      <c r="R3" s="398" t="s">
        <v>555</v>
      </c>
      <c r="S3" s="398" t="s">
        <v>556</v>
      </c>
      <c r="T3" s="398" t="s">
        <v>557</v>
      </c>
      <c r="U3" s="398" t="s">
        <v>558</v>
      </c>
      <c r="V3" s="398" t="s">
        <v>559</v>
      </c>
    </row>
    <row r="4" spans="1:22" x14ac:dyDescent="0.25">
      <c r="A4" s="499">
        <v>2</v>
      </c>
      <c r="B4" s="500">
        <v>20</v>
      </c>
      <c r="C4" s="500">
        <v>1</v>
      </c>
      <c r="D4" s="394">
        <f t="shared" ref="D4:D60" si="0">IF(C4="","",IF(C4=1,B4,IF(C4=2,B4*0.8,IF(C4=3,B4*0.5,B4*0.2))))</f>
        <v>20</v>
      </c>
      <c r="F4" s="395">
        <v>2</v>
      </c>
      <c r="G4" s="396">
        <f>SUMIFS($B$3:$B$60,$C$3:$C$60,F4)</f>
        <v>35</v>
      </c>
      <c r="H4" s="397">
        <f t="shared" ref="H4:H6" si="1">IFERROR(G4/SUM($G$3:$G$6),"")</f>
        <v>0.29166666666666669</v>
      </c>
      <c r="J4" s="392" t="s">
        <v>560</v>
      </c>
      <c r="K4" s="398" t="s">
        <v>24</v>
      </c>
      <c r="L4" s="398" t="s">
        <v>24</v>
      </c>
      <c r="M4" s="398" t="s">
        <v>24</v>
      </c>
      <c r="N4" s="398" t="s">
        <v>561</v>
      </c>
      <c r="O4" s="398" t="s">
        <v>561</v>
      </c>
      <c r="P4" s="398" t="s">
        <v>561</v>
      </c>
      <c r="Q4" s="398" t="s">
        <v>561</v>
      </c>
      <c r="R4" s="398" t="s">
        <v>561</v>
      </c>
      <c r="S4" s="398" t="s">
        <v>561</v>
      </c>
      <c r="T4" s="398" t="s">
        <v>24</v>
      </c>
      <c r="U4" s="398" t="s">
        <v>24</v>
      </c>
      <c r="V4" s="398" t="s">
        <v>24</v>
      </c>
    </row>
    <row r="5" spans="1:22" x14ac:dyDescent="0.25">
      <c r="A5" s="499">
        <v>3</v>
      </c>
      <c r="B5" s="500">
        <v>30</v>
      </c>
      <c r="C5" s="500">
        <v>1</v>
      </c>
      <c r="D5" s="394">
        <f t="shared" si="0"/>
        <v>30</v>
      </c>
      <c r="F5" s="395">
        <v>3</v>
      </c>
      <c r="G5" s="396">
        <f>SUMIFS($B$3:$B$60,$C$3:$C$60,F5)</f>
        <v>25</v>
      </c>
      <c r="H5" s="397">
        <f t="shared" si="1"/>
        <v>0.20833333333333334</v>
      </c>
    </row>
    <row r="6" spans="1:22" x14ac:dyDescent="0.25">
      <c r="A6" s="499">
        <v>4</v>
      </c>
      <c r="B6" s="500">
        <v>15</v>
      </c>
      <c r="C6" s="500">
        <v>2</v>
      </c>
      <c r="D6" s="394">
        <f t="shared" si="0"/>
        <v>12</v>
      </c>
      <c r="F6" s="395">
        <v>4</v>
      </c>
      <c r="G6" s="396">
        <f>SUMIFS($B$3:$B$60,$C$3:$C$60,F6)</f>
        <v>0</v>
      </c>
      <c r="H6" s="397">
        <f t="shared" si="1"/>
        <v>0</v>
      </c>
    </row>
    <row r="7" spans="1:22" ht="15" customHeight="1" x14ac:dyDescent="0.25">
      <c r="A7" s="499">
        <v>5</v>
      </c>
      <c r="B7" s="500">
        <v>20</v>
      </c>
      <c r="C7" s="500">
        <v>2</v>
      </c>
      <c r="D7" s="394">
        <f t="shared" si="0"/>
        <v>16</v>
      </c>
    </row>
    <row r="8" spans="1:22" x14ac:dyDescent="0.25">
      <c r="A8" s="499">
        <v>6</v>
      </c>
      <c r="B8" s="500">
        <v>25</v>
      </c>
      <c r="C8" s="500">
        <v>3</v>
      </c>
      <c r="D8" s="394">
        <f t="shared" si="0"/>
        <v>12.5</v>
      </c>
    </row>
    <row r="9" spans="1:22" x14ac:dyDescent="0.25">
      <c r="A9" s="499"/>
      <c r="B9" s="500"/>
      <c r="C9" s="500"/>
      <c r="D9" s="394" t="str">
        <f t="shared" si="0"/>
        <v/>
      </c>
    </row>
    <row r="10" spans="1:22" x14ac:dyDescent="0.25">
      <c r="A10" s="499"/>
      <c r="B10" s="500"/>
      <c r="C10" s="500"/>
      <c r="D10" s="394" t="str">
        <f t="shared" si="0"/>
        <v/>
      </c>
    </row>
    <row r="11" spans="1:22" x14ac:dyDescent="0.25">
      <c r="A11" s="499"/>
      <c r="B11" s="500"/>
      <c r="C11" s="500"/>
      <c r="D11" s="394" t="str">
        <f t="shared" si="0"/>
        <v/>
      </c>
    </row>
    <row r="12" spans="1:22" ht="15" customHeight="1" x14ac:dyDescent="0.25">
      <c r="A12" s="499"/>
      <c r="B12" s="500"/>
      <c r="C12" s="500"/>
      <c r="D12" s="394" t="str">
        <f t="shared" si="0"/>
        <v/>
      </c>
    </row>
    <row r="13" spans="1:22" x14ac:dyDescent="0.25">
      <c r="A13" s="499"/>
      <c r="B13" s="500"/>
      <c r="C13" s="500"/>
      <c r="D13" s="394" t="str">
        <f t="shared" si="0"/>
        <v/>
      </c>
    </row>
    <row r="14" spans="1:22" x14ac:dyDescent="0.25">
      <c r="A14" s="499"/>
      <c r="B14" s="500"/>
      <c r="C14" s="500"/>
      <c r="D14" s="394" t="str">
        <f t="shared" si="0"/>
        <v/>
      </c>
    </row>
    <row r="15" spans="1:22" x14ac:dyDescent="0.25">
      <c r="A15" s="499"/>
      <c r="B15" s="500"/>
      <c r="C15" s="500"/>
      <c r="D15" s="394" t="str">
        <f t="shared" si="0"/>
        <v/>
      </c>
    </row>
    <row r="16" spans="1:22" x14ac:dyDescent="0.25">
      <c r="A16" s="499"/>
      <c r="B16" s="500"/>
      <c r="C16" s="500"/>
      <c r="D16" s="394" t="str">
        <f t="shared" si="0"/>
        <v/>
      </c>
    </row>
    <row r="17" spans="1:4" x14ac:dyDescent="0.25">
      <c r="A17" s="499"/>
      <c r="B17" s="500"/>
      <c r="C17" s="500"/>
      <c r="D17" s="394" t="str">
        <f t="shared" si="0"/>
        <v/>
      </c>
    </row>
    <row r="18" spans="1:4" x14ac:dyDescent="0.25">
      <c r="A18" s="499"/>
      <c r="B18" s="500"/>
      <c r="C18" s="500"/>
      <c r="D18" s="394" t="str">
        <f t="shared" si="0"/>
        <v/>
      </c>
    </row>
    <row r="19" spans="1:4" x14ac:dyDescent="0.25">
      <c r="A19" s="499"/>
      <c r="B19" s="500"/>
      <c r="C19" s="500"/>
      <c r="D19" s="394" t="str">
        <f t="shared" si="0"/>
        <v/>
      </c>
    </row>
    <row r="20" spans="1:4" x14ac:dyDescent="0.25">
      <c r="A20" s="499"/>
      <c r="B20" s="500"/>
      <c r="C20" s="500"/>
      <c r="D20" s="394" t="str">
        <f t="shared" si="0"/>
        <v/>
      </c>
    </row>
    <row r="21" spans="1:4" x14ac:dyDescent="0.25">
      <c r="A21" s="499"/>
      <c r="B21" s="500"/>
      <c r="C21" s="500"/>
      <c r="D21" s="394" t="str">
        <f t="shared" si="0"/>
        <v/>
      </c>
    </row>
    <row r="22" spans="1:4" x14ac:dyDescent="0.25">
      <c r="A22" s="499"/>
      <c r="B22" s="500"/>
      <c r="C22" s="500"/>
      <c r="D22" s="394" t="str">
        <f t="shared" si="0"/>
        <v/>
      </c>
    </row>
    <row r="23" spans="1:4" x14ac:dyDescent="0.25">
      <c r="A23" s="499"/>
      <c r="B23" s="500"/>
      <c r="C23" s="500"/>
      <c r="D23" s="394" t="str">
        <f t="shared" si="0"/>
        <v/>
      </c>
    </row>
    <row r="24" spans="1:4" x14ac:dyDescent="0.25">
      <c r="A24" s="499"/>
      <c r="B24" s="500"/>
      <c r="C24" s="500"/>
      <c r="D24" s="394" t="str">
        <f t="shared" si="0"/>
        <v/>
      </c>
    </row>
    <row r="25" spans="1:4" x14ac:dyDescent="0.25">
      <c r="A25" s="499"/>
      <c r="B25" s="500"/>
      <c r="C25" s="500"/>
      <c r="D25" s="394" t="str">
        <f t="shared" si="0"/>
        <v/>
      </c>
    </row>
    <row r="26" spans="1:4" x14ac:dyDescent="0.25">
      <c r="A26" s="499"/>
      <c r="B26" s="500"/>
      <c r="C26" s="500"/>
      <c r="D26" s="394" t="str">
        <f t="shared" si="0"/>
        <v/>
      </c>
    </row>
    <row r="27" spans="1:4" x14ac:dyDescent="0.25">
      <c r="A27" s="499"/>
      <c r="B27" s="500"/>
      <c r="C27" s="500"/>
      <c r="D27" s="394" t="str">
        <f t="shared" si="0"/>
        <v/>
      </c>
    </row>
    <row r="28" spans="1:4" x14ac:dyDescent="0.25">
      <c r="A28" s="499"/>
      <c r="B28" s="500"/>
      <c r="C28" s="500"/>
      <c r="D28" s="394" t="str">
        <f t="shared" si="0"/>
        <v/>
      </c>
    </row>
    <row r="29" spans="1:4" x14ac:dyDescent="0.25">
      <c r="A29" s="499"/>
      <c r="B29" s="500"/>
      <c r="C29" s="500"/>
      <c r="D29" s="394" t="str">
        <f t="shared" si="0"/>
        <v/>
      </c>
    </row>
    <row r="30" spans="1:4" x14ac:dyDescent="0.25">
      <c r="A30" s="499"/>
      <c r="B30" s="500"/>
      <c r="C30" s="500"/>
      <c r="D30" s="394" t="str">
        <f t="shared" si="0"/>
        <v/>
      </c>
    </row>
    <row r="31" spans="1:4" x14ac:dyDescent="0.25">
      <c r="A31" s="499"/>
      <c r="B31" s="500"/>
      <c r="C31" s="500"/>
      <c r="D31" s="394" t="str">
        <f t="shared" si="0"/>
        <v/>
      </c>
    </row>
    <row r="32" spans="1:4" x14ac:dyDescent="0.25">
      <c r="A32" s="499"/>
      <c r="B32" s="500"/>
      <c r="C32" s="500"/>
      <c r="D32" s="394" t="str">
        <f t="shared" si="0"/>
        <v/>
      </c>
    </row>
    <row r="33" spans="1:4" x14ac:dyDescent="0.25">
      <c r="A33" s="499"/>
      <c r="B33" s="500"/>
      <c r="C33" s="500"/>
      <c r="D33" s="394" t="str">
        <f t="shared" si="0"/>
        <v/>
      </c>
    </row>
    <row r="34" spans="1:4" x14ac:dyDescent="0.25">
      <c r="A34" s="499"/>
      <c r="B34" s="500"/>
      <c r="C34" s="500"/>
      <c r="D34" s="394" t="str">
        <f t="shared" si="0"/>
        <v/>
      </c>
    </row>
    <row r="35" spans="1:4" x14ac:dyDescent="0.25">
      <c r="A35" s="499"/>
      <c r="B35" s="500"/>
      <c r="C35" s="500"/>
      <c r="D35" s="394" t="str">
        <f t="shared" si="0"/>
        <v/>
      </c>
    </row>
    <row r="36" spans="1:4" x14ac:dyDescent="0.25">
      <c r="A36" s="499"/>
      <c r="B36" s="500"/>
      <c r="C36" s="500"/>
      <c r="D36" s="394" t="str">
        <f t="shared" si="0"/>
        <v/>
      </c>
    </row>
    <row r="37" spans="1:4" x14ac:dyDescent="0.25">
      <c r="A37" s="499"/>
      <c r="B37" s="500"/>
      <c r="C37" s="500"/>
      <c r="D37" s="394" t="str">
        <f t="shared" si="0"/>
        <v/>
      </c>
    </row>
    <row r="38" spans="1:4" x14ac:dyDescent="0.25">
      <c r="A38" s="499"/>
      <c r="B38" s="500"/>
      <c r="C38" s="500"/>
      <c r="D38" s="394" t="str">
        <f t="shared" si="0"/>
        <v/>
      </c>
    </row>
    <row r="39" spans="1:4" x14ac:dyDescent="0.25">
      <c r="A39" s="499"/>
      <c r="B39" s="500"/>
      <c r="C39" s="500"/>
      <c r="D39" s="394" t="str">
        <f t="shared" si="0"/>
        <v/>
      </c>
    </row>
    <row r="40" spans="1:4" x14ac:dyDescent="0.25">
      <c r="A40" s="499"/>
      <c r="B40" s="500"/>
      <c r="C40" s="500"/>
      <c r="D40" s="394" t="str">
        <f t="shared" si="0"/>
        <v/>
      </c>
    </row>
    <row r="41" spans="1:4" x14ac:dyDescent="0.25">
      <c r="A41" s="499"/>
      <c r="B41" s="500"/>
      <c r="C41" s="500"/>
      <c r="D41" s="394" t="str">
        <f t="shared" si="0"/>
        <v/>
      </c>
    </row>
    <row r="42" spans="1:4" x14ac:dyDescent="0.25">
      <c r="A42" s="499"/>
      <c r="B42" s="500"/>
      <c r="C42" s="500"/>
      <c r="D42" s="394" t="str">
        <f t="shared" si="0"/>
        <v/>
      </c>
    </row>
    <row r="43" spans="1:4" x14ac:dyDescent="0.25">
      <c r="A43" s="499"/>
      <c r="B43" s="500"/>
      <c r="C43" s="500"/>
      <c r="D43" s="394" t="str">
        <f t="shared" si="0"/>
        <v/>
      </c>
    </row>
    <row r="44" spans="1:4" x14ac:dyDescent="0.25">
      <c r="A44" s="499"/>
      <c r="B44" s="500"/>
      <c r="C44" s="500"/>
      <c r="D44" s="394" t="str">
        <f t="shared" si="0"/>
        <v/>
      </c>
    </row>
    <row r="45" spans="1:4" x14ac:dyDescent="0.25">
      <c r="A45" s="499"/>
      <c r="B45" s="500"/>
      <c r="C45" s="500"/>
      <c r="D45" s="394" t="str">
        <f t="shared" si="0"/>
        <v/>
      </c>
    </row>
    <row r="46" spans="1:4" x14ac:dyDescent="0.25">
      <c r="A46" s="499"/>
      <c r="B46" s="500"/>
      <c r="C46" s="500"/>
      <c r="D46" s="394" t="str">
        <f t="shared" si="0"/>
        <v/>
      </c>
    </row>
    <row r="47" spans="1:4" x14ac:dyDescent="0.25">
      <c r="A47" s="499"/>
      <c r="B47" s="500"/>
      <c r="C47" s="500"/>
      <c r="D47" s="394" t="str">
        <f t="shared" si="0"/>
        <v/>
      </c>
    </row>
    <row r="48" spans="1:4" x14ac:dyDescent="0.25">
      <c r="A48" s="499"/>
      <c r="B48" s="500"/>
      <c r="C48" s="500"/>
      <c r="D48" s="394" t="str">
        <f t="shared" si="0"/>
        <v/>
      </c>
    </row>
    <row r="49" spans="1:4" x14ac:dyDescent="0.25">
      <c r="A49" s="499"/>
      <c r="B49" s="500"/>
      <c r="C49" s="500"/>
      <c r="D49" s="394" t="str">
        <f t="shared" si="0"/>
        <v/>
      </c>
    </row>
    <row r="50" spans="1:4" x14ac:dyDescent="0.25">
      <c r="A50" s="499"/>
      <c r="B50" s="500"/>
      <c r="C50" s="500"/>
      <c r="D50" s="394" t="str">
        <f t="shared" si="0"/>
        <v/>
      </c>
    </row>
    <row r="51" spans="1:4" x14ac:dyDescent="0.25">
      <c r="A51" s="499"/>
      <c r="B51" s="500"/>
      <c r="C51" s="500"/>
      <c r="D51" s="394" t="str">
        <f t="shared" si="0"/>
        <v/>
      </c>
    </row>
    <row r="52" spans="1:4" x14ac:dyDescent="0.25">
      <c r="A52" s="499"/>
      <c r="B52" s="500"/>
      <c r="C52" s="500"/>
      <c r="D52" s="394" t="str">
        <f t="shared" si="0"/>
        <v/>
      </c>
    </row>
    <row r="53" spans="1:4" x14ac:dyDescent="0.25">
      <c r="A53" s="499"/>
      <c r="B53" s="500"/>
      <c r="C53" s="500"/>
      <c r="D53" s="394" t="str">
        <f t="shared" si="0"/>
        <v/>
      </c>
    </row>
    <row r="54" spans="1:4" x14ac:dyDescent="0.25">
      <c r="A54" s="499"/>
      <c r="B54" s="500"/>
      <c r="C54" s="500"/>
      <c r="D54" s="394" t="str">
        <f t="shared" si="0"/>
        <v/>
      </c>
    </row>
    <row r="55" spans="1:4" x14ac:dyDescent="0.25">
      <c r="A55" s="499"/>
      <c r="B55" s="500"/>
      <c r="C55" s="500"/>
      <c r="D55" s="394" t="str">
        <f t="shared" si="0"/>
        <v/>
      </c>
    </row>
    <row r="56" spans="1:4" x14ac:dyDescent="0.25">
      <c r="A56" s="499"/>
      <c r="B56" s="500"/>
      <c r="C56" s="500"/>
      <c r="D56" s="394" t="str">
        <f t="shared" si="0"/>
        <v/>
      </c>
    </row>
    <row r="57" spans="1:4" x14ac:dyDescent="0.25">
      <c r="A57" s="499"/>
      <c r="B57" s="500"/>
      <c r="C57" s="500"/>
      <c r="D57" s="394" t="str">
        <f t="shared" si="0"/>
        <v/>
      </c>
    </row>
    <row r="58" spans="1:4" x14ac:dyDescent="0.25">
      <c r="A58" s="499"/>
      <c r="B58" s="500"/>
      <c r="C58" s="500"/>
      <c r="D58" s="394" t="str">
        <f t="shared" si="0"/>
        <v/>
      </c>
    </row>
    <row r="59" spans="1:4" x14ac:dyDescent="0.25">
      <c r="A59" s="499"/>
      <c r="B59" s="500"/>
      <c r="C59" s="500"/>
      <c r="D59" s="394" t="str">
        <f t="shared" si="0"/>
        <v/>
      </c>
    </row>
    <row r="60" spans="1:4" ht="15.75" thickBot="1" x14ac:dyDescent="0.3">
      <c r="A60" s="501"/>
      <c r="B60" s="502"/>
      <c r="C60" s="502"/>
      <c r="D60" s="399" t="str">
        <f t="shared" si="0"/>
        <v/>
      </c>
    </row>
    <row r="61" spans="1:4" x14ac:dyDescent="0.25">
      <c r="A61" s="400" t="s">
        <v>562</v>
      </c>
      <c r="B61" s="401">
        <f>SUM(B3:B60)</f>
        <v>120</v>
      </c>
      <c r="C61" s="400" t="s">
        <v>563</v>
      </c>
      <c r="D61" s="401">
        <f>SUM(D3:D60)</f>
        <v>100.5</v>
      </c>
    </row>
  </sheetData>
  <sheetProtection algorithmName="SHA-512" hashValue="M11jDJjCCx/IcPWTc7xWLpUG2PwKPDgNsL/1azkWxCzo1B9eaBpS/6dWPRX7uu8v3h+RLmmE44+B3UcecJFQVw==" saltValue="0gGDbyIT0Y5rKV9J90gz5w==" spinCount="100000" sheet="1" objects="1" scenarios="1" selectLockedCells="1"/>
  <mergeCells count="3">
    <mergeCell ref="A1:D1"/>
    <mergeCell ref="F1:H1"/>
    <mergeCell ref="J1:V1"/>
  </mergeCells>
  <conditionalFormatting sqref="C3:C60">
    <cfRule type="cellIs" dxfId="20" priority="5" operator="equal">
      <formula>4</formula>
    </cfRule>
    <cfRule type="cellIs" dxfId="19" priority="6" operator="equal">
      <formula>3</formula>
    </cfRule>
    <cfRule type="cellIs" dxfId="18" priority="7" operator="equal">
      <formula>2</formula>
    </cfRule>
    <cfRule type="cellIs" dxfId="17" priority="8" operator="equal">
      <formula>1</formula>
    </cfRule>
  </conditionalFormatting>
  <conditionalFormatting sqref="F3:F6">
    <cfRule type="cellIs" dxfId="16" priority="1" operator="equal">
      <formula>4</formula>
    </cfRule>
    <cfRule type="cellIs" dxfId="15" priority="2" operator="equal">
      <formula>3</formula>
    </cfRule>
    <cfRule type="cellIs" dxfId="14" priority="3" operator="equal">
      <formula>2</formula>
    </cfRule>
    <cfRule type="cellIs" dxfId="13" priority="4" operator="equal">
      <formula>1</formula>
    </cfRule>
  </conditionalFormatting>
  <dataValidations count="2">
    <dataValidation type="list" allowBlank="1" showInputMessage="1" showErrorMessage="1" sqref="K4:V4" xr:uid="{C5672E4E-E610-4F7F-8F6C-9783D11096F3}">
      <formula1>"Chuva,Seca"</formula1>
    </dataValidation>
    <dataValidation type="list" allowBlank="1" showInputMessage="1" showErrorMessage="1" sqref="C3:C60" xr:uid="{C512802D-8B82-494B-BD36-ADDA48538FC1}">
      <formula1>"1,2,3,4"</formula1>
    </dataValidation>
  </dataValidation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2599-B750-4E89-8432-AF2717088675}">
  <sheetPr codeName="Planilha9"/>
  <dimension ref="A1:BU27"/>
  <sheetViews>
    <sheetView showGridLines="0" workbookViewId="0">
      <pane xSplit="1" ySplit="4" topLeftCell="B5" activePane="bottomRight" state="frozen"/>
      <selection activeCell="H3" sqref="H3"/>
      <selection pane="topRight" activeCell="H3" sqref="H3"/>
      <selection pane="bottomLeft" activeCell="H3" sqref="H3"/>
      <selection pane="bottomRight" activeCell="A5" sqref="A5"/>
    </sheetView>
  </sheetViews>
  <sheetFormatPr defaultRowHeight="15" x14ac:dyDescent="0.25"/>
  <cols>
    <col min="1" max="1" width="24.85546875" style="1" customWidth="1"/>
    <col min="2" max="4" width="9.140625" style="1"/>
    <col min="5" max="6" width="9.140625" style="1" hidden="1" customWidth="1"/>
    <col min="7" max="7" width="9.5703125" style="1" hidden="1" customWidth="1"/>
    <col min="11" max="13" width="9.140625" hidden="1" customWidth="1"/>
    <col min="17" max="19" width="9.140625" hidden="1" customWidth="1"/>
    <col min="23" max="25" width="9.140625" hidden="1" customWidth="1"/>
    <col min="29" max="31" width="9.140625" hidden="1" customWidth="1"/>
    <col min="35" max="37" width="9.140625" hidden="1" customWidth="1"/>
    <col min="41" max="43" width="9.140625" hidden="1" customWidth="1"/>
    <col min="47" max="49" width="9.140625" hidden="1" customWidth="1"/>
    <col min="53" max="55" width="9.140625" hidden="1" customWidth="1"/>
    <col min="59" max="61" width="9.140625" hidden="1" customWidth="1"/>
    <col min="65" max="67" width="9.140625" hidden="1" customWidth="1"/>
    <col min="71" max="73" width="9.140625" hidden="1" customWidth="1"/>
  </cols>
  <sheetData>
    <row r="1" spans="1:73" ht="39" customHeight="1" x14ac:dyDescent="0.25">
      <c r="A1" s="402"/>
      <c r="B1" s="403" t="s">
        <v>564</v>
      </c>
      <c r="C1" s="402"/>
      <c r="D1" s="402"/>
      <c r="E1" s="402"/>
      <c r="F1" s="402"/>
      <c r="G1" s="402"/>
      <c r="H1" s="402"/>
      <c r="I1" s="402"/>
      <c r="J1" s="402"/>
      <c r="K1" s="402"/>
      <c r="L1" s="402"/>
      <c r="M1" s="402"/>
      <c r="N1" s="402"/>
      <c r="O1" s="402"/>
      <c r="P1" s="402"/>
      <c r="Q1" s="402"/>
      <c r="R1" s="402"/>
      <c r="S1" s="402"/>
      <c r="T1" s="402"/>
      <c r="U1" s="402"/>
      <c r="V1" s="402"/>
      <c r="W1" s="402"/>
      <c r="X1" s="402"/>
      <c r="Y1" s="402"/>
      <c r="Z1" s="402"/>
      <c r="AA1" s="402"/>
      <c r="AB1" s="402"/>
      <c r="AC1" s="402"/>
      <c r="AD1" s="402"/>
      <c r="AE1" s="402"/>
      <c r="AF1" s="402"/>
      <c r="AG1" s="402"/>
      <c r="AH1" s="402"/>
      <c r="AI1" s="402"/>
      <c r="AJ1" s="402"/>
      <c r="AK1" s="402"/>
      <c r="AL1" s="402"/>
      <c r="AM1" s="402"/>
      <c r="AN1" s="402"/>
      <c r="AO1" s="402"/>
      <c r="AP1" s="402"/>
      <c r="AQ1" s="402"/>
      <c r="AR1" s="402"/>
      <c r="AS1" s="402"/>
      <c r="AT1" s="402"/>
      <c r="AU1" s="402"/>
      <c r="AV1" s="402"/>
      <c r="AW1" s="402"/>
      <c r="AX1" s="402"/>
      <c r="AY1" s="402"/>
      <c r="AZ1" s="402"/>
      <c r="BA1" s="402"/>
      <c r="BB1" s="402"/>
      <c r="BC1" s="402"/>
      <c r="BD1" s="402"/>
      <c r="BE1" s="402"/>
      <c r="BF1" s="402"/>
      <c r="BG1" s="402"/>
      <c r="BH1" s="402"/>
      <c r="BI1" s="402"/>
      <c r="BJ1" s="402"/>
      <c r="BK1" s="402"/>
      <c r="BL1" s="402"/>
      <c r="BM1" s="402"/>
      <c r="BN1" s="402"/>
      <c r="BO1" s="402"/>
      <c r="BP1" s="402"/>
      <c r="BQ1" s="402"/>
      <c r="BR1" s="402"/>
      <c r="BS1" s="402"/>
      <c r="BT1" s="402"/>
      <c r="BU1" s="402"/>
    </row>
    <row r="2" spans="1:73" ht="13.5" customHeight="1" thickBot="1" x14ac:dyDescent="0.3"/>
    <row r="3" spans="1:73" ht="15.75" thickBot="1" x14ac:dyDescent="0.3">
      <c r="A3" s="404" t="s">
        <v>155</v>
      </c>
      <c r="B3" s="662" t="str">
        <f>'Cadastro pastos'!K3</f>
        <v>Julho</v>
      </c>
      <c r="C3" s="663"/>
      <c r="D3" s="663"/>
      <c r="E3" s="663"/>
      <c r="F3" s="663"/>
      <c r="G3" s="664"/>
      <c r="H3" s="662" t="str">
        <f>'Cadastro pastos'!L3</f>
        <v>Agosto</v>
      </c>
      <c r="I3" s="663"/>
      <c r="J3" s="663"/>
      <c r="K3" s="663"/>
      <c r="L3" s="663"/>
      <c r="M3" s="664"/>
      <c r="N3" s="662" t="str">
        <f>'Cadastro pastos'!M3</f>
        <v>Setembro</v>
      </c>
      <c r="O3" s="663"/>
      <c r="P3" s="663"/>
      <c r="Q3" s="663"/>
      <c r="R3" s="663"/>
      <c r="S3" s="664"/>
      <c r="T3" s="662" t="str">
        <f>'Cadastro pastos'!N3</f>
        <v>Outubro</v>
      </c>
      <c r="U3" s="663"/>
      <c r="V3" s="663"/>
      <c r="W3" s="663"/>
      <c r="X3" s="663"/>
      <c r="Y3" s="664"/>
      <c r="Z3" s="662" t="str">
        <f>'Cadastro pastos'!O3</f>
        <v>Novembro</v>
      </c>
      <c r="AA3" s="663"/>
      <c r="AB3" s="663"/>
      <c r="AC3" s="663"/>
      <c r="AD3" s="663"/>
      <c r="AE3" s="664"/>
      <c r="AF3" s="662" t="str">
        <f>'Cadastro pastos'!P3</f>
        <v>Dezembro</v>
      </c>
      <c r="AG3" s="663"/>
      <c r="AH3" s="663"/>
      <c r="AI3" s="663"/>
      <c r="AJ3" s="663"/>
      <c r="AK3" s="664"/>
      <c r="AL3" s="662" t="str">
        <f>'Cadastro pastos'!Q3</f>
        <v>Janeiro</v>
      </c>
      <c r="AM3" s="663"/>
      <c r="AN3" s="663"/>
      <c r="AO3" s="663"/>
      <c r="AP3" s="663"/>
      <c r="AQ3" s="664"/>
      <c r="AR3" s="662" t="str">
        <f>'Cadastro pastos'!R3</f>
        <v>Fevereiro</v>
      </c>
      <c r="AS3" s="663"/>
      <c r="AT3" s="663"/>
      <c r="AU3" s="663"/>
      <c r="AV3" s="663"/>
      <c r="AW3" s="664"/>
      <c r="AX3" s="662" t="str">
        <f>'Cadastro pastos'!S3</f>
        <v>Março</v>
      </c>
      <c r="AY3" s="663"/>
      <c r="AZ3" s="663"/>
      <c r="BA3" s="663"/>
      <c r="BB3" s="663"/>
      <c r="BC3" s="664"/>
      <c r="BD3" s="662" t="str">
        <f>'Cadastro pastos'!T3</f>
        <v>Abril</v>
      </c>
      <c r="BE3" s="663"/>
      <c r="BF3" s="663"/>
      <c r="BG3" s="663"/>
      <c r="BH3" s="663"/>
      <c r="BI3" s="664"/>
      <c r="BJ3" s="662" t="str">
        <f>'Cadastro pastos'!U3</f>
        <v>Maio</v>
      </c>
      <c r="BK3" s="663"/>
      <c r="BL3" s="663"/>
      <c r="BM3" s="663"/>
      <c r="BN3" s="663"/>
      <c r="BO3" s="664"/>
      <c r="BP3" s="662" t="str">
        <f>'Cadastro pastos'!V3</f>
        <v>Junho</v>
      </c>
      <c r="BQ3" s="663"/>
      <c r="BR3" s="663"/>
      <c r="BS3" s="663"/>
      <c r="BT3" s="663"/>
      <c r="BU3" s="664"/>
    </row>
    <row r="4" spans="1:73" x14ac:dyDescent="0.25">
      <c r="A4" s="405" t="s">
        <v>83</v>
      </c>
      <c r="B4" s="406" t="s">
        <v>565</v>
      </c>
      <c r="C4" s="407" t="s">
        <v>92</v>
      </c>
      <c r="D4" s="407" t="s">
        <v>226</v>
      </c>
      <c r="E4" s="407" t="s">
        <v>566</v>
      </c>
      <c r="F4" s="407" t="s">
        <v>567</v>
      </c>
      <c r="G4" s="408" t="s">
        <v>568</v>
      </c>
      <c r="H4" s="406" t="s">
        <v>565</v>
      </c>
      <c r="I4" s="407" t="s">
        <v>92</v>
      </c>
      <c r="J4" s="407" t="s">
        <v>226</v>
      </c>
      <c r="K4" s="407" t="s">
        <v>566</v>
      </c>
      <c r="L4" s="407" t="s">
        <v>567</v>
      </c>
      <c r="M4" s="408" t="s">
        <v>568</v>
      </c>
      <c r="N4" s="406" t="s">
        <v>565</v>
      </c>
      <c r="O4" s="407" t="s">
        <v>92</v>
      </c>
      <c r="P4" s="407" t="s">
        <v>226</v>
      </c>
      <c r="Q4" s="407" t="s">
        <v>566</v>
      </c>
      <c r="R4" s="407" t="s">
        <v>567</v>
      </c>
      <c r="S4" s="408" t="s">
        <v>568</v>
      </c>
      <c r="T4" s="406" t="s">
        <v>565</v>
      </c>
      <c r="U4" s="407" t="s">
        <v>92</v>
      </c>
      <c r="V4" s="407" t="s">
        <v>226</v>
      </c>
      <c r="W4" s="407" t="s">
        <v>566</v>
      </c>
      <c r="X4" s="407" t="s">
        <v>567</v>
      </c>
      <c r="Y4" s="408" t="s">
        <v>568</v>
      </c>
      <c r="Z4" s="406" t="s">
        <v>565</v>
      </c>
      <c r="AA4" s="407" t="s">
        <v>92</v>
      </c>
      <c r="AB4" s="407" t="s">
        <v>226</v>
      </c>
      <c r="AC4" s="407" t="s">
        <v>566</v>
      </c>
      <c r="AD4" s="407" t="s">
        <v>567</v>
      </c>
      <c r="AE4" s="408" t="s">
        <v>568</v>
      </c>
      <c r="AF4" s="406" t="s">
        <v>565</v>
      </c>
      <c r="AG4" s="407" t="s">
        <v>92</v>
      </c>
      <c r="AH4" s="407" t="s">
        <v>226</v>
      </c>
      <c r="AI4" s="407" t="s">
        <v>566</v>
      </c>
      <c r="AJ4" s="407" t="s">
        <v>567</v>
      </c>
      <c r="AK4" s="408" t="s">
        <v>568</v>
      </c>
      <c r="AL4" s="406" t="s">
        <v>565</v>
      </c>
      <c r="AM4" s="407" t="s">
        <v>92</v>
      </c>
      <c r="AN4" s="407" t="s">
        <v>226</v>
      </c>
      <c r="AO4" s="407" t="s">
        <v>566</v>
      </c>
      <c r="AP4" s="407" t="s">
        <v>567</v>
      </c>
      <c r="AQ4" s="408" t="s">
        <v>568</v>
      </c>
      <c r="AR4" s="406" t="s">
        <v>565</v>
      </c>
      <c r="AS4" s="407" t="s">
        <v>92</v>
      </c>
      <c r="AT4" s="407" t="s">
        <v>226</v>
      </c>
      <c r="AU4" s="407" t="s">
        <v>566</v>
      </c>
      <c r="AV4" s="407" t="s">
        <v>567</v>
      </c>
      <c r="AW4" s="408" t="s">
        <v>568</v>
      </c>
      <c r="AX4" s="406" t="s">
        <v>565</v>
      </c>
      <c r="AY4" s="407" t="s">
        <v>92</v>
      </c>
      <c r="AZ4" s="407" t="s">
        <v>226</v>
      </c>
      <c r="BA4" s="407" t="s">
        <v>566</v>
      </c>
      <c r="BB4" s="407" t="s">
        <v>567</v>
      </c>
      <c r="BC4" s="408" t="s">
        <v>568</v>
      </c>
      <c r="BD4" s="406" t="s">
        <v>565</v>
      </c>
      <c r="BE4" s="407" t="s">
        <v>92</v>
      </c>
      <c r="BF4" s="407" t="s">
        <v>226</v>
      </c>
      <c r="BG4" s="407" t="s">
        <v>566</v>
      </c>
      <c r="BH4" s="407" t="s">
        <v>567</v>
      </c>
      <c r="BI4" s="408" t="s">
        <v>568</v>
      </c>
      <c r="BJ4" s="406" t="s">
        <v>565</v>
      </c>
      <c r="BK4" s="407" t="s">
        <v>92</v>
      </c>
      <c r="BL4" s="407" t="s">
        <v>226</v>
      </c>
      <c r="BM4" s="407" t="s">
        <v>566</v>
      </c>
      <c r="BN4" s="407" t="s">
        <v>567</v>
      </c>
      <c r="BO4" s="408" t="s">
        <v>568</v>
      </c>
      <c r="BP4" s="406" t="s">
        <v>565</v>
      </c>
      <c r="BQ4" s="407" t="s">
        <v>92</v>
      </c>
      <c r="BR4" s="407" t="s">
        <v>226</v>
      </c>
      <c r="BS4" s="407" t="s">
        <v>566</v>
      </c>
      <c r="BT4" s="407" t="s">
        <v>567</v>
      </c>
      <c r="BU4" s="408" t="s">
        <v>568</v>
      </c>
    </row>
    <row r="5" spans="1:73" x14ac:dyDescent="0.25">
      <c r="A5" s="503" t="s">
        <v>569</v>
      </c>
      <c r="B5" s="504">
        <v>40</v>
      </c>
      <c r="C5" s="505">
        <v>450</v>
      </c>
      <c r="D5" s="505">
        <v>0.4</v>
      </c>
      <c r="E5" s="410">
        <f>(D5*30)+C5</f>
        <v>462</v>
      </c>
      <c r="F5" s="411">
        <f>C5*B5/450</f>
        <v>40</v>
      </c>
      <c r="G5" s="412">
        <f>E5*B5/450</f>
        <v>41.06666666666667</v>
      </c>
      <c r="H5" s="504">
        <f>IF($A5="","",B5)</f>
        <v>40</v>
      </c>
      <c r="I5" s="413">
        <f>IF(H5=0,"",IF($A5="","",E5))</f>
        <v>462</v>
      </c>
      <c r="J5" s="409">
        <f>IF($A5="","",D5)</f>
        <v>0.4</v>
      </c>
      <c r="K5" s="410">
        <f>IF($A5="","",(J5*30)+I5)</f>
        <v>474</v>
      </c>
      <c r="L5" s="411">
        <f>IF($A5="","",I5*H5/450)</f>
        <v>41.06666666666667</v>
      </c>
      <c r="M5" s="412">
        <f>IF($A5="","",K5*H5/450)</f>
        <v>42.133333333333333</v>
      </c>
      <c r="N5" s="504">
        <f>IF($A5="","",H5)</f>
        <v>40</v>
      </c>
      <c r="O5" s="413">
        <f>IF(N5=0,"",IF($A5="","",K5))</f>
        <v>474</v>
      </c>
      <c r="P5" s="409">
        <f>IF($A5="","",J5)</f>
        <v>0.4</v>
      </c>
      <c r="Q5" s="414">
        <f>IF($A5="","",(P5*30)+O5)</f>
        <v>486</v>
      </c>
      <c r="R5" s="415">
        <f>IF($A5="","",O5*N5/450)</f>
        <v>42.133333333333333</v>
      </c>
      <c r="S5" s="416">
        <f>IF($A5="","",Q5*N5/450)</f>
        <v>43.2</v>
      </c>
      <c r="T5" s="504">
        <f>IF($A5="","",N5)</f>
        <v>40</v>
      </c>
      <c r="U5" s="413">
        <f>IF(T5=0,"",IF($A5="","",Q5))</f>
        <v>486</v>
      </c>
      <c r="V5" s="409">
        <f>IF($A5="","",P5)</f>
        <v>0.4</v>
      </c>
      <c r="W5" s="414">
        <f>IF($A5="","",(V5*30)+U5)</f>
        <v>498</v>
      </c>
      <c r="X5" s="415">
        <f>IF($A5="","",U5*T5/450)</f>
        <v>43.2</v>
      </c>
      <c r="Y5" s="416">
        <f>IF($A5="","",W5*T5/450)</f>
        <v>44.266666666666666</v>
      </c>
      <c r="Z5" s="504">
        <f>IF($A5="","",T5)</f>
        <v>40</v>
      </c>
      <c r="AA5" s="413">
        <f>IF(Z5=0,"",IF($A5="","",W5))</f>
        <v>498</v>
      </c>
      <c r="AB5" s="409">
        <f>IF($A5="","",V5)</f>
        <v>0.4</v>
      </c>
      <c r="AC5" s="414">
        <f>IF($A5="","",(AB5*30)+AA5)</f>
        <v>510</v>
      </c>
      <c r="AD5" s="415">
        <f>IF($A5="","",AA5*Z5/450)</f>
        <v>44.266666666666666</v>
      </c>
      <c r="AE5" s="416">
        <f>IF($A5="","",AC5*Z5/450)</f>
        <v>45.333333333333336</v>
      </c>
      <c r="AF5" s="504">
        <f>IF($A5="","",Z5)</f>
        <v>40</v>
      </c>
      <c r="AG5" s="413">
        <f>IF(AF5=0,"",IF($A5="","",AC5))</f>
        <v>510</v>
      </c>
      <c r="AH5" s="409">
        <f>IF($A5="","",AB5)</f>
        <v>0.4</v>
      </c>
      <c r="AI5" s="414">
        <f>IF($A5="","",(AH5*30)+AG5)</f>
        <v>522</v>
      </c>
      <c r="AJ5" s="415">
        <f>IF($A5="","",AG5*AF5/450)</f>
        <v>45.333333333333336</v>
      </c>
      <c r="AK5" s="416">
        <f>IF($A5="","",AI5*AF5/450)</f>
        <v>46.4</v>
      </c>
      <c r="AL5" s="504">
        <f>IF($A5="","",AF5)</f>
        <v>40</v>
      </c>
      <c r="AM5" s="413">
        <f>IF(AL5=0,"",IF($A5="","",AI5))</f>
        <v>522</v>
      </c>
      <c r="AN5" s="409">
        <f>IF($A5="","",AH5)</f>
        <v>0.4</v>
      </c>
      <c r="AO5" s="414">
        <f>IF($A5="","",(AN5*30)+AM5)</f>
        <v>534</v>
      </c>
      <c r="AP5" s="415">
        <f>IF($A5="","",AM5*AL5/450)</f>
        <v>46.4</v>
      </c>
      <c r="AQ5" s="416">
        <f>IF($A5="","",AO5*AL5/450)</f>
        <v>47.466666666666669</v>
      </c>
      <c r="AR5" s="504">
        <f>IF($A5="","",AL5)</f>
        <v>40</v>
      </c>
      <c r="AS5" s="413">
        <f>IF(AR5=0,"",IF($A5="","",AO5))</f>
        <v>534</v>
      </c>
      <c r="AT5" s="409">
        <f>IF($A5="","",AN5)</f>
        <v>0.4</v>
      </c>
      <c r="AU5" s="414">
        <f>IF($A5="","",(AT5*30)+AS5)</f>
        <v>546</v>
      </c>
      <c r="AV5" s="415">
        <f>IF($A5="","",AS5*AR5/450)</f>
        <v>47.466666666666669</v>
      </c>
      <c r="AW5" s="416">
        <f>IF($A5="","",AU5*AR5/450)</f>
        <v>48.533333333333331</v>
      </c>
      <c r="AX5" s="504">
        <f>IF($A5="","",AR5)</f>
        <v>40</v>
      </c>
      <c r="AY5" s="413">
        <f>IF(AX5=0,"",IF($A5="","",AU5))</f>
        <v>546</v>
      </c>
      <c r="AZ5" s="409">
        <f>IF($A5="","",AT5)</f>
        <v>0.4</v>
      </c>
      <c r="BA5" s="414">
        <f>IF($A5="","",(AZ5*30)+AY5)</f>
        <v>558</v>
      </c>
      <c r="BB5" s="415">
        <f>IF($A5="","",AY5*AX5/450)</f>
        <v>48.533333333333331</v>
      </c>
      <c r="BC5" s="416">
        <f>IF($A5="","",BA5*AX5/450)</f>
        <v>49.6</v>
      </c>
      <c r="BD5" s="504">
        <f>IF($A5="","",AX5)</f>
        <v>40</v>
      </c>
      <c r="BE5" s="413">
        <f>IF(BD5=0,"",IF($A5="","",BA5))</f>
        <v>558</v>
      </c>
      <c r="BF5" s="409">
        <f>IF($A5="","",AZ5)</f>
        <v>0.4</v>
      </c>
      <c r="BG5" s="414">
        <f>IF($A5="","",(BF5*30)+BE5)</f>
        <v>570</v>
      </c>
      <c r="BH5" s="415">
        <f>IF($A5="","",BE5*BD5/450)</f>
        <v>49.6</v>
      </c>
      <c r="BI5" s="416">
        <f>IF($A5="","",BG5*BD5/450)</f>
        <v>50.666666666666664</v>
      </c>
      <c r="BJ5" s="504">
        <f>IF($A5="","",BD5)</f>
        <v>40</v>
      </c>
      <c r="BK5" s="413">
        <f>IF(BJ5=0,"",IF($A5="","",BG5))</f>
        <v>570</v>
      </c>
      <c r="BL5" s="409">
        <f>IF($A5="","",BF5)</f>
        <v>0.4</v>
      </c>
      <c r="BM5" s="414">
        <f>IF($A5="","",(BL5*30)+BK5)</f>
        <v>582</v>
      </c>
      <c r="BN5" s="415">
        <f>IF($A5="","",BK5*BJ5/450)</f>
        <v>50.666666666666664</v>
      </c>
      <c r="BO5" s="416">
        <f>IF($A5="","",BM5*BJ5/450)</f>
        <v>51.733333333333334</v>
      </c>
      <c r="BP5" s="504">
        <f>IF($A5="","",BJ5)</f>
        <v>40</v>
      </c>
      <c r="BQ5" s="413">
        <f>IF(BP5=0,"",IF($A5="","",BM5))</f>
        <v>582</v>
      </c>
      <c r="BR5" s="413">
        <f>IF($A5="","",BL5)</f>
        <v>0.4</v>
      </c>
      <c r="BS5" s="410">
        <f>IF($A5="","",(BR5*30)+BQ5)</f>
        <v>594</v>
      </c>
      <c r="BT5" s="411">
        <f>IF($A5="","",BQ5*BP5/450)</f>
        <v>51.733333333333334</v>
      </c>
      <c r="BU5" s="412">
        <f>IF($A5="","",BS5*BP5/450)</f>
        <v>52.8</v>
      </c>
    </row>
    <row r="6" spans="1:73" x14ac:dyDescent="0.25">
      <c r="A6" s="506"/>
      <c r="B6" s="504"/>
      <c r="C6" s="505"/>
      <c r="D6" s="505"/>
      <c r="E6" s="413">
        <f t="shared" ref="E6:E22" si="0">(D6*30)+C6</f>
        <v>0</v>
      </c>
      <c r="F6" s="417">
        <f t="shared" ref="F6:F22" si="1">C6*B6/450</f>
        <v>0</v>
      </c>
      <c r="G6" s="418">
        <f t="shared" ref="G6:G22" si="2">E6*B6/450</f>
        <v>0</v>
      </c>
      <c r="H6" s="504" t="str">
        <f t="shared" ref="H6:H22" si="3">IF($A6="","",B6)</f>
        <v/>
      </c>
      <c r="I6" s="413" t="str">
        <f t="shared" ref="I6:I22" si="4">IF(H6=0,"",IF($A6="","",E6))</f>
        <v/>
      </c>
      <c r="J6" s="409" t="str">
        <f t="shared" ref="J6:J22" si="5">IF($A6="","",D6)</f>
        <v/>
      </c>
      <c r="K6" s="413" t="str">
        <f t="shared" ref="K6:K22" si="6">IF($A6="","",(J6*30)+I6)</f>
        <v/>
      </c>
      <c r="L6" s="417" t="str">
        <f t="shared" ref="L6:L22" si="7">IF($A6="","",I6*H6/450)</f>
        <v/>
      </c>
      <c r="M6" s="418" t="str">
        <f t="shared" ref="M6:M22" si="8">IF($A6="","",K6*H6/450)</f>
        <v/>
      </c>
      <c r="N6" s="504" t="str">
        <f t="shared" ref="N6:N22" si="9">IF($A6="","",H6)</f>
        <v/>
      </c>
      <c r="O6" s="413" t="str">
        <f t="shared" ref="O6:O22" si="10">IF(N6=0,"",IF($A6="","",K6))</f>
        <v/>
      </c>
      <c r="P6" s="409" t="str">
        <f t="shared" ref="P6:P22" si="11">IF($A6="","",J6)</f>
        <v/>
      </c>
      <c r="Q6" s="409" t="str">
        <f t="shared" ref="Q6:Q22" si="12">IF($A6="","",(P6*30)+O6)</f>
        <v/>
      </c>
      <c r="R6" s="419" t="str">
        <f t="shared" ref="R6:R22" si="13">IF($A6="","",O6*N6/450)</f>
        <v/>
      </c>
      <c r="S6" s="420" t="str">
        <f t="shared" ref="S6:S22" si="14">IF($A6="","",Q6*N6/450)</f>
        <v/>
      </c>
      <c r="T6" s="504" t="str">
        <f t="shared" ref="T6:T22" si="15">IF($A6="","",N6)</f>
        <v/>
      </c>
      <c r="U6" s="413" t="str">
        <f t="shared" ref="U6:U22" si="16">IF(T6=0,"",IF($A6="","",Q6))</f>
        <v/>
      </c>
      <c r="V6" s="409" t="str">
        <f t="shared" ref="V6:V22" si="17">IF($A6="","",P6)</f>
        <v/>
      </c>
      <c r="W6" s="409" t="str">
        <f t="shared" ref="W6:W22" si="18">IF($A6="","",(V6*30)+U6)</f>
        <v/>
      </c>
      <c r="X6" s="419" t="str">
        <f t="shared" ref="X6:X22" si="19">IF($A6="","",U6*T6/450)</f>
        <v/>
      </c>
      <c r="Y6" s="420" t="str">
        <f t="shared" ref="Y6:Y22" si="20">IF($A6="","",W6*T6/450)</f>
        <v/>
      </c>
      <c r="Z6" s="504" t="str">
        <f t="shared" ref="Z6:Z22" si="21">IF($A6="","",T6)</f>
        <v/>
      </c>
      <c r="AA6" s="413" t="str">
        <f t="shared" ref="AA6:AA22" si="22">IF(Z6=0,"",IF($A6="","",W6))</f>
        <v/>
      </c>
      <c r="AB6" s="409" t="str">
        <f t="shared" ref="AB6:AB22" si="23">IF($A6="","",V6)</f>
        <v/>
      </c>
      <c r="AC6" s="409" t="str">
        <f t="shared" ref="AC6:AC22" si="24">IF($A6="","",(AB6*30)+AA6)</f>
        <v/>
      </c>
      <c r="AD6" s="419" t="str">
        <f t="shared" ref="AD6:AD22" si="25">IF($A6="","",AA6*Z6/450)</f>
        <v/>
      </c>
      <c r="AE6" s="420" t="str">
        <f t="shared" ref="AE6:AE22" si="26">IF($A6="","",AC6*Z6/450)</f>
        <v/>
      </c>
      <c r="AF6" s="504" t="str">
        <f t="shared" ref="AF6:AF22" si="27">IF($A6="","",Z6)</f>
        <v/>
      </c>
      <c r="AG6" s="413" t="str">
        <f t="shared" ref="AG6:AG22" si="28">IF(AF6=0,"",IF($A6="","",AC6))</f>
        <v/>
      </c>
      <c r="AH6" s="409" t="str">
        <f t="shared" ref="AH6:AH22" si="29">IF($A6="","",AB6)</f>
        <v/>
      </c>
      <c r="AI6" s="409" t="str">
        <f t="shared" ref="AI6:AI22" si="30">IF($A6="","",(AH6*30)+AG6)</f>
        <v/>
      </c>
      <c r="AJ6" s="419" t="str">
        <f t="shared" ref="AJ6:AJ22" si="31">IF($A6="","",AG6*AF6/450)</f>
        <v/>
      </c>
      <c r="AK6" s="420" t="str">
        <f t="shared" ref="AK6:AK22" si="32">IF($A6="","",AI6*AF6/450)</f>
        <v/>
      </c>
      <c r="AL6" s="504" t="str">
        <f t="shared" ref="AL6:AL22" si="33">IF($A6="","",AF6)</f>
        <v/>
      </c>
      <c r="AM6" s="413" t="str">
        <f t="shared" ref="AM6:AM22" si="34">IF(AL6=0,"",IF($A6="","",AI6))</f>
        <v/>
      </c>
      <c r="AN6" s="409" t="str">
        <f t="shared" ref="AN6:AN22" si="35">IF($A6="","",AH6)</f>
        <v/>
      </c>
      <c r="AO6" s="409" t="str">
        <f t="shared" ref="AO6:AO22" si="36">IF($A6="","",(AN6*30)+AM6)</f>
        <v/>
      </c>
      <c r="AP6" s="419" t="str">
        <f t="shared" ref="AP6:AP22" si="37">IF($A6="","",AM6*AL6/450)</f>
        <v/>
      </c>
      <c r="AQ6" s="420" t="str">
        <f t="shared" ref="AQ6:AQ22" si="38">IF($A6="","",AO6*AL6/450)</f>
        <v/>
      </c>
      <c r="AR6" s="504" t="str">
        <f t="shared" ref="AR6:AR22" si="39">IF($A6="","",AL6)</f>
        <v/>
      </c>
      <c r="AS6" s="413" t="str">
        <f t="shared" ref="AS6:AS22" si="40">IF(AR6=0,"",IF($A6="","",AO6))</f>
        <v/>
      </c>
      <c r="AT6" s="409" t="str">
        <f t="shared" ref="AT6:AT22" si="41">IF($A6="","",AN6)</f>
        <v/>
      </c>
      <c r="AU6" s="409" t="str">
        <f t="shared" ref="AU6:AU22" si="42">IF($A6="","",(AT6*30)+AS6)</f>
        <v/>
      </c>
      <c r="AV6" s="419" t="str">
        <f t="shared" ref="AV6:AV22" si="43">IF($A6="","",AS6*AR6/450)</f>
        <v/>
      </c>
      <c r="AW6" s="420" t="str">
        <f t="shared" ref="AW6:AW22" si="44">IF($A6="","",AU6*AR6/450)</f>
        <v/>
      </c>
      <c r="AX6" s="504" t="str">
        <f t="shared" ref="AX6:AX22" si="45">IF($A6="","",AR6)</f>
        <v/>
      </c>
      <c r="AY6" s="413" t="str">
        <f t="shared" ref="AY6:AY22" si="46">IF(AX6=0,"",IF($A6="","",AU6))</f>
        <v/>
      </c>
      <c r="AZ6" s="409" t="str">
        <f t="shared" ref="AZ6:AZ22" si="47">IF($A6="","",AT6)</f>
        <v/>
      </c>
      <c r="BA6" s="409" t="str">
        <f t="shared" ref="BA6:BA22" si="48">IF($A6="","",(AZ6*30)+AY6)</f>
        <v/>
      </c>
      <c r="BB6" s="419" t="str">
        <f t="shared" ref="BB6:BB22" si="49">IF($A6="","",AY6*AX6/450)</f>
        <v/>
      </c>
      <c r="BC6" s="420" t="str">
        <f t="shared" ref="BC6:BC22" si="50">IF($A6="","",BA6*AX6/450)</f>
        <v/>
      </c>
      <c r="BD6" s="504" t="str">
        <f t="shared" ref="BD6:BD22" si="51">IF($A6="","",AX6)</f>
        <v/>
      </c>
      <c r="BE6" s="413" t="str">
        <f t="shared" ref="BE6:BE22" si="52">IF(BD6=0,"",IF($A6="","",BA6))</f>
        <v/>
      </c>
      <c r="BF6" s="409" t="str">
        <f t="shared" ref="BF6:BF22" si="53">IF($A6="","",AZ6)</f>
        <v/>
      </c>
      <c r="BG6" s="409" t="str">
        <f t="shared" ref="BG6:BG22" si="54">IF($A6="","",(BF6*30)+BE6)</f>
        <v/>
      </c>
      <c r="BH6" s="419" t="str">
        <f t="shared" ref="BH6:BH22" si="55">IF($A6="","",BE6*BD6/450)</f>
        <v/>
      </c>
      <c r="BI6" s="420" t="str">
        <f t="shared" ref="BI6:BI22" si="56">IF($A6="","",BG6*BD6/450)</f>
        <v/>
      </c>
      <c r="BJ6" s="504" t="str">
        <f t="shared" ref="BJ6:BJ22" si="57">IF($A6="","",BD6)</f>
        <v/>
      </c>
      <c r="BK6" s="413" t="str">
        <f t="shared" ref="BK6:BK22" si="58">IF(BJ6=0,"",IF($A6="","",BG6))</f>
        <v/>
      </c>
      <c r="BL6" s="409" t="str">
        <f t="shared" ref="BL6:BL22" si="59">IF($A6="","",BF6)</f>
        <v/>
      </c>
      <c r="BM6" s="409" t="str">
        <f t="shared" ref="BM6:BM22" si="60">IF($A6="","",(BL6*30)+BK6)</f>
        <v/>
      </c>
      <c r="BN6" s="419" t="str">
        <f t="shared" ref="BN6:BN22" si="61">IF($A6="","",BK6*BJ6/450)</f>
        <v/>
      </c>
      <c r="BO6" s="420" t="str">
        <f t="shared" ref="BO6:BO22" si="62">IF($A6="","",BM6*BJ6/450)</f>
        <v/>
      </c>
      <c r="BP6" s="504" t="str">
        <f t="shared" ref="BP6:BP22" si="63">IF($A6="","",BJ6)</f>
        <v/>
      </c>
      <c r="BQ6" s="413" t="str">
        <f t="shared" ref="BQ6:BQ22" si="64">IF(BP6=0,"",IF($A6="","",BM6))</f>
        <v/>
      </c>
      <c r="BR6" s="413" t="str">
        <f t="shared" ref="BR6:BR22" si="65">IF($A6="","",BL6)</f>
        <v/>
      </c>
      <c r="BS6" s="413" t="str">
        <f t="shared" ref="BS6:BS22" si="66">IF($A6="","",(BR6*30)+BQ6)</f>
        <v/>
      </c>
      <c r="BT6" s="417" t="str">
        <f t="shared" ref="BT6:BT22" si="67">IF($A6="","",BQ6*BP6/450)</f>
        <v/>
      </c>
      <c r="BU6" s="418" t="str">
        <f t="shared" ref="BU6:BU22" si="68">IF($A6="","",BS6*BP6/450)</f>
        <v/>
      </c>
    </row>
    <row r="7" spans="1:73" x14ac:dyDescent="0.25">
      <c r="A7" s="506"/>
      <c r="B7" s="504"/>
      <c r="C7" s="505"/>
      <c r="D7" s="505"/>
      <c r="E7" s="413">
        <f t="shared" si="0"/>
        <v>0</v>
      </c>
      <c r="F7" s="417">
        <f t="shared" si="1"/>
        <v>0</v>
      </c>
      <c r="G7" s="418">
        <f t="shared" si="2"/>
        <v>0</v>
      </c>
      <c r="H7" s="504" t="str">
        <f t="shared" si="3"/>
        <v/>
      </c>
      <c r="I7" s="413" t="str">
        <f t="shared" si="4"/>
        <v/>
      </c>
      <c r="J7" s="409" t="str">
        <f t="shared" si="5"/>
        <v/>
      </c>
      <c r="K7" s="413" t="str">
        <f t="shared" si="6"/>
        <v/>
      </c>
      <c r="L7" s="417" t="str">
        <f t="shared" si="7"/>
        <v/>
      </c>
      <c r="M7" s="418" t="str">
        <f t="shared" si="8"/>
        <v/>
      </c>
      <c r="N7" s="504" t="str">
        <f t="shared" si="9"/>
        <v/>
      </c>
      <c r="O7" s="413" t="str">
        <f t="shared" si="10"/>
        <v/>
      </c>
      <c r="P7" s="409" t="str">
        <f t="shared" si="11"/>
        <v/>
      </c>
      <c r="Q7" s="409" t="str">
        <f t="shared" si="12"/>
        <v/>
      </c>
      <c r="R7" s="419" t="str">
        <f t="shared" si="13"/>
        <v/>
      </c>
      <c r="S7" s="420" t="str">
        <f t="shared" si="14"/>
        <v/>
      </c>
      <c r="T7" s="504" t="str">
        <f t="shared" si="15"/>
        <v/>
      </c>
      <c r="U7" s="413" t="str">
        <f t="shared" si="16"/>
        <v/>
      </c>
      <c r="V7" s="409" t="str">
        <f t="shared" si="17"/>
        <v/>
      </c>
      <c r="W7" s="409" t="str">
        <f t="shared" si="18"/>
        <v/>
      </c>
      <c r="X7" s="419" t="str">
        <f t="shared" si="19"/>
        <v/>
      </c>
      <c r="Y7" s="420" t="str">
        <f t="shared" si="20"/>
        <v/>
      </c>
      <c r="Z7" s="504" t="str">
        <f t="shared" si="21"/>
        <v/>
      </c>
      <c r="AA7" s="413" t="str">
        <f t="shared" si="22"/>
        <v/>
      </c>
      <c r="AB7" s="409" t="str">
        <f t="shared" si="23"/>
        <v/>
      </c>
      <c r="AC7" s="409" t="str">
        <f t="shared" si="24"/>
        <v/>
      </c>
      <c r="AD7" s="419" t="str">
        <f t="shared" si="25"/>
        <v/>
      </c>
      <c r="AE7" s="420" t="str">
        <f t="shared" si="26"/>
        <v/>
      </c>
      <c r="AF7" s="504" t="str">
        <f t="shared" si="27"/>
        <v/>
      </c>
      <c r="AG7" s="413" t="str">
        <f t="shared" si="28"/>
        <v/>
      </c>
      <c r="AH7" s="409" t="str">
        <f t="shared" si="29"/>
        <v/>
      </c>
      <c r="AI7" s="409" t="str">
        <f t="shared" si="30"/>
        <v/>
      </c>
      <c r="AJ7" s="419" t="str">
        <f t="shared" si="31"/>
        <v/>
      </c>
      <c r="AK7" s="420" t="str">
        <f t="shared" si="32"/>
        <v/>
      </c>
      <c r="AL7" s="504" t="str">
        <f t="shared" si="33"/>
        <v/>
      </c>
      <c r="AM7" s="413" t="str">
        <f t="shared" si="34"/>
        <v/>
      </c>
      <c r="AN7" s="409" t="str">
        <f t="shared" si="35"/>
        <v/>
      </c>
      <c r="AO7" s="409" t="str">
        <f t="shared" si="36"/>
        <v/>
      </c>
      <c r="AP7" s="419" t="str">
        <f t="shared" si="37"/>
        <v/>
      </c>
      <c r="AQ7" s="420" t="str">
        <f t="shared" si="38"/>
        <v/>
      </c>
      <c r="AR7" s="504" t="str">
        <f t="shared" si="39"/>
        <v/>
      </c>
      <c r="AS7" s="413" t="str">
        <f t="shared" si="40"/>
        <v/>
      </c>
      <c r="AT7" s="409" t="str">
        <f t="shared" si="41"/>
        <v/>
      </c>
      <c r="AU7" s="409" t="str">
        <f t="shared" si="42"/>
        <v/>
      </c>
      <c r="AV7" s="419" t="str">
        <f t="shared" si="43"/>
        <v/>
      </c>
      <c r="AW7" s="420" t="str">
        <f t="shared" si="44"/>
        <v/>
      </c>
      <c r="AX7" s="504" t="str">
        <f t="shared" si="45"/>
        <v/>
      </c>
      <c r="AY7" s="413" t="str">
        <f t="shared" si="46"/>
        <v/>
      </c>
      <c r="AZ7" s="409" t="str">
        <f t="shared" si="47"/>
        <v/>
      </c>
      <c r="BA7" s="409" t="str">
        <f t="shared" si="48"/>
        <v/>
      </c>
      <c r="BB7" s="419" t="str">
        <f t="shared" si="49"/>
        <v/>
      </c>
      <c r="BC7" s="420" t="str">
        <f t="shared" si="50"/>
        <v/>
      </c>
      <c r="BD7" s="504" t="str">
        <f t="shared" si="51"/>
        <v/>
      </c>
      <c r="BE7" s="413" t="str">
        <f t="shared" si="52"/>
        <v/>
      </c>
      <c r="BF7" s="409" t="str">
        <f t="shared" si="53"/>
        <v/>
      </c>
      <c r="BG7" s="409" t="str">
        <f t="shared" si="54"/>
        <v/>
      </c>
      <c r="BH7" s="419" t="str">
        <f t="shared" si="55"/>
        <v/>
      </c>
      <c r="BI7" s="420" t="str">
        <f t="shared" si="56"/>
        <v/>
      </c>
      <c r="BJ7" s="504" t="str">
        <f t="shared" si="57"/>
        <v/>
      </c>
      <c r="BK7" s="413" t="str">
        <f t="shared" si="58"/>
        <v/>
      </c>
      <c r="BL7" s="409" t="str">
        <f t="shared" si="59"/>
        <v/>
      </c>
      <c r="BM7" s="409" t="str">
        <f t="shared" si="60"/>
        <v/>
      </c>
      <c r="BN7" s="419" t="str">
        <f t="shared" si="61"/>
        <v/>
      </c>
      <c r="BO7" s="420" t="str">
        <f t="shared" si="62"/>
        <v/>
      </c>
      <c r="BP7" s="504" t="str">
        <f t="shared" si="63"/>
        <v/>
      </c>
      <c r="BQ7" s="413" t="str">
        <f t="shared" si="64"/>
        <v/>
      </c>
      <c r="BR7" s="413" t="str">
        <f t="shared" si="65"/>
        <v/>
      </c>
      <c r="BS7" s="413" t="str">
        <f t="shared" si="66"/>
        <v/>
      </c>
      <c r="BT7" s="417" t="str">
        <f t="shared" si="67"/>
        <v/>
      </c>
      <c r="BU7" s="418" t="str">
        <f t="shared" si="68"/>
        <v/>
      </c>
    </row>
    <row r="8" spans="1:73" x14ac:dyDescent="0.25">
      <c r="A8" s="506"/>
      <c r="B8" s="504"/>
      <c r="C8" s="505"/>
      <c r="D8" s="505"/>
      <c r="E8" s="413">
        <f t="shared" si="0"/>
        <v>0</v>
      </c>
      <c r="F8" s="417">
        <f t="shared" si="1"/>
        <v>0</v>
      </c>
      <c r="G8" s="418">
        <f t="shared" si="2"/>
        <v>0</v>
      </c>
      <c r="H8" s="504" t="str">
        <f t="shared" si="3"/>
        <v/>
      </c>
      <c r="I8" s="413" t="str">
        <f t="shared" si="4"/>
        <v/>
      </c>
      <c r="J8" s="409" t="str">
        <f t="shared" si="5"/>
        <v/>
      </c>
      <c r="K8" s="413" t="str">
        <f t="shared" si="6"/>
        <v/>
      </c>
      <c r="L8" s="417" t="str">
        <f t="shared" si="7"/>
        <v/>
      </c>
      <c r="M8" s="418" t="str">
        <f t="shared" si="8"/>
        <v/>
      </c>
      <c r="N8" s="504" t="str">
        <f t="shared" si="9"/>
        <v/>
      </c>
      <c r="O8" s="413" t="str">
        <f t="shared" si="10"/>
        <v/>
      </c>
      <c r="P8" s="409" t="str">
        <f t="shared" si="11"/>
        <v/>
      </c>
      <c r="Q8" s="409" t="str">
        <f t="shared" si="12"/>
        <v/>
      </c>
      <c r="R8" s="419" t="str">
        <f t="shared" si="13"/>
        <v/>
      </c>
      <c r="S8" s="420" t="str">
        <f t="shared" si="14"/>
        <v/>
      </c>
      <c r="T8" s="504" t="str">
        <f t="shared" si="15"/>
        <v/>
      </c>
      <c r="U8" s="413" t="str">
        <f t="shared" si="16"/>
        <v/>
      </c>
      <c r="V8" s="409" t="str">
        <f t="shared" si="17"/>
        <v/>
      </c>
      <c r="W8" s="409" t="str">
        <f t="shared" si="18"/>
        <v/>
      </c>
      <c r="X8" s="419" t="str">
        <f t="shared" si="19"/>
        <v/>
      </c>
      <c r="Y8" s="420" t="str">
        <f t="shared" si="20"/>
        <v/>
      </c>
      <c r="Z8" s="504" t="str">
        <f t="shared" si="21"/>
        <v/>
      </c>
      <c r="AA8" s="413" t="str">
        <f t="shared" si="22"/>
        <v/>
      </c>
      <c r="AB8" s="409" t="str">
        <f t="shared" si="23"/>
        <v/>
      </c>
      <c r="AC8" s="409" t="str">
        <f t="shared" si="24"/>
        <v/>
      </c>
      <c r="AD8" s="419" t="str">
        <f t="shared" si="25"/>
        <v/>
      </c>
      <c r="AE8" s="420" t="str">
        <f t="shared" si="26"/>
        <v/>
      </c>
      <c r="AF8" s="504" t="str">
        <f t="shared" si="27"/>
        <v/>
      </c>
      <c r="AG8" s="413" t="str">
        <f t="shared" si="28"/>
        <v/>
      </c>
      <c r="AH8" s="409" t="str">
        <f t="shared" si="29"/>
        <v/>
      </c>
      <c r="AI8" s="409" t="str">
        <f t="shared" si="30"/>
        <v/>
      </c>
      <c r="AJ8" s="419" t="str">
        <f t="shared" si="31"/>
        <v/>
      </c>
      <c r="AK8" s="420" t="str">
        <f t="shared" si="32"/>
        <v/>
      </c>
      <c r="AL8" s="504" t="str">
        <f t="shared" si="33"/>
        <v/>
      </c>
      <c r="AM8" s="413" t="str">
        <f t="shared" si="34"/>
        <v/>
      </c>
      <c r="AN8" s="409" t="str">
        <f t="shared" si="35"/>
        <v/>
      </c>
      <c r="AO8" s="409" t="str">
        <f t="shared" si="36"/>
        <v/>
      </c>
      <c r="AP8" s="419" t="str">
        <f t="shared" si="37"/>
        <v/>
      </c>
      <c r="AQ8" s="420" t="str">
        <f t="shared" si="38"/>
        <v/>
      </c>
      <c r="AR8" s="504" t="str">
        <f t="shared" si="39"/>
        <v/>
      </c>
      <c r="AS8" s="413" t="str">
        <f t="shared" si="40"/>
        <v/>
      </c>
      <c r="AT8" s="409" t="str">
        <f t="shared" si="41"/>
        <v/>
      </c>
      <c r="AU8" s="409" t="str">
        <f t="shared" si="42"/>
        <v/>
      </c>
      <c r="AV8" s="419" t="str">
        <f t="shared" si="43"/>
        <v/>
      </c>
      <c r="AW8" s="420" t="str">
        <f t="shared" si="44"/>
        <v/>
      </c>
      <c r="AX8" s="504" t="str">
        <f t="shared" si="45"/>
        <v/>
      </c>
      <c r="AY8" s="413" t="str">
        <f t="shared" si="46"/>
        <v/>
      </c>
      <c r="AZ8" s="409" t="str">
        <f t="shared" si="47"/>
        <v/>
      </c>
      <c r="BA8" s="409" t="str">
        <f t="shared" si="48"/>
        <v/>
      </c>
      <c r="BB8" s="419" t="str">
        <f t="shared" si="49"/>
        <v/>
      </c>
      <c r="BC8" s="420" t="str">
        <f t="shared" si="50"/>
        <v/>
      </c>
      <c r="BD8" s="504" t="str">
        <f t="shared" si="51"/>
        <v/>
      </c>
      <c r="BE8" s="413" t="str">
        <f t="shared" si="52"/>
        <v/>
      </c>
      <c r="BF8" s="409" t="str">
        <f t="shared" si="53"/>
        <v/>
      </c>
      <c r="BG8" s="409" t="str">
        <f t="shared" si="54"/>
        <v/>
      </c>
      <c r="BH8" s="419" t="str">
        <f t="shared" si="55"/>
        <v/>
      </c>
      <c r="BI8" s="420" t="str">
        <f t="shared" si="56"/>
        <v/>
      </c>
      <c r="BJ8" s="504" t="str">
        <f t="shared" si="57"/>
        <v/>
      </c>
      <c r="BK8" s="413" t="str">
        <f t="shared" si="58"/>
        <v/>
      </c>
      <c r="BL8" s="409" t="str">
        <f t="shared" si="59"/>
        <v/>
      </c>
      <c r="BM8" s="409" t="str">
        <f t="shared" si="60"/>
        <v/>
      </c>
      <c r="BN8" s="419" t="str">
        <f t="shared" si="61"/>
        <v/>
      </c>
      <c r="BO8" s="420" t="str">
        <f t="shared" si="62"/>
        <v/>
      </c>
      <c r="BP8" s="504" t="str">
        <f t="shared" si="63"/>
        <v/>
      </c>
      <c r="BQ8" s="413" t="str">
        <f t="shared" si="64"/>
        <v/>
      </c>
      <c r="BR8" s="413" t="str">
        <f t="shared" si="65"/>
        <v/>
      </c>
      <c r="BS8" s="413" t="str">
        <f t="shared" si="66"/>
        <v/>
      </c>
      <c r="BT8" s="417" t="str">
        <f t="shared" si="67"/>
        <v/>
      </c>
      <c r="BU8" s="418" t="str">
        <f t="shared" si="68"/>
        <v/>
      </c>
    </row>
    <row r="9" spans="1:73" x14ac:dyDescent="0.25">
      <c r="A9" s="506"/>
      <c r="B9" s="504"/>
      <c r="C9" s="505"/>
      <c r="D9" s="505"/>
      <c r="E9" s="413">
        <f t="shared" si="0"/>
        <v>0</v>
      </c>
      <c r="F9" s="417">
        <f t="shared" si="1"/>
        <v>0</v>
      </c>
      <c r="G9" s="418">
        <f t="shared" si="2"/>
        <v>0</v>
      </c>
      <c r="H9" s="504" t="str">
        <f t="shared" si="3"/>
        <v/>
      </c>
      <c r="I9" s="413" t="str">
        <f t="shared" si="4"/>
        <v/>
      </c>
      <c r="J9" s="409" t="str">
        <f t="shared" si="5"/>
        <v/>
      </c>
      <c r="K9" s="413" t="str">
        <f t="shared" si="6"/>
        <v/>
      </c>
      <c r="L9" s="417" t="str">
        <f t="shared" si="7"/>
        <v/>
      </c>
      <c r="M9" s="418" t="str">
        <f t="shared" si="8"/>
        <v/>
      </c>
      <c r="N9" s="504" t="str">
        <f t="shared" si="9"/>
        <v/>
      </c>
      <c r="O9" s="413" t="str">
        <f t="shared" si="10"/>
        <v/>
      </c>
      <c r="P9" s="409" t="str">
        <f t="shared" si="11"/>
        <v/>
      </c>
      <c r="Q9" s="409" t="str">
        <f t="shared" si="12"/>
        <v/>
      </c>
      <c r="R9" s="419" t="str">
        <f t="shared" si="13"/>
        <v/>
      </c>
      <c r="S9" s="420" t="str">
        <f t="shared" si="14"/>
        <v/>
      </c>
      <c r="T9" s="504" t="str">
        <f t="shared" si="15"/>
        <v/>
      </c>
      <c r="U9" s="413" t="str">
        <f t="shared" si="16"/>
        <v/>
      </c>
      <c r="V9" s="409" t="str">
        <f t="shared" si="17"/>
        <v/>
      </c>
      <c r="W9" s="409" t="str">
        <f t="shared" si="18"/>
        <v/>
      </c>
      <c r="X9" s="419" t="str">
        <f t="shared" si="19"/>
        <v/>
      </c>
      <c r="Y9" s="420" t="str">
        <f t="shared" si="20"/>
        <v/>
      </c>
      <c r="Z9" s="504" t="str">
        <f t="shared" si="21"/>
        <v/>
      </c>
      <c r="AA9" s="413" t="str">
        <f t="shared" si="22"/>
        <v/>
      </c>
      <c r="AB9" s="409" t="str">
        <f t="shared" si="23"/>
        <v/>
      </c>
      <c r="AC9" s="409" t="str">
        <f t="shared" si="24"/>
        <v/>
      </c>
      <c r="AD9" s="419" t="str">
        <f t="shared" si="25"/>
        <v/>
      </c>
      <c r="AE9" s="420" t="str">
        <f t="shared" si="26"/>
        <v/>
      </c>
      <c r="AF9" s="504" t="str">
        <f t="shared" si="27"/>
        <v/>
      </c>
      <c r="AG9" s="413" t="str">
        <f t="shared" si="28"/>
        <v/>
      </c>
      <c r="AH9" s="409" t="str">
        <f t="shared" si="29"/>
        <v/>
      </c>
      <c r="AI9" s="409" t="str">
        <f t="shared" si="30"/>
        <v/>
      </c>
      <c r="AJ9" s="419" t="str">
        <f t="shared" si="31"/>
        <v/>
      </c>
      <c r="AK9" s="420" t="str">
        <f t="shared" si="32"/>
        <v/>
      </c>
      <c r="AL9" s="504" t="str">
        <f t="shared" si="33"/>
        <v/>
      </c>
      <c r="AM9" s="413" t="str">
        <f t="shared" si="34"/>
        <v/>
      </c>
      <c r="AN9" s="409" t="str">
        <f t="shared" si="35"/>
        <v/>
      </c>
      <c r="AO9" s="409" t="str">
        <f t="shared" si="36"/>
        <v/>
      </c>
      <c r="AP9" s="419" t="str">
        <f t="shared" si="37"/>
        <v/>
      </c>
      <c r="AQ9" s="420" t="str">
        <f t="shared" si="38"/>
        <v/>
      </c>
      <c r="AR9" s="504" t="str">
        <f t="shared" si="39"/>
        <v/>
      </c>
      <c r="AS9" s="413" t="str">
        <f t="shared" si="40"/>
        <v/>
      </c>
      <c r="AT9" s="409" t="str">
        <f t="shared" si="41"/>
        <v/>
      </c>
      <c r="AU9" s="409" t="str">
        <f t="shared" si="42"/>
        <v/>
      </c>
      <c r="AV9" s="419" t="str">
        <f t="shared" si="43"/>
        <v/>
      </c>
      <c r="AW9" s="420" t="str">
        <f t="shared" si="44"/>
        <v/>
      </c>
      <c r="AX9" s="504" t="str">
        <f t="shared" si="45"/>
        <v/>
      </c>
      <c r="AY9" s="413" t="str">
        <f t="shared" si="46"/>
        <v/>
      </c>
      <c r="AZ9" s="409" t="str">
        <f t="shared" si="47"/>
        <v/>
      </c>
      <c r="BA9" s="409" t="str">
        <f t="shared" si="48"/>
        <v/>
      </c>
      <c r="BB9" s="419" t="str">
        <f t="shared" si="49"/>
        <v/>
      </c>
      <c r="BC9" s="420" t="str">
        <f t="shared" si="50"/>
        <v/>
      </c>
      <c r="BD9" s="504" t="str">
        <f t="shared" si="51"/>
        <v/>
      </c>
      <c r="BE9" s="413" t="str">
        <f t="shared" si="52"/>
        <v/>
      </c>
      <c r="BF9" s="409" t="str">
        <f t="shared" si="53"/>
        <v/>
      </c>
      <c r="BG9" s="409" t="str">
        <f t="shared" si="54"/>
        <v/>
      </c>
      <c r="BH9" s="419" t="str">
        <f t="shared" si="55"/>
        <v/>
      </c>
      <c r="BI9" s="420" t="str">
        <f t="shared" si="56"/>
        <v/>
      </c>
      <c r="BJ9" s="504" t="str">
        <f t="shared" si="57"/>
        <v/>
      </c>
      <c r="BK9" s="413" t="str">
        <f t="shared" si="58"/>
        <v/>
      </c>
      <c r="BL9" s="409" t="str">
        <f t="shared" si="59"/>
        <v/>
      </c>
      <c r="BM9" s="409" t="str">
        <f t="shared" si="60"/>
        <v/>
      </c>
      <c r="BN9" s="419" t="str">
        <f t="shared" si="61"/>
        <v/>
      </c>
      <c r="BO9" s="420" t="str">
        <f t="shared" si="62"/>
        <v/>
      </c>
      <c r="BP9" s="504" t="str">
        <f t="shared" si="63"/>
        <v/>
      </c>
      <c r="BQ9" s="413" t="str">
        <f t="shared" si="64"/>
        <v/>
      </c>
      <c r="BR9" s="413" t="str">
        <f t="shared" si="65"/>
        <v/>
      </c>
      <c r="BS9" s="413" t="str">
        <f t="shared" si="66"/>
        <v/>
      </c>
      <c r="BT9" s="417" t="str">
        <f t="shared" si="67"/>
        <v/>
      </c>
      <c r="BU9" s="418" t="str">
        <f t="shared" si="68"/>
        <v/>
      </c>
    </row>
    <row r="10" spans="1:73" x14ac:dyDescent="0.25">
      <c r="A10" s="506"/>
      <c r="B10" s="504"/>
      <c r="C10" s="505"/>
      <c r="D10" s="505"/>
      <c r="E10" s="413">
        <f t="shared" si="0"/>
        <v>0</v>
      </c>
      <c r="F10" s="417">
        <f t="shared" si="1"/>
        <v>0</v>
      </c>
      <c r="G10" s="418">
        <f t="shared" si="2"/>
        <v>0</v>
      </c>
      <c r="H10" s="504" t="str">
        <f t="shared" si="3"/>
        <v/>
      </c>
      <c r="I10" s="413" t="str">
        <f t="shared" si="4"/>
        <v/>
      </c>
      <c r="J10" s="409" t="str">
        <f t="shared" si="5"/>
        <v/>
      </c>
      <c r="K10" s="413" t="str">
        <f t="shared" si="6"/>
        <v/>
      </c>
      <c r="L10" s="417" t="str">
        <f t="shared" si="7"/>
        <v/>
      </c>
      <c r="M10" s="418" t="str">
        <f t="shared" si="8"/>
        <v/>
      </c>
      <c r="N10" s="504" t="str">
        <f t="shared" si="9"/>
        <v/>
      </c>
      <c r="O10" s="413" t="str">
        <f t="shared" si="10"/>
        <v/>
      </c>
      <c r="P10" s="409" t="str">
        <f t="shared" si="11"/>
        <v/>
      </c>
      <c r="Q10" s="409" t="str">
        <f t="shared" si="12"/>
        <v/>
      </c>
      <c r="R10" s="419" t="str">
        <f t="shared" si="13"/>
        <v/>
      </c>
      <c r="S10" s="420" t="str">
        <f t="shared" si="14"/>
        <v/>
      </c>
      <c r="T10" s="504" t="str">
        <f t="shared" si="15"/>
        <v/>
      </c>
      <c r="U10" s="413" t="str">
        <f t="shared" si="16"/>
        <v/>
      </c>
      <c r="V10" s="409" t="str">
        <f t="shared" si="17"/>
        <v/>
      </c>
      <c r="W10" s="409" t="str">
        <f t="shared" si="18"/>
        <v/>
      </c>
      <c r="X10" s="419" t="str">
        <f t="shared" si="19"/>
        <v/>
      </c>
      <c r="Y10" s="420" t="str">
        <f t="shared" si="20"/>
        <v/>
      </c>
      <c r="Z10" s="504" t="str">
        <f t="shared" si="21"/>
        <v/>
      </c>
      <c r="AA10" s="413" t="str">
        <f t="shared" si="22"/>
        <v/>
      </c>
      <c r="AB10" s="409" t="str">
        <f t="shared" si="23"/>
        <v/>
      </c>
      <c r="AC10" s="409" t="str">
        <f t="shared" si="24"/>
        <v/>
      </c>
      <c r="AD10" s="419" t="str">
        <f t="shared" si="25"/>
        <v/>
      </c>
      <c r="AE10" s="420" t="str">
        <f t="shared" si="26"/>
        <v/>
      </c>
      <c r="AF10" s="504" t="str">
        <f t="shared" si="27"/>
        <v/>
      </c>
      <c r="AG10" s="413" t="str">
        <f t="shared" si="28"/>
        <v/>
      </c>
      <c r="AH10" s="409" t="str">
        <f t="shared" si="29"/>
        <v/>
      </c>
      <c r="AI10" s="409" t="str">
        <f t="shared" si="30"/>
        <v/>
      </c>
      <c r="AJ10" s="419" t="str">
        <f t="shared" si="31"/>
        <v/>
      </c>
      <c r="AK10" s="420" t="str">
        <f t="shared" si="32"/>
        <v/>
      </c>
      <c r="AL10" s="504" t="str">
        <f t="shared" si="33"/>
        <v/>
      </c>
      <c r="AM10" s="413" t="str">
        <f t="shared" si="34"/>
        <v/>
      </c>
      <c r="AN10" s="409" t="str">
        <f t="shared" si="35"/>
        <v/>
      </c>
      <c r="AO10" s="409" t="str">
        <f t="shared" si="36"/>
        <v/>
      </c>
      <c r="AP10" s="419" t="str">
        <f t="shared" si="37"/>
        <v/>
      </c>
      <c r="AQ10" s="420" t="str">
        <f t="shared" si="38"/>
        <v/>
      </c>
      <c r="AR10" s="504" t="str">
        <f t="shared" si="39"/>
        <v/>
      </c>
      <c r="AS10" s="413" t="str">
        <f t="shared" si="40"/>
        <v/>
      </c>
      <c r="AT10" s="409" t="str">
        <f t="shared" si="41"/>
        <v/>
      </c>
      <c r="AU10" s="409" t="str">
        <f t="shared" si="42"/>
        <v/>
      </c>
      <c r="AV10" s="419" t="str">
        <f t="shared" si="43"/>
        <v/>
      </c>
      <c r="AW10" s="420" t="str">
        <f t="shared" si="44"/>
        <v/>
      </c>
      <c r="AX10" s="504" t="str">
        <f t="shared" si="45"/>
        <v/>
      </c>
      <c r="AY10" s="413" t="str">
        <f t="shared" si="46"/>
        <v/>
      </c>
      <c r="AZ10" s="409" t="str">
        <f t="shared" si="47"/>
        <v/>
      </c>
      <c r="BA10" s="409" t="str">
        <f t="shared" si="48"/>
        <v/>
      </c>
      <c r="BB10" s="419" t="str">
        <f t="shared" si="49"/>
        <v/>
      </c>
      <c r="BC10" s="420" t="str">
        <f t="shared" si="50"/>
        <v/>
      </c>
      <c r="BD10" s="504" t="str">
        <f t="shared" si="51"/>
        <v/>
      </c>
      <c r="BE10" s="413" t="str">
        <f t="shared" si="52"/>
        <v/>
      </c>
      <c r="BF10" s="409" t="str">
        <f t="shared" si="53"/>
        <v/>
      </c>
      <c r="BG10" s="409" t="str">
        <f t="shared" si="54"/>
        <v/>
      </c>
      <c r="BH10" s="419" t="str">
        <f t="shared" si="55"/>
        <v/>
      </c>
      <c r="BI10" s="420" t="str">
        <f t="shared" si="56"/>
        <v/>
      </c>
      <c r="BJ10" s="504" t="str">
        <f t="shared" si="57"/>
        <v/>
      </c>
      <c r="BK10" s="413" t="str">
        <f t="shared" si="58"/>
        <v/>
      </c>
      <c r="BL10" s="409" t="str">
        <f t="shared" si="59"/>
        <v/>
      </c>
      <c r="BM10" s="409" t="str">
        <f t="shared" si="60"/>
        <v/>
      </c>
      <c r="BN10" s="419" t="str">
        <f t="shared" si="61"/>
        <v/>
      </c>
      <c r="BO10" s="420" t="str">
        <f t="shared" si="62"/>
        <v/>
      </c>
      <c r="BP10" s="504" t="str">
        <f t="shared" si="63"/>
        <v/>
      </c>
      <c r="BQ10" s="413" t="str">
        <f t="shared" si="64"/>
        <v/>
      </c>
      <c r="BR10" s="413" t="str">
        <f t="shared" si="65"/>
        <v/>
      </c>
      <c r="BS10" s="413" t="str">
        <f t="shared" si="66"/>
        <v/>
      </c>
      <c r="BT10" s="417" t="str">
        <f t="shared" si="67"/>
        <v/>
      </c>
      <c r="BU10" s="418" t="str">
        <f t="shared" si="68"/>
        <v/>
      </c>
    </row>
    <row r="11" spans="1:73" x14ac:dyDescent="0.25">
      <c r="A11" s="506"/>
      <c r="B11" s="504"/>
      <c r="C11" s="505"/>
      <c r="D11" s="505"/>
      <c r="E11" s="413">
        <f t="shared" si="0"/>
        <v>0</v>
      </c>
      <c r="F11" s="417">
        <f t="shared" si="1"/>
        <v>0</v>
      </c>
      <c r="G11" s="418">
        <f t="shared" si="2"/>
        <v>0</v>
      </c>
      <c r="H11" s="504" t="str">
        <f t="shared" si="3"/>
        <v/>
      </c>
      <c r="I11" s="413" t="str">
        <f t="shared" si="4"/>
        <v/>
      </c>
      <c r="J11" s="409" t="str">
        <f t="shared" si="5"/>
        <v/>
      </c>
      <c r="K11" s="413" t="str">
        <f t="shared" si="6"/>
        <v/>
      </c>
      <c r="L11" s="417" t="str">
        <f t="shared" si="7"/>
        <v/>
      </c>
      <c r="M11" s="418" t="str">
        <f t="shared" si="8"/>
        <v/>
      </c>
      <c r="N11" s="504" t="str">
        <f t="shared" si="9"/>
        <v/>
      </c>
      <c r="O11" s="413" t="str">
        <f t="shared" si="10"/>
        <v/>
      </c>
      <c r="P11" s="409" t="str">
        <f t="shared" si="11"/>
        <v/>
      </c>
      <c r="Q11" s="409" t="str">
        <f t="shared" si="12"/>
        <v/>
      </c>
      <c r="R11" s="419" t="str">
        <f t="shared" si="13"/>
        <v/>
      </c>
      <c r="S11" s="420" t="str">
        <f t="shared" si="14"/>
        <v/>
      </c>
      <c r="T11" s="504" t="str">
        <f t="shared" si="15"/>
        <v/>
      </c>
      <c r="U11" s="413" t="str">
        <f t="shared" si="16"/>
        <v/>
      </c>
      <c r="V11" s="409" t="str">
        <f t="shared" si="17"/>
        <v/>
      </c>
      <c r="W11" s="409" t="str">
        <f t="shared" si="18"/>
        <v/>
      </c>
      <c r="X11" s="419" t="str">
        <f t="shared" si="19"/>
        <v/>
      </c>
      <c r="Y11" s="420" t="str">
        <f t="shared" si="20"/>
        <v/>
      </c>
      <c r="Z11" s="504" t="str">
        <f t="shared" si="21"/>
        <v/>
      </c>
      <c r="AA11" s="413" t="str">
        <f t="shared" si="22"/>
        <v/>
      </c>
      <c r="AB11" s="409" t="str">
        <f t="shared" si="23"/>
        <v/>
      </c>
      <c r="AC11" s="409" t="str">
        <f t="shared" si="24"/>
        <v/>
      </c>
      <c r="AD11" s="419" t="str">
        <f t="shared" si="25"/>
        <v/>
      </c>
      <c r="AE11" s="420" t="str">
        <f t="shared" si="26"/>
        <v/>
      </c>
      <c r="AF11" s="504" t="str">
        <f t="shared" si="27"/>
        <v/>
      </c>
      <c r="AG11" s="413" t="str">
        <f t="shared" si="28"/>
        <v/>
      </c>
      <c r="AH11" s="409" t="str">
        <f t="shared" si="29"/>
        <v/>
      </c>
      <c r="AI11" s="409" t="str">
        <f t="shared" si="30"/>
        <v/>
      </c>
      <c r="AJ11" s="419" t="str">
        <f t="shared" si="31"/>
        <v/>
      </c>
      <c r="AK11" s="420" t="str">
        <f t="shared" si="32"/>
        <v/>
      </c>
      <c r="AL11" s="504" t="str">
        <f t="shared" si="33"/>
        <v/>
      </c>
      <c r="AM11" s="413" t="str">
        <f t="shared" si="34"/>
        <v/>
      </c>
      <c r="AN11" s="409" t="str">
        <f t="shared" si="35"/>
        <v/>
      </c>
      <c r="AO11" s="409" t="str">
        <f t="shared" si="36"/>
        <v/>
      </c>
      <c r="AP11" s="419" t="str">
        <f t="shared" si="37"/>
        <v/>
      </c>
      <c r="AQ11" s="420" t="str">
        <f t="shared" si="38"/>
        <v/>
      </c>
      <c r="AR11" s="504" t="str">
        <f t="shared" si="39"/>
        <v/>
      </c>
      <c r="AS11" s="413" t="str">
        <f t="shared" si="40"/>
        <v/>
      </c>
      <c r="AT11" s="409" t="str">
        <f t="shared" si="41"/>
        <v/>
      </c>
      <c r="AU11" s="409" t="str">
        <f t="shared" si="42"/>
        <v/>
      </c>
      <c r="AV11" s="419" t="str">
        <f t="shared" si="43"/>
        <v/>
      </c>
      <c r="AW11" s="420" t="str">
        <f t="shared" si="44"/>
        <v/>
      </c>
      <c r="AX11" s="504" t="str">
        <f t="shared" si="45"/>
        <v/>
      </c>
      <c r="AY11" s="413" t="str">
        <f t="shared" si="46"/>
        <v/>
      </c>
      <c r="AZ11" s="409" t="str">
        <f t="shared" si="47"/>
        <v/>
      </c>
      <c r="BA11" s="409" t="str">
        <f t="shared" si="48"/>
        <v/>
      </c>
      <c r="BB11" s="419" t="str">
        <f t="shared" si="49"/>
        <v/>
      </c>
      <c r="BC11" s="420" t="str">
        <f t="shared" si="50"/>
        <v/>
      </c>
      <c r="BD11" s="504" t="str">
        <f t="shared" si="51"/>
        <v/>
      </c>
      <c r="BE11" s="413" t="str">
        <f t="shared" si="52"/>
        <v/>
      </c>
      <c r="BF11" s="409" t="str">
        <f t="shared" si="53"/>
        <v/>
      </c>
      <c r="BG11" s="409" t="str">
        <f t="shared" si="54"/>
        <v/>
      </c>
      <c r="BH11" s="419" t="str">
        <f t="shared" si="55"/>
        <v/>
      </c>
      <c r="BI11" s="420" t="str">
        <f t="shared" si="56"/>
        <v/>
      </c>
      <c r="BJ11" s="504" t="str">
        <f t="shared" si="57"/>
        <v/>
      </c>
      <c r="BK11" s="413" t="str">
        <f t="shared" si="58"/>
        <v/>
      </c>
      <c r="BL11" s="409" t="str">
        <f t="shared" si="59"/>
        <v/>
      </c>
      <c r="BM11" s="409" t="str">
        <f t="shared" si="60"/>
        <v/>
      </c>
      <c r="BN11" s="419" t="str">
        <f t="shared" si="61"/>
        <v/>
      </c>
      <c r="BO11" s="420" t="str">
        <f t="shared" si="62"/>
        <v/>
      </c>
      <c r="BP11" s="504" t="str">
        <f t="shared" si="63"/>
        <v/>
      </c>
      <c r="BQ11" s="413" t="str">
        <f t="shared" si="64"/>
        <v/>
      </c>
      <c r="BR11" s="413" t="str">
        <f t="shared" si="65"/>
        <v/>
      </c>
      <c r="BS11" s="413" t="str">
        <f t="shared" si="66"/>
        <v/>
      </c>
      <c r="BT11" s="417" t="str">
        <f t="shared" si="67"/>
        <v/>
      </c>
      <c r="BU11" s="418" t="str">
        <f t="shared" si="68"/>
        <v/>
      </c>
    </row>
    <row r="12" spans="1:73" x14ac:dyDescent="0.25">
      <c r="A12" s="506"/>
      <c r="B12" s="504"/>
      <c r="C12" s="505"/>
      <c r="D12" s="505"/>
      <c r="E12" s="413">
        <f t="shared" si="0"/>
        <v>0</v>
      </c>
      <c r="F12" s="417">
        <f t="shared" si="1"/>
        <v>0</v>
      </c>
      <c r="G12" s="418">
        <f t="shared" si="2"/>
        <v>0</v>
      </c>
      <c r="H12" s="504" t="str">
        <f t="shared" si="3"/>
        <v/>
      </c>
      <c r="I12" s="413" t="str">
        <f t="shared" si="4"/>
        <v/>
      </c>
      <c r="J12" s="409" t="str">
        <f t="shared" si="5"/>
        <v/>
      </c>
      <c r="K12" s="413" t="str">
        <f t="shared" si="6"/>
        <v/>
      </c>
      <c r="L12" s="417" t="str">
        <f t="shared" si="7"/>
        <v/>
      </c>
      <c r="M12" s="418" t="str">
        <f t="shared" si="8"/>
        <v/>
      </c>
      <c r="N12" s="504" t="str">
        <f t="shared" si="9"/>
        <v/>
      </c>
      <c r="O12" s="413" t="str">
        <f t="shared" si="10"/>
        <v/>
      </c>
      <c r="P12" s="409" t="str">
        <f t="shared" si="11"/>
        <v/>
      </c>
      <c r="Q12" s="409" t="str">
        <f t="shared" si="12"/>
        <v/>
      </c>
      <c r="R12" s="419" t="str">
        <f t="shared" si="13"/>
        <v/>
      </c>
      <c r="S12" s="420" t="str">
        <f t="shared" si="14"/>
        <v/>
      </c>
      <c r="T12" s="504" t="str">
        <f t="shared" si="15"/>
        <v/>
      </c>
      <c r="U12" s="413" t="str">
        <f t="shared" si="16"/>
        <v/>
      </c>
      <c r="V12" s="409" t="str">
        <f t="shared" si="17"/>
        <v/>
      </c>
      <c r="W12" s="409" t="str">
        <f t="shared" si="18"/>
        <v/>
      </c>
      <c r="X12" s="419" t="str">
        <f t="shared" si="19"/>
        <v/>
      </c>
      <c r="Y12" s="420" t="str">
        <f t="shared" si="20"/>
        <v/>
      </c>
      <c r="Z12" s="504" t="str">
        <f t="shared" si="21"/>
        <v/>
      </c>
      <c r="AA12" s="413" t="str">
        <f t="shared" si="22"/>
        <v/>
      </c>
      <c r="AB12" s="409" t="str">
        <f t="shared" si="23"/>
        <v/>
      </c>
      <c r="AC12" s="409" t="str">
        <f t="shared" si="24"/>
        <v/>
      </c>
      <c r="AD12" s="419" t="str">
        <f t="shared" si="25"/>
        <v/>
      </c>
      <c r="AE12" s="420" t="str">
        <f t="shared" si="26"/>
        <v/>
      </c>
      <c r="AF12" s="504" t="str">
        <f t="shared" si="27"/>
        <v/>
      </c>
      <c r="AG12" s="413" t="str">
        <f t="shared" si="28"/>
        <v/>
      </c>
      <c r="AH12" s="409" t="str">
        <f t="shared" si="29"/>
        <v/>
      </c>
      <c r="AI12" s="409" t="str">
        <f t="shared" si="30"/>
        <v/>
      </c>
      <c r="AJ12" s="419" t="str">
        <f t="shared" si="31"/>
        <v/>
      </c>
      <c r="AK12" s="420" t="str">
        <f t="shared" si="32"/>
        <v/>
      </c>
      <c r="AL12" s="504" t="str">
        <f t="shared" si="33"/>
        <v/>
      </c>
      <c r="AM12" s="413" t="str">
        <f t="shared" si="34"/>
        <v/>
      </c>
      <c r="AN12" s="409" t="str">
        <f t="shared" si="35"/>
        <v/>
      </c>
      <c r="AO12" s="409" t="str">
        <f t="shared" si="36"/>
        <v/>
      </c>
      <c r="AP12" s="419" t="str">
        <f t="shared" si="37"/>
        <v/>
      </c>
      <c r="AQ12" s="420" t="str">
        <f t="shared" si="38"/>
        <v/>
      </c>
      <c r="AR12" s="504" t="str">
        <f t="shared" si="39"/>
        <v/>
      </c>
      <c r="AS12" s="413" t="str">
        <f t="shared" si="40"/>
        <v/>
      </c>
      <c r="AT12" s="409" t="str">
        <f t="shared" si="41"/>
        <v/>
      </c>
      <c r="AU12" s="409" t="str">
        <f t="shared" si="42"/>
        <v/>
      </c>
      <c r="AV12" s="419" t="str">
        <f t="shared" si="43"/>
        <v/>
      </c>
      <c r="AW12" s="420" t="str">
        <f t="shared" si="44"/>
        <v/>
      </c>
      <c r="AX12" s="504" t="str">
        <f t="shared" si="45"/>
        <v/>
      </c>
      <c r="AY12" s="413" t="str">
        <f t="shared" si="46"/>
        <v/>
      </c>
      <c r="AZ12" s="409" t="str">
        <f t="shared" si="47"/>
        <v/>
      </c>
      <c r="BA12" s="409" t="str">
        <f t="shared" si="48"/>
        <v/>
      </c>
      <c r="BB12" s="419" t="str">
        <f t="shared" si="49"/>
        <v/>
      </c>
      <c r="BC12" s="420" t="str">
        <f t="shared" si="50"/>
        <v/>
      </c>
      <c r="BD12" s="504" t="str">
        <f t="shared" si="51"/>
        <v/>
      </c>
      <c r="BE12" s="413" t="str">
        <f t="shared" si="52"/>
        <v/>
      </c>
      <c r="BF12" s="409" t="str">
        <f t="shared" si="53"/>
        <v/>
      </c>
      <c r="BG12" s="409" t="str">
        <f t="shared" si="54"/>
        <v/>
      </c>
      <c r="BH12" s="419" t="str">
        <f t="shared" si="55"/>
        <v/>
      </c>
      <c r="BI12" s="420" t="str">
        <f t="shared" si="56"/>
        <v/>
      </c>
      <c r="BJ12" s="504" t="str">
        <f t="shared" si="57"/>
        <v/>
      </c>
      <c r="BK12" s="413" t="str">
        <f t="shared" si="58"/>
        <v/>
      </c>
      <c r="BL12" s="409" t="str">
        <f t="shared" si="59"/>
        <v/>
      </c>
      <c r="BM12" s="409" t="str">
        <f t="shared" si="60"/>
        <v/>
      </c>
      <c r="BN12" s="419" t="str">
        <f t="shared" si="61"/>
        <v/>
      </c>
      <c r="BO12" s="420" t="str">
        <f t="shared" si="62"/>
        <v/>
      </c>
      <c r="BP12" s="504" t="str">
        <f t="shared" si="63"/>
        <v/>
      </c>
      <c r="BQ12" s="413" t="str">
        <f t="shared" si="64"/>
        <v/>
      </c>
      <c r="BR12" s="413" t="str">
        <f t="shared" si="65"/>
        <v/>
      </c>
      <c r="BS12" s="413" t="str">
        <f t="shared" si="66"/>
        <v/>
      </c>
      <c r="BT12" s="417" t="str">
        <f t="shared" si="67"/>
        <v/>
      </c>
      <c r="BU12" s="418" t="str">
        <f t="shared" si="68"/>
        <v/>
      </c>
    </row>
    <row r="13" spans="1:73" x14ac:dyDescent="0.25">
      <c r="A13" s="506"/>
      <c r="B13" s="504"/>
      <c r="C13" s="505"/>
      <c r="D13" s="505"/>
      <c r="E13" s="413">
        <f t="shared" si="0"/>
        <v>0</v>
      </c>
      <c r="F13" s="417">
        <f t="shared" si="1"/>
        <v>0</v>
      </c>
      <c r="G13" s="418">
        <f t="shared" si="2"/>
        <v>0</v>
      </c>
      <c r="H13" s="504" t="str">
        <f t="shared" si="3"/>
        <v/>
      </c>
      <c r="I13" s="413" t="str">
        <f t="shared" si="4"/>
        <v/>
      </c>
      <c r="J13" s="409" t="str">
        <f t="shared" si="5"/>
        <v/>
      </c>
      <c r="K13" s="413" t="str">
        <f t="shared" si="6"/>
        <v/>
      </c>
      <c r="L13" s="417" t="str">
        <f t="shared" si="7"/>
        <v/>
      </c>
      <c r="M13" s="418" t="str">
        <f t="shared" si="8"/>
        <v/>
      </c>
      <c r="N13" s="504" t="str">
        <f t="shared" si="9"/>
        <v/>
      </c>
      <c r="O13" s="413" t="str">
        <f t="shared" si="10"/>
        <v/>
      </c>
      <c r="P13" s="409" t="str">
        <f t="shared" si="11"/>
        <v/>
      </c>
      <c r="Q13" s="409" t="str">
        <f t="shared" si="12"/>
        <v/>
      </c>
      <c r="R13" s="419" t="str">
        <f t="shared" si="13"/>
        <v/>
      </c>
      <c r="S13" s="420" t="str">
        <f t="shared" si="14"/>
        <v/>
      </c>
      <c r="T13" s="504" t="str">
        <f t="shared" si="15"/>
        <v/>
      </c>
      <c r="U13" s="413" t="str">
        <f t="shared" si="16"/>
        <v/>
      </c>
      <c r="V13" s="409" t="str">
        <f t="shared" si="17"/>
        <v/>
      </c>
      <c r="W13" s="409" t="str">
        <f t="shared" si="18"/>
        <v/>
      </c>
      <c r="X13" s="419" t="str">
        <f t="shared" si="19"/>
        <v/>
      </c>
      <c r="Y13" s="420" t="str">
        <f t="shared" si="20"/>
        <v/>
      </c>
      <c r="Z13" s="504" t="str">
        <f t="shared" si="21"/>
        <v/>
      </c>
      <c r="AA13" s="413" t="str">
        <f t="shared" si="22"/>
        <v/>
      </c>
      <c r="AB13" s="409" t="str">
        <f t="shared" si="23"/>
        <v/>
      </c>
      <c r="AC13" s="409" t="str">
        <f t="shared" si="24"/>
        <v/>
      </c>
      <c r="AD13" s="419" t="str">
        <f t="shared" si="25"/>
        <v/>
      </c>
      <c r="AE13" s="420" t="str">
        <f t="shared" si="26"/>
        <v/>
      </c>
      <c r="AF13" s="504" t="str">
        <f t="shared" si="27"/>
        <v/>
      </c>
      <c r="AG13" s="413" t="str">
        <f t="shared" si="28"/>
        <v/>
      </c>
      <c r="AH13" s="409" t="str">
        <f t="shared" si="29"/>
        <v/>
      </c>
      <c r="AI13" s="409" t="str">
        <f t="shared" si="30"/>
        <v/>
      </c>
      <c r="AJ13" s="419" t="str">
        <f t="shared" si="31"/>
        <v/>
      </c>
      <c r="AK13" s="420" t="str">
        <f t="shared" si="32"/>
        <v/>
      </c>
      <c r="AL13" s="504" t="str">
        <f t="shared" si="33"/>
        <v/>
      </c>
      <c r="AM13" s="413" t="str">
        <f t="shared" si="34"/>
        <v/>
      </c>
      <c r="AN13" s="409" t="str">
        <f t="shared" si="35"/>
        <v/>
      </c>
      <c r="AO13" s="409" t="str">
        <f t="shared" si="36"/>
        <v/>
      </c>
      <c r="AP13" s="419" t="str">
        <f t="shared" si="37"/>
        <v/>
      </c>
      <c r="AQ13" s="420" t="str">
        <f t="shared" si="38"/>
        <v/>
      </c>
      <c r="AR13" s="504" t="str">
        <f t="shared" si="39"/>
        <v/>
      </c>
      <c r="AS13" s="413" t="str">
        <f t="shared" si="40"/>
        <v/>
      </c>
      <c r="AT13" s="409" t="str">
        <f t="shared" si="41"/>
        <v/>
      </c>
      <c r="AU13" s="409" t="str">
        <f t="shared" si="42"/>
        <v/>
      </c>
      <c r="AV13" s="419" t="str">
        <f t="shared" si="43"/>
        <v/>
      </c>
      <c r="AW13" s="420" t="str">
        <f t="shared" si="44"/>
        <v/>
      </c>
      <c r="AX13" s="504" t="str">
        <f t="shared" si="45"/>
        <v/>
      </c>
      <c r="AY13" s="413" t="str">
        <f t="shared" si="46"/>
        <v/>
      </c>
      <c r="AZ13" s="409" t="str">
        <f t="shared" si="47"/>
        <v/>
      </c>
      <c r="BA13" s="409" t="str">
        <f t="shared" si="48"/>
        <v/>
      </c>
      <c r="BB13" s="419" t="str">
        <f t="shared" si="49"/>
        <v/>
      </c>
      <c r="BC13" s="420" t="str">
        <f t="shared" si="50"/>
        <v/>
      </c>
      <c r="BD13" s="504" t="str">
        <f t="shared" si="51"/>
        <v/>
      </c>
      <c r="BE13" s="413" t="str">
        <f t="shared" si="52"/>
        <v/>
      </c>
      <c r="BF13" s="409" t="str">
        <f t="shared" si="53"/>
        <v/>
      </c>
      <c r="BG13" s="409" t="str">
        <f t="shared" si="54"/>
        <v/>
      </c>
      <c r="BH13" s="419" t="str">
        <f t="shared" si="55"/>
        <v/>
      </c>
      <c r="BI13" s="420" t="str">
        <f t="shared" si="56"/>
        <v/>
      </c>
      <c r="BJ13" s="504" t="str">
        <f t="shared" si="57"/>
        <v/>
      </c>
      <c r="BK13" s="413" t="str">
        <f t="shared" si="58"/>
        <v/>
      </c>
      <c r="BL13" s="409" t="str">
        <f t="shared" si="59"/>
        <v/>
      </c>
      <c r="BM13" s="409" t="str">
        <f t="shared" si="60"/>
        <v/>
      </c>
      <c r="BN13" s="419" t="str">
        <f t="shared" si="61"/>
        <v/>
      </c>
      <c r="BO13" s="420" t="str">
        <f t="shared" si="62"/>
        <v/>
      </c>
      <c r="BP13" s="504" t="str">
        <f t="shared" si="63"/>
        <v/>
      </c>
      <c r="BQ13" s="413" t="str">
        <f t="shared" si="64"/>
        <v/>
      </c>
      <c r="BR13" s="413" t="str">
        <f t="shared" si="65"/>
        <v/>
      </c>
      <c r="BS13" s="413" t="str">
        <f t="shared" si="66"/>
        <v/>
      </c>
      <c r="BT13" s="417" t="str">
        <f t="shared" si="67"/>
        <v/>
      </c>
      <c r="BU13" s="418" t="str">
        <f t="shared" si="68"/>
        <v/>
      </c>
    </row>
    <row r="14" spans="1:73" x14ac:dyDescent="0.25">
      <c r="A14" s="506"/>
      <c r="B14" s="504"/>
      <c r="C14" s="505"/>
      <c r="D14" s="505"/>
      <c r="E14" s="413">
        <f t="shared" si="0"/>
        <v>0</v>
      </c>
      <c r="F14" s="417">
        <f t="shared" si="1"/>
        <v>0</v>
      </c>
      <c r="G14" s="418">
        <f t="shared" si="2"/>
        <v>0</v>
      </c>
      <c r="H14" s="504" t="str">
        <f t="shared" si="3"/>
        <v/>
      </c>
      <c r="I14" s="413" t="str">
        <f t="shared" si="4"/>
        <v/>
      </c>
      <c r="J14" s="409" t="str">
        <f t="shared" si="5"/>
        <v/>
      </c>
      <c r="K14" s="413" t="str">
        <f t="shared" si="6"/>
        <v/>
      </c>
      <c r="L14" s="417" t="str">
        <f t="shared" si="7"/>
        <v/>
      </c>
      <c r="M14" s="418" t="str">
        <f t="shared" si="8"/>
        <v/>
      </c>
      <c r="N14" s="504" t="str">
        <f t="shared" si="9"/>
        <v/>
      </c>
      <c r="O14" s="413" t="str">
        <f t="shared" si="10"/>
        <v/>
      </c>
      <c r="P14" s="409" t="str">
        <f t="shared" si="11"/>
        <v/>
      </c>
      <c r="Q14" s="409" t="str">
        <f t="shared" si="12"/>
        <v/>
      </c>
      <c r="R14" s="419" t="str">
        <f t="shared" si="13"/>
        <v/>
      </c>
      <c r="S14" s="420" t="str">
        <f t="shared" si="14"/>
        <v/>
      </c>
      <c r="T14" s="504" t="str">
        <f t="shared" si="15"/>
        <v/>
      </c>
      <c r="U14" s="413" t="str">
        <f t="shared" si="16"/>
        <v/>
      </c>
      <c r="V14" s="409" t="str">
        <f t="shared" si="17"/>
        <v/>
      </c>
      <c r="W14" s="409" t="str">
        <f t="shared" si="18"/>
        <v/>
      </c>
      <c r="X14" s="419" t="str">
        <f t="shared" si="19"/>
        <v/>
      </c>
      <c r="Y14" s="420" t="str">
        <f t="shared" si="20"/>
        <v/>
      </c>
      <c r="Z14" s="504" t="str">
        <f t="shared" si="21"/>
        <v/>
      </c>
      <c r="AA14" s="413" t="str">
        <f t="shared" si="22"/>
        <v/>
      </c>
      <c r="AB14" s="409" t="str">
        <f t="shared" si="23"/>
        <v/>
      </c>
      <c r="AC14" s="409" t="str">
        <f t="shared" si="24"/>
        <v/>
      </c>
      <c r="AD14" s="419" t="str">
        <f t="shared" si="25"/>
        <v/>
      </c>
      <c r="AE14" s="420" t="str">
        <f t="shared" si="26"/>
        <v/>
      </c>
      <c r="AF14" s="504" t="str">
        <f t="shared" si="27"/>
        <v/>
      </c>
      <c r="AG14" s="413" t="str">
        <f t="shared" si="28"/>
        <v/>
      </c>
      <c r="AH14" s="409" t="str">
        <f t="shared" si="29"/>
        <v/>
      </c>
      <c r="AI14" s="409" t="str">
        <f t="shared" si="30"/>
        <v/>
      </c>
      <c r="AJ14" s="419" t="str">
        <f t="shared" si="31"/>
        <v/>
      </c>
      <c r="AK14" s="420" t="str">
        <f t="shared" si="32"/>
        <v/>
      </c>
      <c r="AL14" s="504" t="str">
        <f t="shared" si="33"/>
        <v/>
      </c>
      <c r="AM14" s="413" t="str">
        <f t="shared" si="34"/>
        <v/>
      </c>
      <c r="AN14" s="409" t="str">
        <f t="shared" si="35"/>
        <v/>
      </c>
      <c r="AO14" s="409" t="str">
        <f t="shared" si="36"/>
        <v/>
      </c>
      <c r="AP14" s="419" t="str">
        <f t="shared" si="37"/>
        <v/>
      </c>
      <c r="AQ14" s="420" t="str">
        <f t="shared" si="38"/>
        <v/>
      </c>
      <c r="AR14" s="504" t="str">
        <f t="shared" si="39"/>
        <v/>
      </c>
      <c r="AS14" s="413" t="str">
        <f t="shared" si="40"/>
        <v/>
      </c>
      <c r="AT14" s="409" t="str">
        <f t="shared" si="41"/>
        <v/>
      </c>
      <c r="AU14" s="409" t="str">
        <f t="shared" si="42"/>
        <v/>
      </c>
      <c r="AV14" s="419" t="str">
        <f t="shared" si="43"/>
        <v/>
      </c>
      <c r="AW14" s="420" t="str">
        <f t="shared" si="44"/>
        <v/>
      </c>
      <c r="AX14" s="504" t="str">
        <f t="shared" si="45"/>
        <v/>
      </c>
      <c r="AY14" s="413" t="str">
        <f t="shared" si="46"/>
        <v/>
      </c>
      <c r="AZ14" s="409" t="str">
        <f t="shared" si="47"/>
        <v/>
      </c>
      <c r="BA14" s="409" t="str">
        <f t="shared" si="48"/>
        <v/>
      </c>
      <c r="BB14" s="419" t="str">
        <f t="shared" si="49"/>
        <v/>
      </c>
      <c r="BC14" s="420" t="str">
        <f t="shared" si="50"/>
        <v/>
      </c>
      <c r="BD14" s="504" t="str">
        <f t="shared" si="51"/>
        <v/>
      </c>
      <c r="BE14" s="413" t="str">
        <f t="shared" si="52"/>
        <v/>
      </c>
      <c r="BF14" s="409" t="str">
        <f t="shared" si="53"/>
        <v/>
      </c>
      <c r="BG14" s="409" t="str">
        <f t="shared" si="54"/>
        <v/>
      </c>
      <c r="BH14" s="419" t="str">
        <f t="shared" si="55"/>
        <v/>
      </c>
      <c r="BI14" s="420" t="str">
        <f t="shared" si="56"/>
        <v/>
      </c>
      <c r="BJ14" s="504" t="str">
        <f t="shared" si="57"/>
        <v/>
      </c>
      <c r="BK14" s="413" t="str">
        <f t="shared" si="58"/>
        <v/>
      </c>
      <c r="BL14" s="409" t="str">
        <f t="shared" si="59"/>
        <v/>
      </c>
      <c r="BM14" s="409" t="str">
        <f t="shared" si="60"/>
        <v/>
      </c>
      <c r="BN14" s="419" t="str">
        <f t="shared" si="61"/>
        <v/>
      </c>
      <c r="BO14" s="420" t="str">
        <f t="shared" si="62"/>
        <v/>
      </c>
      <c r="BP14" s="504" t="str">
        <f t="shared" si="63"/>
        <v/>
      </c>
      <c r="BQ14" s="413" t="str">
        <f t="shared" si="64"/>
        <v/>
      </c>
      <c r="BR14" s="413" t="str">
        <f t="shared" si="65"/>
        <v/>
      </c>
      <c r="BS14" s="413" t="str">
        <f t="shared" si="66"/>
        <v/>
      </c>
      <c r="BT14" s="417" t="str">
        <f t="shared" si="67"/>
        <v/>
      </c>
      <c r="BU14" s="418" t="str">
        <f t="shared" si="68"/>
        <v/>
      </c>
    </row>
    <row r="15" spans="1:73" x14ac:dyDescent="0.25">
      <c r="A15" s="506"/>
      <c r="B15" s="504"/>
      <c r="C15" s="505"/>
      <c r="D15" s="505"/>
      <c r="E15" s="413">
        <f t="shared" si="0"/>
        <v>0</v>
      </c>
      <c r="F15" s="417">
        <f t="shared" si="1"/>
        <v>0</v>
      </c>
      <c r="G15" s="418">
        <f t="shared" si="2"/>
        <v>0</v>
      </c>
      <c r="H15" s="504" t="str">
        <f t="shared" si="3"/>
        <v/>
      </c>
      <c r="I15" s="413" t="str">
        <f t="shared" si="4"/>
        <v/>
      </c>
      <c r="J15" s="409" t="str">
        <f t="shared" si="5"/>
        <v/>
      </c>
      <c r="K15" s="413" t="str">
        <f t="shared" si="6"/>
        <v/>
      </c>
      <c r="L15" s="417" t="str">
        <f t="shared" si="7"/>
        <v/>
      </c>
      <c r="M15" s="418" t="str">
        <f t="shared" si="8"/>
        <v/>
      </c>
      <c r="N15" s="504" t="str">
        <f t="shared" si="9"/>
        <v/>
      </c>
      <c r="O15" s="413" t="str">
        <f t="shared" si="10"/>
        <v/>
      </c>
      <c r="P15" s="409" t="str">
        <f t="shared" si="11"/>
        <v/>
      </c>
      <c r="Q15" s="409" t="str">
        <f t="shared" si="12"/>
        <v/>
      </c>
      <c r="R15" s="419" t="str">
        <f t="shared" si="13"/>
        <v/>
      </c>
      <c r="S15" s="420" t="str">
        <f t="shared" si="14"/>
        <v/>
      </c>
      <c r="T15" s="504" t="str">
        <f t="shared" si="15"/>
        <v/>
      </c>
      <c r="U15" s="413" t="str">
        <f t="shared" si="16"/>
        <v/>
      </c>
      <c r="V15" s="409" t="str">
        <f t="shared" si="17"/>
        <v/>
      </c>
      <c r="W15" s="409" t="str">
        <f t="shared" si="18"/>
        <v/>
      </c>
      <c r="X15" s="419" t="str">
        <f t="shared" si="19"/>
        <v/>
      </c>
      <c r="Y15" s="420" t="str">
        <f t="shared" si="20"/>
        <v/>
      </c>
      <c r="Z15" s="504" t="str">
        <f t="shared" si="21"/>
        <v/>
      </c>
      <c r="AA15" s="413" t="str">
        <f t="shared" si="22"/>
        <v/>
      </c>
      <c r="AB15" s="409" t="str">
        <f t="shared" si="23"/>
        <v/>
      </c>
      <c r="AC15" s="409" t="str">
        <f t="shared" si="24"/>
        <v/>
      </c>
      <c r="AD15" s="419" t="str">
        <f t="shared" si="25"/>
        <v/>
      </c>
      <c r="AE15" s="420" t="str">
        <f t="shared" si="26"/>
        <v/>
      </c>
      <c r="AF15" s="504" t="str">
        <f t="shared" si="27"/>
        <v/>
      </c>
      <c r="AG15" s="413" t="str">
        <f t="shared" si="28"/>
        <v/>
      </c>
      <c r="AH15" s="409" t="str">
        <f t="shared" si="29"/>
        <v/>
      </c>
      <c r="AI15" s="409" t="str">
        <f t="shared" si="30"/>
        <v/>
      </c>
      <c r="AJ15" s="419" t="str">
        <f t="shared" si="31"/>
        <v/>
      </c>
      <c r="AK15" s="420" t="str">
        <f t="shared" si="32"/>
        <v/>
      </c>
      <c r="AL15" s="504" t="str">
        <f t="shared" si="33"/>
        <v/>
      </c>
      <c r="AM15" s="413" t="str">
        <f t="shared" si="34"/>
        <v/>
      </c>
      <c r="AN15" s="409" t="str">
        <f t="shared" si="35"/>
        <v/>
      </c>
      <c r="AO15" s="409" t="str">
        <f t="shared" si="36"/>
        <v/>
      </c>
      <c r="AP15" s="419" t="str">
        <f t="shared" si="37"/>
        <v/>
      </c>
      <c r="AQ15" s="420" t="str">
        <f t="shared" si="38"/>
        <v/>
      </c>
      <c r="AR15" s="504" t="str">
        <f t="shared" si="39"/>
        <v/>
      </c>
      <c r="AS15" s="413" t="str">
        <f t="shared" si="40"/>
        <v/>
      </c>
      <c r="AT15" s="409" t="str">
        <f t="shared" si="41"/>
        <v/>
      </c>
      <c r="AU15" s="409" t="str">
        <f t="shared" si="42"/>
        <v/>
      </c>
      <c r="AV15" s="419" t="str">
        <f t="shared" si="43"/>
        <v/>
      </c>
      <c r="AW15" s="420" t="str">
        <f t="shared" si="44"/>
        <v/>
      </c>
      <c r="AX15" s="504" t="str">
        <f t="shared" si="45"/>
        <v/>
      </c>
      <c r="AY15" s="413" t="str">
        <f t="shared" si="46"/>
        <v/>
      </c>
      <c r="AZ15" s="409" t="str">
        <f t="shared" si="47"/>
        <v/>
      </c>
      <c r="BA15" s="409" t="str">
        <f t="shared" si="48"/>
        <v/>
      </c>
      <c r="BB15" s="419" t="str">
        <f t="shared" si="49"/>
        <v/>
      </c>
      <c r="BC15" s="420" t="str">
        <f t="shared" si="50"/>
        <v/>
      </c>
      <c r="BD15" s="504" t="str">
        <f t="shared" si="51"/>
        <v/>
      </c>
      <c r="BE15" s="413" t="str">
        <f t="shared" si="52"/>
        <v/>
      </c>
      <c r="BF15" s="409" t="str">
        <f t="shared" si="53"/>
        <v/>
      </c>
      <c r="BG15" s="409" t="str">
        <f t="shared" si="54"/>
        <v/>
      </c>
      <c r="BH15" s="419" t="str">
        <f t="shared" si="55"/>
        <v/>
      </c>
      <c r="BI15" s="420" t="str">
        <f t="shared" si="56"/>
        <v/>
      </c>
      <c r="BJ15" s="504" t="str">
        <f t="shared" si="57"/>
        <v/>
      </c>
      <c r="BK15" s="413" t="str">
        <f t="shared" si="58"/>
        <v/>
      </c>
      <c r="BL15" s="409" t="str">
        <f t="shared" si="59"/>
        <v/>
      </c>
      <c r="BM15" s="409" t="str">
        <f t="shared" si="60"/>
        <v/>
      </c>
      <c r="BN15" s="419" t="str">
        <f t="shared" si="61"/>
        <v/>
      </c>
      <c r="BO15" s="420" t="str">
        <f t="shared" si="62"/>
        <v/>
      </c>
      <c r="BP15" s="504" t="str">
        <f t="shared" si="63"/>
        <v/>
      </c>
      <c r="BQ15" s="413" t="str">
        <f t="shared" si="64"/>
        <v/>
      </c>
      <c r="BR15" s="413" t="str">
        <f t="shared" si="65"/>
        <v/>
      </c>
      <c r="BS15" s="413" t="str">
        <f t="shared" si="66"/>
        <v/>
      </c>
      <c r="BT15" s="417" t="str">
        <f t="shared" si="67"/>
        <v/>
      </c>
      <c r="BU15" s="418" t="str">
        <f t="shared" si="68"/>
        <v/>
      </c>
    </row>
    <row r="16" spans="1:73" x14ac:dyDescent="0.25">
      <c r="A16" s="506"/>
      <c r="B16" s="504"/>
      <c r="C16" s="505"/>
      <c r="D16" s="505"/>
      <c r="E16" s="413">
        <f t="shared" si="0"/>
        <v>0</v>
      </c>
      <c r="F16" s="417">
        <f t="shared" si="1"/>
        <v>0</v>
      </c>
      <c r="G16" s="418">
        <f t="shared" si="2"/>
        <v>0</v>
      </c>
      <c r="H16" s="504" t="str">
        <f t="shared" si="3"/>
        <v/>
      </c>
      <c r="I16" s="413" t="str">
        <f t="shared" si="4"/>
        <v/>
      </c>
      <c r="J16" s="409" t="str">
        <f t="shared" si="5"/>
        <v/>
      </c>
      <c r="K16" s="413" t="str">
        <f t="shared" si="6"/>
        <v/>
      </c>
      <c r="L16" s="417" t="str">
        <f t="shared" si="7"/>
        <v/>
      </c>
      <c r="M16" s="418" t="str">
        <f t="shared" si="8"/>
        <v/>
      </c>
      <c r="N16" s="504" t="str">
        <f t="shared" si="9"/>
        <v/>
      </c>
      <c r="O16" s="413" t="str">
        <f t="shared" si="10"/>
        <v/>
      </c>
      <c r="P16" s="409" t="str">
        <f t="shared" si="11"/>
        <v/>
      </c>
      <c r="Q16" s="409" t="str">
        <f t="shared" si="12"/>
        <v/>
      </c>
      <c r="R16" s="419" t="str">
        <f t="shared" si="13"/>
        <v/>
      </c>
      <c r="S16" s="420" t="str">
        <f t="shared" si="14"/>
        <v/>
      </c>
      <c r="T16" s="504" t="str">
        <f t="shared" si="15"/>
        <v/>
      </c>
      <c r="U16" s="413" t="str">
        <f t="shared" si="16"/>
        <v/>
      </c>
      <c r="V16" s="409" t="str">
        <f t="shared" si="17"/>
        <v/>
      </c>
      <c r="W16" s="409" t="str">
        <f t="shared" si="18"/>
        <v/>
      </c>
      <c r="X16" s="419" t="str">
        <f t="shared" si="19"/>
        <v/>
      </c>
      <c r="Y16" s="420" t="str">
        <f t="shared" si="20"/>
        <v/>
      </c>
      <c r="Z16" s="504" t="str">
        <f t="shared" si="21"/>
        <v/>
      </c>
      <c r="AA16" s="413" t="str">
        <f t="shared" si="22"/>
        <v/>
      </c>
      <c r="AB16" s="409" t="str">
        <f t="shared" si="23"/>
        <v/>
      </c>
      <c r="AC16" s="409" t="str">
        <f t="shared" si="24"/>
        <v/>
      </c>
      <c r="AD16" s="419" t="str">
        <f t="shared" si="25"/>
        <v/>
      </c>
      <c r="AE16" s="420" t="str">
        <f t="shared" si="26"/>
        <v/>
      </c>
      <c r="AF16" s="504" t="str">
        <f t="shared" si="27"/>
        <v/>
      </c>
      <c r="AG16" s="413" t="str">
        <f t="shared" si="28"/>
        <v/>
      </c>
      <c r="AH16" s="409" t="str">
        <f t="shared" si="29"/>
        <v/>
      </c>
      <c r="AI16" s="409" t="str">
        <f t="shared" si="30"/>
        <v/>
      </c>
      <c r="AJ16" s="419" t="str">
        <f t="shared" si="31"/>
        <v/>
      </c>
      <c r="AK16" s="420" t="str">
        <f t="shared" si="32"/>
        <v/>
      </c>
      <c r="AL16" s="504" t="str">
        <f t="shared" si="33"/>
        <v/>
      </c>
      <c r="AM16" s="413" t="str">
        <f t="shared" si="34"/>
        <v/>
      </c>
      <c r="AN16" s="409" t="str">
        <f t="shared" si="35"/>
        <v/>
      </c>
      <c r="AO16" s="409" t="str">
        <f t="shared" si="36"/>
        <v/>
      </c>
      <c r="AP16" s="419" t="str">
        <f t="shared" si="37"/>
        <v/>
      </c>
      <c r="AQ16" s="420" t="str">
        <f t="shared" si="38"/>
        <v/>
      </c>
      <c r="AR16" s="504" t="str">
        <f t="shared" si="39"/>
        <v/>
      </c>
      <c r="AS16" s="413" t="str">
        <f t="shared" si="40"/>
        <v/>
      </c>
      <c r="AT16" s="409" t="str">
        <f t="shared" si="41"/>
        <v/>
      </c>
      <c r="AU16" s="409" t="str">
        <f t="shared" si="42"/>
        <v/>
      </c>
      <c r="AV16" s="419" t="str">
        <f t="shared" si="43"/>
        <v/>
      </c>
      <c r="AW16" s="420" t="str">
        <f t="shared" si="44"/>
        <v/>
      </c>
      <c r="AX16" s="504" t="str">
        <f t="shared" si="45"/>
        <v/>
      </c>
      <c r="AY16" s="413" t="str">
        <f t="shared" si="46"/>
        <v/>
      </c>
      <c r="AZ16" s="409" t="str">
        <f t="shared" si="47"/>
        <v/>
      </c>
      <c r="BA16" s="409" t="str">
        <f t="shared" si="48"/>
        <v/>
      </c>
      <c r="BB16" s="419" t="str">
        <f t="shared" si="49"/>
        <v/>
      </c>
      <c r="BC16" s="420" t="str">
        <f t="shared" si="50"/>
        <v/>
      </c>
      <c r="BD16" s="504" t="str">
        <f t="shared" si="51"/>
        <v/>
      </c>
      <c r="BE16" s="413" t="str">
        <f t="shared" si="52"/>
        <v/>
      </c>
      <c r="BF16" s="409" t="str">
        <f t="shared" si="53"/>
        <v/>
      </c>
      <c r="BG16" s="409" t="str">
        <f t="shared" si="54"/>
        <v/>
      </c>
      <c r="BH16" s="419" t="str">
        <f t="shared" si="55"/>
        <v/>
      </c>
      <c r="BI16" s="420" t="str">
        <f t="shared" si="56"/>
        <v/>
      </c>
      <c r="BJ16" s="504" t="str">
        <f t="shared" si="57"/>
        <v/>
      </c>
      <c r="BK16" s="413" t="str">
        <f t="shared" si="58"/>
        <v/>
      </c>
      <c r="BL16" s="409" t="str">
        <f t="shared" si="59"/>
        <v/>
      </c>
      <c r="BM16" s="409" t="str">
        <f t="shared" si="60"/>
        <v/>
      </c>
      <c r="BN16" s="419" t="str">
        <f t="shared" si="61"/>
        <v/>
      </c>
      <c r="BO16" s="420" t="str">
        <f t="shared" si="62"/>
        <v/>
      </c>
      <c r="BP16" s="504" t="str">
        <f t="shared" si="63"/>
        <v/>
      </c>
      <c r="BQ16" s="413" t="str">
        <f t="shared" si="64"/>
        <v/>
      </c>
      <c r="BR16" s="413" t="str">
        <f t="shared" si="65"/>
        <v/>
      </c>
      <c r="BS16" s="413" t="str">
        <f t="shared" si="66"/>
        <v/>
      </c>
      <c r="BT16" s="417" t="str">
        <f t="shared" si="67"/>
        <v/>
      </c>
      <c r="BU16" s="418" t="str">
        <f t="shared" si="68"/>
        <v/>
      </c>
    </row>
    <row r="17" spans="1:73" x14ac:dyDescent="0.25">
      <c r="A17" s="506"/>
      <c r="B17" s="504"/>
      <c r="C17" s="505"/>
      <c r="D17" s="505"/>
      <c r="E17" s="413">
        <f t="shared" si="0"/>
        <v>0</v>
      </c>
      <c r="F17" s="417">
        <f t="shared" si="1"/>
        <v>0</v>
      </c>
      <c r="G17" s="418">
        <f t="shared" si="2"/>
        <v>0</v>
      </c>
      <c r="H17" s="504" t="str">
        <f t="shared" si="3"/>
        <v/>
      </c>
      <c r="I17" s="413" t="str">
        <f t="shared" si="4"/>
        <v/>
      </c>
      <c r="J17" s="409" t="str">
        <f t="shared" si="5"/>
        <v/>
      </c>
      <c r="K17" s="413" t="str">
        <f t="shared" si="6"/>
        <v/>
      </c>
      <c r="L17" s="417" t="str">
        <f t="shared" si="7"/>
        <v/>
      </c>
      <c r="M17" s="418" t="str">
        <f t="shared" si="8"/>
        <v/>
      </c>
      <c r="N17" s="504" t="str">
        <f t="shared" si="9"/>
        <v/>
      </c>
      <c r="O17" s="413" t="str">
        <f t="shared" si="10"/>
        <v/>
      </c>
      <c r="P17" s="409" t="str">
        <f t="shared" si="11"/>
        <v/>
      </c>
      <c r="Q17" s="409" t="str">
        <f t="shared" si="12"/>
        <v/>
      </c>
      <c r="R17" s="419" t="str">
        <f t="shared" si="13"/>
        <v/>
      </c>
      <c r="S17" s="420" t="str">
        <f t="shared" si="14"/>
        <v/>
      </c>
      <c r="T17" s="504" t="str">
        <f t="shared" si="15"/>
        <v/>
      </c>
      <c r="U17" s="413" t="str">
        <f t="shared" si="16"/>
        <v/>
      </c>
      <c r="V17" s="409" t="str">
        <f t="shared" si="17"/>
        <v/>
      </c>
      <c r="W17" s="409" t="str">
        <f t="shared" si="18"/>
        <v/>
      </c>
      <c r="X17" s="419" t="str">
        <f t="shared" si="19"/>
        <v/>
      </c>
      <c r="Y17" s="420" t="str">
        <f t="shared" si="20"/>
        <v/>
      </c>
      <c r="Z17" s="504" t="str">
        <f t="shared" si="21"/>
        <v/>
      </c>
      <c r="AA17" s="413" t="str">
        <f t="shared" si="22"/>
        <v/>
      </c>
      <c r="AB17" s="409" t="str">
        <f t="shared" si="23"/>
        <v/>
      </c>
      <c r="AC17" s="409" t="str">
        <f t="shared" si="24"/>
        <v/>
      </c>
      <c r="AD17" s="419" t="str">
        <f t="shared" si="25"/>
        <v/>
      </c>
      <c r="AE17" s="420" t="str">
        <f t="shared" si="26"/>
        <v/>
      </c>
      <c r="AF17" s="504" t="str">
        <f t="shared" si="27"/>
        <v/>
      </c>
      <c r="AG17" s="413" t="str">
        <f t="shared" si="28"/>
        <v/>
      </c>
      <c r="AH17" s="409" t="str">
        <f t="shared" si="29"/>
        <v/>
      </c>
      <c r="AI17" s="409" t="str">
        <f t="shared" si="30"/>
        <v/>
      </c>
      <c r="AJ17" s="419" t="str">
        <f t="shared" si="31"/>
        <v/>
      </c>
      <c r="AK17" s="420" t="str">
        <f t="shared" si="32"/>
        <v/>
      </c>
      <c r="AL17" s="504" t="str">
        <f t="shared" si="33"/>
        <v/>
      </c>
      <c r="AM17" s="413" t="str">
        <f t="shared" si="34"/>
        <v/>
      </c>
      <c r="AN17" s="409" t="str">
        <f t="shared" si="35"/>
        <v/>
      </c>
      <c r="AO17" s="409" t="str">
        <f t="shared" si="36"/>
        <v/>
      </c>
      <c r="AP17" s="419" t="str">
        <f t="shared" si="37"/>
        <v/>
      </c>
      <c r="AQ17" s="420" t="str">
        <f t="shared" si="38"/>
        <v/>
      </c>
      <c r="AR17" s="504" t="str">
        <f t="shared" si="39"/>
        <v/>
      </c>
      <c r="AS17" s="413" t="str">
        <f t="shared" si="40"/>
        <v/>
      </c>
      <c r="AT17" s="409" t="str">
        <f t="shared" si="41"/>
        <v/>
      </c>
      <c r="AU17" s="409" t="str">
        <f t="shared" si="42"/>
        <v/>
      </c>
      <c r="AV17" s="419" t="str">
        <f t="shared" si="43"/>
        <v/>
      </c>
      <c r="AW17" s="420" t="str">
        <f t="shared" si="44"/>
        <v/>
      </c>
      <c r="AX17" s="504" t="str">
        <f t="shared" si="45"/>
        <v/>
      </c>
      <c r="AY17" s="413" t="str">
        <f t="shared" si="46"/>
        <v/>
      </c>
      <c r="AZ17" s="409" t="str">
        <f t="shared" si="47"/>
        <v/>
      </c>
      <c r="BA17" s="409" t="str">
        <f t="shared" si="48"/>
        <v/>
      </c>
      <c r="BB17" s="419" t="str">
        <f t="shared" si="49"/>
        <v/>
      </c>
      <c r="BC17" s="420" t="str">
        <f t="shared" si="50"/>
        <v/>
      </c>
      <c r="BD17" s="504" t="str">
        <f t="shared" si="51"/>
        <v/>
      </c>
      <c r="BE17" s="413" t="str">
        <f t="shared" si="52"/>
        <v/>
      </c>
      <c r="BF17" s="409" t="str">
        <f t="shared" si="53"/>
        <v/>
      </c>
      <c r="BG17" s="409" t="str">
        <f t="shared" si="54"/>
        <v/>
      </c>
      <c r="BH17" s="419" t="str">
        <f t="shared" si="55"/>
        <v/>
      </c>
      <c r="BI17" s="420" t="str">
        <f t="shared" si="56"/>
        <v/>
      </c>
      <c r="BJ17" s="504" t="str">
        <f t="shared" si="57"/>
        <v/>
      </c>
      <c r="BK17" s="413" t="str">
        <f t="shared" si="58"/>
        <v/>
      </c>
      <c r="BL17" s="409" t="str">
        <f t="shared" si="59"/>
        <v/>
      </c>
      <c r="BM17" s="409" t="str">
        <f t="shared" si="60"/>
        <v/>
      </c>
      <c r="BN17" s="419" t="str">
        <f t="shared" si="61"/>
        <v/>
      </c>
      <c r="BO17" s="420" t="str">
        <f t="shared" si="62"/>
        <v/>
      </c>
      <c r="BP17" s="504" t="str">
        <f t="shared" si="63"/>
        <v/>
      </c>
      <c r="BQ17" s="413" t="str">
        <f t="shared" si="64"/>
        <v/>
      </c>
      <c r="BR17" s="413" t="str">
        <f t="shared" si="65"/>
        <v/>
      </c>
      <c r="BS17" s="413" t="str">
        <f t="shared" si="66"/>
        <v/>
      </c>
      <c r="BT17" s="417" t="str">
        <f t="shared" si="67"/>
        <v/>
      </c>
      <c r="BU17" s="418" t="str">
        <f t="shared" si="68"/>
        <v/>
      </c>
    </row>
    <row r="18" spans="1:73" x14ac:dyDescent="0.25">
      <c r="A18" s="506"/>
      <c r="B18" s="504"/>
      <c r="C18" s="505"/>
      <c r="D18" s="505"/>
      <c r="E18" s="413">
        <f t="shared" si="0"/>
        <v>0</v>
      </c>
      <c r="F18" s="417">
        <f t="shared" si="1"/>
        <v>0</v>
      </c>
      <c r="G18" s="418">
        <f t="shared" si="2"/>
        <v>0</v>
      </c>
      <c r="H18" s="504" t="str">
        <f t="shared" si="3"/>
        <v/>
      </c>
      <c r="I18" s="413" t="str">
        <f t="shared" si="4"/>
        <v/>
      </c>
      <c r="J18" s="409" t="str">
        <f t="shared" si="5"/>
        <v/>
      </c>
      <c r="K18" s="413" t="str">
        <f t="shared" si="6"/>
        <v/>
      </c>
      <c r="L18" s="417" t="str">
        <f t="shared" si="7"/>
        <v/>
      </c>
      <c r="M18" s="418" t="str">
        <f t="shared" si="8"/>
        <v/>
      </c>
      <c r="N18" s="504" t="str">
        <f t="shared" si="9"/>
        <v/>
      </c>
      <c r="O18" s="413" t="str">
        <f t="shared" si="10"/>
        <v/>
      </c>
      <c r="P18" s="409" t="str">
        <f t="shared" si="11"/>
        <v/>
      </c>
      <c r="Q18" s="409" t="str">
        <f t="shared" si="12"/>
        <v/>
      </c>
      <c r="R18" s="419" t="str">
        <f t="shared" si="13"/>
        <v/>
      </c>
      <c r="S18" s="420" t="str">
        <f t="shared" si="14"/>
        <v/>
      </c>
      <c r="T18" s="504" t="str">
        <f t="shared" si="15"/>
        <v/>
      </c>
      <c r="U18" s="413" t="str">
        <f t="shared" si="16"/>
        <v/>
      </c>
      <c r="V18" s="409" t="str">
        <f t="shared" si="17"/>
        <v/>
      </c>
      <c r="W18" s="409" t="str">
        <f t="shared" si="18"/>
        <v/>
      </c>
      <c r="X18" s="419" t="str">
        <f t="shared" si="19"/>
        <v/>
      </c>
      <c r="Y18" s="420" t="str">
        <f t="shared" si="20"/>
        <v/>
      </c>
      <c r="Z18" s="504" t="str">
        <f t="shared" si="21"/>
        <v/>
      </c>
      <c r="AA18" s="413" t="str">
        <f t="shared" si="22"/>
        <v/>
      </c>
      <c r="AB18" s="409" t="str">
        <f t="shared" si="23"/>
        <v/>
      </c>
      <c r="AC18" s="409" t="str">
        <f t="shared" si="24"/>
        <v/>
      </c>
      <c r="AD18" s="419" t="str">
        <f t="shared" si="25"/>
        <v/>
      </c>
      <c r="AE18" s="420" t="str">
        <f t="shared" si="26"/>
        <v/>
      </c>
      <c r="AF18" s="504" t="str">
        <f t="shared" si="27"/>
        <v/>
      </c>
      <c r="AG18" s="413" t="str">
        <f t="shared" si="28"/>
        <v/>
      </c>
      <c r="AH18" s="409" t="str">
        <f t="shared" si="29"/>
        <v/>
      </c>
      <c r="AI18" s="409" t="str">
        <f t="shared" si="30"/>
        <v/>
      </c>
      <c r="AJ18" s="419" t="str">
        <f t="shared" si="31"/>
        <v/>
      </c>
      <c r="AK18" s="420" t="str">
        <f t="shared" si="32"/>
        <v/>
      </c>
      <c r="AL18" s="504" t="str">
        <f t="shared" si="33"/>
        <v/>
      </c>
      <c r="AM18" s="413" t="str">
        <f t="shared" si="34"/>
        <v/>
      </c>
      <c r="AN18" s="409" t="str">
        <f t="shared" si="35"/>
        <v/>
      </c>
      <c r="AO18" s="409" t="str">
        <f t="shared" si="36"/>
        <v/>
      </c>
      <c r="AP18" s="419" t="str">
        <f t="shared" si="37"/>
        <v/>
      </c>
      <c r="AQ18" s="420" t="str">
        <f t="shared" si="38"/>
        <v/>
      </c>
      <c r="AR18" s="504" t="str">
        <f t="shared" si="39"/>
        <v/>
      </c>
      <c r="AS18" s="413" t="str">
        <f t="shared" si="40"/>
        <v/>
      </c>
      <c r="AT18" s="409" t="str">
        <f t="shared" si="41"/>
        <v/>
      </c>
      <c r="AU18" s="409" t="str">
        <f t="shared" si="42"/>
        <v/>
      </c>
      <c r="AV18" s="419" t="str">
        <f t="shared" si="43"/>
        <v/>
      </c>
      <c r="AW18" s="420" t="str">
        <f t="shared" si="44"/>
        <v/>
      </c>
      <c r="AX18" s="504" t="str">
        <f t="shared" si="45"/>
        <v/>
      </c>
      <c r="AY18" s="413" t="str">
        <f t="shared" si="46"/>
        <v/>
      </c>
      <c r="AZ18" s="409" t="str">
        <f t="shared" si="47"/>
        <v/>
      </c>
      <c r="BA18" s="409" t="str">
        <f t="shared" si="48"/>
        <v/>
      </c>
      <c r="BB18" s="419" t="str">
        <f t="shared" si="49"/>
        <v/>
      </c>
      <c r="BC18" s="420" t="str">
        <f t="shared" si="50"/>
        <v/>
      </c>
      <c r="BD18" s="504" t="str">
        <f t="shared" si="51"/>
        <v/>
      </c>
      <c r="BE18" s="413" t="str">
        <f t="shared" si="52"/>
        <v/>
      </c>
      <c r="BF18" s="409" t="str">
        <f t="shared" si="53"/>
        <v/>
      </c>
      <c r="BG18" s="409" t="str">
        <f t="shared" si="54"/>
        <v/>
      </c>
      <c r="BH18" s="419" t="str">
        <f t="shared" si="55"/>
        <v/>
      </c>
      <c r="BI18" s="420" t="str">
        <f t="shared" si="56"/>
        <v/>
      </c>
      <c r="BJ18" s="504" t="str">
        <f t="shared" si="57"/>
        <v/>
      </c>
      <c r="BK18" s="413" t="str">
        <f t="shared" si="58"/>
        <v/>
      </c>
      <c r="BL18" s="409" t="str">
        <f t="shared" si="59"/>
        <v/>
      </c>
      <c r="BM18" s="409" t="str">
        <f t="shared" si="60"/>
        <v/>
      </c>
      <c r="BN18" s="419" t="str">
        <f t="shared" si="61"/>
        <v/>
      </c>
      <c r="BO18" s="420" t="str">
        <f t="shared" si="62"/>
        <v/>
      </c>
      <c r="BP18" s="504" t="str">
        <f t="shared" si="63"/>
        <v/>
      </c>
      <c r="BQ18" s="413" t="str">
        <f t="shared" si="64"/>
        <v/>
      </c>
      <c r="BR18" s="413" t="str">
        <f t="shared" si="65"/>
        <v/>
      </c>
      <c r="BS18" s="413" t="str">
        <f t="shared" si="66"/>
        <v/>
      </c>
      <c r="BT18" s="417" t="str">
        <f t="shared" si="67"/>
        <v/>
      </c>
      <c r="BU18" s="418" t="str">
        <f t="shared" si="68"/>
        <v/>
      </c>
    </row>
    <row r="19" spans="1:73" x14ac:dyDescent="0.25">
      <c r="A19" s="506"/>
      <c r="B19" s="504"/>
      <c r="C19" s="505"/>
      <c r="D19" s="505"/>
      <c r="E19" s="413">
        <f t="shared" si="0"/>
        <v>0</v>
      </c>
      <c r="F19" s="417">
        <f t="shared" si="1"/>
        <v>0</v>
      </c>
      <c r="G19" s="418">
        <f t="shared" si="2"/>
        <v>0</v>
      </c>
      <c r="H19" s="504" t="str">
        <f t="shared" si="3"/>
        <v/>
      </c>
      <c r="I19" s="413" t="str">
        <f t="shared" si="4"/>
        <v/>
      </c>
      <c r="J19" s="409" t="str">
        <f t="shared" si="5"/>
        <v/>
      </c>
      <c r="K19" s="413" t="str">
        <f t="shared" si="6"/>
        <v/>
      </c>
      <c r="L19" s="417" t="str">
        <f t="shared" si="7"/>
        <v/>
      </c>
      <c r="M19" s="418" t="str">
        <f t="shared" si="8"/>
        <v/>
      </c>
      <c r="N19" s="504" t="str">
        <f t="shared" si="9"/>
        <v/>
      </c>
      <c r="O19" s="413" t="str">
        <f t="shared" si="10"/>
        <v/>
      </c>
      <c r="P19" s="409" t="str">
        <f t="shared" si="11"/>
        <v/>
      </c>
      <c r="Q19" s="409" t="str">
        <f t="shared" si="12"/>
        <v/>
      </c>
      <c r="R19" s="419" t="str">
        <f t="shared" si="13"/>
        <v/>
      </c>
      <c r="S19" s="420" t="str">
        <f t="shared" si="14"/>
        <v/>
      </c>
      <c r="T19" s="504" t="str">
        <f t="shared" si="15"/>
        <v/>
      </c>
      <c r="U19" s="413" t="str">
        <f t="shared" si="16"/>
        <v/>
      </c>
      <c r="V19" s="409" t="str">
        <f t="shared" si="17"/>
        <v/>
      </c>
      <c r="W19" s="409" t="str">
        <f t="shared" si="18"/>
        <v/>
      </c>
      <c r="X19" s="419" t="str">
        <f t="shared" si="19"/>
        <v/>
      </c>
      <c r="Y19" s="420" t="str">
        <f t="shared" si="20"/>
        <v/>
      </c>
      <c r="Z19" s="504" t="str">
        <f t="shared" si="21"/>
        <v/>
      </c>
      <c r="AA19" s="413" t="str">
        <f t="shared" si="22"/>
        <v/>
      </c>
      <c r="AB19" s="409" t="str">
        <f t="shared" si="23"/>
        <v/>
      </c>
      <c r="AC19" s="409" t="str">
        <f t="shared" si="24"/>
        <v/>
      </c>
      <c r="AD19" s="419" t="str">
        <f t="shared" si="25"/>
        <v/>
      </c>
      <c r="AE19" s="420" t="str">
        <f t="shared" si="26"/>
        <v/>
      </c>
      <c r="AF19" s="504" t="str">
        <f t="shared" si="27"/>
        <v/>
      </c>
      <c r="AG19" s="413" t="str">
        <f t="shared" si="28"/>
        <v/>
      </c>
      <c r="AH19" s="409" t="str">
        <f t="shared" si="29"/>
        <v/>
      </c>
      <c r="AI19" s="409" t="str">
        <f t="shared" si="30"/>
        <v/>
      </c>
      <c r="AJ19" s="419" t="str">
        <f t="shared" si="31"/>
        <v/>
      </c>
      <c r="AK19" s="420" t="str">
        <f t="shared" si="32"/>
        <v/>
      </c>
      <c r="AL19" s="504" t="str">
        <f t="shared" si="33"/>
        <v/>
      </c>
      <c r="AM19" s="413" t="str">
        <f t="shared" si="34"/>
        <v/>
      </c>
      <c r="AN19" s="409" t="str">
        <f t="shared" si="35"/>
        <v/>
      </c>
      <c r="AO19" s="409" t="str">
        <f t="shared" si="36"/>
        <v/>
      </c>
      <c r="AP19" s="419" t="str">
        <f t="shared" si="37"/>
        <v/>
      </c>
      <c r="AQ19" s="420" t="str">
        <f t="shared" si="38"/>
        <v/>
      </c>
      <c r="AR19" s="504" t="str">
        <f t="shared" si="39"/>
        <v/>
      </c>
      <c r="AS19" s="413" t="str">
        <f t="shared" si="40"/>
        <v/>
      </c>
      <c r="AT19" s="409" t="str">
        <f t="shared" si="41"/>
        <v/>
      </c>
      <c r="AU19" s="409" t="str">
        <f t="shared" si="42"/>
        <v/>
      </c>
      <c r="AV19" s="419" t="str">
        <f t="shared" si="43"/>
        <v/>
      </c>
      <c r="AW19" s="420" t="str">
        <f t="shared" si="44"/>
        <v/>
      </c>
      <c r="AX19" s="504" t="str">
        <f t="shared" si="45"/>
        <v/>
      </c>
      <c r="AY19" s="413" t="str">
        <f t="shared" si="46"/>
        <v/>
      </c>
      <c r="AZ19" s="409" t="str">
        <f t="shared" si="47"/>
        <v/>
      </c>
      <c r="BA19" s="409" t="str">
        <f t="shared" si="48"/>
        <v/>
      </c>
      <c r="BB19" s="419" t="str">
        <f t="shared" si="49"/>
        <v/>
      </c>
      <c r="BC19" s="420" t="str">
        <f t="shared" si="50"/>
        <v/>
      </c>
      <c r="BD19" s="504" t="str">
        <f t="shared" si="51"/>
        <v/>
      </c>
      <c r="BE19" s="413" t="str">
        <f t="shared" si="52"/>
        <v/>
      </c>
      <c r="BF19" s="409" t="str">
        <f t="shared" si="53"/>
        <v/>
      </c>
      <c r="BG19" s="409" t="str">
        <f t="shared" si="54"/>
        <v/>
      </c>
      <c r="BH19" s="419" t="str">
        <f t="shared" si="55"/>
        <v/>
      </c>
      <c r="BI19" s="420" t="str">
        <f t="shared" si="56"/>
        <v/>
      </c>
      <c r="BJ19" s="504" t="str">
        <f t="shared" si="57"/>
        <v/>
      </c>
      <c r="BK19" s="413" t="str">
        <f t="shared" si="58"/>
        <v/>
      </c>
      <c r="BL19" s="409" t="str">
        <f t="shared" si="59"/>
        <v/>
      </c>
      <c r="BM19" s="409" t="str">
        <f t="shared" si="60"/>
        <v/>
      </c>
      <c r="BN19" s="419" t="str">
        <f t="shared" si="61"/>
        <v/>
      </c>
      <c r="BO19" s="420" t="str">
        <f t="shared" si="62"/>
        <v/>
      </c>
      <c r="BP19" s="504" t="str">
        <f t="shared" si="63"/>
        <v/>
      </c>
      <c r="BQ19" s="413" t="str">
        <f t="shared" si="64"/>
        <v/>
      </c>
      <c r="BR19" s="413" t="str">
        <f t="shared" si="65"/>
        <v/>
      </c>
      <c r="BS19" s="413" t="str">
        <f t="shared" si="66"/>
        <v/>
      </c>
      <c r="BT19" s="417" t="str">
        <f t="shared" si="67"/>
        <v/>
      </c>
      <c r="BU19" s="418" t="str">
        <f t="shared" si="68"/>
        <v/>
      </c>
    </row>
    <row r="20" spans="1:73" x14ac:dyDescent="0.25">
      <c r="A20" s="506"/>
      <c r="B20" s="504"/>
      <c r="C20" s="505"/>
      <c r="D20" s="505"/>
      <c r="E20" s="413">
        <f t="shared" si="0"/>
        <v>0</v>
      </c>
      <c r="F20" s="417">
        <f t="shared" si="1"/>
        <v>0</v>
      </c>
      <c r="G20" s="418">
        <f t="shared" si="2"/>
        <v>0</v>
      </c>
      <c r="H20" s="504" t="str">
        <f t="shared" si="3"/>
        <v/>
      </c>
      <c r="I20" s="413" t="str">
        <f t="shared" si="4"/>
        <v/>
      </c>
      <c r="J20" s="409" t="str">
        <f t="shared" si="5"/>
        <v/>
      </c>
      <c r="K20" s="413" t="str">
        <f t="shared" si="6"/>
        <v/>
      </c>
      <c r="L20" s="417" t="str">
        <f t="shared" si="7"/>
        <v/>
      </c>
      <c r="M20" s="418" t="str">
        <f t="shared" si="8"/>
        <v/>
      </c>
      <c r="N20" s="504" t="str">
        <f t="shared" si="9"/>
        <v/>
      </c>
      <c r="O20" s="413" t="str">
        <f t="shared" si="10"/>
        <v/>
      </c>
      <c r="P20" s="409" t="str">
        <f t="shared" si="11"/>
        <v/>
      </c>
      <c r="Q20" s="409" t="str">
        <f t="shared" si="12"/>
        <v/>
      </c>
      <c r="R20" s="419" t="str">
        <f t="shared" si="13"/>
        <v/>
      </c>
      <c r="S20" s="420" t="str">
        <f t="shared" si="14"/>
        <v/>
      </c>
      <c r="T20" s="504" t="str">
        <f t="shared" si="15"/>
        <v/>
      </c>
      <c r="U20" s="413" t="str">
        <f t="shared" si="16"/>
        <v/>
      </c>
      <c r="V20" s="409" t="str">
        <f t="shared" si="17"/>
        <v/>
      </c>
      <c r="W20" s="409" t="str">
        <f t="shared" si="18"/>
        <v/>
      </c>
      <c r="X20" s="419" t="str">
        <f t="shared" si="19"/>
        <v/>
      </c>
      <c r="Y20" s="420" t="str">
        <f t="shared" si="20"/>
        <v/>
      </c>
      <c r="Z20" s="504" t="str">
        <f t="shared" si="21"/>
        <v/>
      </c>
      <c r="AA20" s="413" t="str">
        <f t="shared" si="22"/>
        <v/>
      </c>
      <c r="AB20" s="409" t="str">
        <f t="shared" si="23"/>
        <v/>
      </c>
      <c r="AC20" s="409" t="str">
        <f t="shared" si="24"/>
        <v/>
      </c>
      <c r="AD20" s="419" t="str">
        <f t="shared" si="25"/>
        <v/>
      </c>
      <c r="AE20" s="420" t="str">
        <f t="shared" si="26"/>
        <v/>
      </c>
      <c r="AF20" s="504" t="str">
        <f t="shared" si="27"/>
        <v/>
      </c>
      <c r="AG20" s="413" t="str">
        <f t="shared" si="28"/>
        <v/>
      </c>
      <c r="AH20" s="409" t="str">
        <f t="shared" si="29"/>
        <v/>
      </c>
      <c r="AI20" s="409" t="str">
        <f t="shared" si="30"/>
        <v/>
      </c>
      <c r="AJ20" s="419" t="str">
        <f t="shared" si="31"/>
        <v/>
      </c>
      <c r="AK20" s="420" t="str">
        <f t="shared" si="32"/>
        <v/>
      </c>
      <c r="AL20" s="504" t="str">
        <f t="shared" si="33"/>
        <v/>
      </c>
      <c r="AM20" s="413" t="str">
        <f t="shared" si="34"/>
        <v/>
      </c>
      <c r="AN20" s="409" t="str">
        <f t="shared" si="35"/>
        <v/>
      </c>
      <c r="AO20" s="409" t="str">
        <f t="shared" si="36"/>
        <v/>
      </c>
      <c r="AP20" s="419" t="str">
        <f t="shared" si="37"/>
        <v/>
      </c>
      <c r="AQ20" s="420" t="str">
        <f t="shared" si="38"/>
        <v/>
      </c>
      <c r="AR20" s="504" t="str">
        <f t="shared" si="39"/>
        <v/>
      </c>
      <c r="AS20" s="413" t="str">
        <f t="shared" si="40"/>
        <v/>
      </c>
      <c r="AT20" s="409" t="str">
        <f t="shared" si="41"/>
        <v/>
      </c>
      <c r="AU20" s="409" t="str">
        <f t="shared" si="42"/>
        <v/>
      </c>
      <c r="AV20" s="419" t="str">
        <f t="shared" si="43"/>
        <v/>
      </c>
      <c r="AW20" s="420" t="str">
        <f t="shared" si="44"/>
        <v/>
      </c>
      <c r="AX20" s="504" t="str">
        <f t="shared" si="45"/>
        <v/>
      </c>
      <c r="AY20" s="413" t="str">
        <f t="shared" si="46"/>
        <v/>
      </c>
      <c r="AZ20" s="409" t="str">
        <f t="shared" si="47"/>
        <v/>
      </c>
      <c r="BA20" s="409" t="str">
        <f t="shared" si="48"/>
        <v/>
      </c>
      <c r="BB20" s="419" t="str">
        <f t="shared" si="49"/>
        <v/>
      </c>
      <c r="BC20" s="420" t="str">
        <f t="shared" si="50"/>
        <v/>
      </c>
      <c r="BD20" s="504" t="str">
        <f t="shared" si="51"/>
        <v/>
      </c>
      <c r="BE20" s="413" t="str">
        <f t="shared" si="52"/>
        <v/>
      </c>
      <c r="BF20" s="409" t="str">
        <f t="shared" si="53"/>
        <v/>
      </c>
      <c r="BG20" s="409" t="str">
        <f t="shared" si="54"/>
        <v/>
      </c>
      <c r="BH20" s="419" t="str">
        <f t="shared" si="55"/>
        <v/>
      </c>
      <c r="BI20" s="420" t="str">
        <f t="shared" si="56"/>
        <v/>
      </c>
      <c r="BJ20" s="504" t="str">
        <f t="shared" si="57"/>
        <v/>
      </c>
      <c r="BK20" s="413" t="str">
        <f t="shared" si="58"/>
        <v/>
      </c>
      <c r="BL20" s="409" t="str">
        <f t="shared" si="59"/>
        <v/>
      </c>
      <c r="BM20" s="409" t="str">
        <f t="shared" si="60"/>
        <v/>
      </c>
      <c r="BN20" s="419" t="str">
        <f t="shared" si="61"/>
        <v/>
      </c>
      <c r="BO20" s="420" t="str">
        <f t="shared" si="62"/>
        <v/>
      </c>
      <c r="BP20" s="504" t="str">
        <f t="shared" si="63"/>
        <v/>
      </c>
      <c r="BQ20" s="413" t="str">
        <f t="shared" si="64"/>
        <v/>
      </c>
      <c r="BR20" s="413" t="str">
        <f t="shared" si="65"/>
        <v/>
      </c>
      <c r="BS20" s="413" t="str">
        <f t="shared" si="66"/>
        <v/>
      </c>
      <c r="BT20" s="417" t="str">
        <f t="shared" si="67"/>
        <v/>
      </c>
      <c r="BU20" s="418" t="str">
        <f t="shared" si="68"/>
        <v/>
      </c>
    </row>
    <row r="21" spans="1:73" x14ac:dyDescent="0.25">
      <c r="A21" s="506"/>
      <c r="B21" s="504"/>
      <c r="C21" s="505"/>
      <c r="D21" s="505"/>
      <c r="E21" s="413">
        <f t="shared" si="0"/>
        <v>0</v>
      </c>
      <c r="F21" s="417">
        <f t="shared" si="1"/>
        <v>0</v>
      </c>
      <c r="G21" s="418">
        <f t="shared" si="2"/>
        <v>0</v>
      </c>
      <c r="H21" s="504" t="str">
        <f t="shared" si="3"/>
        <v/>
      </c>
      <c r="I21" s="413" t="str">
        <f t="shared" si="4"/>
        <v/>
      </c>
      <c r="J21" s="409" t="str">
        <f t="shared" si="5"/>
        <v/>
      </c>
      <c r="K21" s="413" t="str">
        <f t="shared" si="6"/>
        <v/>
      </c>
      <c r="L21" s="417" t="str">
        <f t="shared" si="7"/>
        <v/>
      </c>
      <c r="M21" s="418" t="str">
        <f t="shared" si="8"/>
        <v/>
      </c>
      <c r="N21" s="504" t="str">
        <f t="shared" si="9"/>
        <v/>
      </c>
      <c r="O21" s="413" t="str">
        <f t="shared" si="10"/>
        <v/>
      </c>
      <c r="P21" s="409" t="str">
        <f t="shared" si="11"/>
        <v/>
      </c>
      <c r="Q21" s="409" t="str">
        <f t="shared" si="12"/>
        <v/>
      </c>
      <c r="R21" s="419" t="str">
        <f t="shared" si="13"/>
        <v/>
      </c>
      <c r="S21" s="420" t="str">
        <f t="shared" si="14"/>
        <v/>
      </c>
      <c r="T21" s="504" t="str">
        <f t="shared" si="15"/>
        <v/>
      </c>
      <c r="U21" s="413" t="str">
        <f t="shared" si="16"/>
        <v/>
      </c>
      <c r="V21" s="409" t="str">
        <f t="shared" si="17"/>
        <v/>
      </c>
      <c r="W21" s="409" t="str">
        <f t="shared" si="18"/>
        <v/>
      </c>
      <c r="X21" s="419" t="str">
        <f t="shared" si="19"/>
        <v/>
      </c>
      <c r="Y21" s="420" t="str">
        <f t="shared" si="20"/>
        <v/>
      </c>
      <c r="Z21" s="504" t="str">
        <f t="shared" si="21"/>
        <v/>
      </c>
      <c r="AA21" s="413" t="str">
        <f t="shared" si="22"/>
        <v/>
      </c>
      <c r="AB21" s="409" t="str">
        <f t="shared" si="23"/>
        <v/>
      </c>
      <c r="AC21" s="409" t="str">
        <f t="shared" si="24"/>
        <v/>
      </c>
      <c r="AD21" s="419" t="str">
        <f t="shared" si="25"/>
        <v/>
      </c>
      <c r="AE21" s="420" t="str">
        <f t="shared" si="26"/>
        <v/>
      </c>
      <c r="AF21" s="504" t="str">
        <f t="shared" si="27"/>
        <v/>
      </c>
      <c r="AG21" s="413" t="str">
        <f t="shared" si="28"/>
        <v/>
      </c>
      <c r="AH21" s="409" t="str">
        <f t="shared" si="29"/>
        <v/>
      </c>
      <c r="AI21" s="409" t="str">
        <f t="shared" si="30"/>
        <v/>
      </c>
      <c r="AJ21" s="419" t="str">
        <f t="shared" si="31"/>
        <v/>
      </c>
      <c r="AK21" s="420" t="str">
        <f t="shared" si="32"/>
        <v/>
      </c>
      <c r="AL21" s="504" t="str">
        <f t="shared" si="33"/>
        <v/>
      </c>
      <c r="AM21" s="413" t="str">
        <f t="shared" si="34"/>
        <v/>
      </c>
      <c r="AN21" s="409" t="str">
        <f t="shared" si="35"/>
        <v/>
      </c>
      <c r="AO21" s="409" t="str">
        <f t="shared" si="36"/>
        <v/>
      </c>
      <c r="AP21" s="419" t="str">
        <f t="shared" si="37"/>
        <v/>
      </c>
      <c r="AQ21" s="420" t="str">
        <f t="shared" si="38"/>
        <v/>
      </c>
      <c r="AR21" s="504" t="str">
        <f t="shared" si="39"/>
        <v/>
      </c>
      <c r="AS21" s="413" t="str">
        <f t="shared" si="40"/>
        <v/>
      </c>
      <c r="AT21" s="409" t="str">
        <f t="shared" si="41"/>
        <v/>
      </c>
      <c r="AU21" s="409" t="str">
        <f t="shared" si="42"/>
        <v/>
      </c>
      <c r="AV21" s="419" t="str">
        <f t="shared" si="43"/>
        <v/>
      </c>
      <c r="AW21" s="420" t="str">
        <f t="shared" si="44"/>
        <v/>
      </c>
      <c r="AX21" s="504" t="str">
        <f t="shared" si="45"/>
        <v/>
      </c>
      <c r="AY21" s="413" t="str">
        <f t="shared" si="46"/>
        <v/>
      </c>
      <c r="AZ21" s="409" t="str">
        <f t="shared" si="47"/>
        <v/>
      </c>
      <c r="BA21" s="409" t="str">
        <f t="shared" si="48"/>
        <v/>
      </c>
      <c r="BB21" s="419" t="str">
        <f t="shared" si="49"/>
        <v/>
      </c>
      <c r="BC21" s="420" t="str">
        <f t="shared" si="50"/>
        <v/>
      </c>
      <c r="BD21" s="504" t="str">
        <f t="shared" si="51"/>
        <v/>
      </c>
      <c r="BE21" s="413" t="str">
        <f t="shared" si="52"/>
        <v/>
      </c>
      <c r="BF21" s="409" t="str">
        <f t="shared" si="53"/>
        <v/>
      </c>
      <c r="BG21" s="409" t="str">
        <f t="shared" si="54"/>
        <v/>
      </c>
      <c r="BH21" s="419" t="str">
        <f t="shared" si="55"/>
        <v/>
      </c>
      <c r="BI21" s="420" t="str">
        <f t="shared" si="56"/>
        <v/>
      </c>
      <c r="BJ21" s="504" t="str">
        <f t="shared" si="57"/>
        <v/>
      </c>
      <c r="BK21" s="413" t="str">
        <f t="shared" si="58"/>
        <v/>
      </c>
      <c r="BL21" s="409" t="str">
        <f t="shared" si="59"/>
        <v/>
      </c>
      <c r="BM21" s="409" t="str">
        <f t="shared" si="60"/>
        <v/>
      </c>
      <c r="BN21" s="419" t="str">
        <f t="shared" si="61"/>
        <v/>
      </c>
      <c r="BO21" s="420" t="str">
        <f t="shared" si="62"/>
        <v/>
      </c>
      <c r="BP21" s="504" t="str">
        <f t="shared" si="63"/>
        <v/>
      </c>
      <c r="BQ21" s="413" t="str">
        <f t="shared" si="64"/>
        <v/>
      </c>
      <c r="BR21" s="413" t="str">
        <f t="shared" si="65"/>
        <v/>
      </c>
      <c r="BS21" s="413" t="str">
        <f t="shared" si="66"/>
        <v/>
      </c>
      <c r="BT21" s="417" t="str">
        <f t="shared" si="67"/>
        <v/>
      </c>
      <c r="BU21" s="418" t="str">
        <f t="shared" si="68"/>
        <v/>
      </c>
    </row>
    <row r="22" spans="1:73" ht="15.75" thickBot="1" x14ac:dyDescent="0.3">
      <c r="A22" s="507"/>
      <c r="B22" s="508"/>
      <c r="C22" s="509"/>
      <c r="D22" s="509"/>
      <c r="E22" s="422">
        <f t="shared" si="0"/>
        <v>0</v>
      </c>
      <c r="F22" s="423">
        <f t="shared" si="1"/>
        <v>0</v>
      </c>
      <c r="G22" s="424">
        <f t="shared" si="2"/>
        <v>0</v>
      </c>
      <c r="H22" s="508" t="str">
        <f t="shared" si="3"/>
        <v/>
      </c>
      <c r="I22" s="422" t="str">
        <f t="shared" si="4"/>
        <v/>
      </c>
      <c r="J22" s="421" t="str">
        <f t="shared" si="5"/>
        <v/>
      </c>
      <c r="K22" s="422" t="str">
        <f t="shared" si="6"/>
        <v/>
      </c>
      <c r="L22" s="423" t="str">
        <f t="shared" si="7"/>
        <v/>
      </c>
      <c r="M22" s="424" t="str">
        <f t="shared" si="8"/>
        <v/>
      </c>
      <c r="N22" s="508" t="str">
        <f t="shared" si="9"/>
        <v/>
      </c>
      <c r="O22" s="422" t="str">
        <f t="shared" si="10"/>
        <v/>
      </c>
      <c r="P22" s="421" t="str">
        <f t="shared" si="11"/>
        <v/>
      </c>
      <c r="Q22" s="421" t="str">
        <f t="shared" si="12"/>
        <v/>
      </c>
      <c r="R22" s="425" t="str">
        <f t="shared" si="13"/>
        <v/>
      </c>
      <c r="S22" s="426" t="str">
        <f t="shared" si="14"/>
        <v/>
      </c>
      <c r="T22" s="508" t="str">
        <f t="shared" si="15"/>
        <v/>
      </c>
      <c r="U22" s="422" t="str">
        <f t="shared" si="16"/>
        <v/>
      </c>
      <c r="V22" s="421" t="str">
        <f t="shared" si="17"/>
        <v/>
      </c>
      <c r="W22" s="421" t="str">
        <f t="shared" si="18"/>
        <v/>
      </c>
      <c r="X22" s="425" t="str">
        <f t="shared" si="19"/>
        <v/>
      </c>
      <c r="Y22" s="426" t="str">
        <f t="shared" si="20"/>
        <v/>
      </c>
      <c r="Z22" s="508" t="str">
        <f t="shared" si="21"/>
        <v/>
      </c>
      <c r="AA22" s="422" t="str">
        <f t="shared" si="22"/>
        <v/>
      </c>
      <c r="AB22" s="421" t="str">
        <f t="shared" si="23"/>
        <v/>
      </c>
      <c r="AC22" s="421" t="str">
        <f t="shared" si="24"/>
        <v/>
      </c>
      <c r="AD22" s="425" t="str">
        <f t="shared" si="25"/>
        <v/>
      </c>
      <c r="AE22" s="426" t="str">
        <f t="shared" si="26"/>
        <v/>
      </c>
      <c r="AF22" s="508" t="str">
        <f t="shared" si="27"/>
        <v/>
      </c>
      <c r="AG22" s="422" t="str">
        <f t="shared" si="28"/>
        <v/>
      </c>
      <c r="AH22" s="421" t="str">
        <f t="shared" si="29"/>
        <v/>
      </c>
      <c r="AI22" s="421" t="str">
        <f t="shared" si="30"/>
        <v/>
      </c>
      <c r="AJ22" s="425" t="str">
        <f t="shared" si="31"/>
        <v/>
      </c>
      <c r="AK22" s="426" t="str">
        <f t="shared" si="32"/>
        <v/>
      </c>
      <c r="AL22" s="508" t="str">
        <f t="shared" si="33"/>
        <v/>
      </c>
      <c r="AM22" s="422" t="str">
        <f t="shared" si="34"/>
        <v/>
      </c>
      <c r="AN22" s="421" t="str">
        <f t="shared" si="35"/>
        <v/>
      </c>
      <c r="AO22" s="421" t="str">
        <f t="shared" si="36"/>
        <v/>
      </c>
      <c r="AP22" s="425" t="str">
        <f t="shared" si="37"/>
        <v/>
      </c>
      <c r="AQ22" s="426" t="str">
        <f t="shared" si="38"/>
        <v/>
      </c>
      <c r="AR22" s="508" t="str">
        <f t="shared" si="39"/>
        <v/>
      </c>
      <c r="AS22" s="422" t="str">
        <f t="shared" si="40"/>
        <v/>
      </c>
      <c r="AT22" s="421" t="str">
        <f t="shared" si="41"/>
        <v/>
      </c>
      <c r="AU22" s="421" t="str">
        <f t="shared" si="42"/>
        <v/>
      </c>
      <c r="AV22" s="425" t="str">
        <f t="shared" si="43"/>
        <v/>
      </c>
      <c r="AW22" s="426" t="str">
        <f t="shared" si="44"/>
        <v/>
      </c>
      <c r="AX22" s="508" t="str">
        <f t="shared" si="45"/>
        <v/>
      </c>
      <c r="AY22" s="422" t="str">
        <f t="shared" si="46"/>
        <v/>
      </c>
      <c r="AZ22" s="421" t="str">
        <f t="shared" si="47"/>
        <v/>
      </c>
      <c r="BA22" s="421" t="str">
        <f t="shared" si="48"/>
        <v/>
      </c>
      <c r="BB22" s="425" t="str">
        <f t="shared" si="49"/>
        <v/>
      </c>
      <c r="BC22" s="426" t="str">
        <f t="shared" si="50"/>
        <v/>
      </c>
      <c r="BD22" s="508" t="str">
        <f t="shared" si="51"/>
        <v/>
      </c>
      <c r="BE22" s="422" t="str">
        <f t="shared" si="52"/>
        <v/>
      </c>
      <c r="BF22" s="421" t="str">
        <f t="shared" si="53"/>
        <v/>
      </c>
      <c r="BG22" s="421" t="str">
        <f t="shared" si="54"/>
        <v/>
      </c>
      <c r="BH22" s="425" t="str">
        <f t="shared" si="55"/>
        <v/>
      </c>
      <c r="BI22" s="426" t="str">
        <f t="shared" si="56"/>
        <v/>
      </c>
      <c r="BJ22" s="508" t="str">
        <f t="shared" si="57"/>
        <v/>
      </c>
      <c r="BK22" s="422" t="str">
        <f t="shared" si="58"/>
        <v/>
      </c>
      <c r="BL22" s="421" t="str">
        <f t="shared" si="59"/>
        <v/>
      </c>
      <c r="BM22" s="421" t="str">
        <f t="shared" si="60"/>
        <v/>
      </c>
      <c r="BN22" s="425" t="str">
        <f t="shared" si="61"/>
        <v/>
      </c>
      <c r="BO22" s="426" t="str">
        <f t="shared" si="62"/>
        <v/>
      </c>
      <c r="BP22" s="508" t="str">
        <f t="shared" si="63"/>
        <v/>
      </c>
      <c r="BQ22" s="422" t="str">
        <f t="shared" si="64"/>
        <v/>
      </c>
      <c r="BR22" s="422" t="str">
        <f t="shared" si="65"/>
        <v/>
      </c>
      <c r="BS22" s="422" t="str">
        <f t="shared" si="66"/>
        <v/>
      </c>
      <c r="BT22" s="423" t="str">
        <f t="shared" si="67"/>
        <v/>
      </c>
      <c r="BU22" s="424" t="str">
        <f t="shared" si="68"/>
        <v/>
      </c>
    </row>
    <row r="23" spans="1:73" x14ac:dyDescent="0.25">
      <c r="F23" s="303"/>
    </row>
    <row r="24" spans="1:73" x14ac:dyDescent="0.25">
      <c r="A24" s="427" t="s">
        <v>570</v>
      </c>
      <c r="B24" s="3">
        <f>SUM(B5:B22)</f>
        <v>40</v>
      </c>
      <c r="E24" s="303"/>
      <c r="F24" s="303"/>
      <c r="G24" s="303"/>
      <c r="H24" s="3">
        <f>SUM(H5:H22)</f>
        <v>40</v>
      </c>
      <c r="I24" s="303"/>
      <c r="J24" s="303"/>
      <c r="K24" s="303"/>
      <c r="N24" s="3">
        <f>SUM(N5:N22)</f>
        <v>40</v>
      </c>
      <c r="O24" s="303"/>
      <c r="P24" s="303"/>
      <c r="Q24" s="303"/>
      <c r="T24" s="3">
        <f>SUM(T5:T22)</f>
        <v>40</v>
      </c>
      <c r="U24" s="303"/>
      <c r="V24" s="303"/>
      <c r="W24" s="303"/>
      <c r="Z24" s="3">
        <f>SUM(Z5:Z22)</f>
        <v>40</v>
      </c>
      <c r="AA24" s="303"/>
      <c r="AB24" s="303"/>
      <c r="AC24" s="303"/>
      <c r="AF24" s="3">
        <f>SUM(AF5:AF22)</f>
        <v>40</v>
      </c>
      <c r="AG24" s="303"/>
      <c r="AH24" s="303"/>
      <c r="AI24" s="303"/>
      <c r="AL24" s="3">
        <f>SUM(AL5:AL22)</f>
        <v>40</v>
      </c>
      <c r="AM24" s="303"/>
      <c r="AN24" s="303"/>
      <c r="AO24" s="303"/>
      <c r="AR24" s="3">
        <f>SUM(AR5:AR22)</f>
        <v>40</v>
      </c>
      <c r="AS24" s="303"/>
      <c r="AT24" s="303"/>
      <c r="AU24" s="303"/>
      <c r="AX24" s="3">
        <f>SUM(AX5:AX22)</f>
        <v>40</v>
      </c>
      <c r="AY24" s="303"/>
      <c r="AZ24" s="303"/>
      <c r="BA24" s="303"/>
      <c r="BD24" s="3">
        <f>SUM(BD5:BD22)</f>
        <v>40</v>
      </c>
      <c r="BE24" s="303"/>
      <c r="BF24" s="303"/>
      <c r="BG24" s="303"/>
      <c r="BJ24" s="3">
        <f>SUM(BJ5:BJ22)</f>
        <v>40</v>
      </c>
      <c r="BK24" s="303"/>
      <c r="BL24" s="303"/>
      <c r="BM24" s="303"/>
      <c r="BP24" s="3">
        <f>SUM(BP5:BP22)</f>
        <v>40</v>
      </c>
    </row>
    <row r="25" spans="1:73" x14ac:dyDescent="0.25">
      <c r="A25" s="427" t="s">
        <v>571</v>
      </c>
      <c r="B25" s="428">
        <f>ROUND(AVERAGE(SUM(F5:F22),SUM(G5:G22))/'Cadastro pastos'!$B$61,2)</f>
        <v>0.34</v>
      </c>
      <c r="F25" s="31"/>
      <c r="G25" s="31"/>
      <c r="H25" s="428">
        <f>ROUND(AVERAGE(SUM(L5:L22),SUM(M5:M22))/'Cadastro pastos'!$B$61,2)</f>
        <v>0.35</v>
      </c>
      <c r="I25" s="31"/>
      <c r="N25" s="428">
        <f>ROUND(AVERAGE(SUM(R5:R22),SUM(S5:S22))/'Cadastro pastos'!$B$61,2)</f>
        <v>0.36</v>
      </c>
      <c r="O25" s="31"/>
      <c r="T25" s="428">
        <f>ROUND(AVERAGE(SUM(X5:X22),SUM(Y5:Y22))/'Cadastro pastos'!$B$61,2)</f>
        <v>0.36</v>
      </c>
      <c r="U25" s="31"/>
      <c r="Z25" s="428">
        <f>ROUND(AVERAGE(SUM(AD5:AD22),SUM(AE5:AE22))/'Cadastro pastos'!$B$61,2)</f>
        <v>0.37</v>
      </c>
      <c r="AA25" s="31"/>
      <c r="AF25" s="428">
        <f>ROUND(AVERAGE(SUM(AJ5:AJ22),SUM(AK5:AK22))/'Cadastro pastos'!$B$61,2)</f>
        <v>0.38</v>
      </c>
      <c r="AG25" s="31"/>
      <c r="AL25" s="428">
        <f>ROUND(AVERAGE(SUM(AP5:AP22),SUM(AQ5:AQ22))/'Cadastro pastos'!$B$61,2)</f>
        <v>0.39</v>
      </c>
      <c r="AM25" s="31"/>
      <c r="AR25" s="428">
        <f>ROUND(AVERAGE(SUM(AV5:AV22),SUM(AW5:AW22))/'Cadastro pastos'!$B$61,2)</f>
        <v>0.4</v>
      </c>
      <c r="AS25" s="31"/>
      <c r="AX25" s="428">
        <f>ROUND(AVERAGE(SUM(BB5:BB22),SUM(BC5:BC22))/'Cadastro pastos'!$B$61,2)</f>
        <v>0.41</v>
      </c>
      <c r="AY25" s="31"/>
      <c r="BD25" s="428">
        <f>ROUND(AVERAGE(SUM(BH5:BH22),SUM(BI5:BI22))/'Cadastro pastos'!$B$61,2)</f>
        <v>0.42</v>
      </c>
      <c r="BE25" s="31"/>
      <c r="BJ25" s="428">
        <f>ROUND(AVERAGE(SUM(BN5:BN22),SUM(BO5:BO22))/'Cadastro pastos'!$B$61,2)</f>
        <v>0.43</v>
      </c>
      <c r="BK25" s="31"/>
      <c r="BP25" s="428">
        <f>ROUND(AVERAGE(SUM(BT5:BT22),SUM(BU5:BU22))/'Cadastro pastos'!$B$61,2)</f>
        <v>0.44</v>
      </c>
    </row>
    <row r="26" spans="1:73" x14ac:dyDescent="0.25">
      <c r="A26" s="427" t="s">
        <v>572</v>
      </c>
      <c r="B26" s="428">
        <f>ROUND(AVERAGE(SUM(F5:F22),SUM(G5:G22))/'Cadastro pastos'!$D$61,2)</f>
        <v>0.4</v>
      </c>
      <c r="F26" s="31"/>
      <c r="G26" s="31"/>
      <c r="H26" s="428">
        <f>ROUND(AVERAGE(SUM(L5:L22),SUM(M5:M22))/'Cadastro pastos'!$D$61,2)</f>
        <v>0.41</v>
      </c>
      <c r="I26" s="31"/>
      <c r="N26" s="428">
        <f>ROUND(AVERAGE(SUM(R5:R22),SUM(S5:S22))/'Cadastro pastos'!$D$61,2)</f>
        <v>0.42</v>
      </c>
      <c r="O26" s="31"/>
      <c r="T26" s="428">
        <f>ROUND(AVERAGE(SUM(X5:X22),SUM(Y5:Y22))/'Cadastro pastos'!$D$61,2)</f>
        <v>0.44</v>
      </c>
      <c r="U26" s="31"/>
      <c r="Z26" s="428">
        <f>ROUND(AVERAGE(SUM(AD5:AD22),SUM(AE5:AE22))/'Cadastro pastos'!$D$61,2)</f>
        <v>0.45</v>
      </c>
      <c r="AA26" s="31"/>
      <c r="AF26" s="428">
        <f>ROUND(AVERAGE(SUM(AJ5:AJ22),SUM(AK5:AK22))/'Cadastro pastos'!$D$61,2)</f>
        <v>0.46</v>
      </c>
      <c r="AG26" s="31"/>
      <c r="AL26" s="428">
        <f>ROUND(AVERAGE(SUM(AP5:AP22),SUM(AQ5:AQ22))/'Cadastro pastos'!$D$61,2)</f>
        <v>0.47</v>
      </c>
      <c r="AM26" s="31"/>
      <c r="AR26" s="428">
        <f>ROUND(AVERAGE(SUM(AV5:AV22),SUM(AW5:AW22))/'Cadastro pastos'!$D$61,2)</f>
        <v>0.48</v>
      </c>
      <c r="AS26" s="31"/>
      <c r="AX26" s="428">
        <f>ROUND(AVERAGE(SUM(BB5:BB22),SUM(BC5:BC22))/'Cadastro pastos'!$D$61,2)</f>
        <v>0.49</v>
      </c>
      <c r="AY26" s="31"/>
      <c r="BD26" s="428">
        <f>ROUND(AVERAGE(SUM(BH5:BH22),SUM(BI5:BI22))/'Cadastro pastos'!$D$61,2)</f>
        <v>0.5</v>
      </c>
      <c r="BE26" s="31"/>
      <c r="BJ26" s="428">
        <f>ROUND(AVERAGE(SUM(BN5:BN22),SUM(BO5:BO22))/'Cadastro pastos'!$D$61,2)</f>
        <v>0.51</v>
      </c>
      <c r="BK26" s="31"/>
      <c r="BP26" s="428">
        <f>ROUND(AVERAGE(SUM(BT5:BT22),SUM(BU5:BU22))/'Cadastro pastos'!$D$61,2)</f>
        <v>0.52</v>
      </c>
    </row>
    <row r="27" spans="1:73" x14ac:dyDescent="0.25">
      <c r="F27" s="31"/>
      <c r="G27" s="31"/>
    </row>
  </sheetData>
  <sheetProtection algorithmName="SHA-512" hashValue="LKySpmtMThhG3sFlFhiSWRESpujlyw4xuWgoAERiCUYPY2QWCcCGhvO/TtW0gGEYR9DIkHTk9HfFyb9lKc99xg==" saltValue="DEHPJBLUujI2awEmuMBcLA==" spinCount="100000" sheet="1" objects="1" scenarios="1" selectLockedCells="1"/>
  <mergeCells count="12">
    <mergeCell ref="BP3:BU3"/>
    <mergeCell ref="B3:G3"/>
    <mergeCell ref="H3:M3"/>
    <mergeCell ref="N3:S3"/>
    <mergeCell ref="T3:Y3"/>
    <mergeCell ref="Z3:AE3"/>
    <mergeCell ref="AF3:AK3"/>
    <mergeCell ref="AL3:AQ3"/>
    <mergeCell ref="AR3:AW3"/>
    <mergeCell ref="AX3:BC3"/>
    <mergeCell ref="BD3:BI3"/>
    <mergeCell ref="BJ3:BO3"/>
  </mergeCells>
  <pageMargins left="0.511811024" right="0.511811024" top="0.78740157499999996" bottom="0.78740157499999996" header="0.31496062000000002" footer="0.31496062000000002"/>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F783-8745-451F-9D64-58FE84949FE8}">
  <sheetPr codeName="Planilha10"/>
  <dimension ref="A4:P27"/>
  <sheetViews>
    <sheetView showGridLines="0" zoomScaleNormal="100" workbookViewId="0">
      <selection activeCell="M17" sqref="B17:M18"/>
    </sheetView>
  </sheetViews>
  <sheetFormatPr defaultRowHeight="15" x14ac:dyDescent="0.25"/>
  <cols>
    <col min="1" max="1" width="24.85546875" bestFit="1" customWidth="1"/>
    <col min="2" max="13" width="10.5703125" style="1" bestFit="1" customWidth="1"/>
    <col min="14" max="14" width="13.42578125" style="429" customWidth="1"/>
  </cols>
  <sheetData>
    <row r="4" spans="1:14" ht="57" customHeight="1" x14ac:dyDescent="0.25"/>
    <row r="5" spans="1:14" ht="57" customHeight="1" x14ac:dyDescent="0.25"/>
    <row r="11" spans="1:14" x14ac:dyDescent="0.25">
      <c r="B11" s="1" t="str">
        <f>'Cadastro pastos'!K4</f>
        <v>Seca</v>
      </c>
      <c r="C11" s="1" t="str">
        <f>'Cadastro pastos'!L4</f>
        <v>Seca</v>
      </c>
      <c r="D11" s="1" t="str">
        <f>'Cadastro pastos'!M4</f>
        <v>Seca</v>
      </c>
      <c r="E11" s="1" t="str">
        <f>'Cadastro pastos'!N4</f>
        <v>Chuva</v>
      </c>
      <c r="F11" s="1" t="str">
        <f>'Cadastro pastos'!O4</f>
        <v>Chuva</v>
      </c>
      <c r="G11" s="1" t="str">
        <f>'Cadastro pastos'!P4</f>
        <v>Chuva</v>
      </c>
      <c r="H11" s="1" t="str">
        <f>'Cadastro pastos'!Q4</f>
        <v>Chuva</v>
      </c>
      <c r="I11" s="1" t="str">
        <f>'Cadastro pastos'!R4</f>
        <v>Chuva</v>
      </c>
      <c r="J11" s="1" t="str">
        <f>'Cadastro pastos'!S4</f>
        <v>Chuva</v>
      </c>
      <c r="K11" s="1" t="str">
        <f>'Cadastro pastos'!T4</f>
        <v>Seca</v>
      </c>
      <c r="L11" s="1" t="str">
        <f>'Cadastro pastos'!U4</f>
        <v>Seca</v>
      </c>
      <c r="M11" s="1" t="str">
        <f>'Cadastro pastos'!V4</f>
        <v>Seca</v>
      </c>
    </row>
    <row r="12" spans="1:14" x14ac:dyDescent="0.25">
      <c r="A12" s="24" t="s">
        <v>155</v>
      </c>
      <c r="B12" s="430" t="str">
        <f>'Cadastro pastos'!K3</f>
        <v>Julho</v>
      </c>
      <c r="C12" s="430" t="str">
        <f>'Cadastro pastos'!L3</f>
        <v>Agosto</v>
      </c>
      <c r="D12" s="430" t="str">
        <f>'Cadastro pastos'!M3</f>
        <v>Setembro</v>
      </c>
      <c r="E12" s="430" t="str">
        <f>'Cadastro pastos'!N3</f>
        <v>Outubro</v>
      </c>
      <c r="F12" s="430" t="str">
        <f>'Cadastro pastos'!O3</f>
        <v>Novembro</v>
      </c>
      <c r="G12" s="430" t="str">
        <f>'Cadastro pastos'!P3</f>
        <v>Dezembro</v>
      </c>
      <c r="H12" s="430" t="str">
        <f>'Cadastro pastos'!Q3</f>
        <v>Janeiro</v>
      </c>
      <c r="I12" s="430" t="str">
        <f>'Cadastro pastos'!R3</f>
        <v>Fevereiro</v>
      </c>
      <c r="J12" s="430" t="str">
        <f>'Cadastro pastos'!S3</f>
        <v>Março</v>
      </c>
      <c r="K12" s="430" t="str">
        <f>'Cadastro pastos'!T3</f>
        <v>Abril</v>
      </c>
      <c r="L12" s="430" t="str">
        <f>'Cadastro pastos'!U3</f>
        <v>Maio</v>
      </c>
      <c r="M12" s="430" t="str">
        <f>'Cadastro pastos'!V3</f>
        <v>Junho</v>
      </c>
      <c r="N12" s="111" t="s">
        <v>573</v>
      </c>
    </row>
    <row r="13" spans="1:14" x14ac:dyDescent="0.25">
      <c r="A13" s="431" t="str">
        <f>'Planejamento de lotação'!A25</f>
        <v>Lotação total (U.A/ha)</v>
      </c>
      <c r="B13" s="432">
        <f>'Planejamento de lotação'!B25</f>
        <v>0.34</v>
      </c>
      <c r="C13" s="432">
        <f>'Planejamento de lotação'!H25</f>
        <v>0.35</v>
      </c>
      <c r="D13" s="432">
        <f>'Planejamento de lotação'!N25</f>
        <v>0.36</v>
      </c>
      <c r="E13" s="432">
        <f>'Planejamento de lotação'!T25</f>
        <v>0.36</v>
      </c>
      <c r="F13" s="432">
        <f>'Planejamento de lotação'!Z25</f>
        <v>0.37</v>
      </c>
      <c r="G13" s="432">
        <f>'Planejamento de lotação'!AF25</f>
        <v>0.38</v>
      </c>
      <c r="H13" s="432">
        <f>'Planejamento de lotação'!AL25</f>
        <v>0.39</v>
      </c>
      <c r="I13" s="432">
        <f>'Planejamento de lotação'!AR25</f>
        <v>0.4</v>
      </c>
      <c r="J13" s="432">
        <f>'Planejamento de lotação'!AX25</f>
        <v>0.41</v>
      </c>
      <c r="K13" s="432">
        <f>'Planejamento de lotação'!BD25</f>
        <v>0.42</v>
      </c>
      <c r="L13" s="432">
        <f>'Planejamento de lotação'!BJ25</f>
        <v>0.43</v>
      </c>
      <c r="M13" s="433">
        <f>'Planejamento de lotação'!BP25</f>
        <v>0.44</v>
      </c>
      <c r="N13" s="434">
        <f>AVERAGE(B13:M13)</f>
        <v>0.38750000000000001</v>
      </c>
    </row>
    <row r="14" spans="1:14" x14ac:dyDescent="0.25">
      <c r="A14" s="431" t="str">
        <f>'Planejamento de lotação'!A26</f>
        <v>Lotação corrigida (U.A/ha)</v>
      </c>
      <c r="B14" s="432">
        <f>'Planejamento de lotação'!B26</f>
        <v>0.4</v>
      </c>
      <c r="C14" s="432">
        <f>'Planejamento de lotação'!H26</f>
        <v>0.41</v>
      </c>
      <c r="D14" s="432">
        <f>'Planejamento de lotação'!N26</f>
        <v>0.42</v>
      </c>
      <c r="E14" s="432">
        <f>'Planejamento de lotação'!T26</f>
        <v>0.44</v>
      </c>
      <c r="F14" s="432">
        <f>'Planejamento de lotação'!Z26</f>
        <v>0.45</v>
      </c>
      <c r="G14" s="432">
        <f>'Planejamento de lotação'!AF26</f>
        <v>0.46</v>
      </c>
      <c r="H14" s="432">
        <f>'Planejamento de lotação'!AL26</f>
        <v>0.47</v>
      </c>
      <c r="I14" s="432">
        <f>'Planejamento de lotação'!AR26</f>
        <v>0.48</v>
      </c>
      <c r="J14" s="432">
        <f>'Planejamento de lotação'!AX26</f>
        <v>0.49</v>
      </c>
      <c r="K14" s="432">
        <f>'Planejamento de lotação'!BD26</f>
        <v>0.5</v>
      </c>
      <c r="L14" s="432">
        <f>'Planejamento de lotação'!BJ26</f>
        <v>0.51</v>
      </c>
      <c r="M14" s="433">
        <f>'Planejamento de lotação'!BP26</f>
        <v>0.52</v>
      </c>
      <c r="N14" s="434">
        <f>AVERAGE(B14:M14)</f>
        <v>0.46249999999999991</v>
      </c>
    </row>
    <row r="16" spans="1:14" hidden="1" x14ac:dyDescent="0.25"/>
    <row r="17" spans="1:16" ht="15.75" x14ac:dyDescent="0.25">
      <c r="A17" s="431" t="s">
        <v>574</v>
      </c>
      <c r="B17" s="435">
        <v>1</v>
      </c>
      <c r="C17" s="435">
        <v>1</v>
      </c>
      <c r="D17" s="435">
        <v>1</v>
      </c>
      <c r="E17" s="435">
        <v>3</v>
      </c>
      <c r="F17" s="435">
        <v>3</v>
      </c>
      <c r="G17" s="435">
        <v>3</v>
      </c>
      <c r="H17" s="435">
        <v>3</v>
      </c>
      <c r="I17" s="435">
        <v>3</v>
      </c>
      <c r="J17" s="435">
        <v>3</v>
      </c>
      <c r="K17" s="435">
        <v>1</v>
      </c>
      <c r="L17" s="435">
        <v>1</v>
      </c>
      <c r="M17" s="436">
        <v>1</v>
      </c>
      <c r="N17" s="434">
        <f>AVERAGE(B17:M17)</f>
        <v>2</v>
      </c>
      <c r="O17" s="437" t="s">
        <v>575</v>
      </c>
      <c r="P17" t="s">
        <v>576</v>
      </c>
    </row>
    <row r="18" spans="1:16" ht="15.75" x14ac:dyDescent="0.25">
      <c r="A18" s="431" t="s">
        <v>577</v>
      </c>
      <c r="B18" s="438">
        <v>10</v>
      </c>
      <c r="C18" s="438">
        <v>10</v>
      </c>
      <c r="D18" s="438">
        <v>10</v>
      </c>
      <c r="E18" s="438">
        <v>10</v>
      </c>
      <c r="F18" s="438">
        <v>10</v>
      </c>
      <c r="G18" s="438">
        <v>10</v>
      </c>
      <c r="H18" s="438">
        <v>10</v>
      </c>
      <c r="I18" s="438">
        <v>10</v>
      </c>
      <c r="J18" s="438">
        <v>10</v>
      </c>
      <c r="K18" s="438">
        <v>10</v>
      </c>
      <c r="L18" s="438">
        <v>10</v>
      </c>
      <c r="M18" s="439">
        <v>10</v>
      </c>
      <c r="N18" s="440">
        <f>AVERAGE(B18:M18)</f>
        <v>10</v>
      </c>
      <c r="O18" s="437"/>
      <c r="P18" t="s">
        <v>578</v>
      </c>
    </row>
    <row r="19" spans="1:16" ht="15.75" hidden="1" x14ac:dyDescent="0.25">
      <c r="A19" t="s">
        <v>579</v>
      </c>
      <c r="B19" s="1">
        <f>B18*B17</f>
        <v>10</v>
      </c>
      <c r="C19" s="1">
        <f t="shared" ref="C19:M19" si="0">C18*C17</f>
        <v>10</v>
      </c>
      <c r="D19" s="1">
        <f t="shared" si="0"/>
        <v>10</v>
      </c>
      <c r="E19" s="1">
        <f t="shared" si="0"/>
        <v>30</v>
      </c>
      <c r="F19" s="1">
        <f t="shared" si="0"/>
        <v>30</v>
      </c>
      <c r="G19" s="1">
        <f t="shared" si="0"/>
        <v>30</v>
      </c>
      <c r="H19" s="1">
        <f t="shared" si="0"/>
        <v>30</v>
      </c>
      <c r="I19" s="1">
        <f t="shared" si="0"/>
        <v>30</v>
      </c>
      <c r="J19" s="1">
        <f t="shared" si="0"/>
        <v>30</v>
      </c>
      <c r="K19" s="1">
        <f t="shared" si="0"/>
        <v>10</v>
      </c>
      <c r="L19" s="1">
        <f t="shared" si="0"/>
        <v>10</v>
      </c>
      <c r="M19" s="1">
        <f t="shared" si="0"/>
        <v>10</v>
      </c>
      <c r="O19" s="437"/>
    </row>
    <row r="20" spans="1:16" ht="17.25" customHeight="1" x14ac:dyDescent="0.25">
      <c r="L20" s="665" t="s">
        <v>580</v>
      </c>
      <c r="M20" s="665"/>
      <c r="N20" s="434">
        <f>AVERAGEIFS(B17:M17,B11:M11,"Chuva")</f>
        <v>3</v>
      </c>
      <c r="O20" s="437" t="s">
        <v>575</v>
      </c>
      <c r="P20" t="s">
        <v>581</v>
      </c>
    </row>
    <row r="22" spans="1:16" hidden="1" x14ac:dyDescent="0.25">
      <c r="A22" t="s">
        <v>582</v>
      </c>
      <c r="B22">
        <f>B14*'Cadastro pastos'!$D$61</f>
        <v>40.200000000000003</v>
      </c>
      <c r="C22">
        <f>C14*'Cadastro pastos'!$D$61</f>
        <v>41.204999999999998</v>
      </c>
      <c r="D22">
        <f>D14*'Cadastro pastos'!$D$61</f>
        <v>42.21</v>
      </c>
      <c r="E22">
        <f>E14*'Cadastro pastos'!$D$61</f>
        <v>44.22</v>
      </c>
      <c r="F22">
        <f>F14*'Cadastro pastos'!$D$61</f>
        <v>45.225000000000001</v>
      </c>
      <c r="G22">
        <f>G14*'Cadastro pastos'!$D$61</f>
        <v>46.230000000000004</v>
      </c>
      <c r="H22">
        <f>H14*'Cadastro pastos'!$D$61</f>
        <v>47.234999999999999</v>
      </c>
      <c r="I22">
        <f>I14*'Cadastro pastos'!$D$61</f>
        <v>48.239999999999995</v>
      </c>
      <c r="J22">
        <f>J14*'Cadastro pastos'!$D$61</f>
        <v>49.244999999999997</v>
      </c>
      <c r="K22">
        <f>K14*'Cadastro pastos'!$D$61</f>
        <v>50.25</v>
      </c>
      <c r="L22">
        <f>L14*'Cadastro pastos'!$D$61</f>
        <v>51.255000000000003</v>
      </c>
      <c r="M22">
        <f>M14*'Cadastro pastos'!$D$61</f>
        <v>52.260000000000005</v>
      </c>
    </row>
    <row r="23" spans="1:16" hidden="1" x14ac:dyDescent="0.25">
      <c r="A23" t="s">
        <v>583</v>
      </c>
      <c r="B23" s="1">
        <f t="shared" ref="B23:M23" si="1">B22-B19</f>
        <v>30.200000000000003</v>
      </c>
      <c r="C23" s="1">
        <f t="shared" si="1"/>
        <v>31.204999999999998</v>
      </c>
      <c r="D23" s="1">
        <f t="shared" si="1"/>
        <v>32.21</v>
      </c>
      <c r="E23" s="1">
        <f t="shared" si="1"/>
        <v>14.219999999999999</v>
      </c>
      <c r="F23" s="1">
        <f t="shared" si="1"/>
        <v>15.225000000000001</v>
      </c>
      <c r="G23" s="1">
        <f t="shared" si="1"/>
        <v>16.230000000000004</v>
      </c>
      <c r="H23" s="1">
        <f t="shared" si="1"/>
        <v>17.234999999999999</v>
      </c>
      <c r="I23" s="1">
        <f t="shared" si="1"/>
        <v>18.239999999999995</v>
      </c>
      <c r="J23" s="1">
        <f t="shared" si="1"/>
        <v>19.244999999999997</v>
      </c>
      <c r="K23" s="1">
        <f t="shared" si="1"/>
        <v>40.25</v>
      </c>
      <c r="L23" s="1">
        <f t="shared" si="1"/>
        <v>41.255000000000003</v>
      </c>
      <c r="M23" s="1">
        <f t="shared" si="1"/>
        <v>42.260000000000005</v>
      </c>
    </row>
    <row r="24" spans="1:16" hidden="1" x14ac:dyDescent="0.25">
      <c r="A24" t="s">
        <v>584</v>
      </c>
      <c r="B24" s="1">
        <f>'Cadastro pastos'!$D$61-'Resultado lotação'!B18</f>
        <v>90.5</v>
      </c>
      <c r="C24" s="1">
        <f>'Cadastro pastos'!$D$61-'Resultado lotação'!C18</f>
        <v>90.5</v>
      </c>
      <c r="D24" s="1">
        <f>'Cadastro pastos'!$D$61-'Resultado lotação'!D18</f>
        <v>90.5</v>
      </c>
      <c r="E24" s="1">
        <f>'Cadastro pastos'!$D$61-'Resultado lotação'!E18</f>
        <v>90.5</v>
      </c>
      <c r="F24" s="1">
        <f>'Cadastro pastos'!$D$61-'Resultado lotação'!F18</f>
        <v>90.5</v>
      </c>
      <c r="G24" s="1">
        <f>'Cadastro pastos'!$D$61-'Resultado lotação'!G18</f>
        <v>90.5</v>
      </c>
      <c r="H24" s="1">
        <f>'Cadastro pastos'!$D$61-'Resultado lotação'!H18</f>
        <v>90.5</v>
      </c>
      <c r="I24" s="1">
        <f>'Cadastro pastos'!$D$61-'Resultado lotação'!I18</f>
        <v>90.5</v>
      </c>
      <c r="J24" s="1">
        <f>'Cadastro pastos'!$D$61-'Resultado lotação'!J18</f>
        <v>90.5</v>
      </c>
      <c r="K24" s="1">
        <f>'Cadastro pastos'!$D$61-'Resultado lotação'!K18</f>
        <v>90.5</v>
      </c>
      <c r="L24" s="1">
        <f>'Cadastro pastos'!$D$61-'Resultado lotação'!L18</f>
        <v>90.5</v>
      </c>
      <c r="M24" s="1">
        <f>'Cadastro pastos'!$D$61-'Resultado lotação'!M18</f>
        <v>90.5</v>
      </c>
    </row>
    <row r="25" spans="1:16" ht="15.75" x14ac:dyDescent="0.25">
      <c r="A25" s="431" t="s">
        <v>585</v>
      </c>
      <c r="B25" s="441">
        <f>B23/B24</f>
        <v>0.33370165745856356</v>
      </c>
      <c r="C25" s="441">
        <f t="shared" ref="C25:M25" si="2">C23/C24</f>
        <v>0.34480662983425414</v>
      </c>
      <c r="D25" s="441">
        <f t="shared" si="2"/>
        <v>0.35591160220994478</v>
      </c>
      <c r="E25" s="441">
        <f t="shared" si="2"/>
        <v>0.1571270718232044</v>
      </c>
      <c r="F25" s="441">
        <f t="shared" si="2"/>
        <v>0.16823204419889504</v>
      </c>
      <c r="G25" s="441">
        <f t="shared" si="2"/>
        <v>0.17933701657458567</v>
      </c>
      <c r="H25" s="441">
        <f t="shared" si="2"/>
        <v>0.19044198895027623</v>
      </c>
      <c r="I25" s="441">
        <f t="shared" si="2"/>
        <v>0.20154696132596681</v>
      </c>
      <c r="J25" s="441">
        <f t="shared" si="2"/>
        <v>0.21265193370165744</v>
      </c>
      <c r="K25" s="441">
        <f t="shared" si="2"/>
        <v>0.44475138121546959</v>
      </c>
      <c r="L25" s="441">
        <f t="shared" si="2"/>
        <v>0.45585635359116022</v>
      </c>
      <c r="M25" s="442">
        <f t="shared" si="2"/>
        <v>0.46696132596685086</v>
      </c>
      <c r="N25" s="440">
        <f>AVERAGE(B25:M25)</f>
        <v>0.29261049723756899</v>
      </c>
      <c r="O25" s="437" t="s">
        <v>575</v>
      </c>
      <c r="P25" t="s">
        <v>586</v>
      </c>
    </row>
    <row r="26" spans="1:16" x14ac:dyDescent="0.25">
      <c r="P26" t="s">
        <v>587</v>
      </c>
    </row>
    <row r="27" spans="1:16" x14ac:dyDescent="0.25">
      <c r="P27" t="s">
        <v>588</v>
      </c>
    </row>
  </sheetData>
  <sheetProtection algorithmName="SHA-512" hashValue="0/KAUIfiTn88MVkw4PKjMQf/BsKHjy0s8W/Aksgd05m8qvUEq49GSJJpdCWSZfu4+hOy/ZAf1ijikq0QHka84g==" saltValue="7rCvXImMGJbQTvdJYih6Xg==" spinCount="100000" sheet="1" objects="1" scenarios="1" selectLockedCells="1"/>
  <mergeCells count="1">
    <mergeCell ref="L20:M20"/>
  </mergeCells>
  <pageMargins left="0.511811024" right="0.511811024" top="0.78740157499999996" bottom="0.78740157499999996" header="0.31496062000000002" footer="0.3149606200000000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51D68-AD5A-4DE8-9B0E-98B912B011B5}">
  <sheetPr codeName="Planilha17"/>
  <dimension ref="A1:AC31"/>
  <sheetViews>
    <sheetView showGridLines="0" zoomScale="85" zoomScaleNormal="85" workbookViewId="0">
      <selection activeCell="L6" sqref="L6:L11"/>
    </sheetView>
  </sheetViews>
  <sheetFormatPr defaultRowHeight="15" x14ac:dyDescent="0.25"/>
  <cols>
    <col min="1" max="1" width="5" customWidth="1"/>
    <col min="3" max="3" width="29.7109375" style="1" bestFit="1" customWidth="1"/>
    <col min="4" max="4" width="14.28515625" style="1" bestFit="1" customWidth="1"/>
    <col min="5" max="5" width="19.5703125" style="1" customWidth="1"/>
    <col min="6" max="6" width="23.140625" style="1" bestFit="1" customWidth="1"/>
    <col min="7" max="7" width="24.28515625" style="1" customWidth="1"/>
    <col min="9" max="9" width="7.85546875" customWidth="1"/>
    <col min="10" max="10" width="10" customWidth="1"/>
    <col min="11" max="11" width="29.7109375" bestFit="1" customWidth="1"/>
    <col min="12" max="12" width="14.42578125" customWidth="1"/>
    <col min="13" max="13" width="18.28515625" customWidth="1"/>
    <col min="14" max="14" width="22.85546875" bestFit="1" customWidth="1"/>
    <col min="15" max="15" width="20.85546875" bestFit="1" customWidth="1"/>
    <col min="17" max="17" width="8.140625" customWidth="1"/>
    <col min="19" max="19" width="17.140625" customWidth="1"/>
    <col min="20" max="20" width="21.28515625" customWidth="1"/>
    <col min="21" max="21" width="16.42578125" customWidth="1"/>
    <col min="22" max="22" width="14.5703125" customWidth="1"/>
    <col min="23" max="23" width="19.42578125" customWidth="1"/>
  </cols>
  <sheetData>
    <row r="1" spans="1:25" ht="32.25" customHeight="1" x14ac:dyDescent="0.25">
      <c r="A1" s="672" t="s">
        <v>772</v>
      </c>
      <c r="B1" s="672"/>
      <c r="C1" s="672"/>
      <c r="D1" s="672"/>
      <c r="E1" s="672"/>
      <c r="F1" s="672"/>
      <c r="G1" s="672"/>
      <c r="H1" s="672"/>
      <c r="I1" s="672"/>
      <c r="J1" s="672"/>
      <c r="K1" s="672"/>
      <c r="L1" s="672"/>
      <c r="M1" s="672"/>
      <c r="N1" s="672"/>
      <c r="O1" s="672"/>
      <c r="P1" s="672"/>
      <c r="Q1" s="672"/>
      <c r="R1" s="672"/>
      <c r="S1" s="672"/>
      <c r="T1" s="672"/>
      <c r="U1" s="672"/>
      <c r="V1" s="672"/>
      <c r="W1" s="672"/>
      <c r="X1" s="672"/>
      <c r="Y1" s="672"/>
    </row>
    <row r="3" spans="1:25" ht="35.25" customHeight="1" x14ac:dyDescent="0.25">
      <c r="B3" s="673" t="s">
        <v>773</v>
      </c>
      <c r="C3" s="673"/>
      <c r="D3" s="673"/>
      <c r="E3" s="673"/>
      <c r="F3" s="673"/>
      <c r="G3" s="673"/>
      <c r="H3" s="673"/>
      <c r="J3" s="673" t="s">
        <v>774</v>
      </c>
      <c r="K3" s="673"/>
      <c r="L3" s="673"/>
      <c r="M3" s="673"/>
      <c r="N3" s="673"/>
      <c r="O3" s="673"/>
      <c r="P3" s="673"/>
      <c r="R3" s="673" t="s">
        <v>775</v>
      </c>
      <c r="S3" s="673"/>
      <c r="T3" s="673"/>
      <c r="U3" s="673"/>
      <c r="V3" s="673"/>
      <c r="W3" s="673"/>
      <c r="X3" s="673"/>
    </row>
    <row r="4" spans="1:25" x14ac:dyDescent="0.25">
      <c r="B4" s="121"/>
      <c r="C4" s="228"/>
      <c r="D4" s="228"/>
      <c r="E4" s="228"/>
      <c r="F4" s="228"/>
      <c r="G4" s="228"/>
      <c r="H4" s="121"/>
      <c r="J4" s="121"/>
      <c r="K4" s="121"/>
      <c r="L4" s="121"/>
      <c r="M4" s="121"/>
      <c r="N4" s="121"/>
      <c r="O4" s="121"/>
      <c r="P4" s="121"/>
      <c r="R4" s="121"/>
      <c r="S4" s="121"/>
      <c r="T4" s="121"/>
      <c r="U4" s="121"/>
      <c r="V4" s="121"/>
      <c r="W4" s="121"/>
      <c r="X4" s="121"/>
    </row>
    <row r="5" spans="1:25" x14ac:dyDescent="0.25">
      <c r="B5" s="121"/>
      <c r="C5" s="674" t="s">
        <v>776</v>
      </c>
      <c r="D5" s="675"/>
      <c r="E5" s="228"/>
      <c r="F5" s="674" t="s">
        <v>43</v>
      </c>
      <c r="G5" s="675"/>
      <c r="H5" s="121"/>
      <c r="J5" s="121"/>
      <c r="K5" s="674" t="s">
        <v>776</v>
      </c>
      <c r="L5" s="675"/>
      <c r="M5" s="121"/>
      <c r="N5" s="674" t="s">
        <v>43</v>
      </c>
      <c r="O5" s="675"/>
      <c r="P5" s="121"/>
      <c r="R5" s="121"/>
      <c r="S5" s="121"/>
      <c r="T5" s="121"/>
      <c r="U5" s="121"/>
      <c r="V5" s="121"/>
      <c r="W5" s="121"/>
      <c r="X5" s="121"/>
    </row>
    <row r="6" spans="1:25" ht="15" customHeight="1" x14ac:dyDescent="0.25">
      <c r="B6" s="121"/>
      <c r="C6" s="607" t="s">
        <v>777</v>
      </c>
      <c r="D6" s="521"/>
      <c r="E6" s="228"/>
      <c r="F6" s="607" t="s">
        <v>778</v>
      </c>
      <c r="G6" s="3" t="e">
        <f>D6/D7</f>
        <v>#DIV/0!</v>
      </c>
      <c r="H6" s="121"/>
      <c r="J6" s="121"/>
      <c r="K6" s="607" t="s">
        <v>777</v>
      </c>
      <c r="L6" s="521"/>
      <c r="M6" s="121"/>
      <c r="N6" s="607" t="s">
        <v>778</v>
      </c>
      <c r="O6" s="3" t="e">
        <f>L6/L7</f>
        <v>#DIV/0!</v>
      </c>
      <c r="P6" s="121"/>
      <c r="R6" s="121"/>
      <c r="S6" s="121"/>
      <c r="T6" s="121"/>
      <c r="U6" s="121"/>
      <c r="V6" s="121"/>
      <c r="W6" s="121"/>
      <c r="X6" s="121"/>
    </row>
    <row r="7" spans="1:25" ht="15" customHeight="1" x14ac:dyDescent="0.25">
      <c r="B7" s="121"/>
      <c r="C7" s="607" t="s">
        <v>779</v>
      </c>
      <c r="D7" s="521"/>
      <c r="E7" s="228"/>
      <c r="F7" s="607" t="s">
        <v>780</v>
      </c>
      <c r="G7" s="3">
        <f>D6*D8</f>
        <v>0</v>
      </c>
      <c r="H7" s="121"/>
      <c r="J7" s="121"/>
      <c r="K7" s="607" t="s">
        <v>779</v>
      </c>
      <c r="L7" s="521"/>
      <c r="M7" s="121"/>
      <c r="N7" s="607" t="s">
        <v>780</v>
      </c>
      <c r="O7" s="3">
        <f>L6*L8</f>
        <v>0</v>
      </c>
      <c r="P7" s="121"/>
      <c r="R7" s="121"/>
      <c r="S7" s="121"/>
      <c r="T7" s="121"/>
      <c r="U7" s="121"/>
      <c r="V7" s="121"/>
      <c r="W7" s="121"/>
      <c r="X7" s="121"/>
    </row>
    <row r="8" spans="1:25" ht="15" customHeight="1" x14ac:dyDescent="0.25">
      <c r="B8" s="121"/>
      <c r="C8" s="607" t="s">
        <v>781</v>
      </c>
      <c r="D8" s="521"/>
      <c r="E8" s="228"/>
      <c r="F8" s="608" t="s">
        <v>782</v>
      </c>
      <c r="G8" s="3">
        <f>(D9*2)+IF(D10="Sim",4*D11,0)</f>
        <v>0</v>
      </c>
      <c r="H8" s="121"/>
      <c r="J8" s="121"/>
      <c r="K8" s="607" t="s">
        <v>781</v>
      </c>
      <c r="L8" s="521"/>
      <c r="M8" s="121"/>
      <c r="N8" s="608" t="s">
        <v>782</v>
      </c>
      <c r="O8" s="3">
        <f>(L9*2)+(O9*2)+IF(L10="Sim",4*L11,0)</f>
        <v>0</v>
      </c>
      <c r="P8" s="121"/>
      <c r="R8" s="121"/>
      <c r="S8" s="121"/>
      <c r="T8" s="121"/>
      <c r="U8" s="121"/>
      <c r="V8" s="121"/>
      <c r="W8" s="121"/>
      <c r="X8" s="121"/>
    </row>
    <row r="9" spans="1:25" ht="15" customHeight="1" x14ac:dyDescent="0.25">
      <c r="B9" s="121"/>
      <c r="C9" s="607" t="s">
        <v>783</v>
      </c>
      <c r="D9" s="521"/>
      <c r="E9" s="228"/>
      <c r="F9" s="608" t="s">
        <v>784</v>
      </c>
      <c r="G9" s="3">
        <f>D9</f>
        <v>0</v>
      </c>
      <c r="H9" s="121"/>
      <c r="J9" s="121"/>
      <c r="K9" s="607" t="s">
        <v>783</v>
      </c>
      <c r="L9" s="521"/>
      <c r="M9" s="121"/>
      <c r="N9" s="608" t="s">
        <v>785</v>
      </c>
      <c r="O9" s="3">
        <f>L9+IF(L10="Sim",2*L11,0)</f>
        <v>0</v>
      </c>
      <c r="P9" s="121"/>
      <c r="R9" s="121"/>
      <c r="S9" s="121"/>
      <c r="T9" s="121"/>
      <c r="U9" s="121"/>
      <c r="V9" s="121"/>
      <c r="W9" s="121"/>
      <c r="X9" s="121"/>
    </row>
    <row r="10" spans="1:25" ht="15" customHeight="1" x14ac:dyDescent="0.25">
      <c r="B10" s="121"/>
      <c r="C10" s="607" t="s">
        <v>786</v>
      </c>
      <c r="D10" s="521"/>
      <c r="E10" s="228"/>
      <c r="F10" s="608" t="s">
        <v>787</v>
      </c>
      <c r="G10" s="3">
        <f>IF(D10="Sim",2*D11,0)</f>
        <v>0</v>
      </c>
      <c r="H10" s="121"/>
      <c r="J10" s="121"/>
      <c r="K10" s="607" t="s">
        <v>786</v>
      </c>
      <c r="L10" s="521"/>
      <c r="M10" s="121"/>
      <c r="N10" s="121"/>
      <c r="O10" s="121"/>
      <c r="P10" s="121"/>
      <c r="R10" s="121"/>
      <c r="S10" s="121"/>
      <c r="T10" s="121"/>
      <c r="U10" s="121"/>
      <c r="V10" s="121"/>
      <c r="W10" s="121"/>
      <c r="X10" s="121"/>
    </row>
    <row r="11" spans="1:25" ht="15" customHeight="1" x14ac:dyDescent="0.25">
      <c r="B11" s="121"/>
      <c r="C11" s="607" t="s">
        <v>788</v>
      </c>
      <c r="D11" s="521"/>
      <c r="E11" s="228"/>
      <c r="F11" s="607" t="s">
        <v>789</v>
      </c>
      <c r="G11" s="602">
        <f>ROUNDUP(D6/3000,0)</f>
        <v>0</v>
      </c>
      <c r="H11" s="121"/>
      <c r="J11" s="121"/>
      <c r="K11" s="607" t="s">
        <v>788</v>
      </c>
      <c r="L11" s="521"/>
      <c r="M11" s="121"/>
      <c r="N11" s="121"/>
      <c r="O11" s="121"/>
      <c r="P11" s="121"/>
      <c r="R11" s="121"/>
      <c r="S11" s="121"/>
      <c r="T11" s="121"/>
      <c r="U11" s="121"/>
      <c r="V11" s="121"/>
      <c r="W11" s="121"/>
      <c r="X11" s="121"/>
    </row>
    <row r="12" spans="1:25" ht="15" customHeight="1" x14ac:dyDescent="0.25">
      <c r="B12" s="121"/>
      <c r="C12" s="228"/>
      <c r="D12" s="228"/>
      <c r="E12" s="228"/>
      <c r="F12" s="607" t="s">
        <v>790</v>
      </c>
      <c r="G12" s="3" t="e">
        <f>G6</f>
        <v>#DIV/0!</v>
      </c>
      <c r="H12" s="121"/>
      <c r="J12" s="121"/>
      <c r="K12" s="121"/>
      <c r="L12" s="121"/>
      <c r="M12" s="121"/>
      <c r="N12" s="121"/>
      <c r="O12" s="121"/>
      <c r="P12" s="121"/>
      <c r="R12" s="121"/>
      <c r="S12" s="121"/>
      <c r="T12" s="121"/>
      <c r="U12" s="121"/>
      <c r="V12" s="121"/>
      <c r="W12" s="121"/>
      <c r="X12" s="121"/>
    </row>
    <row r="13" spans="1:25" ht="15" customHeight="1" x14ac:dyDescent="0.25">
      <c r="B13" s="121"/>
      <c r="C13" s="228"/>
      <c r="D13" s="228"/>
      <c r="E13" s="228"/>
      <c r="F13" s="607" t="s">
        <v>791</v>
      </c>
      <c r="G13" s="3">
        <f>IF(G11&lt;=3,3,G11)</f>
        <v>3</v>
      </c>
      <c r="H13" s="121"/>
      <c r="J13" s="121"/>
      <c r="K13" s="121"/>
      <c r="L13" s="121"/>
      <c r="M13" s="121"/>
      <c r="N13" s="121"/>
      <c r="O13" s="121"/>
      <c r="P13" s="121"/>
      <c r="R13" s="121"/>
      <c r="S13" s="121"/>
      <c r="T13" s="121"/>
      <c r="U13" s="121"/>
      <c r="V13" s="121"/>
      <c r="W13" s="121"/>
      <c r="X13" s="121"/>
    </row>
    <row r="14" spans="1:25" ht="21" customHeight="1" x14ac:dyDescent="0.25">
      <c r="B14" s="121"/>
      <c r="C14" s="228"/>
      <c r="D14" s="228"/>
      <c r="E14" s="228"/>
      <c r="F14" s="228"/>
      <c r="G14" s="228"/>
      <c r="H14" s="121"/>
      <c r="J14" s="121"/>
      <c r="K14" s="121"/>
      <c r="L14" s="121"/>
      <c r="M14" s="121"/>
      <c r="N14" s="121"/>
      <c r="O14" s="121"/>
      <c r="P14" s="121"/>
      <c r="R14" s="121"/>
      <c r="S14" s="121"/>
      <c r="T14" s="121"/>
      <c r="U14" s="121"/>
      <c r="V14" s="121"/>
      <c r="W14" s="121"/>
      <c r="X14" s="121"/>
    </row>
    <row r="15" spans="1:25" ht="21" x14ac:dyDescent="0.25">
      <c r="B15" s="121"/>
      <c r="C15" s="666" t="s">
        <v>792</v>
      </c>
      <c r="D15" s="667"/>
      <c r="E15" s="667"/>
      <c r="F15" s="667"/>
      <c r="G15" s="668"/>
      <c r="H15" s="121"/>
      <c r="J15" s="121"/>
      <c r="K15" s="666" t="s">
        <v>792</v>
      </c>
      <c r="L15" s="667"/>
      <c r="M15" s="667"/>
      <c r="N15" s="667"/>
      <c r="O15" s="668"/>
      <c r="P15" s="121"/>
      <c r="R15" s="121"/>
      <c r="S15" s="666" t="s">
        <v>792</v>
      </c>
      <c r="T15" s="667"/>
      <c r="U15" s="667"/>
      <c r="V15" s="667"/>
      <c r="W15" s="668"/>
      <c r="X15" s="121"/>
    </row>
    <row r="16" spans="1:25" x14ac:dyDescent="0.25">
      <c r="B16" s="121"/>
      <c r="C16" s="529" t="s">
        <v>793</v>
      </c>
      <c r="D16" s="584" t="s">
        <v>794</v>
      </c>
      <c r="E16" s="529" t="s">
        <v>795</v>
      </c>
      <c r="F16" s="584" t="s">
        <v>796</v>
      </c>
      <c r="G16" s="584" t="s">
        <v>685</v>
      </c>
      <c r="H16" s="121"/>
      <c r="J16" s="121"/>
      <c r="K16" s="529" t="s">
        <v>793</v>
      </c>
      <c r="L16" s="584" t="s">
        <v>794</v>
      </c>
      <c r="M16" s="584" t="s">
        <v>795</v>
      </c>
      <c r="N16" s="584" t="s">
        <v>796</v>
      </c>
      <c r="O16" s="530" t="s">
        <v>685</v>
      </c>
      <c r="P16" s="121"/>
      <c r="R16" s="121"/>
      <c r="S16" s="609" t="s">
        <v>793</v>
      </c>
      <c r="T16" s="609" t="s">
        <v>794</v>
      </c>
      <c r="U16" s="609" t="s">
        <v>795</v>
      </c>
      <c r="V16" s="609" t="s">
        <v>796</v>
      </c>
      <c r="W16" s="609" t="s">
        <v>685</v>
      </c>
      <c r="X16" s="121"/>
    </row>
    <row r="17" spans="2:29" ht="45" customHeight="1" x14ac:dyDescent="0.25">
      <c r="B17" s="121"/>
      <c r="C17" s="3"/>
      <c r="D17" s="610" t="s">
        <v>797</v>
      </c>
      <c r="E17" s="524"/>
      <c r="F17" s="611" t="e">
        <f>G6</f>
        <v>#DIV/0!</v>
      </c>
      <c r="G17" s="612" t="e">
        <f t="shared" ref="G17:G29" si="0">F17*E17</f>
        <v>#DIV/0!</v>
      </c>
      <c r="H17" s="121"/>
      <c r="J17" s="121"/>
      <c r="K17" s="3"/>
      <c r="L17" s="610" t="s">
        <v>797</v>
      </c>
      <c r="M17" s="524"/>
      <c r="N17" s="3" t="e">
        <f>O6</f>
        <v>#DIV/0!</v>
      </c>
      <c r="O17" s="612" t="e">
        <f t="shared" ref="O17:O29" si="1">N17*M17</f>
        <v>#DIV/0!</v>
      </c>
      <c r="P17" s="121"/>
      <c r="R17" s="121"/>
      <c r="S17" s="3"/>
      <c r="T17" s="613" t="s">
        <v>798</v>
      </c>
      <c r="U17" s="524"/>
      <c r="V17" s="521"/>
      <c r="W17" s="612">
        <f t="shared" ref="W17:W29" si="2">V17*U17</f>
        <v>0</v>
      </c>
      <c r="X17" s="121"/>
    </row>
    <row r="18" spans="2:29" ht="45" customHeight="1" x14ac:dyDescent="0.25">
      <c r="B18" s="121"/>
      <c r="C18" s="3"/>
      <c r="D18" s="610" t="s">
        <v>799</v>
      </c>
      <c r="E18" s="524"/>
      <c r="F18" s="611">
        <f>G7</f>
        <v>0</v>
      </c>
      <c r="G18" s="612">
        <f t="shared" si="0"/>
        <v>0</v>
      </c>
      <c r="H18" s="121"/>
      <c r="J18" s="121"/>
      <c r="K18" s="3"/>
      <c r="L18" s="610" t="s">
        <v>799</v>
      </c>
      <c r="M18" s="524"/>
      <c r="N18" s="3">
        <f>O7</f>
        <v>0</v>
      </c>
      <c r="O18" s="612">
        <f t="shared" si="1"/>
        <v>0</v>
      </c>
      <c r="P18" s="121"/>
      <c r="R18" s="121"/>
      <c r="S18" s="3"/>
      <c r="T18" s="613" t="s">
        <v>800</v>
      </c>
      <c r="U18" s="524"/>
      <c r="V18" s="521"/>
      <c r="W18" s="612">
        <f t="shared" si="2"/>
        <v>0</v>
      </c>
      <c r="X18" s="121"/>
    </row>
    <row r="19" spans="2:29" ht="45" customHeight="1" x14ac:dyDescent="0.25">
      <c r="B19" s="121"/>
      <c r="C19" s="3"/>
      <c r="D19" s="610" t="s">
        <v>801</v>
      </c>
      <c r="E19" s="524"/>
      <c r="F19" s="611">
        <f>G10</f>
        <v>0</v>
      </c>
      <c r="G19" s="612">
        <f t="shared" si="0"/>
        <v>0</v>
      </c>
      <c r="H19" s="121"/>
      <c r="J19" s="121"/>
      <c r="K19" s="3"/>
      <c r="L19" s="610" t="s">
        <v>801</v>
      </c>
      <c r="M19" s="524"/>
      <c r="N19" s="3">
        <f>O9</f>
        <v>0</v>
      </c>
      <c r="O19" s="612">
        <f t="shared" si="1"/>
        <v>0</v>
      </c>
      <c r="P19" s="121"/>
      <c r="R19" s="121"/>
      <c r="S19" s="3"/>
      <c r="T19" s="613" t="s">
        <v>802</v>
      </c>
      <c r="U19" s="524"/>
      <c r="V19" s="521"/>
      <c r="W19" s="612">
        <f t="shared" si="2"/>
        <v>0</v>
      </c>
      <c r="X19" s="121"/>
    </row>
    <row r="20" spans="2:29" ht="45" customHeight="1" x14ac:dyDescent="0.25">
      <c r="B20" s="121"/>
      <c r="C20" s="2"/>
      <c r="D20" s="610" t="s">
        <v>803</v>
      </c>
      <c r="E20" s="524"/>
      <c r="F20" s="611">
        <f>G8</f>
        <v>0</v>
      </c>
      <c r="G20" s="612">
        <f t="shared" si="0"/>
        <v>0</v>
      </c>
      <c r="H20" s="121"/>
      <c r="J20" s="121"/>
      <c r="K20" s="2"/>
      <c r="L20" s="610" t="s">
        <v>803</v>
      </c>
      <c r="M20" s="524"/>
      <c r="N20" s="3">
        <f>O8</f>
        <v>0</v>
      </c>
      <c r="O20" s="612">
        <f t="shared" si="1"/>
        <v>0</v>
      </c>
      <c r="P20" s="121"/>
      <c r="R20" s="121"/>
      <c r="S20" s="3"/>
      <c r="T20" s="613" t="s">
        <v>804</v>
      </c>
      <c r="U20" s="524"/>
      <c r="V20" s="521"/>
      <c r="W20" s="612">
        <f t="shared" si="2"/>
        <v>0</v>
      </c>
      <c r="X20" s="121"/>
    </row>
    <row r="21" spans="2:29" ht="45" customHeight="1" x14ac:dyDescent="0.25">
      <c r="B21" s="121"/>
      <c r="C21" s="2"/>
      <c r="D21" s="610" t="s">
        <v>805</v>
      </c>
      <c r="E21" s="524"/>
      <c r="F21" s="611">
        <f>G9</f>
        <v>0</v>
      </c>
      <c r="G21" s="612">
        <f t="shared" si="0"/>
        <v>0</v>
      </c>
      <c r="H21" s="121"/>
      <c r="J21" s="121"/>
      <c r="K21" s="2"/>
      <c r="L21" s="610" t="s">
        <v>806</v>
      </c>
      <c r="M21" s="524"/>
      <c r="N21" s="3">
        <f>L6/1000</f>
        <v>0</v>
      </c>
      <c r="O21" s="612">
        <f t="shared" si="1"/>
        <v>0</v>
      </c>
      <c r="P21" s="121"/>
      <c r="R21" s="121"/>
      <c r="S21" s="3"/>
      <c r="T21" s="613" t="s">
        <v>807</v>
      </c>
      <c r="U21" s="524"/>
      <c r="V21" s="521"/>
      <c r="W21" s="612">
        <f t="shared" si="2"/>
        <v>0</v>
      </c>
      <c r="X21" s="121"/>
    </row>
    <row r="22" spans="2:29" ht="45" customHeight="1" x14ac:dyDescent="0.25">
      <c r="B22" s="121"/>
      <c r="C22" s="2"/>
      <c r="D22" s="610" t="s">
        <v>808</v>
      </c>
      <c r="E22" s="524"/>
      <c r="F22" s="611">
        <f>F20*2.5</f>
        <v>0</v>
      </c>
      <c r="G22" s="612">
        <f t="shared" si="0"/>
        <v>0</v>
      </c>
      <c r="H22" s="121"/>
      <c r="J22" s="121"/>
      <c r="K22" s="522"/>
      <c r="L22" s="613"/>
      <c r="M22" s="524"/>
      <c r="N22" s="521"/>
      <c r="O22" s="612">
        <f t="shared" si="1"/>
        <v>0</v>
      </c>
      <c r="P22" s="121"/>
      <c r="R22" s="121"/>
      <c r="S22" s="3"/>
      <c r="T22" s="613" t="s">
        <v>809</v>
      </c>
      <c r="U22" s="524"/>
      <c r="V22" s="521"/>
      <c r="W22" s="612">
        <f t="shared" si="2"/>
        <v>0</v>
      </c>
      <c r="X22" s="121"/>
    </row>
    <row r="23" spans="2:29" ht="45" customHeight="1" x14ac:dyDescent="0.25">
      <c r="B23" s="121"/>
      <c r="C23" s="2"/>
      <c r="D23" s="610" t="s">
        <v>810</v>
      </c>
      <c r="E23" s="524"/>
      <c r="F23" s="611" t="e">
        <f>F17</f>
        <v>#DIV/0!</v>
      </c>
      <c r="G23" s="612" t="e">
        <f t="shared" si="0"/>
        <v>#DIV/0!</v>
      </c>
      <c r="H23" s="121"/>
      <c r="J23" s="121"/>
      <c r="K23" s="522"/>
      <c r="L23" s="613"/>
      <c r="M23" s="524"/>
      <c r="N23" s="521"/>
      <c r="O23" s="612">
        <f t="shared" si="1"/>
        <v>0</v>
      </c>
      <c r="P23" s="121"/>
      <c r="R23" s="121"/>
      <c r="S23" s="3"/>
      <c r="T23" s="613" t="s">
        <v>811</v>
      </c>
      <c r="U23" s="524"/>
      <c r="V23" s="521"/>
      <c r="W23" s="612">
        <f t="shared" si="2"/>
        <v>0</v>
      </c>
      <c r="X23" s="121"/>
    </row>
    <row r="24" spans="2:29" ht="45" customHeight="1" x14ac:dyDescent="0.25">
      <c r="B24" s="121"/>
      <c r="C24" s="2"/>
      <c r="D24" s="610" t="str">
        <f>"Eletrificador "&amp;G11&amp;"J"</f>
        <v>Eletrificador 0J</v>
      </c>
      <c r="E24" s="524"/>
      <c r="F24" s="611">
        <v>1</v>
      </c>
      <c r="G24" s="612">
        <f t="shared" si="0"/>
        <v>0</v>
      </c>
      <c r="H24" s="121"/>
      <c r="I24" s="614"/>
      <c r="J24" s="615"/>
      <c r="K24" s="522"/>
      <c r="L24" s="613"/>
      <c r="M24" s="524"/>
      <c r="N24" s="521"/>
      <c r="O24" s="612">
        <f t="shared" si="1"/>
        <v>0</v>
      </c>
      <c r="P24" s="121"/>
      <c r="R24" s="121"/>
      <c r="S24" s="3"/>
      <c r="T24" s="613" t="s">
        <v>812</v>
      </c>
      <c r="U24" s="524"/>
      <c r="V24" s="521"/>
      <c r="W24" s="612">
        <f t="shared" si="2"/>
        <v>0</v>
      </c>
      <c r="X24" s="121"/>
    </row>
    <row r="25" spans="2:29" ht="45" customHeight="1" x14ac:dyDescent="0.25">
      <c r="B25" s="121"/>
      <c r="C25" s="2"/>
      <c r="D25" s="610" t="s">
        <v>813</v>
      </c>
      <c r="E25" s="524"/>
      <c r="F25" s="611">
        <f>$G$13</f>
        <v>3</v>
      </c>
      <c r="G25" s="612">
        <f t="shared" si="0"/>
        <v>0</v>
      </c>
      <c r="H25" s="121"/>
      <c r="I25" s="614"/>
      <c r="J25" s="615"/>
      <c r="K25" s="522"/>
      <c r="L25" s="613"/>
      <c r="M25" s="524"/>
      <c r="N25" s="521"/>
      <c r="O25" s="612">
        <f t="shared" si="1"/>
        <v>0</v>
      </c>
      <c r="P25" s="121"/>
      <c r="R25" s="121"/>
      <c r="S25" s="3"/>
      <c r="T25" s="613" t="s">
        <v>814</v>
      </c>
      <c r="U25" s="524"/>
      <c r="V25" s="521"/>
      <c r="W25" s="612">
        <f t="shared" si="2"/>
        <v>0</v>
      </c>
      <c r="X25" s="121"/>
    </row>
    <row r="26" spans="2:29" ht="45" customHeight="1" x14ac:dyDescent="0.25">
      <c r="B26" s="121"/>
      <c r="C26" s="2"/>
      <c r="D26" s="610" t="s">
        <v>815</v>
      </c>
      <c r="E26" s="524"/>
      <c r="F26" s="611">
        <f>(($G$9+$G$10)*5)+($G$8*1)</f>
        <v>0</v>
      </c>
      <c r="G26" s="612">
        <f t="shared" si="0"/>
        <v>0</v>
      </c>
      <c r="H26" s="121"/>
      <c r="I26" s="614"/>
      <c r="J26" s="615"/>
      <c r="K26" s="522"/>
      <c r="L26" s="613"/>
      <c r="M26" s="524"/>
      <c r="N26" s="521"/>
      <c r="O26" s="612">
        <f t="shared" si="1"/>
        <v>0</v>
      </c>
      <c r="P26" s="121"/>
      <c r="R26" s="121"/>
      <c r="S26" s="616"/>
      <c r="T26" s="613" t="s">
        <v>816</v>
      </c>
      <c r="U26" s="524"/>
      <c r="V26" s="521"/>
      <c r="W26" s="612">
        <f t="shared" si="2"/>
        <v>0</v>
      </c>
      <c r="X26" s="121"/>
    </row>
    <row r="27" spans="2:29" ht="45" customHeight="1" x14ac:dyDescent="0.25">
      <c r="B27" s="121"/>
      <c r="C27" s="2"/>
      <c r="D27" s="610" t="s">
        <v>806</v>
      </c>
      <c r="E27" s="524"/>
      <c r="F27" s="611">
        <f>$D$6/1000</f>
        <v>0</v>
      </c>
      <c r="G27" s="612">
        <f t="shared" si="0"/>
        <v>0</v>
      </c>
      <c r="H27" s="121"/>
      <c r="J27" s="121"/>
      <c r="K27" s="522"/>
      <c r="L27" s="613"/>
      <c r="M27" s="524"/>
      <c r="N27" s="521"/>
      <c r="O27" s="612">
        <f t="shared" si="1"/>
        <v>0</v>
      </c>
      <c r="P27" s="121"/>
      <c r="R27" s="121"/>
      <c r="S27" s="521"/>
      <c r="T27" s="613"/>
      <c r="U27" s="524"/>
      <c r="V27" s="521"/>
      <c r="W27" s="612">
        <f t="shared" si="2"/>
        <v>0</v>
      </c>
      <c r="X27" s="121"/>
    </row>
    <row r="28" spans="2:29" ht="45" customHeight="1" x14ac:dyDescent="0.25">
      <c r="B28" s="121"/>
      <c r="C28" s="522"/>
      <c r="D28" s="613"/>
      <c r="E28" s="524"/>
      <c r="F28" s="521"/>
      <c r="G28" s="612">
        <f t="shared" si="0"/>
        <v>0</v>
      </c>
      <c r="H28" s="121"/>
      <c r="J28" s="121"/>
      <c r="K28" s="522"/>
      <c r="L28" s="613"/>
      <c r="M28" s="524"/>
      <c r="N28" s="521"/>
      <c r="O28" s="612">
        <f t="shared" si="1"/>
        <v>0</v>
      </c>
      <c r="P28" s="121"/>
      <c r="R28" s="121"/>
      <c r="S28" s="521"/>
      <c r="T28" s="613"/>
      <c r="U28" s="524"/>
      <c r="V28" s="521"/>
      <c r="W28" s="612">
        <f t="shared" si="2"/>
        <v>0</v>
      </c>
      <c r="X28" s="121"/>
    </row>
    <row r="29" spans="2:29" ht="45" customHeight="1" x14ac:dyDescent="0.25">
      <c r="B29" s="121"/>
      <c r="C29" s="521"/>
      <c r="D29" s="613"/>
      <c r="E29" s="524"/>
      <c r="F29" s="521"/>
      <c r="G29" s="612">
        <f t="shared" si="0"/>
        <v>0</v>
      </c>
      <c r="H29" s="121"/>
      <c r="J29" s="121"/>
      <c r="K29" s="521"/>
      <c r="L29" s="613"/>
      <c r="M29" s="524"/>
      <c r="N29" s="619"/>
      <c r="O29" s="612">
        <f t="shared" si="1"/>
        <v>0</v>
      </c>
      <c r="P29" s="121"/>
      <c r="R29" s="121"/>
      <c r="S29" s="521"/>
      <c r="T29" s="613"/>
      <c r="U29" s="524"/>
      <c r="V29" s="521"/>
      <c r="W29" s="612">
        <f t="shared" si="2"/>
        <v>0</v>
      </c>
      <c r="X29" s="121"/>
    </row>
    <row r="30" spans="2:29" ht="40.9" customHeight="1" x14ac:dyDescent="0.25">
      <c r="B30" s="121"/>
      <c r="C30" s="669" t="s">
        <v>265</v>
      </c>
      <c r="D30" s="669"/>
      <c r="E30" s="669"/>
      <c r="F30" s="669"/>
      <c r="G30" s="617" t="e">
        <f>SUM(G17:G29)</f>
        <v>#DIV/0!</v>
      </c>
      <c r="H30" s="121"/>
      <c r="J30" s="121"/>
      <c r="K30" s="670" t="s">
        <v>265</v>
      </c>
      <c r="L30" s="670"/>
      <c r="M30" s="670"/>
      <c r="N30" s="671"/>
      <c r="O30" s="617" t="e">
        <f>SUM(O17:O29)</f>
        <v>#DIV/0!</v>
      </c>
      <c r="P30" s="121"/>
      <c r="R30" s="121"/>
      <c r="S30" s="670" t="s">
        <v>265</v>
      </c>
      <c r="T30" s="670"/>
      <c r="U30" s="670"/>
      <c r="V30" s="671"/>
      <c r="W30" s="617">
        <f>SUM(W17:W29)</f>
        <v>0</v>
      </c>
      <c r="X30" s="121"/>
    </row>
    <row r="31" spans="2:29" ht="40.9" customHeight="1" x14ac:dyDescent="0.25">
      <c r="B31" s="121"/>
      <c r="C31" s="228"/>
      <c r="D31" s="228"/>
      <c r="E31" s="228"/>
      <c r="F31" s="228"/>
      <c r="G31" s="618"/>
      <c r="H31" s="121"/>
      <c r="J31" s="121"/>
      <c r="K31" s="121"/>
      <c r="L31" s="121"/>
      <c r="M31" s="121"/>
      <c r="N31" s="121"/>
      <c r="O31" s="121"/>
      <c r="P31" s="121"/>
      <c r="R31" s="121"/>
      <c r="S31" s="121"/>
      <c r="T31" s="121"/>
      <c r="U31" s="121"/>
      <c r="V31" s="121"/>
      <c r="W31" s="121"/>
      <c r="X31" s="121"/>
      <c r="AB31" s="1"/>
      <c r="AC31" s="1"/>
    </row>
  </sheetData>
  <sheetProtection algorithmName="SHA-512" hashValue="z39oZmlR/yC1fMno2cbExl8a9nMKS7jdlgkXeyaNZNmlGI7AZfx9FjoiJs/U+Wx1bRRVEQt1lAiccWoBsDMsSg==" saltValue="ROyK4/qGVoqv8+IQsP9nJw==" spinCount="100000" sheet="1" objects="1" scenarios="1" selectLockedCells="1"/>
  <mergeCells count="14">
    <mergeCell ref="A1:Y1"/>
    <mergeCell ref="B3:H3"/>
    <mergeCell ref="J3:P3"/>
    <mergeCell ref="R3:X3"/>
    <mergeCell ref="C5:D5"/>
    <mergeCell ref="F5:G5"/>
    <mergeCell ref="K5:L5"/>
    <mergeCell ref="N5:O5"/>
    <mergeCell ref="C15:G15"/>
    <mergeCell ref="K15:O15"/>
    <mergeCell ref="S15:W15"/>
    <mergeCell ref="C30:F30"/>
    <mergeCell ref="K30:N30"/>
    <mergeCell ref="S30:V30"/>
  </mergeCells>
  <dataValidations count="1">
    <dataValidation type="list" allowBlank="1" showInputMessage="1" showErrorMessage="1" sqref="D10 L10" xr:uid="{362FDC4C-DEB6-4036-BA31-E7968D5AF0EA}">
      <formula1>"Sim,Não"</formula1>
    </dataValidation>
  </dataValidations>
  <pageMargins left="0.511811024" right="0.511811024" top="0.78740157499999996" bottom="0.78740157499999996" header="0.31496062000000002" footer="0.31496062000000002"/>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1AC4-FA56-4288-B60E-3C264E95A502}">
  <sheetPr codeName="Planilha16"/>
  <dimension ref="A1:AD47"/>
  <sheetViews>
    <sheetView showGridLines="0" showRowColHeaders="0" topLeftCell="A4" zoomScale="85" zoomScaleNormal="85" workbookViewId="0">
      <selection activeCell="C25" sqref="C25"/>
    </sheetView>
  </sheetViews>
  <sheetFormatPr defaultColWidth="0" defaultRowHeight="15" customHeight="1" zeroHeight="1" x14ac:dyDescent="0.25"/>
  <cols>
    <col min="1" max="1" width="8.42578125" customWidth="1"/>
    <col min="2" max="2" width="32.140625" bestFit="1" customWidth="1"/>
    <col min="3" max="3" width="13.7109375" customWidth="1"/>
    <col min="4" max="4" width="14.5703125" customWidth="1"/>
    <col min="5" max="6" width="9.140625" customWidth="1"/>
    <col min="7" max="7" width="13.85546875" bestFit="1" customWidth="1"/>
    <col min="8" max="9" width="9.140625" customWidth="1"/>
    <col min="10" max="10" width="110.140625" customWidth="1"/>
    <col min="11" max="16384" width="9.140625" hidden="1"/>
  </cols>
  <sheetData>
    <row r="1" spans="1:30" ht="27.75" customHeight="1" x14ac:dyDescent="0.25">
      <c r="A1" s="531"/>
      <c r="B1" s="684" t="s">
        <v>704</v>
      </c>
      <c r="C1" s="684"/>
      <c r="D1" s="684"/>
      <c r="E1" s="684"/>
      <c r="F1" s="684"/>
      <c r="G1" s="684"/>
      <c r="H1" s="684"/>
      <c r="I1" s="684"/>
      <c r="J1" s="684"/>
    </row>
    <row r="2" spans="1:30" ht="313.5" customHeight="1" x14ac:dyDescent="0.25">
      <c r="A2" s="26"/>
      <c r="B2" s="26"/>
      <c r="C2" s="26"/>
      <c r="D2" s="26"/>
      <c r="E2" s="26"/>
      <c r="F2" s="26"/>
      <c r="G2" s="26"/>
      <c r="H2" s="26"/>
      <c r="I2" s="26"/>
      <c r="J2" s="26"/>
    </row>
    <row r="3" spans="1:30" ht="20.100000000000001" customHeight="1" x14ac:dyDescent="0.25">
      <c r="A3" s="26"/>
      <c r="B3" s="685" t="s">
        <v>223</v>
      </c>
      <c r="C3" s="685"/>
      <c r="D3" s="27"/>
      <c r="E3" s="27"/>
      <c r="F3" s="27"/>
      <c r="G3" s="27"/>
      <c r="H3" s="27"/>
      <c r="I3" s="27"/>
      <c r="J3" s="27"/>
      <c r="L3" s="429" t="s">
        <v>705</v>
      </c>
      <c r="M3" s="429">
        <v>25</v>
      </c>
      <c r="N3" s="429">
        <v>32</v>
      </c>
      <c r="O3" s="429">
        <v>40</v>
      </c>
      <c r="P3" s="429">
        <v>50</v>
      </c>
      <c r="Q3" s="429">
        <v>75</v>
      </c>
      <c r="R3" s="429">
        <v>100</v>
      </c>
      <c r="S3" s="429">
        <v>125</v>
      </c>
      <c r="T3" s="429">
        <v>150</v>
      </c>
      <c r="U3" s="429">
        <v>200</v>
      </c>
      <c r="V3" s="429">
        <v>250</v>
      </c>
      <c r="W3" s="429">
        <v>300</v>
      </c>
      <c r="AB3" s="686" t="s">
        <v>706</v>
      </c>
      <c r="AC3" s="686"/>
      <c r="AD3" s="580" t="s">
        <v>707</v>
      </c>
    </row>
    <row r="4" spans="1:30" ht="30" customHeight="1" x14ac:dyDescent="0.25">
      <c r="A4" s="26"/>
      <c r="B4" s="581" t="s">
        <v>708</v>
      </c>
      <c r="C4" s="518"/>
      <c r="D4" s="27"/>
      <c r="E4" s="27"/>
      <c r="F4" s="27"/>
      <c r="G4" s="27"/>
      <c r="H4" s="27"/>
      <c r="I4" s="27"/>
      <c r="J4" s="27"/>
      <c r="K4">
        <v>1</v>
      </c>
      <c r="L4" s="429">
        <v>498.00000000000006</v>
      </c>
      <c r="M4" s="429">
        <v>0.7</v>
      </c>
      <c r="N4" s="429">
        <v>0.2</v>
      </c>
      <c r="O4" s="429">
        <v>0</v>
      </c>
      <c r="P4" s="429"/>
      <c r="Q4" s="429"/>
      <c r="R4" s="429"/>
      <c r="S4" s="429"/>
      <c r="T4" s="429"/>
      <c r="U4" s="429"/>
      <c r="V4" s="429"/>
      <c r="W4" s="429"/>
      <c r="X4">
        <v>1</v>
      </c>
      <c r="AB4" s="682" t="s">
        <v>1</v>
      </c>
      <c r="AC4" s="682"/>
      <c r="AD4" s="582">
        <v>0</v>
      </c>
    </row>
    <row r="5" spans="1:30" ht="30" customHeight="1" x14ac:dyDescent="0.25">
      <c r="A5" s="26"/>
      <c r="B5" s="581" t="s">
        <v>709</v>
      </c>
      <c r="C5" s="518"/>
      <c r="D5" s="27"/>
      <c r="E5" s="27"/>
      <c r="F5" s="27"/>
      <c r="G5" s="27"/>
      <c r="H5" s="27"/>
      <c r="I5" s="27"/>
      <c r="J5" s="27"/>
      <c r="K5">
        <v>2</v>
      </c>
      <c r="L5" s="429">
        <v>1002</v>
      </c>
      <c r="M5" s="429">
        <v>2.7</v>
      </c>
      <c r="N5" s="429">
        <v>0.75</v>
      </c>
      <c r="O5" s="429">
        <v>0.22</v>
      </c>
      <c r="P5" s="429">
        <v>0.08</v>
      </c>
      <c r="Q5" s="429"/>
      <c r="R5" s="429"/>
      <c r="S5" s="429"/>
      <c r="T5" s="429"/>
      <c r="U5" s="429"/>
      <c r="V5" s="429"/>
      <c r="W5" s="429"/>
      <c r="X5">
        <v>2</v>
      </c>
      <c r="AB5" s="682" t="s">
        <v>710</v>
      </c>
      <c r="AC5" s="682"/>
      <c r="AD5" s="582">
        <v>0</v>
      </c>
    </row>
    <row r="6" spans="1:30" ht="30" customHeight="1" x14ac:dyDescent="0.25">
      <c r="A6" s="26"/>
      <c r="B6" s="581" t="s">
        <v>711</v>
      </c>
      <c r="C6" s="518"/>
      <c r="D6" s="27"/>
      <c r="E6" s="27"/>
      <c r="F6" s="27"/>
      <c r="G6" s="27"/>
      <c r="H6" s="27"/>
      <c r="I6" s="27"/>
      <c r="J6" s="27"/>
      <c r="K6">
        <v>3</v>
      </c>
      <c r="L6" s="429">
        <v>1500</v>
      </c>
      <c r="M6" s="429">
        <v>6</v>
      </c>
      <c r="N6" s="429">
        <v>1.6</v>
      </c>
      <c r="O6" s="429">
        <v>0.5</v>
      </c>
      <c r="P6" s="429">
        <v>0.17</v>
      </c>
      <c r="Q6" s="429"/>
      <c r="R6" s="429"/>
      <c r="S6" s="429"/>
      <c r="T6" s="429"/>
      <c r="U6" s="429"/>
      <c r="V6" s="429"/>
      <c r="W6" s="429"/>
      <c r="X6">
        <v>3</v>
      </c>
      <c r="AB6" s="682" t="s">
        <v>712</v>
      </c>
      <c r="AC6" s="682"/>
      <c r="AD6" s="582">
        <f>'Dimensionamento de água'!C13</f>
        <v>0</v>
      </c>
    </row>
    <row r="7" spans="1:30" ht="30" customHeight="1" x14ac:dyDescent="0.25">
      <c r="A7" s="26"/>
      <c r="B7" s="581" t="s">
        <v>713</v>
      </c>
      <c r="C7" s="448" t="e">
        <f>ROUNDUP(AC39/735,0)</f>
        <v>#DIV/0!</v>
      </c>
      <c r="D7" s="27"/>
      <c r="E7" s="27"/>
      <c r="F7" s="27"/>
      <c r="G7" s="27"/>
      <c r="H7" s="27"/>
      <c r="I7" s="27"/>
      <c r="J7" s="27"/>
      <c r="K7">
        <v>4</v>
      </c>
      <c r="L7" s="429">
        <v>1997.9999999999998</v>
      </c>
      <c r="M7" s="429">
        <v>10</v>
      </c>
      <c r="N7" s="429">
        <v>2.7</v>
      </c>
      <c r="O7" s="429">
        <v>0.8</v>
      </c>
      <c r="P7" s="429">
        <v>0.28000000000000003</v>
      </c>
      <c r="Q7" s="429"/>
      <c r="R7" s="429"/>
      <c r="S7" s="429"/>
      <c r="T7" s="429"/>
      <c r="U7" s="429"/>
      <c r="V7" s="429"/>
      <c r="W7" s="429"/>
      <c r="X7">
        <v>4</v>
      </c>
      <c r="AB7" s="682" t="s">
        <v>5</v>
      </c>
      <c r="AC7" s="682"/>
      <c r="AD7" s="582">
        <f>'Dimensionamento de água'!C14</f>
        <v>0</v>
      </c>
    </row>
    <row r="8" spans="1:30" ht="30" customHeight="1" x14ac:dyDescent="0.25">
      <c r="A8" s="26"/>
      <c r="B8" s="581" t="s">
        <v>714</v>
      </c>
      <c r="C8" s="583">
        <f>C6*C4*60</f>
        <v>0</v>
      </c>
      <c r="D8" s="27"/>
      <c r="E8" s="27"/>
      <c r="F8" s="27"/>
      <c r="G8" s="27"/>
      <c r="H8" s="27"/>
      <c r="I8" s="27"/>
      <c r="J8" s="27"/>
      <c r="K8">
        <v>5</v>
      </c>
      <c r="L8" s="429">
        <v>3000</v>
      </c>
      <c r="M8" s="429">
        <v>21.5</v>
      </c>
      <c r="N8" s="429">
        <v>6</v>
      </c>
      <c r="O8" s="429">
        <v>1.8</v>
      </c>
      <c r="P8" s="429">
        <v>0.6</v>
      </c>
      <c r="Q8" s="429">
        <v>0.05</v>
      </c>
      <c r="R8" s="429"/>
      <c r="S8" s="429"/>
      <c r="T8" s="429"/>
      <c r="U8" s="429"/>
      <c r="V8" s="429"/>
      <c r="W8" s="429"/>
      <c r="X8">
        <v>5</v>
      </c>
      <c r="AB8" s="682" t="s">
        <v>715</v>
      </c>
      <c r="AC8" s="682"/>
      <c r="AD8" s="582">
        <v>3</v>
      </c>
    </row>
    <row r="9" spans="1:30" x14ac:dyDescent="0.25">
      <c r="A9" s="26"/>
      <c r="B9" s="27"/>
      <c r="C9" s="27"/>
      <c r="D9" s="27"/>
      <c r="E9" s="27"/>
      <c r="F9" s="27"/>
      <c r="G9" s="27"/>
      <c r="H9" s="27"/>
      <c r="I9" s="27"/>
      <c r="J9" s="27"/>
      <c r="K9">
        <v>6</v>
      </c>
      <c r="L9" s="429">
        <v>4002</v>
      </c>
      <c r="M9" s="429">
        <v>27</v>
      </c>
      <c r="N9" s="429">
        <v>10</v>
      </c>
      <c r="O9" s="429">
        <v>3</v>
      </c>
      <c r="P9" s="429">
        <v>1.05</v>
      </c>
      <c r="Q9" s="429">
        <v>0.1</v>
      </c>
      <c r="R9" s="429"/>
      <c r="S9" s="429"/>
      <c r="T9" s="429"/>
      <c r="U9" s="429"/>
      <c r="V9" s="429"/>
      <c r="W9" s="429"/>
      <c r="X9">
        <v>6</v>
      </c>
      <c r="AB9" s="682" t="s">
        <v>6</v>
      </c>
      <c r="AC9" s="682"/>
      <c r="AD9" s="582">
        <v>2</v>
      </c>
    </row>
    <row r="10" spans="1:30" ht="20.100000000000001" customHeight="1" x14ac:dyDescent="0.25">
      <c r="A10" s="26"/>
      <c r="B10" s="676" t="s">
        <v>716</v>
      </c>
      <c r="C10" s="676"/>
      <c r="D10" s="676"/>
      <c r="E10" s="27"/>
      <c r="F10" s="27"/>
      <c r="G10" s="27"/>
      <c r="H10" s="27"/>
      <c r="I10" s="27"/>
      <c r="J10" s="27"/>
      <c r="K10">
        <v>7</v>
      </c>
      <c r="L10" s="429">
        <v>4998</v>
      </c>
      <c r="M10" s="429">
        <v>55</v>
      </c>
      <c r="N10" s="429">
        <v>15.5</v>
      </c>
      <c r="O10" s="429">
        <v>4.7</v>
      </c>
      <c r="P10" s="429">
        <v>1.6</v>
      </c>
      <c r="Q10" s="429">
        <v>0.15</v>
      </c>
      <c r="R10" s="429">
        <v>0.05</v>
      </c>
      <c r="S10" s="429"/>
      <c r="T10" s="429"/>
      <c r="U10" s="429"/>
      <c r="V10" s="429"/>
      <c r="W10" s="429"/>
      <c r="X10">
        <v>7</v>
      </c>
      <c r="AB10" s="682" t="s">
        <v>717</v>
      </c>
      <c r="AC10" s="682"/>
      <c r="AD10" s="582">
        <f>AD6+AD8+AD4</f>
        <v>3</v>
      </c>
    </row>
    <row r="11" spans="1:30" ht="30" customHeight="1" x14ac:dyDescent="0.25">
      <c r="A11" s="26"/>
      <c r="B11" s="581" t="s">
        <v>718</v>
      </c>
      <c r="C11" s="518"/>
      <c r="D11" s="677" t="str">
        <f>IFERROR(IF(C16=0,"Diminuir o diâmetro",IF(C17&lt;=1.5,"Aumentar diâmetro ou altitude","Ok")),"Pode diminuir o diâmetro")</f>
        <v>Pode diminuir o diâmetro</v>
      </c>
      <c r="E11" s="27"/>
      <c r="F11" s="27"/>
      <c r="G11" s="27"/>
      <c r="H11" s="27"/>
      <c r="I11" s="27"/>
      <c r="J11" s="27"/>
      <c r="K11">
        <v>8</v>
      </c>
      <c r="L11" s="429">
        <v>6000</v>
      </c>
      <c r="M11" s="429">
        <v>60</v>
      </c>
      <c r="N11" s="429">
        <v>22</v>
      </c>
      <c r="O11" s="429">
        <v>6.6</v>
      </c>
      <c r="P11" s="429">
        <v>2.2000000000000002</v>
      </c>
      <c r="Q11" s="429">
        <v>0.2</v>
      </c>
      <c r="R11" s="429">
        <v>7.0000000000000007E-2</v>
      </c>
      <c r="S11" s="429"/>
      <c r="T11" s="429"/>
      <c r="U11" s="429"/>
      <c r="V11" s="429"/>
      <c r="W11" s="429"/>
      <c r="X11">
        <v>8</v>
      </c>
      <c r="AB11" s="585" t="s">
        <v>719</v>
      </c>
      <c r="AC11" s="586" t="s">
        <v>720</v>
      </c>
      <c r="AD11" s="585" t="s">
        <v>721</v>
      </c>
    </row>
    <row r="12" spans="1:30" ht="30" customHeight="1" x14ac:dyDescent="0.25">
      <c r="A12" s="26"/>
      <c r="B12" s="581" t="s">
        <v>722</v>
      </c>
      <c r="C12" s="518"/>
      <c r="D12" s="678"/>
      <c r="E12" s="27"/>
      <c r="F12" s="27"/>
      <c r="G12" s="27"/>
      <c r="H12" s="27"/>
      <c r="I12" s="27"/>
      <c r="J12" s="27"/>
      <c r="K12">
        <v>9</v>
      </c>
      <c r="L12" s="429">
        <v>7998.0000000000009</v>
      </c>
      <c r="M12" s="429"/>
      <c r="N12" s="429">
        <v>37</v>
      </c>
      <c r="O12" s="429">
        <v>11.5</v>
      </c>
      <c r="P12" s="429">
        <v>3.9</v>
      </c>
      <c r="Q12" s="429">
        <v>0.35</v>
      </c>
      <c r="R12" s="429">
        <v>0.13</v>
      </c>
      <c r="S12" s="429"/>
      <c r="T12" s="429"/>
      <c r="U12" s="429"/>
      <c r="V12" s="429"/>
      <c r="W12" s="429"/>
      <c r="X12">
        <v>9</v>
      </c>
      <c r="AB12" s="587" t="s">
        <v>723</v>
      </c>
      <c r="AC12" s="588">
        <v>4</v>
      </c>
      <c r="AD12" s="589" t="e">
        <f>AC12*((0.786*LN(AC21))-1.845)</f>
        <v>#NUM!</v>
      </c>
    </row>
    <row r="13" spans="1:30" ht="30" customHeight="1" x14ac:dyDescent="0.25">
      <c r="A13" s="26"/>
      <c r="B13" s="581" t="s">
        <v>724</v>
      </c>
      <c r="C13" s="590">
        <f>(C11-C12)*-1</f>
        <v>0</v>
      </c>
      <c r="D13" s="678"/>
      <c r="E13" s="27"/>
      <c r="F13" s="27"/>
      <c r="G13" s="27"/>
      <c r="H13" s="27"/>
      <c r="I13" s="27"/>
      <c r="J13" s="27"/>
      <c r="K13">
        <v>10</v>
      </c>
      <c r="L13" s="429">
        <v>10002</v>
      </c>
      <c r="M13" s="429"/>
      <c r="N13" s="429">
        <v>56</v>
      </c>
      <c r="O13" s="429">
        <v>17</v>
      </c>
      <c r="P13" s="429">
        <v>5.7</v>
      </c>
      <c r="Q13" s="429">
        <v>0.5</v>
      </c>
      <c r="R13" s="429">
        <v>0.2</v>
      </c>
      <c r="S13" s="429">
        <v>0.06</v>
      </c>
      <c r="T13" s="429"/>
      <c r="U13" s="429"/>
      <c r="V13" s="429"/>
      <c r="W13" s="429"/>
      <c r="X13">
        <v>10</v>
      </c>
      <c r="AB13" s="587" t="s">
        <v>725</v>
      </c>
      <c r="AC13" s="588">
        <v>1</v>
      </c>
      <c r="AD13" s="591">
        <f>AC13*(0.12449*AC21-0.01819)</f>
        <v>-1.8190000000000001E-2</v>
      </c>
    </row>
    <row r="14" spans="1:30" ht="30" customHeight="1" x14ac:dyDescent="0.25">
      <c r="A14" s="26"/>
      <c r="B14" s="581" t="s">
        <v>726</v>
      </c>
      <c r="C14" s="518"/>
      <c r="D14" s="678"/>
      <c r="E14" s="27"/>
      <c r="F14" s="27"/>
      <c r="G14" s="27"/>
      <c r="H14" s="27"/>
      <c r="I14" s="27"/>
      <c r="J14" s="27"/>
      <c r="K14">
        <v>11</v>
      </c>
      <c r="L14" s="429">
        <v>12498</v>
      </c>
      <c r="M14" s="429"/>
      <c r="N14" s="429">
        <v>85</v>
      </c>
      <c r="O14" s="429">
        <v>26</v>
      </c>
      <c r="P14" s="429">
        <v>8.5</v>
      </c>
      <c r="Q14" s="429">
        <v>0.8</v>
      </c>
      <c r="R14" s="429">
        <v>0.28000000000000003</v>
      </c>
      <c r="S14" s="429">
        <v>0.09</v>
      </c>
      <c r="T14" s="429"/>
      <c r="U14" s="429"/>
      <c r="V14" s="429"/>
      <c r="W14" s="429"/>
      <c r="X14">
        <v>11</v>
      </c>
      <c r="AB14" s="587" t="s">
        <v>727</v>
      </c>
      <c r="AC14" s="588">
        <v>1</v>
      </c>
      <c r="AD14" s="591" t="e">
        <f>AC14*(15.3311*LN(AC21)-36.98)</f>
        <v>#NUM!</v>
      </c>
    </row>
    <row r="15" spans="1:30" ht="30" customHeight="1" x14ac:dyDescent="0.3">
      <c r="A15" s="26"/>
      <c r="B15" s="581" t="s">
        <v>728</v>
      </c>
      <c r="C15" s="518"/>
      <c r="D15" s="678"/>
      <c r="E15" s="27"/>
      <c r="F15" s="27"/>
      <c r="G15" s="27"/>
      <c r="H15" s="27"/>
      <c r="I15" s="27"/>
      <c r="J15" s="27"/>
      <c r="K15">
        <v>12</v>
      </c>
      <c r="L15" s="429">
        <v>15000</v>
      </c>
      <c r="M15" s="429"/>
      <c r="N15" s="429"/>
      <c r="O15" s="429">
        <v>37</v>
      </c>
      <c r="P15" s="429">
        <v>12.5</v>
      </c>
      <c r="Q15" s="429">
        <v>1.1000000000000001</v>
      </c>
      <c r="R15" s="429">
        <v>0.4</v>
      </c>
      <c r="S15" s="429">
        <v>0.13</v>
      </c>
      <c r="T15" s="429">
        <v>0.05</v>
      </c>
      <c r="U15" s="429"/>
      <c r="V15" s="429"/>
      <c r="W15" s="429"/>
      <c r="X15">
        <v>12</v>
      </c>
      <c r="AB15" s="587" t="s">
        <v>729</v>
      </c>
      <c r="AC15" s="588">
        <v>3</v>
      </c>
      <c r="AD15" s="592" t="e">
        <f>2.21*LN(AC21)-5.559</f>
        <v>#NUM!</v>
      </c>
    </row>
    <row r="16" spans="1:30" ht="30" customHeight="1" x14ac:dyDescent="0.25">
      <c r="A16" s="26"/>
      <c r="B16" s="581" t="s">
        <v>730</v>
      </c>
      <c r="C16" s="590" t="e">
        <f>HLOOKUP(C15,'Dimensionamento de água'!$L$3:$W$45,VLOOKUP(VLOOKUP((C4*50)/C5,'Dimensionamento de água'!$L$4:$L$45,1,1),'Dimensionamento de água'!$L$4:$X$45,13,0)+2,0)*(C14/100)</f>
        <v>#DIV/0!</v>
      </c>
      <c r="D16" s="678"/>
      <c r="E16" s="27"/>
      <c r="F16" s="27"/>
      <c r="G16" s="27"/>
      <c r="H16" s="27"/>
      <c r="I16" s="27"/>
      <c r="J16" s="27"/>
      <c r="K16">
        <v>13</v>
      </c>
      <c r="L16" s="429">
        <v>17502</v>
      </c>
      <c r="M16" s="429"/>
      <c r="N16" s="429"/>
      <c r="O16" s="429">
        <v>47</v>
      </c>
      <c r="P16" s="429">
        <v>16</v>
      </c>
      <c r="Q16" s="429">
        <v>1.4</v>
      </c>
      <c r="R16" s="429">
        <v>0.5</v>
      </c>
      <c r="S16" s="429">
        <v>0.17</v>
      </c>
      <c r="T16" s="429">
        <v>0.06</v>
      </c>
      <c r="U16" s="429"/>
      <c r="V16" s="429"/>
      <c r="W16" s="429"/>
      <c r="X16">
        <v>13</v>
      </c>
      <c r="AB16" s="587" t="s">
        <v>731</v>
      </c>
      <c r="AC16" s="588">
        <v>0</v>
      </c>
      <c r="AD16" s="591">
        <f>AC16*(0.3269*AC21+0.6384)</f>
        <v>0</v>
      </c>
    </row>
    <row r="17" spans="1:30" ht="30" customHeight="1" x14ac:dyDescent="0.25">
      <c r="A17" s="26"/>
      <c r="B17" s="581" t="s">
        <v>732</v>
      </c>
      <c r="C17" s="590" t="e">
        <f>C13-C16</f>
        <v>#DIV/0!</v>
      </c>
      <c r="D17" s="678"/>
      <c r="E17" s="27"/>
      <c r="F17" s="27"/>
      <c r="G17" s="27"/>
      <c r="H17" s="27"/>
      <c r="I17" s="27"/>
      <c r="J17" s="27"/>
      <c r="K17">
        <v>14</v>
      </c>
      <c r="L17" s="429">
        <v>19998</v>
      </c>
      <c r="M17" s="429"/>
      <c r="N17" s="429"/>
      <c r="O17" s="429">
        <v>63</v>
      </c>
      <c r="P17" s="429">
        <v>21.5</v>
      </c>
      <c r="Q17" s="429">
        <v>2</v>
      </c>
      <c r="R17" s="429">
        <v>0.7</v>
      </c>
      <c r="S17" s="429">
        <v>0.23</v>
      </c>
      <c r="T17" s="429">
        <v>0.09</v>
      </c>
      <c r="U17" s="429"/>
      <c r="V17" s="429"/>
      <c r="W17" s="429"/>
      <c r="X17">
        <v>14</v>
      </c>
      <c r="AB17" s="587" t="s">
        <v>733</v>
      </c>
      <c r="AC17" s="588">
        <v>0</v>
      </c>
      <c r="AD17" s="589" t="e">
        <f>AC17*(0.5269*LN(AC21)-1.3735)</f>
        <v>#NUM!</v>
      </c>
    </row>
    <row r="18" spans="1:30" ht="30" customHeight="1" x14ac:dyDescent="0.25">
      <c r="A18" s="26"/>
      <c r="B18" s="581" t="s">
        <v>734</v>
      </c>
      <c r="C18" s="590" t="e">
        <f>(C17+C16)*1.3</f>
        <v>#DIV/0!</v>
      </c>
      <c r="D18" s="679"/>
      <c r="E18" s="27"/>
      <c r="F18" s="27"/>
      <c r="G18" s="27"/>
      <c r="H18" s="27"/>
      <c r="I18" s="27"/>
      <c r="J18" s="27"/>
      <c r="K18">
        <v>15</v>
      </c>
      <c r="L18" s="429">
        <v>25002</v>
      </c>
      <c r="M18" s="429"/>
      <c r="N18" s="429"/>
      <c r="O18" s="429">
        <v>95</v>
      </c>
      <c r="P18" s="429">
        <v>33</v>
      </c>
      <c r="Q18" s="429">
        <v>3</v>
      </c>
      <c r="R18" s="429">
        <v>1.1000000000000001</v>
      </c>
      <c r="S18" s="429">
        <v>0.35</v>
      </c>
      <c r="T18" s="429">
        <v>0.13</v>
      </c>
      <c r="U18" s="429"/>
      <c r="V18" s="429"/>
      <c r="W18" s="429"/>
      <c r="X18">
        <v>15</v>
      </c>
      <c r="AB18" s="683" t="s">
        <v>735</v>
      </c>
      <c r="AC18" s="683"/>
      <c r="AD18" s="683"/>
    </row>
    <row r="19" spans="1:30" ht="45" customHeight="1" x14ac:dyDescent="0.25">
      <c r="A19" s="26"/>
      <c r="B19" s="27"/>
      <c r="C19" s="27"/>
      <c r="D19" s="27"/>
      <c r="E19" s="27"/>
      <c r="F19" s="27"/>
      <c r="G19" s="27"/>
      <c r="H19" s="27"/>
      <c r="I19" s="27"/>
      <c r="J19" s="27"/>
      <c r="K19">
        <v>16</v>
      </c>
      <c r="L19" s="429">
        <v>30000</v>
      </c>
      <c r="M19" s="429"/>
      <c r="N19" s="429"/>
      <c r="O19" s="429"/>
      <c r="P19" s="429">
        <v>45</v>
      </c>
      <c r="Q19" s="429">
        <v>4.2</v>
      </c>
      <c r="R19" s="429">
        <v>1.5</v>
      </c>
      <c r="S19" s="429">
        <v>0.5</v>
      </c>
      <c r="T19" s="429">
        <v>0.2</v>
      </c>
      <c r="U19" s="429">
        <v>0.05</v>
      </c>
      <c r="V19" s="429"/>
      <c r="W19" s="429"/>
      <c r="X19">
        <v>16</v>
      </c>
      <c r="AB19" s="593" t="s">
        <v>736</v>
      </c>
      <c r="AC19" s="593" t="e">
        <f>('Dimensionamento de água'!C4*50)/'Dimensionamento de água'!C5/60/60</f>
        <v>#DIV/0!</v>
      </c>
      <c r="AD19" s="593" t="s">
        <v>737</v>
      </c>
    </row>
    <row r="20" spans="1:30" ht="20.100000000000001" customHeight="1" x14ac:dyDescent="0.25">
      <c r="A20" s="26"/>
      <c r="B20" s="676" t="s">
        <v>738</v>
      </c>
      <c r="C20" s="676"/>
      <c r="D20" s="676"/>
      <c r="E20" s="27"/>
      <c r="F20" s="27"/>
      <c r="G20" s="27"/>
      <c r="H20" s="27"/>
      <c r="I20" s="27"/>
      <c r="J20" s="27"/>
      <c r="K20">
        <v>17</v>
      </c>
      <c r="L20" s="429">
        <v>34998</v>
      </c>
      <c r="M20" s="429"/>
      <c r="N20" s="429"/>
      <c r="O20" s="429"/>
      <c r="P20" s="429">
        <v>61</v>
      </c>
      <c r="Q20" s="429">
        <v>5.7</v>
      </c>
      <c r="R20" s="429">
        <v>2</v>
      </c>
      <c r="S20" s="429">
        <v>0.65</v>
      </c>
      <c r="T20" s="429">
        <v>0.24</v>
      </c>
      <c r="U20" s="429">
        <v>0.06</v>
      </c>
      <c r="V20" s="429"/>
      <c r="W20" s="429"/>
      <c r="X20">
        <v>17</v>
      </c>
      <c r="AB20" s="593" t="s">
        <v>739</v>
      </c>
      <c r="AC20" s="593" t="e">
        <f>AC19/1000</f>
        <v>#DIV/0!</v>
      </c>
      <c r="AD20" s="593" t="s">
        <v>740</v>
      </c>
    </row>
    <row r="21" spans="1:30" ht="30" customHeight="1" x14ac:dyDescent="0.25">
      <c r="A21" s="26"/>
      <c r="B21" s="581" t="s">
        <v>718</v>
      </c>
      <c r="C21" s="448">
        <f>C12</f>
        <v>0</v>
      </c>
      <c r="D21" s="677" t="str">
        <f>IFERROR(IF(C26=0,"Corrigir o diâmetro",IF(C27&lt;=1.5,"Aumentar diâmetro","Ok")),"Pode diminuir o diâmetro")</f>
        <v>Pode diminuir o diâmetro</v>
      </c>
      <c r="E21" s="27"/>
      <c r="F21" s="27"/>
      <c r="G21" s="27"/>
      <c r="H21" s="27"/>
      <c r="I21" s="27"/>
      <c r="J21" s="27"/>
      <c r="K21">
        <v>18</v>
      </c>
      <c r="L21" s="429">
        <v>40002</v>
      </c>
      <c r="M21" s="429"/>
      <c r="N21" s="429"/>
      <c r="O21" s="429"/>
      <c r="P21" s="429">
        <v>78</v>
      </c>
      <c r="Q21" s="429">
        <v>7</v>
      </c>
      <c r="R21" s="429">
        <v>2.5</v>
      </c>
      <c r="S21" s="429">
        <v>0.8</v>
      </c>
      <c r="T21" s="429">
        <v>0.3</v>
      </c>
      <c r="U21" s="429">
        <v>0.08</v>
      </c>
      <c r="V21" s="429"/>
      <c r="W21" s="429"/>
      <c r="X21">
        <v>18</v>
      </c>
      <c r="AB21" s="593" t="s">
        <v>741</v>
      </c>
      <c r="AC21" s="594">
        <f>'Dimensionamento de água'!C15</f>
        <v>0</v>
      </c>
      <c r="AD21" s="593" t="s">
        <v>656</v>
      </c>
    </row>
    <row r="22" spans="1:30" ht="30" customHeight="1" x14ac:dyDescent="0.25">
      <c r="A22" s="26"/>
      <c r="B22" s="581" t="s">
        <v>742</v>
      </c>
      <c r="C22" s="518"/>
      <c r="D22" s="678"/>
      <c r="E22" s="27"/>
      <c r="F22" s="27"/>
      <c r="G22" s="27"/>
      <c r="H22" s="27"/>
      <c r="I22" s="27"/>
      <c r="J22" s="27"/>
      <c r="K22">
        <v>19</v>
      </c>
      <c r="L22" s="429">
        <v>45000</v>
      </c>
      <c r="M22" s="429"/>
      <c r="N22" s="429"/>
      <c r="O22" s="429"/>
      <c r="P22" s="429">
        <v>100</v>
      </c>
      <c r="Q22" s="429">
        <v>9</v>
      </c>
      <c r="R22" s="429">
        <v>3.1</v>
      </c>
      <c r="S22" s="429">
        <v>1</v>
      </c>
      <c r="T22" s="429">
        <v>0.4</v>
      </c>
      <c r="U22" s="429">
        <v>0.1</v>
      </c>
      <c r="V22" s="429"/>
      <c r="W22" s="429"/>
      <c r="X22">
        <v>19</v>
      </c>
      <c r="AB22" s="593" t="s">
        <v>743</v>
      </c>
      <c r="AC22" s="593">
        <f>AC21/1000</f>
        <v>0</v>
      </c>
      <c r="AD22" s="593" t="s">
        <v>744</v>
      </c>
    </row>
    <row r="23" spans="1:30" ht="30" customHeight="1" x14ac:dyDescent="0.25">
      <c r="A23" s="26"/>
      <c r="B23" s="581" t="s">
        <v>724</v>
      </c>
      <c r="C23" s="448">
        <f>C21-C22</f>
        <v>0</v>
      </c>
      <c r="D23" s="678"/>
      <c r="E23" s="27"/>
      <c r="F23" s="27"/>
      <c r="G23" s="27"/>
      <c r="H23" s="27"/>
      <c r="I23" s="27"/>
      <c r="J23" s="27"/>
      <c r="K23">
        <v>20</v>
      </c>
      <c r="L23" s="429">
        <v>49998</v>
      </c>
      <c r="M23" s="429"/>
      <c r="N23" s="429"/>
      <c r="O23" s="429"/>
      <c r="P23" s="429"/>
      <c r="Q23" s="429">
        <v>11</v>
      </c>
      <c r="R23" s="429">
        <v>3.8</v>
      </c>
      <c r="S23" s="429">
        <v>1.25</v>
      </c>
      <c r="T23" s="429">
        <v>0.5</v>
      </c>
      <c r="U23" s="429">
        <v>0.12</v>
      </c>
      <c r="V23" s="429"/>
      <c r="W23" s="429"/>
      <c r="X23">
        <v>20</v>
      </c>
      <c r="AB23" s="680" t="s">
        <v>745</v>
      </c>
      <c r="AC23" s="680"/>
      <c r="AD23" s="680"/>
    </row>
    <row r="24" spans="1:30" ht="30" customHeight="1" x14ac:dyDescent="0.25">
      <c r="A24" s="26"/>
      <c r="B24" s="581" t="s">
        <v>726</v>
      </c>
      <c r="C24" s="518"/>
      <c r="D24" s="678"/>
      <c r="E24" s="27"/>
      <c r="F24" s="27"/>
      <c r="G24" s="27"/>
      <c r="H24" s="27"/>
      <c r="I24" s="27"/>
      <c r="J24" s="27"/>
      <c r="K24">
        <v>21</v>
      </c>
      <c r="L24" s="429">
        <v>60000</v>
      </c>
      <c r="M24" s="429"/>
      <c r="N24" s="429"/>
      <c r="O24" s="429"/>
      <c r="P24" s="429"/>
      <c r="Q24" s="429">
        <v>16</v>
      </c>
      <c r="R24" s="429">
        <v>5.5</v>
      </c>
      <c r="S24" s="429">
        <v>1.8</v>
      </c>
      <c r="T24" s="429">
        <v>0.7</v>
      </c>
      <c r="U24" s="429">
        <v>0.16</v>
      </c>
      <c r="V24" s="429">
        <v>0.05</v>
      </c>
      <c r="W24" s="429"/>
      <c r="X24">
        <v>21</v>
      </c>
      <c r="AB24" s="595" t="s">
        <v>746</v>
      </c>
      <c r="AC24" s="595">
        <v>1.127E-6</v>
      </c>
      <c r="AD24" s="595" t="s">
        <v>747</v>
      </c>
    </row>
    <row r="25" spans="1:30" ht="30" customHeight="1" x14ac:dyDescent="0.25">
      <c r="A25" s="26"/>
      <c r="B25" s="581" t="s">
        <v>728</v>
      </c>
      <c r="C25" s="518"/>
      <c r="D25" s="678"/>
      <c r="E25" s="27"/>
      <c r="F25" s="27"/>
      <c r="G25" s="27"/>
      <c r="H25" s="27"/>
      <c r="I25" s="27"/>
      <c r="J25" s="27"/>
      <c r="K25">
        <v>22</v>
      </c>
      <c r="L25" s="429">
        <v>70002</v>
      </c>
      <c r="M25" s="429"/>
      <c r="N25" s="429"/>
      <c r="O25" s="429"/>
      <c r="P25" s="429"/>
      <c r="Q25" s="429">
        <v>21</v>
      </c>
      <c r="R25" s="429">
        <v>7.2</v>
      </c>
      <c r="S25" s="429">
        <v>2.4</v>
      </c>
      <c r="T25" s="429">
        <v>0.9</v>
      </c>
      <c r="U25" s="429">
        <v>0.21</v>
      </c>
      <c r="V25" s="429">
        <v>7.0000000000000007E-2</v>
      </c>
      <c r="W25" s="429"/>
      <c r="X25">
        <v>22</v>
      </c>
      <c r="AB25" s="595" t="s">
        <v>748</v>
      </c>
      <c r="AC25" s="595">
        <v>1000</v>
      </c>
      <c r="AD25" s="595" t="s">
        <v>749</v>
      </c>
    </row>
    <row r="26" spans="1:30" ht="30" customHeight="1" x14ac:dyDescent="0.25">
      <c r="A26" s="26"/>
      <c r="B26" s="581" t="s">
        <v>730</v>
      </c>
      <c r="C26" s="448" t="e">
        <f>HLOOKUP(C25,'Dimensionamento de água'!$L$3:$W$45,VLOOKUP(VLOOKUP((C4*50)/12,'Dimensionamento de água'!$L$4:$L$45,1,1),'Dimensionamento de água'!$L$4:$X$45,13,0)+2,0)*(C24/100)</f>
        <v>#N/A</v>
      </c>
      <c r="D26" s="678"/>
      <c r="E26" s="27"/>
      <c r="F26" s="27"/>
      <c r="G26" s="27"/>
      <c r="H26" s="27"/>
      <c r="I26" s="27"/>
      <c r="J26" s="27"/>
      <c r="K26">
        <v>23</v>
      </c>
      <c r="L26" s="429">
        <v>79998</v>
      </c>
      <c r="M26" s="429"/>
      <c r="N26" s="429"/>
      <c r="O26" s="429"/>
      <c r="P26" s="429"/>
      <c r="Q26" s="429">
        <v>26.5</v>
      </c>
      <c r="R26" s="429">
        <v>9.1999999999999993</v>
      </c>
      <c r="S26" s="429">
        <v>3.1</v>
      </c>
      <c r="T26" s="429">
        <v>1.2</v>
      </c>
      <c r="U26" s="429">
        <v>0.27</v>
      </c>
      <c r="V26" s="429">
        <v>0.09</v>
      </c>
      <c r="W26" s="429"/>
      <c r="X26">
        <v>23</v>
      </c>
      <c r="AB26" s="595" t="s">
        <v>750</v>
      </c>
      <c r="AC26" s="595">
        <v>25</v>
      </c>
      <c r="AD26" s="596" t="s">
        <v>751</v>
      </c>
    </row>
    <row r="27" spans="1:30" ht="30" customHeight="1" x14ac:dyDescent="0.25">
      <c r="A27" s="26"/>
      <c r="B27" s="581" t="s">
        <v>732</v>
      </c>
      <c r="C27" s="448" t="e">
        <f>C23-C26</f>
        <v>#N/A</v>
      </c>
      <c r="D27" s="678"/>
      <c r="E27" s="27"/>
      <c r="F27" s="27"/>
      <c r="G27" s="27"/>
      <c r="H27" s="27"/>
      <c r="I27" s="27"/>
      <c r="J27" s="27"/>
      <c r="K27">
        <v>24</v>
      </c>
      <c r="L27" s="429">
        <v>90000</v>
      </c>
      <c r="M27" s="429"/>
      <c r="N27" s="429"/>
      <c r="O27" s="429"/>
      <c r="P27" s="429"/>
      <c r="Q27" s="429">
        <v>34</v>
      </c>
      <c r="R27" s="429">
        <v>12</v>
      </c>
      <c r="S27" s="429">
        <v>3.8</v>
      </c>
      <c r="T27" s="429">
        <v>1.4</v>
      </c>
      <c r="U27" s="429">
        <v>0.35</v>
      </c>
      <c r="V27" s="429">
        <v>0.12</v>
      </c>
      <c r="W27" s="429"/>
      <c r="X27">
        <v>24</v>
      </c>
      <c r="AB27" s="681" t="s">
        <v>752</v>
      </c>
      <c r="AC27" s="681"/>
      <c r="AD27" s="681"/>
    </row>
    <row r="28" spans="1:30" ht="30" customHeight="1" x14ac:dyDescent="0.25">
      <c r="A28" s="26"/>
      <c r="B28" s="581" t="s">
        <v>734</v>
      </c>
      <c r="C28" s="590" t="e">
        <f>(C27+C26)*1.3</f>
        <v>#N/A</v>
      </c>
      <c r="D28" s="679"/>
      <c r="E28" s="27"/>
      <c r="F28" s="27"/>
      <c r="G28" s="27"/>
      <c r="H28" s="27"/>
      <c r="I28" s="27"/>
      <c r="J28" s="27"/>
      <c r="K28">
        <v>25</v>
      </c>
      <c r="L28" s="429">
        <v>100002</v>
      </c>
      <c r="M28" s="429"/>
      <c r="N28" s="429"/>
      <c r="O28" s="429"/>
      <c r="P28" s="429"/>
      <c r="Q28" s="429">
        <v>40</v>
      </c>
      <c r="R28" s="429">
        <v>14</v>
      </c>
      <c r="S28" s="429">
        <v>4.7</v>
      </c>
      <c r="T28" s="429">
        <v>1.8</v>
      </c>
      <c r="U28" s="429">
        <v>0.42</v>
      </c>
      <c r="V28" s="429">
        <v>0.14000000000000001</v>
      </c>
      <c r="W28" s="429"/>
      <c r="X28">
        <v>25</v>
      </c>
      <c r="AB28" s="597" t="s">
        <v>753</v>
      </c>
      <c r="AC28" s="598" t="e">
        <f>AC20/AC29</f>
        <v>#DIV/0!</v>
      </c>
      <c r="AD28" s="597" t="s">
        <v>754</v>
      </c>
    </row>
    <row r="29" spans="1:30" x14ac:dyDescent="0.25">
      <c r="A29" s="26"/>
      <c r="B29" s="27"/>
      <c r="C29" s="27"/>
      <c r="D29" s="27"/>
      <c r="E29" s="27"/>
      <c r="F29" s="27"/>
      <c r="G29" s="27"/>
      <c r="H29" s="27"/>
      <c r="I29" s="27"/>
      <c r="J29" s="27"/>
      <c r="K29">
        <v>26</v>
      </c>
      <c r="L29" s="429">
        <v>120000</v>
      </c>
      <c r="M29" s="429"/>
      <c r="N29" s="429"/>
      <c r="O29" s="429"/>
      <c r="P29" s="429"/>
      <c r="Q29" s="429">
        <v>58</v>
      </c>
      <c r="R29" s="429">
        <v>20</v>
      </c>
      <c r="S29" s="429">
        <v>6.6</v>
      </c>
      <c r="T29" s="429">
        <v>2.5</v>
      </c>
      <c r="U29" s="429">
        <v>0.6</v>
      </c>
      <c r="V29" s="429">
        <v>0.2</v>
      </c>
      <c r="W29" s="429">
        <v>0.08</v>
      </c>
      <c r="X29">
        <v>26</v>
      </c>
      <c r="AB29" s="597" t="s">
        <v>755</v>
      </c>
      <c r="AC29" s="599">
        <f>(3.14*AC22^2)/4</f>
        <v>0</v>
      </c>
      <c r="AD29" s="597" t="s">
        <v>756</v>
      </c>
    </row>
    <row r="30" spans="1:30" x14ac:dyDescent="0.25">
      <c r="A30" s="26"/>
      <c r="B30" s="27"/>
      <c r="C30" s="27"/>
      <c r="D30" s="27"/>
      <c r="E30" s="27"/>
      <c r="F30" s="27"/>
      <c r="G30" s="27"/>
      <c r="H30" s="27"/>
      <c r="I30" s="27"/>
      <c r="J30" s="27"/>
      <c r="K30">
        <v>27</v>
      </c>
      <c r="L30" s="429">
        <v>139998</v>
      </c>
      <c r="M30" s="429"/>
      <c r="N30" s="429"/>
      <c r="O30" s="429"/>
      <c r="P30" s="429"/>
      <c r="Q30" s="429">
        <v>80</v>
      </c>
      <c r="R30" s="429">
        <v>27</v>
      </c>
      <c r="S30" s="429">
        <v>9</v>
      </c>
      <c r="T30" s="429">
        <v>3.3</v>
      </c>
      <c r="U30" s="429">
        <v>0.8</v>
      </c>
      <c r="V30" s="429">
        <v>0.26</v>
      </c>
      <c r="W30" s="429">
        <v>0.1</v>
      </c>
      <c r="X30">
        <v>27</v>
      </c>
      <c r="AB30" s="597" t="s">
        <v>757</v>
      </c>
      <c r="AC30" s="600" t="e">
        <f>AC28*AC22/0.000001127</f>
        <v>#DIV/0!</v>
      </c>
      <c r="AD30" s="597"/>
    </row>
    <row r="31" spans="1:30" ht="20.100000000000001" customHeight="1" x14ac:dyDescent="0.25">
      <c r="A31" s="26"/>
      <c r="B31" s="601" t="s">
        <v>758</v>
      </c>
      <c r="C31" s="602">
        <f>C4*0.05</f>
        <v>0</v>
      </c>
      <c r="D31" s="27"/>
      <c r="E31" s="27"/>
      <c r="F31" s="27"/>
      <c r="G31" s="27"/>
      <c r="H31" s="27"/>
      <c r="I31" s="27"/>
      <c r="J31" s="27"/>
      <c r="K31">
        <v>28</v>
      </c>
      <c r="L31" s="429">
        <v>160002</v>
      </c>
      <c r="M31" s="429"/>
      <c r="N31" s="429"/>
      <c r="O31" s="429"/>
      <c r="P31" s="429"/>
      <c r="Q31" s="429"/>
      <c r="R31" s="429">
        <v>35</v>
      </c>
      <c r="S31" s="429">
        <v>11.5</v>
      </c>
      <c r="T31" s="429">
        <v>4.25</v>
      </c>
      <c r="U31" s="429">
        <v>1</v>
      </c>
      <c r="V31" s="429">
        <v>0.34</v>
      </c>
      <c r="W31" s="429">
        <v>0.13</v>
      </c>
      <c r="X31">
        <v>28</v>
      </c>
      <c r="AB31" s="597" t="s">
        <v>759</v>
      </c>
      <c r="AC31" s="603" t="e">
        <f>0.222554*AC30^-0.216968</f>
        <v>#DIV/0!</v>
      </c>
      <c r="AD31" s="597"/>
    </row>
    <row r="32" spans="1:30" ht="20.100000000000001" customHeight="1" x14ac:dyDescent="0.25">
      <c r="A32" s="26"/>
      <c r="B32" s="601" t="s">
        <v>760</v>
      </c>
      <c r="C32" s="604">
        <f>C31/2</f>
        <v>0</v>
      </c>
      <c r="D32" s="27"/>
      <c r="E32" s="27"/>
      <c r="F32" s="27"/>
      <c r="G32" s="605"/>
      <c r="H32" s="27"/>
      <c r="I32" s="27"/>
      <c r="J32" s="27"/>
      <c r="K32">
        <v>29</v>
      </c>
      <c r="L32" s="429">
        <v>180000</v>
      </c>
      <c r="M32" s="429"/>
      <c r="N32" s="429"/>
      <c r="O32" s="429"/>
      <c r="P32" s="429"/>
      <c r="Q32" s="429"/>
      <c r="R32" s="429">
        <v>43</v>
      </c>
      <c r="S32" s="429">
        <v>14</v>
      </c>
      <c r="T32" s="429">
        <v>5.3</v>
      </c>
      <c r="U32" s="429">
        <v>1.25</v>
      </c>
      <c r="V32" s="429">
        <v>0.42</v>
      </c>
      <c r="W32" s="429">
        <v>0.17</v>
      </c>
      <c r="X32">
        <v>29</v>
      </c>
      <c r="AB32" s="429" t="s">
        <v>761</v>
      </c>
      <c r="AC32" s="429">
        <f>AD4+AD5+AD6+AD7+AD8+AD9</f>
        <v>5</v>
      </c>
      <c r="AD32" s="429" t="s">
        <v>762</v>
      </c>
    </row>
    <row r="33" spans="1:30" x14ac:dyDescent="0.25">
      <c r="A33" s="26"/>
      <c r="B33" s="27"/>
      <c r="C33" s="27"/>
      <c r="D33" s="27"/>
      <c r="E33" s="27"/>
      <c r="F33" s="27"/>
      <c r="G33" s="27"/>
      <c r="H33" s="27"/>
      <c r="I33" s="27"/>
      <c r="J33" s="27"/>
      <c r="K33">
        <v>30</v>
      </c>
      <c r="L33" s="429">
        <v>199998</v>
      </c>
      <c r="M33" s="429"/>
      <c r="N33" s="429"/>
      <c r="O33" s="429"/>
      <c r="P33" s="429"/>
      <c r="Q33" s="429"/>
      <c r="R33" s="429">
        <v>50</v>
      </c>
      <c r="S33" s="429">
        <v>17.5</v>
      </c>
      <c r="T33" s="429">
        <v>6.5</v>
      </c>
      <c r="U33" s="429">
        <v>1.5</v>
      </c>
      <c r="V33" s="429">
        <v>0.5</v>
      </c>
      <c r="W33" s="429">
        <v>0.2</v>
      </c>
      <c r="X33">
        <v>30</v>
      </c>
      <c r="AB33" s="597" t="s">
        <v>763</v>
      </c>
      <c r="AC33" s="600" t="e">
        <f>AD12+AD13+AD14+AD15+AD16+AD17</f>
        <v>#NUM!</v>
      </c>
      <c r="AD33" s="597" t="s">
        <v>762</v>
      </c>
    </row>
    <row r="34" spans="1:30" hidden="1" x14ac:dyDescent="0.25">
      <c r="A34" s="26"/>
      <c r="B34" s="27"/>
      <c r="C34" s="27"/>
      <c r="D34" s="27"/>
      <c r="E34" s="27"/>
      <c r="F34" s="27"/>
      <c r="G34" s="27"/>
      <c r="H34" s="27"/>
      <c r="I34" s="27"/>
      <c r="J34" s="27"/>
      <c r="K34">
        <v>31</v>
      </c>
      <c r="L34" s="429">
        <v>250002</v>
      </c>
      <c r="M34" s="429"/>
      <c r="N34" s="429"/>
      <c r="O34" s="429"/>
      <c r="P34" s="429"/>
      <c r="Q34" s="429"/>
      <c r="R34" s="429">
        <v>80</v>
      </c>
      <c r="S34" s="429">
        <v>26.5</v>
      </c>
      <c r="T34" s="429">
        <v>10</v>
      </c>
      <c r="U34" s="429">
        <v>2.2999999999999998</v>
      </c>
      <c r="V34" s="429">
        <v>0.8</v>
      </c>
      <c r="W34" s="429">
        <v>0.32</v>
      </c>
      <c r="X34">
        <v>31</v>
      </c>
      <c r="AB34" t="s">
        <v>764</v>
      </c>
      <c r="AC34" s="606" t="e">
        <f>AC32+AC33</f>
        <v>#NUM!</v>
      </c>
      <c r="AD34" s="429" t="s">
        <v>762</v>
      </c>
    </row>
    <row r="35" spans="1:30" hidden="1" x14ac:dyDescent="0.25">
      <c r="A35" s="26"/>
      <c r="B35" s="27"/>
      <c r="C35" s="27"/>
      <c r="D35" s="27"/>
      <c r="E35" s="27"/>
      <c r="F35" s="27"/>
      <c r="G35" s="27"/>
      <c r="H35" s="27"/>
      <c r="I35" s="27"/>
      <c r="J35" s="27"/>
      <c r="K35">
        <v>32</v>
      </c>
      <c r="L35" s="429">
        <v>300000</v>
      </c>
      <c r="M35" s="429"/>
      <c r="N35" s="429"/>
      <c r="O35" s="429"/>
      <c r="P35" s="429"/>
      <c r="Q35" s="429"/>
      <c r="R35" s="429"/>
      <c r="S35" s="429">
        <v>36</v>
      </c>
      <c r="T35" s="429">
        <v>14</v>
      </c>
      <c r="U35" s="429">
        <v>3.3</v>
      </c>
      <c r="V35" s="429">
        <v>1.1000000000000001</v>
      </c>
      <c r="W35" s="429">
        <v>0.45</v>
      </c>
      <c r="X35">
        <v>32</v>
      </c>
      <c r="AB35" s="597" t="s">
        <v>765</v>
      </c>
      <c r="AC35" s="600" t="e">
        <f>AC31*AC34*AC28*AC28/(2*AC22)</f>
        <v>#DIV/0!</v>
      </c>
      <c r="AD35" s="597" t="s">
        <v>766</v>
      </c>
    </row>
    <row r="36" spans="1:30" hidden="1" x14ac:dyDescent="0.25">
      <c r="A36" s="26"/>
      <c r="B36" s="27"/>
      <c r="C36" s="27"/>
      <c r="D36" s="27"/>
      <c r="E36" s="27"/>
      <c r="F36" s="27"/>
      <c r="G36" s="27"/>
      <c r="H36" s="27"/>
      <c r="I36" s="27"/>
      <c r="J36" s="27"/>
      <c r="K36">
        <v>33</v>
      </c>
      <c r="L36" s="429">
        <v>349998</v>
      </c>
      <c r="M36" s="429"/>
      <c r="N36" s="429"/>
      <c r="O36" s="429"/>
      <c r="P36" s="429"/>
      <c r="Q36" s="429"/>
      <c r="R36" s="429"/>
      <c r="S36" s="429"/>
      <c r="T36" s="429">
        <v>19</v>
      </c>
      <c r="U36" s="429">
        <v>4.5</v>
      </c>
      <c r="V36" s="429">
        <v>1.5</v>
      </c>
      <c r="W36" s="429">
        <v>0.6</v>
      </c>
      <c r="X36">
        <v>33</v>
      </c>
      <c r="AB36" s="593" t="s">
        <v>767</v>
      </c>
      <c r="AC36" s="594" t="e">
        <f>(AC35/9.81)+AD10</f>
        <v>#DIV/0!</v>
      </c>
      <c r="AD36" s="593" t="s">
        <v>762</v>
      </c>
    </row>
    <row r="37" spans="1:30" hidden="1" x14ac:dyDescent="0.25">
      <c r="A37" s="26"/>
      <c r="B37" s="27"/>
      <c r="C37" s="27"/>
      <c r="D37" s="27"/>
      <c r="E37" s="27"/>
      <c r="F37" s="27"/>
      <c r="G37" s="27"/>
      <c r="H37" s="27"/>
      <c r="I37" s="27"/>
      <c r="J37" s="27"/>
      <c r="K37">
        <v>34</v>
      </c>
      <c r="L37" s="429">
        <v>400002</v>
      </c>
      <c r="M37" s="429"/>
      <c r="N37" s="429"/>
      <c r="O37" s="429"/>
      <c r="P37" s="429"/>
      <c r="Q37" s="429"/>
      <c r="R37" s="429"/>
      <c r="S37" s="429"/>
      <c r="T37" s="429">
        <v>24</v>
      </c>
      <c r="U37" s="429">
        <v>5.8</v>
      </c>
      <c r="V37" s="429">
        <v>1.9</v>
      </c>
      <c r="W37" s="429">
        <v>0.8</v>
      </c>
      <c r="X37">
        <v>34</v>
      </c>
      <c r="AB37" s="597" t="s">
        <v>768</v>
      </c>
      <c r="AC37" s="597">
        <v>0.7</v>
      </c>
      <c r="AD37" s="597"/>
    </row>
    <row r="38" spans="1:30" hidden="1" x14ac:dyDescent="0.25">
      <c r="A38" s="26"/>
      <c r="B38" s="27"/>
      <c r="C38" s="27"/>
      <c r="D38" s="27"/>
      <c r="E38" s="27"/>
      <c r="F38" s="27"/>
      <c r="G38" s="27"/>
      <c r="H38" s="27"/>
      <c r="I38" s="27"/>
      <c r="J38" s="27"/>
      <c r="K38">
        <v>35</v>
      </c>
      <c r="L38" s="429">
        <v>450000</v>
      </c>
      <c r="M38" s="429"/>
      <c r="N38" s="429"/>
      <c r="O38" s="429"/>
      <c r="P38" s="429"/>
      <c r="Q38" s="429"/>
      <c r="R38" s="429"/>
      <c r="S38" s="429"/>
      <c r="T38" s="429"/>
      <c r="U38" s="429">
        <v>7</v>
      </c>
      <c r="V38" s="429">
        <v>2.4</v>
      </c>
      <c r="W38" s="429">
        <v>1</v>
      </c>
      <c r="X38">
        <v>35</v>
      </c>
      <c r="AB38" s="597" t="s">
        <v>769</v>
      </c>
      <c r="AC38" s="600" t="e">
        <f>AC19*(((AC28^2)/2)+(9.81*AD10)+(AC35))</f>
        <v>#DIV/0!</v>
      </c>
      <c r="AD38" s="597" t="s">
        <v>770</v>
      </c>
    </row>
    <row r="39" spans="1:30" hidden="1" x14ac:dyDescent="0.25">
      <c r="A39" s="26"/>
      <c r="B39" s="27"/>
      <c r="C39" s="27"/>
      <c r="D39" s="27"/>
      <c r="E39" s="27"/>
      <c r="F39" s="27"/>
      <c r="G39" s="27"/>
      <c r="H39" s="27"/>
      <c r="I39" s="27"/>
      <c r="J39" s="27"/>
      <c r="K39">
        <v>36</v>
      </c>
      <c r="L39" s="429">
        <v>499997.99999999994</v>
      </c>
      <c r="M39" s="429"/>
      <c r="N39" s="429"/>
      <c r="O39" s="429"/>
      <c r="P39" s="429"/>
      <c r="Q39" s="429"/>
      <c r="R39" s="429"/>
      <c r="S39" s="429"/>
      <c r="T39" s="429"/>
      <c r="U39" s="429">
        <v>8.5</v>
      </c>
      <c r="V39" s="429">
        <v>2.9</v>
      </c>
      <c r="W39" s="429">
        <v>1.2</v>
      </c>
      <c r="X39">
        <v>36</v>
      </c>
      <c r="AB39" s="593" t="s">
        <v>771</v>
      </c>
      <c r="AC39" s="594" t="e">
        <f>AC38/AC37</f>
        <v>#DIV/0!</v>
      </c>
      <c r="AD39" s="593" t="s">
        <v>770</v>
      </c>
    </row>
    <row r="40" spans="1:30" hidden="1" x14ac:dyDescent="0.25">
      <c r="A40" s="26"/>
      <c r="B40" s="27"/>
      <c r="C40" s="27"/>
      <c r="D40" s="27"/>
      <c r="E40" s="27"/>
      <c r="F40" s="27"/>
      <c r="G40" s="27"/>
      <c r="H40" s="27"/>
      <c r="I40" s="27"/>
      <c r="J40" s="27"/>
      <c r="K40">
        <v>37</v>
      </c>
      <c r="L40" s="429">
        <v>550002</v>
      </c>
      <c r="M40" s="429"/>
      <c r="N40" s="429"/>
      <c r="O40" s="429"/>
      <c r="P40" s="429"/>
      <c r="Q40" s="429"/>
      <c r="R40" s="429"/>
      <c r="S40" s="429"/>
      <c r="T40" s="429"/>
      <c r="U40" s="429">
        <v>10.199999999999999</v>
      </c>
      <c r="V40" s="429">
        <v>3.5</v>
      </c>
      <c r="W40" s="429">
        <v>1.5</v>
      </c>
      <c r="X40">
        <v>37</v>
      </c>
    </row>
    <row r="41" spans="1:30" hidden="1" x14ac:dyDescent="0.25">
      <c r="A41" s="26"/>
      <c r="B41" s="27"/>
      <c r="C41" s="27"/>
      <c r="D41" s="27"/>
      <c r="E41" s="27"/>
      <c r="F41" s="27"/>
      <c r="G41" s="27"/>
      <c r="H41" s="27"/>
      <c r="I41" s="27"/>
      <c r="J41" s="27"/>
      <c r="K41">
        <v>38</v>
      </c>
      <c r="L41" s="429">
        <v>600000</v>
      </c>
      <c r="M41" s="429"/>
      <c r="N41" s="429"/>
      <c r="O41" s="429"/>
      <c r="P41" s="429"/>
      <c r="Q41" s="429"/>
      <c r="R41" s="429"/>
      <c r="S41" s="429"/>
      <c r="T41" s="429"/>
      <c r="U41" s="429">
        <v>12</v>
      </c>
      <c r="V41" s="429">
        <v>4.0999999999999996</v>
      </c>
      <c r="W41" s="429">
        <v>1.75</v>
      </c>
      <c r="X41">
        <v>38</v>
      </c>
    </row>
    <row r="42" spans="1:30" hidden="1" x14ac:dyDescent="0.25">
      <c r="B42" s="27"/>
      <c r="C42" s="27"/>
      <c r="D42" s="1"/>
      <c r="E42" s="1"/>
      <c r="F42" s="1"/>
      <c r="G42" s="1"/>
      <c r="H42" s="1"/>
      <c r="I42" s="1"/>
      <c r="J42" s="1"/>
      <c r="K42">
        <v>39</v>
      </c>
      <c r="L42" s="429">
        <v>649998</v>
      </c>
      <c r="M42" s="429"/>
      <c r="N42" s="429"/>
      <c r="O42" s="429"/>
      <c r="P42" s="429"/>
      <c r="Q42" s="429"/>
      <c r="R42" s="429"/>
      <c r="S42" s="429"/>
      <c r="T42" s="429"/>
      <c r="U42" s="429">
        <v>14.5</v>
      </c>
      <c r="V42" s="429">
        <v>4.8</v>
      </c>
      <c r="W42" s="429">
        <v>2</v>
      </c>
      <c r="X42">
        <v>39</v>
      </c>
    </row>
    <row r="43" spans="1:30" hidden="1" x14ac:dyDescent="0.25">
      <c r="B43" s="1"/>
      <c r="C43" s="1"/>
      <c r="D43" s="1"/>
      <c r="E43" s="1"/>
      <c r="F43" s="1"/>
      <c r="G43" s="1"/>
      <c r="H43" s="1"/>
      <c r="I43" s="1"/>
      <c r="J43" s="1"/>
      <c r="K43">
        <v>40</v>
      </c>
      <c r="L43" s="429">
        <v>700002</v>
      </c>
      <c r="M43" s="429"/>
      <c r="N43" s="429"/>
      <c r="O43" s="429"/>
      <c r="P43" s="429"/>
      <c r="Q43" s="429"/>
      <c r="R43" s="429"/>
      <c r="S43" s="429"/>
      <c r="T43" s="429"/>
      <c r="U43" s="429">
        <v>16</v>
      </c>
      <c r="V43" s="429">
        <v>5.7</v>
      </c>
      <c r="W43" s="429">
        <v>2.2999999999999998</v>
      </c>
      <c r="X43">
        <v>40</v>
      </c>
    </row>
    <row r="44" spans="1:30" hidden="1" x14ac:dyDescent="0.25">
      <c r="B44" s="1"/>
      <c r="C44" s="1"/>
      <c r="D44" s="1"/>
      <c r="E44" s="1"/>
      <c r="F44" s="1"/>
      <c r="G44" s="1"/>
      <c r="H44" s="1"/>
      <c r="I44" s="1"/>
      <c r="J44" s="1"/>
      <c r="K44">
        <v>41</v>
      </c>
      <c r="L44" s="429">
        <v>750000</v>
      </c>
      <c r="M44" s="429"/>
      <c r="N44" s="429"/>
      <c r="O44" s="429"/>
      <c r="P44" s="429"/>
      <c r="Q44" s="429"/>
      <c r="R44" s="429"/>
      <c r="S44" s="429"/>
      <c r="T44" s="429"/>
      <c r="U44" s="429"/>
      <c r="V44" s="429">
        <v>8.4</v>
      </c>
      <c r="W44" s="429">
        <v>2.6</v>
      </c>
      <c r="X44">
        <v>41</v>
      </c>
    </row>
    <row r="45" spans="1:30" hidden="1" x14ac:dyDescent="0.25">
      <c r="B45" s="1"/>
      <c r="C45" s="1"/>
      <c r="D45" s="1"/>
      <c r="E45" s="1"/>
      <c r="F45" s="1"/>
      <c r="G45" s="1"/>
      <c r="H45" s="1"/>
      <c r="I45" s="1"/>
      <c r="J45" s="1"/>
      <c r="K45">
        <v>42</v>
      </c>
      <c r="L45" s="429">
        <v>799998</v>
      </c>
      <c r="M45" s="429"/>
      <c r="N45" s="429"/>
      <c r="O45" s="429"/>
      <c r="P45" s="429"/>
      <c r="Q45" s="429"/>
      <c r="R45" s="429"/>
      <c r="S45" s="429"/>
      <c r="T45" s="429"/>
      <c r="U45" s="429"/>
      <c r="V45" s="429">
        <v>7.1</v>
      </c>
      <c r="W45" s="429">
        <v>3</v>
      </c>
      <c r="X45">
        <v>42</v>
      </c>
    </row>
    <row r="46" spans="1:30" hidden="1" x14ac:dyDescent="0.25">
      <c r="B46" s="1"/>
      <c r="C46" s="1"/>
      <c r="D46" s="1"/>
      <c r="E46" s="1"/>
      <c r="F46" s="1"/>
      <c r="G46" s="1"/>
      <c r="H46" s="1"/>
      <c r="I46" s="1"/>
      <c r="J46" s="1"/>
      <c r="K46" s="1"/>
      <c r="L46" s="1"/>
    </row>
    <row r="47" spans="1:30" hidden="1" x14ac:dyDescent="0.25">
      <c r="B47" s="1"/>
      <c r="C47" s="1"/>
      <c r="D47" s="1"/>
      <c r="E47" s="1"/>
      <c r="F47" s="1"/>
      <c r="G47" s="1"/>
      <c r="H47" s="1"/>
      <c r="I47" s="1"/>
      <c r="J47" s="1"/>
      <c r="K47" s="1"/>
      <c r="L47" s="1"/>
    </row>
  </sheetData>
  <sheetProtection algorithmName="SHA-512" hashValue="wsyAqT7G3Eh0Dc52UrSPceaJNLw0grvBYrti+Xgzo8ObmM9yMrXefQXcKqcIaz3kRpfhNlbUs9+XZPV/9lmUHg==" saltValue="Oejec9fxOH68rQaGGROvPQ==" spinCount="100000" sheet="1" objects="1" scenarios="1" selectLockedCells="1"/>
  <mergeCells count="17">
    <mergeCell ref="AB6:AC6"/>
    <mergeCell ref="B1:J1"/>
    <mergeCell ref="B3:C3"/>
    <mergeCell ref="AB3:AC3"/>
    <mergeCell ref="AB4:AC4"/>
    <mergeCell ref="AB5:AC5"/>
    <mergeCell ref="B20:D20"/>
    <mergeCell ref="D21:D28"/>
    <mergeCell ref="AB23:AD23"/>
    <mergeCell ref="AB27:AD27"/>
    <mergeCell ref="AB7:AC7"/>
    <mergeCell ref="AB8:AC8"/>
    <mergeCell ref="AB9:AC9"/>
    <mergeCell ref="B10:D10"/>
    <mergeCell ref="AB10:AC10"/>
    <mergeCell ref="D11:D18"/>
    <mergeCell ref="AB18:AD18"/>
  </mergeCells>
  <conditionalFormatting sqref="D11:D18">
    <cfRule type="containsText" dxfId="12" priority="1" operator="containsText" text="diâmetro">
      <formula>NOT(ISERROR(SEARCH("diâmetro",D11)))</formula>
    </cfRule>
    <cfRule type="cellIs" dxfId="11" priority="2" operator="equal">
      <formula>"Ok"</formula>
    </cfRule>
  </conditionalFormatting>
  <conditionalFormatting sqref="D21:D28">
    <cfRule type="containsText" dxfId="10" priority="3" operator="containsText" text="diâmetro">
      <formula>NOT(ISERROR(SEARCH("diâmetro",D21)))</formula>
    </cfRule>
    <cfRule type="cellIs" dxfId="9" priority="4" operator="equal">
      <formula>"Ok"</formula>
    </cfRule>
  </conditionalFormatting>
  <dataValidations count="2">
    <dataValidation type="whole" allowBlank="1" showInputMessage="1" showErrorMessage="1" errorTitle="Erro!" error="Valor apenas entre 0 e 11" promptTitle="Valores entre 0 e 11" prompt="Valores entre 0 e 11" sqref="C5" xr:uid="{766BF512-B55D-4116-93B0-1FBC52111D8A}">
      <formula1>0</formula1>
      <formula2>11</formula2>
    </dataValidation>
    <dataValidation type="list" allowBlank="1" showInputMessage="1" showErrorMessage="1" sqref="C25 C15" xr:uid="{CBD677AE-D40A-4345-8139-3AE891C62DC7}">
      <formula1>$M$3:$W$3</formula1>
    </dataValidation>
  </dataValidations>
  <pageMargins left="0.511811024" right="0.511811024" top="0.78740157499999996" bottom="0.78740157499999996" header="0.31496062000000002" footer="0.31496062000000002"/>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3E4C-571E-4D4D-90DF-E5C9C86FF8C6}">
  <sheetPr codeName="Planilha14"/>
  <dimension ref="A1:AM74"/>
  <sheetViews>
    <sheetView showGridLines="0" zoomScale="85" zoomScaleNormal="85" workbookViewId="0">
      <selection activeCell="G50" sqref="G50:G54"/>
    </sheetView>
  </sheetViews>
  <sheetFormatPr defaultColWidth="0" defaultRowHeight="15" customHeight="1" zeroHeight="1" x14ac:dyDescent="0.25"/>
  <cols>
    <col min="1" max="1" width="9.140625" customWidth="1"/>
    <col min="2" max="7" width="17.7109375" customWidth="1"/>
    <col min="8" max="8" width="28.5703125" customWidth="1"/>
    <col min="9" max="9" width="18.5703125" customWidth="1"/>
    <col min="10" max="13" width="15.7109375" customWidth="1"/>
    <col min="14" max="14" width="19.28515625" customWidth="1"/>
    <col min="15" max="25" width="15.7109375" customWidth="1"/>
    <col min="26" max="38" width="9.140625" customWidth="1"/>
    <col min="39" max="16384" width="9.140625" hidden="1"/>
  </cols>
  <sheetData>
    <row r="1" spans="1:38" s="531" customFormat="1" ht="29.25" customHeight="1" x14ac:dyDescent="0.25">
      <c r="B1" s="532"/>
      <c r="C1" s="533" t="s">
        <v>665</v>
      </c>
      <c r="D1" s="532"/>
      <c r="E1" s="532"/>
      <c r="F1" s="532"/>
      <c r="G1" s="532"/>
      <c r="H1" s="534"/>
      <c r="I1" s="532"/>
      <c r="J1" s="532"/>
      <c r="K1" s="532"/>
      <c r="L1" s="532"/>
      <c r="M1" s="532"/>
      <c r="N1" s="532"/>
      <c r="O1" s="532"/>
      <c r="P1" s="532"/>
    </row>
    <row r="2" spans="1:38" s="121" customFormat="1" x14ac:dyDescent="0.25">
      <c r="B2" s="228"/>
      <c r="C2" s="228"/>
      <c r="D2" s="228"/>
      <c r="E2" s="228"/>
      <c r="F2" s="228"/>
      <c r="G2" s="228"/>
      <c r="H2" s="535"/>
      <c r="I2" s="228"/>
      <c r="J2" s="228"/>
      <c r="K2" s="228"/>
      <c r="L2" s="228"/>
      <c r="M2" s="228"/>
      <c r="N2" s="228"/>
      <c r="O2" s="228"/>
      <c r="P2" s="228"/>
    </row>
    <row r="3" spans="1:38" s="121" customFormat="1" ht="18.75" x14ac:dyDescent="0.25">
      <c r="B3" s="536" t="s">
        <v>666</v>
      </c>
      <c r="C3" s="228"/>
      <c r="D3" s="228"/>
      <c r="E3" s="228"/>
      <c r="F3" s="228"/>
      <c r="G3" s="228"/>
      <c r="H3" s="535"/>
      <c r="I3" s="228"/>
      <c r="J3" s="228"/>
      <c r="K3" s="228"/>
      <c r="L3" s="228"/>
      <c r="M3" s="228"/>
      <c r="N3" s="228"/>
      <c r="O3" s="228"/>
      <c r="P3" s="228"/>
    </row>
    <row r="4" spans="1:38" s="121" customFormat="1" ht="5.0999999999999996" customHeight="1" x14ac:dyDescent="0.25">
      <c r="B4" s="228"/>
      <c r="C4" s="228"/>
      <c r="D4" s="228"/>
      <c r="E4" s="228"/>
      <c r="F4" s="228"/>
      <c r="G4" s="228"/>
      <c r="H4" s="689"/>
      <c r="I4" s="689"/>
      <c r="J4" s="689"/>
      <c r="K4" s="689"/>
      <c r="L4" s="689"/>
      <c r="M4" s="228"/>
      <c r="N4" s="228"/>
      <c r="O4" s="228"/>
      <c r="P4" s="228"/>
    </row>
    <row r="5" spans="1:38" x14ac:dyDescent="0.25">
      <c r="A5" s="121"/>
      <c r="B5" s="537" t="s">
        <v>667</v>
      </c>
      <c r="C5" s="538" t="s">
        <v>529</v>
      </c>
      <c r="D5" s="538" t="s">
        <v>668</v>
      </c>
      <c r="E5" s="538" t="s">
        <v>669</v>
      </c>
      <c r="F5" s="538" t="s">
        <v>670</v>
      </c>
      <c r="G5" s="538" t="s">
        <v>671</v>
      </c>
      <c r="H5" s="538" t="s">
        <v>672</v>
      </c>
      <c r="I5" s="538" t="s">
        <v>673</v>
      </c>
      <c r="J5" s="538" t="s">
        <v>674</v>
      </c>
      <c r="K5" s="538" t="s">
        <v>675</v>
      </c>
      <c r="L5" s="538" t="s">
        <v>676</v>
      </c>
      <c r="M5" s="539" t="s">
        <v>677</v>
      </c>
      <c r="N5" s="228"/>
      <c r="O5" s="228"/>
      <c r="P5" s="228"/>
      <c r="Q5" s="121"/>
      <c r="R5" s="121"/>
      <c r="S5" s="121"/>
      <c r="T5" s="121"/>
      <c r="U5" s="121"/>
      <c r="V5" s="121"/>
      <c r="W5" s="121"/>
      <c r="X5" s="121"/>
      <c r="Y5" s="121"/>
      <c r="Z5" s="121"/>
      <c r="AA5" s="121"/>
      <c r="AB5" s="121"/>
      <c r="AC5" s="121"/>
      <c r="AD5" s="121"/>
      <c r="AE5" s="121"/>
      <c r="AF5" s="121"/>
      <c r="AG5" s="121"/>
      <c r="AH5" s="121"/>
      <c r="AI5" s="121"/>
      <c r="AJ5" s="121"/>
      <c r="AK5" s="121"/>
      <c r="AL5" s="121"/>
    </row>
    <row r="6" spans="1:38" ht="24.95" customHeight="1" x14ac:dyDescent="0.25">
      <c r="A6" s="121"/>
      <c r="B6" s="565"/>
      <c r="C6" s="566"/>
      <c r="D6" s="566"/>
      <c r="E6" s="567"/>
      <c r="F6" s="567"/>
      <c r="G6" s="566"/>
      <c r="H6" s="568"/>
      <c r="I6" s="566"/>
      <c r="J6" s="566"/>
      <c r="K6" s="566"/>
      <c r="L6" s="566"/>
      <c r="M6" s="569"/>
      <c r="N6" s="228"/>
      <c r="O6" s="228"/>
      <c r="P6" s="228"/>
      <c r="Q6" s="121"/>
      <c r="R6" s="121"/>
      <c r="S6" s="121"/>
      <c r="T6" s="121"/>
      <c r="U6" s="121"/>
      <c r="V6" s="121"/>
      <c r="W6" s="121"/>
      <c r="X6" s="121"/>
      <c r="Y6" s="121"/>
      <c r="Z6" s="121"/>
      <c r="AA6" s="121"/>
      <c r="AB6" s="121"/>
      <c r="AC6" s="121"/>
      <c r="AD6" s="121"/>
      <c r="AE6" s="121"/>
      <c r="AF6" s="121"/>
      <c r="AG6" s="121"/>
      <c r="AH6" s="121"/>
      <c r="AI6" s="121"/>
      <c r="AJ6" s="121"/>
      <c r="AK6" s="121"/>
      <c r="AL6" s="121"/>
    </row>
    <row r="7" spans="1:38" ht="24.95" customHeight="1" x14ac:dyDescent="0.25">
      <c r="A7" s="121"/>
      <c r="B7" s="570"/>
      <c r="C7" s="512"/>
      <c r="D7" s="512"/>
      <c r="E7" s="571"/>
      <c r="F7" s="571"/>
      <c r="G7" s="512"/>
      <c r="H7" s="572"/>
      <c r="I7" s="512"/>
      <c r="J7" s="512"/>
      <c r="K7" s="512"/>
      <c r="L7" s="512"/>
      <c r="M7" s="518"/>
      <c r="N7" s="228"/>
      <c r="O7" s="228"/>
      <c r="P7" s="228"/>
      <c r="Q7" s="121"/>
      <c r="R7" s="121"/>
      <c r="S7" s="121"/>
      <c r="T7" s="121"/>
      <c r="U7" s="121"/>
      <c r="V7" s="121"/>
      <c r="W7" s="121"/>
      <c r="X7" s="121"/>
      <c r="Y7" s="121"/>
      <c r="Z7" s="121"/>
      <c r="AA7" s="121"/>
      <c r="AB7" s="121"/>
      <c r="AC7" s="121"/>
      <c r="AD7" s="121"/>
      <c r="AE7" s="121"/>
      <c r="AF7" s="121"/>
      <c r="AG7" s="121"/>
      <c r="AH7" s="121"/>
      <c r="AI7" s="121"/>
      <c r="AJ7" s="121"/>
      <c r="AK7" s="121"/>
      <c r="AL7" s="121"/>
    </row>
    <row r="8" spans="1:38" ht="24.95" customHeight="1" x14ac:dyDescent="0.25">
      <c r="A8" s="121"/>
      <c r="B8" s="570"/>
      <c r="C8" s="512"/>
      <c r="D8" s="512"/>
      <c r="E8" s="571"/>
      <c r="F8" s="571"/>
      <c r="G8" s="512"/>
      <c r="H8" s="572"/>
      <c r="I8" s="512"/>
      <c r="J8" s="512"/>
      <c r="K8" s="512"/>
      <c r="L8" s="512"/>
      <c r="M8" s="518"/>
      <c r="N8" s="228"/>
      <c r="O8" s="228"/>
      <c r="P8" s="228"/>
      <c r="Q8" s="121"/>
      <c r="R8" s="121"/>
      <c r="S8" s="121"/>
      <c r="T8" s="121"/>
      <c r="U8" s="121"/>
      <c r="V8" s="121"/>
      <c r="W8" s="121"/>
      <c r="X8" s="121"/>
      <c r="Y8" s="121"/>
      <c r="Z8" s="121"/>
      <c r="AA8" s="121"/>
      <c r="AB8" s="121"/>
      <c r="AC8" s="121"/>
      <c r="AD8" s="121"/>
      <c r="AE8" s="121"/>
      <c r="AF8" s="121"/>
      <c r="AG8" s="121"/>
      <c r="AH8" s="121"/>
      <c r="AI8" s="121"/>
      <c r="AJ8" s="121"/>
      <c r="AK8" s="121"/>
      <c r="AL8" s="121"/>
    </row>
    <row r="9" spans="1:38" ht="24.95" customHeight="1" x14ac:dyDescent="0.25">
      <c r="A9" s="121"/>
      <c r="B9" s="570"/>
      <c r="C9" s="512"/>
      <c r="D9" s="512"/>
      <c r="E9" s="571"/>
      <c r="F9" s="571"/>
      <c r="G9" s="512"/>
      <c r="H9" s="572"/>
      <c r="I9" s="512"/>
      <c r="J9" s="512"/>
      <c r="K9" s="512"/>
      <c r="L9" s="512"/>
      <c r="M9" s="518"/>
      <c r="N9" s="228"/>
      <c r="O9" s="228"/>
      <c r="P9" s="228"/>
      <c r="Q9" s="121"/>
      <c r="R9" s="121"/>
      <c r="S9" s="121"/>
      <c r="T9" s="121"/>
      <c r="U9" s="121"/>
      <c r="V9" s="121"/>
      <c r="W9" s="121"/>
      <c r="X9" s="121"/>
      <c r="Y9" s="121"/>
      <c r="Z9" s="121"/>
      <c r="AA9" s="121"/>
      <c r="AB9" s="121"/>
      <c r="AC9" s="121"/>
      <c r="AD9" s="121"/>
      <c r="AE9" s="121"/>
      <c r="AF9" s="121"/>
      <c r="AG9" s="121"/>
      <c r="AH9" s="121"/>
      <c r="AI9" s="121"/>
      <c r="AJ9" s="121"/>
      <c r="AK9" s="121"/>
      <c r="AL9" s="121"/>
    </row>
    <row r="10" spans="1:38" ht="24.95" customHeight="1" x14ac:dyDescent="0.25">
      <c r="A10" s="121"/>
      <c r="B10" s="570"/>
      <c r="C10" s="512"/>
      <c r="D10" s="512"/>
      <c r="E10" s="571"/>
      <c r="F10" s="571"/>
      <c r="G10" s="512"/>
      <c r="H10" s="572"/>
      <c r="I10" s="512"/>
      <c r="J10" s="512"/>
      <c r="K10" s="512"/>
      <c r="L10" s="512"/>
      <c r="M10" s="518"/>
      <c r="N10" s="228"/>
      <c r="O10" s="228"/>
      <c r="P10" s="228"/>
      <c r="Q10" s="121"/>
      <c r="R10" s="121"/>
      <c r="S10" s="121"/>
      <c r="T10" s="121"/>
      <c r="U10" s="121"/>
      <c r="V10" s="121"/>
      <c r="W10" s="121"/>
      <c r="X10" s="121"/>
      <c r="Y10" s="121"/>
      <c r="Z10" s="121"/>
      <c r="AA10" s="121"/>
      <c r="AB10" s="121"/>
      <c r="AC10" s="121"/>
      <c r="AD10" s="121"/>
      <c r="AE10" s="121"/>
      <c r="AF10" s="121"/>
      <c r="AG10" s="121"/>
      <c r="AH10" s="121"/>
      <c r="AI10" s="121"/>
      <c r="AJ10" s="121"/>
      <c r="AK10" s="121"/>
      <c r="AL10" s="121"/>
    </row>
    <row r="11" spans="1:38" s="121" customFormat="1" ht="30" customHeight="1" x14ac:dyDescent="0.25">
      <c r="H11" s="540"/>
      <c r="I11" s="228"/>
      <c r="J11" s="228"/>
      <c r="K11" s="228"/>
      <c r="L11" s="228"/>
      <c r="M11" s="228"/>
      <c r="N11" s="228"/>
      <c r="O11" s="228"/>
      <c r="P11" s="228"/>
    </row>
    <row r="12" spans="1:38" s="121" customFormat="1" ht="18.75" x14ac:dyDescent="0.25">
      <c r="B12" s="536" t="s">
        <v>678</v>
      </c>
      <c r="F12" s="541">
        <f>SUM(F15:F19)</f>
        <v>0</v>
      </c>
      <c r="H12" s="542">
        <f>SUM(H15:H19)</f>
        <v>0</v>
      </c>
      <c r="I12" s="228"/>
      <c r="J12" s="228"/>
      <c r="K12" s="228"/>
      <c r="L12" s="228"/>
      <c r="M12" s="228"/>
      <c r="N12" s="228"/>
      <c r="O12" s="228"/>
      <c r="P12" s="228"/>
    </row>
    <row r="13" spans="1:38" s="121" customFormat="1" ht="5.0999999999999996" customHeight="1" x14ac:dyDescent="0.25">
      <c r="A13" s="228"/>
      <c r="B13" s="228"/>
      <c r="C13" s="228"/>
      <c r="D13" s="228"/>
      <c r="E13" s="228"/>
      <c r="F13" s="228"/>
      <c r="G13" s="228"/>
      <c r="H13" s="540"/>
      <c r="I13" s="228"/>
      <c r="J13" s="228"/>
      <c r="K13" s="228"/>
      <c r="L13" s="228"/>
      <c r="M13" s="228"/>
      <c r="N13" s="228"/>
      <c r="O13" s="228"/>
      <c r="P13" s="228"/>
    </row>
    <row r="14" spans="1:38" x14ac:dyDescent="0.25">
      <c r="A14" s="121"/>
      <c r="B14" s="537" t="s">
        <v>679</v>
      </c>
      <c r="C14" s="543" t="s">
        <v>680</v>
      </c>
      <c r="D14" s="543" t="s">
        <v>681</v>
      </c>
      <c r="E14" s="543" t="s">
        <v>682</v>
      </c>
      <c r="F14" s="543" t="s">
        <v>683</v>
      </c>
      <c r="G14" s="543" t="s">
        <v>684</v>
      </c>
      <c r="H14" s="543" t="s">
        <v>685</v>
      </c>
      <c r="I14" s="543" t="s">
        <v>686</v>
      </c>
      <c r="J14" s="690" t="s">
        <v>687</v>
      </c>
      <c r="K14" s="690"/>
      <c r="L14" s="690"/>
      <c r="M14" s="690"/>
      <c r="N14" s="690"/>
      <c r="O14" s="690"/>
      <c r="P14" s="690"/>
      <c r="Q14" s="690"/>
      <c r="R14" s="690"/>
      <c r="S14" s="690"/>
      <c r="T14" s="690"/>
      <c r="U14" s="690"/>
      <c r="V14" s="690"/>
      <c r="W14" s="690"/>
      <c r="X14" s="690"/>
      <c r="Y14" s="691"/>
      <c r="Z14" s="121"/>
      <c r="AA14" s="121"/>
      <c r="AB14" s="121"/>
      <c r="AC14" s="121"/>
      <c r="AD14" s="121"/>
      <c r="AE14" s="121"/>
      <c r="AF14" s="121"/>
      <c r="AG14" s="121"/>
      <c r="AH14" s="121"/>
      <c r="AI14" s="121"/>
      <c r="AJ14" s="121"/>
      <c r="AK14" s="121"/>
      <c r="AL14" s="121"/>
    </row>
    <row r="15" spans="1:38" ht="24.95" customHeight="1" x14ac:dyDescent="0.25">
      <c r="A15" s="121"/>
      <c r="B15" s="573"/>
      <c r="C15" s="574"/>
      <c r="D15" s="544" t="str">
        <f>IF(OR(B6=0,B6=""),"",IF(ROUND(IFERROR(IF(((Adubação!$B15-E6)*G6)/Adubação!$C15&lt;0,0,((Adubação!$B15-E6)*G6)/Adubação!$C15),"S/ infos"),1)&lt;1,0,ROUND(IFERROR(IF(((Adubação!$B15-E6)*G6)/Adubação!$C15&lt;0,0,((Adubação!$B15-E6)*G6)/Adubação!$C15),"S/ infos"),1)))</f>
        <v/>
      </c>
      <c r="E15" s="545" t="str">
        <f>IFERROR(IF((I6/J6)&gt;=3,"Dolomítico",IF((I6/J6)&lt;=3,"Magnesiano","")),"")</f>
        <v/>
      </c>
      <c r="F15" s="546" t="str">
        <f>IF(OR(B6=0,B6=""),"",ROUND(IFERROR((D15*C6),""),1))</f>
        <v/>
      </c>
      <c r="G15" s="575"/>
      <c r="H15" s="547">
        <f>IFERROR(G15*F15,0)</f>
        <v>0</v>
      </c>
      <c r="I15" s="547">
        <f>IFERROR(Adubação!$H15/C6,0)</f>
        <v>0</v>
      </c>
      <c r="J15" s="687" t="str">
        <f>IF(Adubação!$D15="","",IF(Adubação!$F15=0,"Não precisa de calcário.",IF(Adubação!$D15&gt;2,"Se o pasto já estiver formado, distribuir apenas 2 Ton/hectare de Calcário "&amp;Adubação!$E15&amp;". Se for incorporar, distribuir "&amp;Adubação!$D15&amp;" ton/ha. Pelo menos 60 dias antes do plantio ou das chuvas.","Distribuir "&amp;Adubação!$D15&amp;" Ton/hectare de Calcário "&amp;Adubação!$E15&amp;" pelo menos 60 dias antes do plantio ou início das chuvas.")))</f>
        <v/>
      </c>
      <c r="K15" s="687"/>
      <c r="L15" s="687"/>
      <c r="M15" s="687"/>
      <c r="N15" s="687"/>
      <c r="O15" s="687"/>
      <c r="P15" s="687"/>
      <c r="Q15" s="687"/>
      <c r="R15" s="687"/>
      <c r="S15" s="687"/>
      <c r="T15" s="687"/>
      <c r="U15" s="687"/>
      <c r="V15" s="687"/>
      <c r="W15" s="687"/>
      <c r="X15" s="687"/>
      <c r="Y15" s="688"/>
      <c r="Z15" s="121"/>
      <c r="AA15" s="121"/>
      <c r="AB15" s="121"/>
      <c r="AC15" s="121"/>
      <c r="AD15" s="121"/>
      <c r="AE15" s="121"/>
      <c r="AF15" s="121"/>
      <c r="AG15" s="121"/>
      <c r="AH15" s="121"/>
      <c r="AI15" s="121"/>
      <c r="AJ15" s="121"/>
      <c r="AK15" s="121"/>
      <c r="AL15" s="121"/>
    </row>
    <row r="16" spans="1:38" ht="24.95" customHeight="1" x14ac:dyDescent="0.25">
      <c r="A16" s="121"/>
      <c r="B16" s="573"/>
      <c r="C16" s="574"/>
      <c r="D16" s="544" t="str">
        <f>IF(OR(B7=0,B7=""),"",IF(ROUND(IFERROR(IF(((Adubação!$B16-E7)*G7)/Adubação!$C16&lt;0,0,((Adubação!$B16-E7)*G7)/Adubação!$C16),"S/ infos"),1)&lt;1,0,ROUND(IFERROR(IF(((Adubação!$B16-E7)*G7)/Adubação!$C16&lt;0,0,((Adubação!$B16-E7)*G7)/Adubação!$C16),"S/ infos"),1)))</f>
        <v/>
      </c>
      <c r="E16" s="545" t="str">
        <f>IFERROR(IF((I7/J7)&gt;=3,"Dolomítico",IF((I7/J7)&lt;=3,"Magnesiano","")),"")</f>
        <v/>
      </c>
      <c r="F16" s="546" t="str">
        <f>IF(OR(B7=0,B7=""),"",ROUND(IFERROR((D16*C7),""),1))</f>
        <v/>
      </c>
      <c r="G16" s="575"/>
      <c r="H16" s="547">
        <f t="shared" ref="H16:H19" si="0">IFERROR(G16*F16,0)</f>
        <v>0</v>
      </c>
      <c r="I16" s="547">
        <f>IFERROR(Adubação!$H16/C7,0)</f>
        <v>0</v>
      </c>
      <c r="J16" s="687" t="str">
        <f>IF(Adubação!$D16="","",IF(Adubação!$F16=0,"Não precisa de calcário.",IF(Adubação!$D16&gt;2,"Se o pasto já estiver formado, distribuir apenas 2 Ton/hectare de Calcário "&amp;Adubação!$E16&amp;". Se for incorporar, distribuir "&amp;Adubação!$D16&amp;" ton/ha. Pelo menos 60 dias antes do plantio ou das chuvas.","Distribuir "&amp;Adubação!$D16&amp;" Ton/hectare de Calcário "&amp;Adubação!$E16&amp;" pelo menos 60 dias antes do plantio ou início das chuvas.")))</f>
        <v/>
      </c>
      <c r="K16" s="687"/>
      <c r="L16" s="687"/>
      <c r="M16" s="687"/>
      <c r="N16" s="687"/>
      <c r="O16" s="687"/>
      <c r="P16" s="687"/>
      <c r="Q16" s="687"/>
      <c r="R16" s="687"/>
      <c r="S16" s="687"/>
      <c r="T16" s="687"/>
      <c r="U16" s="687"/>
      <c r="V16" s="687"/>
      <c r="W16" s="687"/>
      <c r="X16" s="687"/>
      <c r="Y16" s="688"/>
      <c r="Z16" s="121"/>
      <c r="AA16" s="121"/>
      <c r="AB16" s="121"/>
      <c r="AC16" s="121"/>
      <c r="AD16" s="121"/>
      <c r="AE16" s="121"/>
      <c r="AF16" s="121"/>
      <c r="AG16" s="121"/>
      <c r="AH16" s="121"/>
      <c r="AI16" s="121"/>
      <c r="AJ16" s="121"/>
      <c r="AK16" s="121"/>
      <c r="AL16" s="121"/>
    </row>
    <row r="17" spans="1:39" ht="24.95" customHeight="1" x14ac:dyDescent="0.25">
      <c r="A17" s="121"/>
      <c r="B17" s="573"/>
      <c r="C17" s="574"/>
      <c r="D17" s="544" t="str">
        <f>IF(OR(B8=0,B8=""),"",IF(ROUND(IFERROR(IF(((Adubação!$B17-E8)*G8)/Adubação!$C17&lt;0,0,((Adubação!$B17-E8)*G8)/Adubação!$C17),"S/ infos"),1)&lt;1,0,ROUND(IFERROR(IF(((Adubação!$B17-E8)*G8)/Adubação!$C17&lt;0,0,((Adubação!$B17-E8)*G8)/Adubação!$C17),"S/ infos"),1)))</f>
        <v/>
      </c>
      <c r="E17" s="545" t="str">
        <f>IFERROR(IF((I8/J8)&gt;=3,"Dolomítico",IF((I8/J8)&lt;=3,"Magnesiano","")),"")</f>
        <v/>
      </c>
      <c r="F17" s="546" t="str">
        <f>IF(OR(B8=0,B8=""),"",ROUND(IFERROR((D17*C8),""),1))</f>
        <v/>
      </c>
      <c r="G17" s="575"/>
      <c r="H17" s="547">
        <f t="shared" si="0"/>
        <v>0</v>
      </c>
      <c r="I17" s="547">
        <f>IFERROR(Adubação!$H17/C8,0)</f>
        <v>0</v>
      </c>
      <c r="J17" s="687" t="str">
        <f>IF(Adubação!$D17="","",IF(Adubação!$F17=0,"Não precisa de calcário.",IF(Adubação!$D17&gt;2,"Se o pasto já estiver formado, distribuir apenas 2 Ton/hectare de Calcário "&amp;Adubação!$E17&amp;". Se for incorporar, distribuir "&amp;Adubação!$D17&amp;" ton/ha. Pelo menos 60 dias antes do plantio ou das chuvas.","Distribuir "&amp;Adubação!$D17&amp;" Ton/hectare de Calcário "&amp;Adubação!$E17&amp;" pelo menos 60 dias antes do plantio ou início das chuvas.")))</f>
        <v/>
      </c>
      <c r="K17" s="687"/>
      <c r="L17" s="687"/>
      <c r="M17" s="687"/>
      <c r="N17" s="687"/>
      <c r="O17" s="687"/>
      <c r="P17" s="687"/>
      <c r="Q17" s="687"/>
      <c r="R17" s="687"/>
      <c r="S17" s="687"/>
      <c r="T17" s="687"/>
      <c r="U17" s="687"/>
      <c r="V17" s="687"/>
      <c r="W17" s="687"/>
      <c r="X17" s="687"/>
      <c r="Y17" s="688"/>
      <c r="Z17" s="121"/>
      <c r="AA17" s="121"/>
      <c r="AB17" s="121"/>
      <c r="AC17" s="121"/>
      <c r="AD17" s="121"/>
      <c r="AE17" s="121"/>
      <c r="AF17" s="121"/>
      <c r="AG17" s="121"/>
      <c r="AH17" s="121"/>
      <c r="AI17" s="121"/>
      <c r="AJ17" s="121"/>
      <c r="AK17" s="121"/>
      <c r="AL17" s="121"/>
    </row>
    <row r="18" spans="1:39" ht="24.95" customHeight="1" x14ac:dyDescent="0.25">
      <c r="A18" s="121"/>
      <c r="B18" s="573"/>
      <c r="C18" s="574"/>
      <c r="D18" s="544" t="str">
        <f>IF(OR(B9=0,B9=""),"",IF(ROUND(IFERROR(IF(((Adubação!$B18-E9)*G9)/Adubação!$C18&lt;0,0,((Adubação!$B18-E9)*G9)/Adubação!$C18),"S/ infos"),1)&lt;1,0,ROUND(IFERROR(IF(((Adubação!$B18-E9)*G9)/Adubação!$C18&lt;0,0,((Adubação!$B18-E9)*G9)/Adubação!$C18),"S/ infos"),1)))</f>
        <v/>
      </c>
      <c r="E18" s="545" t="str">
        <f>IFERROR(IF((I9/J9)&gt;=3,"Dolomítico",IF((I9/J9)&lt;=3,"Magnesiano","")),"")</f>
        <v/>
      </c>
      <c r="F18" s="546" t="str">
        <f>IF(OR(B9=0,B9=""),"",ROUND(IFERROR((D18*C9),""),1))</f>
        <v/>
      </c>
      <c r="G18" s="575"/>
      <c r="H18" s="547">
        <f t="shared" si="0"/>
        <v>0</v>
      </c>
      <c r="I18" s="547">
        <f>IFERROR(Adubação!$H18/C9,0)</f>
        <v>0</v>
      </c>
      <c r="J18" s="687" t="str">
        <f>IF(Adubação!$D18="","",IF(Adubação!$F18=0,"Não precisa de calcário.",IF(Adubação!$D18&gt;2,"Se o pasto já estiver formado, distribuir apenas 2 Ton/hectare de Calcário "&amp;Adubação!$E18&amp;". Se for incorporar, distribuir "&amp;Adubação!$D18&amp;" ton/ha. Pelo menos 60 dias antes do plantio ou das chuvas.","Distribuir "&amp;Adubação!$D18&amp;" Ton/hectare de Calcário "&amp;Adubação!$E18&amp;" pelo menos 60 dias antes do plantio ou início das chuvas.")))</f>
        <v/>
      </c>
      <c r="K18" s="687"/>
      <c r="L18" s="687"/>
      <c r="M18" s="687"/>
      <c r="N18" s="687"/>
      <c r="O18" s="687"/>
      <c r="P18" s="687"/>
      <c r="Q18" s="687"/>
      <c r="R18" s="687"/>
      <c r="S18" s="687"/>
      <c r="T18" s="687"/>
      <c r="U18" s="687"/>
      <c r="V18" s="687"/>
      <c r="W18" s="687"/>
      <c r="X18" s="687"/>
      <c r="Y18" s="688"/>
      <c r="Z18" s="121"/>
      <c r="AA18" s="121"/>
      <c r="AB18" s="121"/>
      <c r="AC18" s="121"/>
      <c r="AD18" s="121"/>
      <c r="AE18" s="121"/>
      <c r="AF18" s="121"/>
      <c r="AG18" s="121"/>
      <c r="AH18" s="121"/>
      <c r="AI18" s="121"/>
      <c r="AJ18" s="121"/>
      <c r="AK18" s="121"/>
      <c r="AL18" s="121"/>
    </row>
    <row r="19" spans="1:39" ht="24.95" customHeight="1" x14ac:dyDescent="0.25">
      <c r="A19" s="121"/>
      <c r="B19" s="573"/>
      <c r="C19" s="574"/>
      <c r="D19" s="544" t="str">
        <f>IF(OR(B10=0,B10=""),"",IF(ROUND(IFERROR(IF(((Adubação!$B19-E10)*G10)/Adubação!$C19&lt;0,0,((Adubação!$B19-E10)*G10)/Adubação!$C19),"S/ infos"),1)&lt;1,0,ROUND(IFERROR(IF(((Adubação!$B19-E10)*G10)/Adubação!$C19&lt;0,0,((Adubação!$B19-E10)*G10)/Adubação!$C19),"S/ infos"),1)))</f>
        <v/>
      </c>
      <c r="E19" s="545" t="str">
        <f>IFERROR(IF((I10/J10)&gt;=3,"Dolomítico",IF((I10/J10)&lt;=3,"Magnesiano","")),"")</f>
        <v/>
      </c>
      <c r="F19" s="546" t="str">
        <f>IF(OR(B10=0,B10=""),"",ROUND(IFERROR((D19*C10),""),1))</f>
        <v/>
      </c>
      <c r="G19" s="575"/>
      <c r="H19" s="547">
        <f t="shared" si="0"/>
        <v>0</v>
      </c>
      <c r="I19" s="547">
        <f>IFERROR(Adubação!$H19/C10,0)</f>
        <v>0</v>
      </c>
      <c r="J19" s="687" t="str">
        <f>IF(Adubação!$D19="","",IF(Adubação!$F19=0,"Não precisa de calcário.",IF(Adubação!$D19&gt;2,"Se o pasto já estiver formado, distribuir apenas 2 Ton/hectare de Calcário "&amp;Adubação!$E19&amp;". Se for incorporar, distribuir "&amp;Adubação!$D19&amp;" ton/ha. Pelo menos 60 dias antes do plantio ou das chuvas.","Distribuir "&amp;Adubação!$D19&amp;" Ton/hectare de Calcário "&amp;Adubação!$E19&amp;" pelo menos 60 dias antes do plantio ou início das chuvas.")))</f>
        <v/>
      </c>
      <c r="K19" s="687"/>
      <c r="L19" s="687"/>
      <c r="M19" s="687"/>
      <c r="N19" s="687"/>
      <c r="O19" s="687"/>
      <c r="P19" s="687"/>
      <c r="Q19" s="687"/>
      <c r="R19" s="687"/>
      <c r="S19" s="687"/>
      <c r="T19" s="687"/>
      <c r="U19" s="687"/>
      <c r="V19" s="687"/>
      <c r="W19" s="687"/>
      <c r="X19" s="687"/>
      <c r="Y19" s="688"/>
      <c r="Z19" s="121"/>
      <c r="AA19" s="121"/>
      <c r="AB19" s="121"/>
      <c r="AC19" s="121"/>
      <c r="AD19" s="121"/>
      <c r="AE19" s="121"/>
      <c r="AF19" s="121"/>
      <c r="AG19" s="121"/>
      <c r="AH19" s="121"/>
      <c r="AI19" s="121"/>
      <c r="AJ19" s="121"/>
      <c r="AK19" s="121"/>
      <c r="AL19" s="121"/>
    </row>
    <row r="20" spans="1:39" s="121" customFormat="1" x14ac:dyDescent="0.25">
      <c r="B20" s="548" t="s">
        <v>688</v>
      </c>
      <c r="C20" s="228"/>
      <c r="J20" s="549"/>
      <c r="K20" s="228"/>
      <c r="L20" s="228"/>
      <c r="M20" s="228"/>
      <c r="N20" s="228"/>
      <c r="O20" s="228"/>
      <c r="P20" s="228"/>
    </row>
    <row r="21" spans="1:39" s="121" customFormat="1" ht="30" customHeight="1" x14ac:dyDescent="0.25">
      <c r="B21" s="228"/>
      <c r="C21" s="228"/>
      <c r="J21" s="549"/>
      <c r="K21" s="228"/>
      <c r="L21" s="228"/>
      <c r="M21" s="228"/>
      <c r="N21" s="228"/>
      <c r="O21" s="228"/>
      <c r="P21" s="228"/>
    </row>
    <row r="22" spans="1:39" s="121" customFormat="1" ht="18.75" x14ac:dyDescent="0.25">
      <c r="B22" s="536" t="s">
        <v>689</v>
      </c>
      <c r="C22" s="228"/>
      <c r="D22" s="228"/>
      <c r="E22" s="228"/>
      <c r="F22" s="550">
        <f>SUM(F25:F29)</f>
        <v>0</v>
      </c>
      <c r="G22" s="228"/>
      <c r="H22" s="542">
        <f>SUM(H25:H29)</f>
        <v>0</v>
      </c>
      <c r="I22" s="228"/>
      <c r="J22" s="228"/>
      <c r="K22" s="551"/>
      <c r="L22" s="228"/>
      <c r="O22" s="228"/>
      <c r="P22" s="228"/>
    </row>
    <row r="23" spans="1:39" s="121" customFormat="1" ht="5.0999999999999996" customHeight="1" x14ac:dyDescent="0.25">
      <c r="B23" s="228"/>
      <c r="C23" s="228"/>
      <c r="D23" s="228"/>
      <c r="E23" s="228"/>
      <c r="F23" s="228"/>
      <c r="G23" s="228"/>
      <c r="H23" s="535"/>
      <c r="I23" s="228"/>
      <c r="J23" s="228"/>
      <c r="K23" s="228"/>
      <c r="L23" s="228"/>
      <c r="O23" s="228"/>
      <c r="P23" s="228"/>
    </row>
    <row r="24" spans="1:39" x14ac:dyDescent="0.25">
      <c r="A24" s="121"/>
      <c r="B24" s="537" t="s">
        <v>690</v>
      </c>
      <c r="C24" s="543" t="s">
        <v>691</v>
      </c>
      <c r="D24" s="543" t="s">
        <v>692</v>
      </c>
      <c r="E24" s="543" t="s">
        <v>693</v>
      </c>
      <c r="F24" s="543" t="s">
        <v>683</v>
      </c>
      <c r="G24" s="552" t="s">
        <v>153</v>
      </c>
      <c r="H24" s="552" t="s">
        <v>685</v>
      </c>
      <c r="I24" s="552" t="s">
        <v>686</v>
      </c>
      <c r="J24" s="690" t="s">
        <v>687</v>
      </c>
      <c r="K24" s="690"/>
      <c r="L24" s="690"/>
      <c r="M24" s="690"/>
      <c r="N24" s="690"/>
      <c r="O24" s="690"/>
      <c r="P24" s="690"/>
      <c r="Q24" s="690"/>
      <c r="R24" s="690"/>
      <c r="S24" s="690"/>
      <c r="T24" s="690"/>
      <c r="U24" s="690"/>
      <c r="V24" s="690"/>
      <c r="W24" s="690"/>
      <c r="X24" s="690"/>
      <c r="Y24" s="690"/>
      <c r="Z24" s="691"/>
      <c r="AA24" s="121"/>
      <c r="AB24" s="121"/>
      <c r="AC24" s="121"/>
      <c r="AD24" s="121"/>
      <c r="AE24" s="121"/>
      <c r="AF24" s="121"/>
      <c r="AG24" s="121"/>
      <c r="AH24" s="121"/>
      <c r="AI24" s="121"/>
      <c r="AJ24" s="121"/>
      <c r="AK24" s="121"/>
      <c r="AL24" s="121"/>
      <c r="AM24" s="121"/>
    </row>
    <row r="25" spans="1:39" ht="24.95" customHeight="1" x14ac:dyDescent="0.25">
      <c r="A25" s="121"/>
      <c r="B25" s="576"/>
      <c r="C25" s="566"/>
      <c r="D25" s="553" t="str">
        <f>IFERROR((IF(D6&lt;=5,40,50))*D6/B25,"Falta %N")</f>
        <v>Falta %N</v>
      </c>
      <c r="E25" s="577"/>
      <c r="F25" s="554" t="str">
        <f>IFERROR(IF(OR(B$6=0,B$6=""),"",ROUND(IFERROR(((E25*C$6)/1000),""),1)),"")</f>
        <v/>
      </c>
      <c r="G25" s="578"/>
      <c r="H25" s="555" t="str">
        <f>IF(G25="","0",IFERROR(G25*E25*C6,"Falta R$/kg"))</f>
        <v>0</v>
      </c>
      <c r="I25" s="555">
        <f>IFERROR(Adubação!$H25/C6,0)</f>
        <v>0</v>
      </c>
      <c r="J25" s="694" t="str">
        <f>IF(Adubação!$D25=0,"",IF(Adubação!$E25&gt;0,IFERROR("Parcelar a adubação em "&amp;I30&amp;" vezes, durante o período da chuva, sendo uma aplicação a cada "&amp;ROUND(Adubação!M6/I30,0)&amp;" dias, aplicando "&amp;J30&amp;" kg/ha de "&amp;C25&amp;" por aplicação.","Informações incompletas para gerar o relatório."),IFERROR("Parcelar a adubação em "&amp;IF(#REF!&gt;180,4,3)&amp;" vezes, durante o período da chuva, aplicando "&amp;ROUND(IF(#REF!&gt;180,D25/4,D25/3),0)&amp;" kg/ha de "&amp;C25&amp;" por aplicação.","Informações incompletas para gerar o relatório.")))</f>
        <v>Informações incompletas para gerar o relatório.</v>
      </c>
      <c r="K25" s="694"/>
      <c r="L25" s="694"/>
      <c r="M25" s="694"/>
      <c r="N25" s="694"/>
      <c r="O25" s="694"/>
      <c r="P25" s="694"/>
      <c r="Q25" s="694"/>
      <c r="R25" s="694"/>
      <c r="S25" s="694"/>
      <c r="T25" s="694"/>
      <c r="U25" s="694"/>
      <c r="V25" s="694"/>
      <c r="W25" s="694"/>
      <c r="X25" s="694"/>
      <c r="Y25" s="694"/>
      <c r="Z25" s="695"/>
      <c r="AA25" s="121"/>
      <c r="AB25" s="121"/>
      <c r="AC25" s="121"/>
      <c r="AD25" s="121"/>
      <c r="AE25" s="121"/>
      <c r="AF25" s="121"/>
      <c r="AG25" s="121"/>
      <c r="AH25" s="121"/>
      <c r="AI25" s="121"/>
      <c r="AJ25" s="121"/>
      <c r="AK25" s="121"/>
      <c r="AL25" s="121"/>
      <c r="AM25" s="121"/>
    </row>
    <row r="26" spans="1:39" ht="24.95" customHeight="1" x14ac:dyDescent="0.25">
      <c r="A26" s="121"/>
      <c r="B26" s="576"/>
      <c r="C26" s="566"/>
      <c r="D26" s="553" t="str">
        <f>IFERROR((IF(D7&lt;=5,40,50))*D7/B26,"Falta %N")</f>
        <v>Falta %N</v>
      </c>
      <c r="E26" s="577"/>
      <c r="F26" s="554" t="str">
        <f t="shared" ref="F26:F29" si="1">IFERROR(IF(OR(B$6=0,B$6=""),"",ROUND(IFERROR(((E26*C$6)/1000),""),1)),"")</f>
        <v/>
      </c>
      <c r="G26" s="578"/>
      <c r="H26" s="555" t="str">
        <f t="shared" ref="H26:H29" si="2">IF(G26="","0",IFERROR(G26*E26*C7,"Falta R$/kg"))</f>
        <v>0</v>
      </c>
      <c r="I26" s="555">
        <f>IFERROR(Adubação!$H26/C7,0)</f>
        <v>0</v>
      </c>
      <c r="J26" s="694" t="str">
        <f>IF(Adubação!$D26=0,"",IF(Adubação!$E26&gt;0,IFERROR("Parcelar a adubação em "&amp;I31&amp;" vezes, durante o período da chuva, sendo uma aplicação a cada "&amp;ROUND(Adubação!M7/I31,0)&amp;" dias, aplicando "&amp;J31&amp;" kg/ha de "&amp;C26&amp;" por aplicação.","Informações incompletas para gerar o relatório."),IFERROR("Parcelar a adubação em "&amp;IF(#REF!&gt;180,4,3)&amp;" vezes, durante o período da chuva, aplicando "&amp;ROUND(IF(#REF!&gt;180,D26/4,D26/3),0)&amp;" kg/ha de "&amp;C26&amp;" por aplicação.","Informações incompletas para gerar o relatório.")))</f>
        <v>Informações incompletas para gerar o relatório.</v>
      </c>
      <c r="K26" s="694"/>
      <c r="L26" s="694"/>
      <c r="M26" s="694"/>
      <c r="N26" s="694"/>
      <c r="O26" s="694"/>
      <c r="P26" s="694"/>
      <c r="Q26" s="694"/>
      <c r="R26" s="694"/>
      <c r="S26" s="694"/>
      <c r="T26" s="694"/>
      <c r="U26" s="694"/>
      <c r="V26" s="694"/>
      <c r="W26" s="694"/>
      <c r="X26" s="694"/>
      <c r="Y26" s="694"/>
      <c r="Z26" s="695"/>
      <c r="AA26" s="121"/>
      <c r="AB26" s="121"/>
      <c r="AC26" s="121"/>
      <c r="AD26" s="121"/>
      <c r="AE26" s="121"/>
      <c r="AF26" s="121"/>
      <c r="AG26" s="121"/>
      <c r="AH26" s="121"/>
      <c r="AI26" s="121"/>
      <c r="AJ26" s="121"/>
      <c r="AK26" s="121"/>
      <c r="AL26" s="121"/>
      <c r="AM26" s="121"/>
    </row>
    <row r="27" spans="1:39" ht="24.95" customHeight="1" x14ac:dyDescent="0.25">
      <c r="A27" s="121"/>
      <c r="B27" s="576"/>
      <c r="C27" s="566"/>
      <c r="D27" s="553" t="str">
        <f>IFERROR((IF(D8&lt;=5,40,50))*D8/B27,"Falta %N")</f>
        <v>Falta %N</v>
      </c>
      <c r="E27" s="577"/>
      <c r="F27" s="554" t="str">
        <f t="shared" si="1"/>
        <v/>
      </c>
      <c r="G27" s="578"/>
      <c r="H27" s="555" t="str">
        <f t="shared" si="2"/>
        <v>0</v>
      </c>
      <c r="I27" s="555">
        <f>IFERROR(Adubação!$H27/C8,0)</f>
        <v>0</v>
      </c>
      <c r="J27" s="694" t="str">
        <f>IF(Adubação!$D27=0,"",IF(Adubação!$E27&gt;0,IFERROR("Parcelar a adubação em "&amp;I32&amp;" vezes, durante o período da chuva, sendo uma aplicação a cada "&amp;ROUND(Adubação!M8/I32,0)&amp;" dias, aplicando "&amp;J32&amp;" kg/ha de "&amp;C27&amp;" por aplicação.","Informações incompletas para gerar o relatório."),IFERROR("Parcelar a adubação em "&amp;IF(#REF!&gt;180,4,3)&amp;" vezes, durante o período da chuva, aplicando "&amp;ROUND(IF(#REF!&gt;180,D27/4,D27/3),0)&amp;" kg/ha de "&amp;C27&amp;" por aplicação.","Informações incompletas para gerar o relatório.")))</f>
        <v>Informações incompletas para gerar o relatório.</v>
      </c>
      <c r="K27" s="694"/>
      <c r="L27" s="694"/>
      <c r="M27" s="694"/>
      <c r="N27" s="694"/>
      <c r="O27" s="694"/>
      <c r="P27" s="694"/>
      <c r="Q27" s="694"/>
      <c r="R27" s="694"/>
      <c r="S27" s="694"/>
      <c r="T27" s="694"/>
      <c r="U27" s="694"/>
      <c r="V27" s="694"/>
      <c r="W27" s="694"/>
      <c r="X27" s="694"/>
      <c r="Y27" s="694"/>
      <c r="Z27" s="695"/>
      <c r="AA27" s="121"/>
      <c r="AB27" s="121"/>
      <c r="AC27" s="121"/>
      <c r="AD27" s="121"/>
      <c r="AE27" s="121"/>
      <c r="AF27" s="121"/>
      <c r="AG27" s="121"/>
      <c r="AH27" s="121"/>
      <c r="AI27" s="121"/>
      <c r="AJ27" s="121"/>
      <c r="AK27" s="121"/>
      <c r="AL27" s="121"/>
      <c r="AM27" s="121"/>
    </row>
    <row r="28" spans="1:39" ht="24.95" customHeight="1" x14ac:dyDescent="0.25">
      <c r="A28" s="121"/>
      <c r="B28" s="576"/>
      <c r="C28" s="566"/>
      <c r="D28" s="553" t="str">
        <f>IFERROR((IF(D9&lt;=5,40,50))*D9/B28,"Falta %N")</f>
        <v>Falta %N</v>
      </c>
      <c r="E28" s="577"/>
      <c r="F28" s="554" t="str">
        <f t="shared" si="1"/>
        <v/>
      </c>
      <c r="G28" s="578"/>
      <c r="H28" s="555" t="str">
        <f t="shared" si="2"/>
        <v>0</v>
      </c>
      <c r="I28" s="555">
        <f>IFERROR(Adubação!$H28/C9,0)</f>
        <v>0</v>
      </c>
      <c r="J28" s="694" t="str">
        <f>IF(Adubação!$D28=0,"",IF(Adubação!$E28&gt;0,IFERROR("Parcelar a adubação em "&amp;I33&amp;" vezes, durante o período da chuva, sendo uma aplicação a cada "&amp;ROUND(Adubação!M9/I33,0)&amp;" dias, aplicando "&amp;J33&amp;" kg/ha de "&amp;C28&amp;" por aplicação.","Informações incompletas para gerar o relatório."),IFERROR("Parcelar a adubação em "&amp;IF(#REF!&gt;180,4,3)&amp;" vezes, durante o período da chuva, aplicando "&amp;ROUND(IF(#REF!&gt;180,D28/4,D28/3),0)&amp;" kg/ha de "&amp;C28&amp;" por aplicação.","Informações incompletas para gerar o relatório.")))</f>
        <v>Informações incompletas para gerar o relatório.</v>
      </c>
      <c r="K28" s="694"/>
      <c r="L28" s="694"/>
      <c r="M28" s="694"/>
      <c r="N28" s="694"/>
      <c r="O28" s="694"/>
      <c r="P28" s="694"/>
      <c r="Q28" s="694"/>
      <c r="R28" s="694"/>
      <c r="S28" s="694"/>
      <c r="T28" s="694"/>
      <c r="U28" s="694"/>
      <c r="V28" s="694"/>
      <c r="W28" s="694"/>
      <c r="X28" s="694"/>
      <c r="Y28" s="694"/>
      <c r="Z28" s="695"/>
      <c r="AA28" s="121"/>
      <c r="AB28" s="121"/>
      <c r="AC28" s="121"/>
      <c r="AD28" s="121"/>
      <c r="AE28" s="121"/>
      <c r="AF28" s="121"/>
      <c r="AG28" s="121"/>
      <c r="AH28" s="121"/>
      <c r="AI28" s="121"/>
      <c r="AJ28" s="121"/>
      <c r="AK28" s="121"/>
      <c r="AL28" s="121"/>
      <c r="AM28" s="121"/>
    </row>
    <row r="29" spans="1:39" ht="24.95" customHeight="1" x14ac:dyDescent="0.25">
      <c r="A29" s="121"/>
      <c r="B29" s="576"/>
      <c r="C29" s="566"/>
      <c r="D29" s="553" t="str">
        <f>IFERROR((IF(D10&lt;=5,40,50))*D10/B29,"Falta %N")</f>
        <v>Falta %N</v>
      </c>
      <c r="E29" s="577"/>
      <c r="F29" s="554" t="str">
        <f t="shared" si="1"/>
        <v/>
      </c>
      <c r="G29" s="578"/>
      <c r="H29" s="555" t="str">
        <f t="shared" si="2"/>
        <v>0</v>
      </c>
      <c r="I29" s="555">
        <f>IFERROR(Adubação!$H29/C10,0)</f>
        <v>0</v>
      </c>
      <c r="J29" s="694" t="str">
        <f>IF(Adubação!$D29=0,"",IF(Adubação!$E29&gt;0,IFERROR("Parcelar a adubação em "&amp;I34&amp;" vezes, durante o período da chuva, sendo uma aplicação a cada "&amp;ROUND(Adubação!M10/I34,0)&amp;" dias, aplicando "&amp;J34&amp;" kg/ha de "&amp;C29&amp;" por aplicação.","Informações incompletas para gerar o relatório."),IFERROR("Parcelar a adubação em "&amp;IF(#REF!&gt;180,4,3)&amp;" vezes, durante o período da chuva, aplicando "&amp;ROUND(IF(#REF!&gt;180,D29/4,D29/3),0)&amp;" kg/ha de "&amp;C29&amp;" por aplicação.","Informações incompletas para gerar o relatório.")))</f>
        <v>Informações incompletas para gerar o relatório.</v>
      </c>
      <c r="K29" s="694"/>
      <c r="L29" s="694"/>
      <c r="M29" s="694"/>
      <c r="N29" s="694"/>
      <c r="O29" s="694"/>
      <c r="P29" s="694"/>
      <c r="Q29" s="694"/>
      <c r="R29" s="694"/>
      <c r="S29" s="694"/>
      <c r="T29" s="694"/>
      <c r="U29" s="694"/>
      <c r="V29" s="694"/>
      <c r="W29" s="694"/>
      <c r="X29" s="694"/>
      <c r="Y29" s="694"/>
      <c r="Z29" s="695"/>
      <c r="AA29" s="121"/>
      <c r="AB29" s="121"/>
      <c r="AC29" s="121"/>
      <c r="AD29" s="121"/>
      <c r="AE29" s="121"/>
      <c r="AF29" s="121"/>
      <c r="AG29" s="121"/>
      <c r="AH29" s="121"/>
      <c r="AI29" s="121"/>
      <c r="AJ29" s="121"/>
      <c r="AK29" s="121"/>
      <c r="AL29" s="121"/>
      <c r="AM29" s="121"/>
    </row>
    <row r="30" spans="1:39" s="121" customFormat="1" x14ac:dyDescent="0.25">
      <c r="B30" s="556" t="s">
        <v>694</v>
      </c>
      <c r="C30" s="557"/>
      <c r="D30" s="228"/>
      <c r="E30" s="228"/>
      <c r="F30" s="228"/>
      <c r="G30" s="558"/>
      <c r="H30" s="558"/>
      <c r="I30" s="559" t="e">
        <f>ROUND((B25*D25)/50,0)</f>
        <v>#VALUE!</v>
      </c>
      <c r="J30" s="560" t="e">
        <f>ROUNDUP((E25/I30),0)</f>
        <v>#VALUE!</v>
      </c>
      <c r="K30" s="560"/>
      <c r="M30" s="228"/>
      <c r="N30" s="228"/>
      <c r="O30" s="228"/>
      <c r="P30" s="228"/>
    </row>
    <row r="31" spans="1:39" s="121" customFormat="1" x14ac:dyDescent="0.25">
      <c r="B31" s="556" t="s">
        <v>695</v>
      </c>
      <c r="C31" s="557"/>
      <c r="D31" s="228"/>
      <c r="E31" s="228"/>
      <c r="F31" s="228"/>
      <c r="G31" s="558"/>
      <c r="H31" s="558"/>
      <c r="I31" s="559" t="e">
        <f t="shared" ref="I31:I34" si="3">ROUND((B26*D26)/50,0)</f>
        <v>#VALUE!</v>
      </c>
      <c r="J31" s="560" t="e">
        <f t="shared" ref="J31:J34" si="4">ROUNDUP((E26/I31),0)</f>
        <v>#VALUE!</v>
      </c>
      <c r="K31" s="560"/>
      <c r="M31" s="228"/>
      <c r="N31" s="228"/>
      <c r="O31" s="228"/>
      <c r="P31" s="228"/>
    </row>
    <row r="32" spans="1:39" s="121" customFormat="1" hidden="1" x14ac:dyDescent="0.25">
      <c r="B32" s="556"/>
      <c r="C32" s="557"/>
      <c r="D32" s="228"/>
      <c r="E32" s="228"/>
      <c r="F32" s="228"/>
      <c r="G32" s="558"/>
      <c r="H32" s="558"/>
      <c r="I32" s="559" t="e">
        <f t="shared" si="3"/>
        <v>#VALUE!</v>
      </c>
      <c r="J32" s="560" t="e">
        <f t="shared" si="4"/>
        <v>#VALUE!</v>
      </c>
      <c r="K32" s="560"/>
      <c r="M32" s="228"/>
      <c r="N32" s="228"/>
      <c r="O32" s="228"/>
      <c r="P32" s="228"/>
    </row>
    <row r="33" spans="1:39" s="121" customFormat="1" hidden="1" x14ac:dyDescent="0.25">
      <c r="B33" s="556"/>
      <c r="C33" s="557"/>
      <c r="D33" s="228"/>
      <c r="E33" s="228"/>
      <c r="F33" s="228"/>
      <c r="G33" s="558"/>
      <c r="H33" s="558"/>
      <c r="I33" s="559" t="e">
        <f t="shared" si="3"/>
        <v>#VALUE!</v>
      </c>
      <c r="J33" s="560" t="e">
        <f t="shared" si="4"/>
        <v>#VALUE!</v>
      </c>
      <c r="K33" s="560"/>
      <c r="M33" s="228"/>
      <c r="N33" s="228"/>
      <c r="O33" s="228"/>
      <c r="P33" s="228"/>
    </row>
    <row r="34" spans="1:39" s="121" customFormat="1" hidden="1" x14ac:dyDescent="0.25">
      <c r="B34" s="556"/>
      <c r="C34" s="557"/>
      <c r="D34" s="228"/>
      <c r="E34" s="228"/>
      <c r="F34" s="228"/>
      <c r="G34" s="558"/>
      <c r="H34" s="558"/>
      <c r="I34" s="559" t="e">
        <f t="shared" si="3"/>
        <v>#VALUE!</v>
      </c>
      <c r="J34" s="560" t="e">
        <f t="shared" si="4"/>
        <v>#VALUE!</v>
      </c>
      <c r="K34" s="560"/>
      <c r="M34" s="228"/>
      <c r="N34" s="228"/>
      <c r="O34" s="228"/>
      <c r="P34" s="228"/>
    </row>
    <row r="35" spans="1:39" s="121" customFormat="1" hidden="1" x14ac:dyDescent="0.25">
      <c r="B35" s="556"/>
      <c r="C35" s="557"/>
      <c r="D35" s="228"/>
      <c r="E35" s="228"/>
      <c r="F35" s="228"/>
      <c r="G35" s="558"/>
      <c r="H35" s="558"/>
      <c r="I35" s="559"/>
      <c r="J35" s="560"/>
      <c r="K35" s="560"/>
      <c r="M35" s="228"/>
      <c r="N35" s="228"/>
      <c r="O35" s="228"/>
      <c r="P35" s="228"/>
    </row>
    <row r="36" spans="1:39" s="121" customFormat="1" ht="30" customHeight="1" x14ac:dyDescent="0.25">
      <c r="B36" s="228"/>
      <c r="C36" s="557"/>
      <c r="D36" s="228"/>
      <c r="E36" s="228"/>
      <c r="F36" s="228"/>
      <c r="G36" s="558"/>
      <c r="H36" s="561"/>
      <c r="I36" s="559"/>
      <c r="J36" s="560"/>
      <c r="M36" s="228"/>
      <c r="N36" s="228"/>
      <c r="O36" s="228"/>
      <c r="P36" s="228"/>
    </row>
    <row r="37" spans="1:39" s="121" customFormat="1" ht="18.75" x14ac:dyDescent="0.25">
      <c r="B37" s="536" t="s">
        <v>221</v>
      </c>
      <c r="C37" s="557"/>
      <c r="D37" s="228"/>
      <c r="E37" s="228"/>
      <c r="F37" s="550">
        <f>SUM(F40:F44)</f>
        <v>0</v>
      </c>
      <c r="G37" s="558"/>
      <c r="H37" s="542">
        <f>SUM(H40:H44)</f>
        <v>0</v>
      </c>
      <c r="I37" s="561"/>
      <c r="M37" s="228"/>
      <c r="N37" s="228"/>
      <c r="O37" s="228"/>
      <c r="P37" s="228"/>
    </row>
    <row r="38" spans="1:39" s="121" customFormat="1" ht="5.0999999999999996" customHeight="1" x14ac:dyDescent="0.25">
      <c r="B38" s="228"/>
      <c r="C38" s="228"/>
      <c r="D38" s="228"/>
      <c r="E38" s="228"/>
      <c r="F38" s="228"/>
      <c r="G38" s="228"/>
      <c r="H38" s="535"/>
      <c r="I38" s="228"/>
      <c r="J38" s="228"/>
      <c r="K38" s="228"/>
      <c r="L38" s="228"/>
      <c r="N38" s="228"/>
      <c r="O38" s="228"/>
      <c r="P38" s="228"/>
    </row>
    <row r="39" spans="1:39" x14ac:dyDescent="0.25">
      <c r="A39" s="121"/>
      <c r="B39" s="562" t="s">
        <v>696</v>
      </c>
      <c r="C39" s="543" t="s">
        <v>691</v>
      </c>
      <c r="D39" s="543" t="s">
        <v>692</v>
      </c>
      <c r="E39" s="543" t="s">
        <v>693</v>
      </c>
      <c r="F39" s="543" t="s">
        <v>683</v>
      </c>
      <c r="G39" s="543" t="s">
        <v>153</v>
      </c>
      <c r="H39" s="543" t="s">
        <v>685</v>
      </c>
      <c r="I39" s="543" t="s">
        <v>686</v>
      </c>
      <c r="J39" s="690" t="s">
        <v>687</v>
      </c>
      <c r="K39" s="690"/>
      <c r="L39" s="690"/>
      <c r="M39" s="690"/>
      <c r="N39" s="690"/>
      <c r="O39" s="690"/>
      <c r="P39" s="690"/>
      <c r="Q39" s="690"/>
      <c r="R39" s="690"/>
      <c r="S39" s="690"/>
      <c r="T39" s="690"/>
      <c r="U39" s="690"/>
      <c r="V39" s="690"/>
      <c r="W39" s="690"/>
      <c r="X39" s="690"/>
      <c r="Y39" s="690"/>
      <c r="Z39" s="691"/>
      <c r="AA39" s="121"/>
      <c r="AB39" s="121"/>
      <c r="AC39" s="121"/>
      <c r="AD39" s="121"/>
      <c r="AE39" s="121"/>
      <c r="AF39" s="121"/>
      <c r="AG39" s="121"/>
      <c r="AH39" s="121"/>
      <c r="AI39" s="121"/>
      <c r="AJ39" s="121"/>
      <c r="AK39" s="121"/>
      <c r="AL39" s="121"/>
      <c r="AM39" s="121"/>
    </row>
    <row r="40" spans="1:39" ht="24.95" customHeight="1" x14ac:dyDescent="0.25">
      <c r="A40" s="121"/>
      <c r="B40" s="576"/>
      <c r="C40" s="579"/>
      <c r="D40" s="553" t="str">
        <f>IF(B40="","Falta %P",IF(L6&gt;300,(((MAX(0,(5+(2*D6)-K6)*10))/B40)*1.3),(MAX(0,(5+(2*D6)-K6)*10))/B40))</f>
        <v>Falta %P</v>
      </c>
      <c r="E40" s="577"/>
      <c r="F40" s="554" t="str">
        <f>IFERROR(IF(OR(B$6=0,B$6=""),"",ROUND(IFERROR(((E40*C$6)/1000),""),1)),"")</f>
        <v/>
      </c>
      <c r="G40" s="578"/>
      <c r="H40" s="555">
        <f>IF(Adubação!$G40="",0,G40*E40*C6)</f>
        <v>0</v>
      </c>
      <c r="I40" s="555">
        <f>IFERROR(IF(Adubação!$G40="",0,H40/C6),0)</f>
        <v>0</v>
      </c>
      <c r="J40" s="692" t="str">
        <f>IF(OR(Adubação!$C40="",Adubação!$B40="",Adubação!$E40=""),"Informações incompletas para gerar o relatório.",IF(F6&gt;=0.1,"Como o M% (Sat/Al) está alto, é preciso realizar a calagem obrigatoriamente antes da fosfatagem! De 60 a 90 dias (c/ chuva) após a calagem, distribuir "&amp;E40&amp;" kg/ha de "&amp;C40&amp;". Pode ser distribuído antes, junto ou logo depois da semente, no caso de reforma, ou por cobertura no pasto já formado.","Em reformas, distribuir antes, junto ou logo depois da semente. Em pasto formado, distribua em cobertura, no início do período das águas "&amp;E40&amp;" kg/ha de "&amp;C40&amp;"."))</f>
        <v>Informações incompletas para gerar o relatório.</v>
      </c>
      <c r="K40" s="692"/>
      <c r="L40" s="692"/>
      <c r="M40" s="692"/>
      <c r="N40" s="692"/>
      <c r="O40" s="692"/>
      <c r="P40" s="692"/>
      <c r="Q40" s="692"/>
      <c r="R40" s="692"/>
      <c r="S40" s="692"/>
      <c r="T40" s="692"/>
      <c r="U40" s="692"/>
      <c r="V40" s="692"/>
      <c r="W40" s="692"/>
      <c r="X40" s="692"/>
      <c r="Y40" s="692"/>
      <c r="Z40" s="693"/>
      <c r="AA40" s="121"/>
      <c r="AB40" s="121"/>
      <c r="AC40" s="121"/>
      <c r="AD40" s="121"/>
      <c r="AE40" s="121"/>
      <c r="AF40" s="121"/>
      <c r="AG40" s="121"/>
      <c r="AH40" s="121"/>
      <c r="AI40" s="121"/>
      <c r="AJ40" s="121"/>
      <c r="AK40" s="121"/>
      <c r="AL40" s="121"/>
      <c r="AM40" s="121"/>
    </row>
    <row r="41" spans="1:39" ht="24.95" customHeight="1" x14ac:dyDescent="0.25">
      <c r="A41" s="121"/>
      <c r="B41" s="576"/>
      <c r="C41" s="579"/>
      <c r="D41" s="553" t="str">
        <f>IF(B41="","Falta %P",IF(L7&gt;300,(((MAX(0,(5+(2*D7)-K7)*10))/B41)*1.3),(MAX(0,(5+(2*D7)-K7)*10))/B41))</f>
        <v>Falta %P</v>
      </c>
      <c r="E41" s="577"/>
      <c r="F41" s="554" t="str">
        <f t="shared" ref="F41:F44" si="5">IFERROR(IF(OR(B$6=0,B$6=""),"",ROUND(IFERROR(((E41*C$6)/1000),""),1)),"")</f>
        <v/>
      </c>
      <c r="G41" s="578"/>
      <c r="H41" s="555">
        <f>IF(Adubação!$G41="",0,G41*E41*C7)</f>
        <v>0</v>
      </c>
      <c r="I41" s="555">
        <f>IFERROR(IF(Adubação!$G41="",0,H41/C7),0)</f>
        <v>0</v>
      </c>
      <c r="J41" s="692" t="str">
        <f>IF(OR(Adubação!$C41="",Adubação!$B41="",Adubação!$E41=""),"Informações incompletas para gerar o relatório.",IF(F7&gt;=0.1,"Como o M% (Sat/Al) está alto, é preciso realizar a calagem obrigatoriamente antes da fosfatagem! De 60 a 90 dias (c/ chuva) após a calagem, distribuir "&amp;E41&amp;" kg/ha de "&amp;C41&amp;". Pode ser distribuído antes, junto ou logo depois da semente, no caso de reforma, ou por cobertura no pasto já formado.","Em reformas, distribuir antes, junto ou logo depois da semente. Em pasto formado, distribua em cobertura, no início do período das águas "&amp;E41&amp;" kg/ha de "&amp;C41&amp;"."))</f>
        <v>Informações incompletas para gerar o relatório.</v>
      </c>
      <c r="K41" s="692"/>
      <c r="L41" s="692"/>
      <c r="M41" s="692"/>
      <c r="N41" s="692"/>
      <c r="O41" s="692"/>
      <c r="P41" s="692"/>
      <c r="Q41" s="692"/>
      <c r="R41" s="692"/>
      <c r="S41" s="692"/>
      <c r="T41" s="692"/>
      <c r="U41" s="692"/>
      <c r="V41" s="692"/>
      <c r="W41" s="692"/>
      <c r="X41" s="692"/>
      <c r="Y41" s="692"/>
      <c r="Z41" s="693"/>
      <c r="AA41" s="121"/>
      <c r="AB41" s="121"/>
      <c r="AC41" s="121"/>
      <c r="AD41" s="121"/>
      <c r="AE41" s="121"/>
      <c r="AF41" s="121"/>
      <c r="AG41" s="121"/>
      <c r="AH41" s="121"/>
      <c r="AI41" s="121"/>
      <c r="AJ41" s="121"/>
      <c r="AK41" s="121"/>
      <c r="AL41" s="121"/>
      <c r="AM41" s="121"/>
    </row>
    <row r="42" spans="1:39" ht="24.95" customHeight="1" x14ac:dyDescent="0.25">
      <c r="A42" s="121"/>
      <c r="B42" s="576"/>
      <c r="C42" s="579"/>
      <c r="D42" s="553" t="str">
        <f>IF(B42="","Falta %P",IF(L8&gt;300,(((MAX(0,(5+(2*D8)-K8)*10))/B42)*1.3),(MAX(0,(5+(2*D8)-K8)*10))/B42))</f>
        <v>Falta %P</v>
      </c>
      <c r="E42" s="577"/>
      <c r="F42" s="554" t="str">
        <f t="shared" si="5"/>
        <v/>
      </c>
      <c r="G42" s="578"/>
      <c r="H42" s="555">
        <f>IF(Adubação!$G42="",0,G42*E42*C8)</f>
        <v>0</v>
      </c>
      <c r="I42" s="555">
        <f>IFERROR(IF(Adubação!$G42="",0,H42/C8),0)</f>
        <v>0</v>
      </c>
      <c r="J42" s="692" t="str">
        <f>IF(OR(Adubação!$C42="",Adubação!$B42="",Adubação!$E42=""),"Informações incompletas para gerar o relatório.",IF(F8&gt;=0.1,"Como o M% (Sat/Al) está alto, é preciso realizar a calagem obrigatoriamente antes da fosfatagem! De 60 a 90 dias (c/ chuva) após a calagem, distribuir "&amp;E42&amp;" kg/ha de "&amp;C42&amp;". Pode ser distribuído antes, junto ou logo depois da semente, no caso de reforma, ou por cobertura no pasto já formado.","Em reformas, distribuir antes, junto ou logo depois da semente. Em pasto formado, distribua em cobertura, no início do período das águas "&amp;E42&amp;" kg/ha de "&amp;C42&amp;"."))</f>
        <v>Informações incompletas para gerar o relatório.</v>
      </c>
      <c r="K42" s="692"/>
      <c r="L42" s="692"/>
      <c r="M42" s="692"/>
      <c r="N42" s="692"/>
      <c r="O42" s="692"/>
      <c r="P42" s="692"/>
      <c r="Q42" s="692"/>
      <c r="R42" s="692"/>
      <c r="S42" s="692"/>
      <c r="T42" s="692"/>
      <c r="U42" s="692"/>
      <c r="V42" s="692"/>
      <c r="W42" s="692"/>
      <c r="X42" s="692"/>
      <c r="Y42" s="692"/>
      <c r="Z42" s="693"/>
      <c r="AA42" s="121"/>
      <c r="AB42" s="121"/>
      <c r="AC42" s="121"/>
      <c r="AD42" s="121"/>
      <c r="AE42" s="121"/>
      <c r="AF42" s="121"/>
      <c r="AG42" s="121"/>
      <c r="AH42" s="121"/>
      <c r="AI42" s="121"/>
      <c r="AJ42" s="121"/>
      <c r="AK42" s="121"/>
      <c r="AL42" s="121"/>
      <c r="AM42" s="121"/>
    </row>
    <row r="43" spans="1:39" ht="24.95" customHeight="1" x14ac:dyDescent="0.25">
      <c r="A43" s="121"/>
      <c r="B43" s="576"/>
      <c r="C43" s="579"/>
      <c r="D43" s="553" t="str">
        <f>IF(B43="","Falta %P",IF(L9&gt;300,(((MAX(0,(5+(2*D9)-K9)*10))/B43)*1.3),(MAX(0,(5+(2*D9)-K9)*10))/B43))</f>
        <v>Falta %P</v>
      </c>
      <c r="E43" s="577"/>
      <c r="F43" s="554" t="str">
        <f t="shared" si="5"/>
        <v/>
      </c>
      <c r="G43" s="578"/>
      <c r="H43" s="555">
        <f>IF(Adubação!$G43="",0,G43*E43*C9)</f>
        <v>0</v>
      </c>
      <c r="I43" s="555">
        <f>IFERROR(IF(Adubação!$G43="",0,H43/C9),0)</f>
        <v>0</v>
      </c>
      <c r="J43" s="692" t="str">
        <f>IF(OR(Adubação!$C43="",Adubação!$B43="",Adubação!$E43=""),"Informações incompletas para gerar o relatório.",IF(F9&gt;=0.1,"Como o M% (Sat/Al) está alto, é preciso realizar a calagem obrigatoriamente antes da fosfatagem! De 60 a 90 dias (c/ chuva) após a calagem, distribuir "&amp;E43&amp;" kg/ha de "&amp;C43&amp;". Pode ser distribuído antes, junto ou logo depois da semente, no caso de reforma, ou por cobertura no pasto já formado.","Em reformas, distribuir antes, junto ou logo depois da semente. Em pasto formado, distribua em cobertura, no início do período das águas "&amp;E43&amp;" kg/ha de "&amp;C43&amp;"."))</f>
        <v>Informações incompletas para gerar o relatório.</v>
      </c>
      <c r="K43" s="692"/>
      <c r="L43" s="692"/>
      <c r="M43" s="692"/>
      <c r="N43" s="692"/>
      <c r="O43" s="692"/>
      <c r="P43" s="692"/>
      <c r="Q43" s="692"/>
      <c r="R43" s="692"/>
      <c r="S43" s="692"/>
      <c r="T43" s="692"/>
      <c r="U43" s="692"/>
      <c r="V43" s="692"/>
      <c r="W43" s="692"/>
      <c r="X43" s="692"/>
      <c r="Y43" s="692"/>
      <c r="Z43" s="693"/>
      <c r="AA43" s="121"/>
      <c r="AB43" s="121"/>
      <c r="AC43" s="121"/>
      <c r="AD43" s="121"/>
      <c r="AE43" s="121"/>
      <c r="AF43" s="121"/>
      <c r="AG43" s="121"/>
      <c r="AH43" s="121"/>
      <c r="AI43" s="121"/>
      <c r="AJ43" s="121"/>
      <c r="AK43" s="121"/>
      <c r="AL43" s="121"/>
      <c r="AM43" s="121"/>
    </row>
    <row r="44" spans="1:39" ht="24.95" customHeight="1" x14ac:dyDescent="0.25">
      <c r="A44" s="121"/>
      <c r="B44" s="576"/>
      <c r="C44" s="579"/>
      <c r="D44" s="553" t="str">
        <f>IF(B44="","Falta %P",IF(L10&gt;300,(((MAX(0,(5+(2*D10)-K10)*10))/B44)*1.3),(MAX(0,(5+(2*D10)-K10)*10))/B44))</f>
        <v>Falta %P</v>
      </c>
      <c r="E44" s="577"/>
      <c r="F44" s="554" t="str">
        <f t="shared" si="5"/>
        <v/>
      </c>
      <c r="G44" s="578"/>
      <c r="H44" s="555">
        <f>IF(Adubação!$G44="",0,G44*E44*C10)</f>
        <v>0</v>
      </c>
      <c r="I44" s="555">
        <f>IFERROR(IF(Adubação!$G44="",0,H44/C10),0)</f>
        <v>0</v>
      </c>
      <c r="J44" s="692" t="str">
        <f>IF(OR(Adubação!$C44="",Adubação!$B44="",Adubação!$E44=""),"Informações incompletas para gerar o relatório.",IF(F10&gt;=0.1,"Como o M% (Sat/Al) está alto, é preciso realizar a calagem obrigatoriamente antes da fosfatagem! De 60 a 90 dias (c/ chuva) após a calagem, distribuir "&amp;E44&amp;" kg/ha de "&amp;C44&amp;". Pode ser distribuído antes, junto ou logo depois da semente, no caso de reforma, ou por cobertura no pasto já formado.","Em reformas, distribuir antes, junto ou logo depois da semente. Em pasto formado, distribua em cobertura, no início do período das águas "&amp;E44&amp;" kg/ha de "&amp;C44&amp;"."))</f>
        <v>Informações incompletas para gerar o relatório.</v>
      </c>
      <c r="K44" s="692"/>
      <c r="L44" s="692"/>
      <c r="M44" s="692"/>
      <c r="N44" s="692"/>
      <c r="O44" s="692"/>
      <c r="P44" s="692"/>
      <c r="Q44" s="692"/>
      <c r="R44" s="692"/>
      <c r="S44" s="692"/>
      <c r="T44" s="692"/>
      <c r="U44" s="692"/>
      <c r="V44" s="692"/>
      <c r="W44" s="692"/>
      <c r="X44" s="692"/>
      <c r="Y44" s="692"/>
      <c r="Z44" s="693"/>
      <c r="AA44" s="121"/>
      <c r="AB44" s="121"/>
      <c r="AC44" s="121"/>
      <c r="AD44" s="121"/>
      <c r="AE44" s="121"/>
      <c r="AF44" s="121"/>
      <c r="AG44" s="121"/>
      <c r="AH44" s="121"/>
      <c r="AI44" s="121"/>
      <c r="AJ44" s="121"/>
      <c r="AK44" s="121"/>
      <c r="AL44" s="121"/>
      <c r="AM44" s="121"/>
    </row>
    <row r="45" spans="1:39" s="121" customFormat="1" x14ac:dyDescent="0.25">
      <c r="B45" s="556" t="s">
        <v>697</v>
      </c>
      <c r="C45" s="228"/>
      <c r="D45" s="228"/>
      <c r="E45" s="228"/>
      <c r="F45" s="228"/>
      <c r="G45" s="228"/>
      <c r="H45" s="228"/>
      <c r="I45" s="228"/>
      <c r="J45" s="228"/>
      <c r="K45" s="228"/>
      <c r="L45" s="228"/>
      <c r="M45" s="228"/>
      <c r="N45" s="228"/>
      <c r="O45" s="228"/>
      <c r="P45" s="228"/>
    </row>
    <row r="46" spans="1:39" s="121" customFormat="1" ht="30" customHeight="1" x14ac:dyDescent="0.25">
      <c r="B46" s="556"/>
      <c r="C46" s="228"/>
      <c r="D46" s="228"/>
      <c r="E46" s="228"/>
      <c r="F46" s="228"/>
      <c r="G46" s="228"/>
      <c r="H46" s="228"/>
      <c r="I46" s="228"/>
      <c r="J46" s="228"/>
      <c r="K46" s="228"/>
      <c r="L46" s="228"/>
      <c r="M46" s="228"/>
      <c r="N46" s="228"/>
      <c r="O46" s="228"/>
      <c r="P46" s="228"/>
    </row>
    <row r="47" spans="1:39" s="121" customFormat="1" ht="18.75" x14ac:dyDescent="0.25">
      <c r="B47" s="536" t="s">
        <v>233</v>
      </c>
      <c r="C47" s="228"/>
      <c r="D47" s="228"/>
      <c r="E47" s="228"/>
      <c r="F47" s="550">
        <f>SUM(F50:F54)</f>
        <v>0</v>
      </c>
      <c r="G47" s="228"/>
      <c r="H47" s="542">
        <f>SUM(H50:H54)</f>
        <v>0</v>
      </c>
      <c r="I47" s="228"/>
      <c r="J47" s="228"/>
      <c r="K47" s="228"/>
      <c r="L47" s="228"/>
      <c r="M47" s="228"/>
      <c r="N47" s="228"/>
      <c r="O47" s="228"/>
      <c r="P47" s="228"/>
    </row>
    <row r="48" spans="1:39" s="121" customFormat="1" ht="5.0999999999999996" customHeight="1" x14ac:dyDescent="0.25">
      <c r="B48" s="228"/>
      <c r="C48" s="228"/>
      <c r="D48" s="228"/>
      <c r="E48" s="228"/>
      <c r="F48" s="228"/>
      <c r="G48" s="228"/>
      <c r="H48" s="228"/>
      <c r="I48" s="228"/>
      <c r="J48" s="228"/>
      <c r="K48" s="228"/>
      <c r="L48" s="228"/>
      <c r="M48" s="228"/>
      <c r="N48" s="228"/>
      <c r="O48" s="228"/>
      <c r="P48" s="228"/>
    </row>
    <row r="49" spans="1:39" x14ac:dyDescent="0.25">
      <c r="A49" s="121"/>
      <c r="B49" s="562" t="s">
        <v>698</v>
      </c>
      <c r="C49" s="543" t="s">
        <v>691</v>
      </c>
      <c r="D49" s="543" t="s">
        <v>699</v>
      </c>
      <c r="E49" s="543" t="s">
        <v>693</v>
      </c>
      <c r="F49" s="543" t="s">
        <v>683</v>
      </c>
      <c r="G49" s="543" t="s">
        <v>153</v>
      </c>
      <c r="H49" s="543" t="s">
        <v>685</v>
      </c>
      <c r="I49" s="543" t="s">
        <v>686</v>
      </c>
      <c r="J49" s="690" t="s">
        <v>687</v>
      </c>
      <c r="K49" s="690"/>
      <c r="L49" s="690"/>
      <c r="M49" s="690"/>
      <c r="N49" s="690"/>
      <c r="O49" s="690"/>
      <c r="P49" s="690"/>
      <c r="Q49" s="690"/>
      <c r="R49" s="690"/>
      <c r="S49" s="690"/>
      <c r="T49" s="690"/>
      <c r="U49" s="690"/>
      <c r="V49" s="690"/>
      <c r="W49" s="690"/>
      <c r="X49" s="690"/>
      <c r="Y49" s="690"/>
      <c r="Z49" s="691"/>
      <c r="AA49" s="121"/>
      <c r="AB49" s="121"/>
      <c r="AC49" s="121"/>
      <c r="AD49" s="121"/>
      <c r="AE49" s="121"/>
      <c r="AF49" s="121"/>
      <c r="AG49" s="121"/>
      <c r="AH49" s="121"/>
      <c r="AI49" s="121"/>
      <c r="AJ49" s="121"/>
      <c r="AK49" s="121"/>
      <c r="AL49" s="121"/>
      <c r="AM49" s="121"/>
    </row>
    <row r="50" spans="1:39" ht="24.95" customHeight="1" x14ac:dyDescent="0.25">
      <c r="A50" s="121"/>
      <c r="B50" s="576"/>
      <c r="C50" s="579"/>
      <c r="D50" s="553" t="str">
        <f>IF(B50="","Falta %K", IFERROR((IF((3+(D6-1)*0.6-H6)*(G6/10)*100&lt;0,0,(3+(D6-1)*0.6-H6)*(G6/10)*100))/B50,0))</f>
        <v>Falta %K</v>
      </c>
      <c r="E50" s="566"/>
      <c r="F50" s="554" t="str">
        <f>IFERROR(IF(OR(B$6=0,B$6=""),"",ROUND(IFERROR(((E50*C$6)/1000),""),1)),"")</f>
        <v/>
      </c>
      <c r="G50" s="578"/>
      <c r="H50" s="555">
        <f>IF(Adubação!$G50="",0,IFERROR((G50*E50*C6),"Falta Kg/ha"))</f>
        <v>0</v>
      </c>
      <c r="I50" s="555">
        <f>IF(Adubação!$G50="",0,IFERROR(G50*D50,0))</f>
        <v>0</v>
      </c>
      <c r="J50" s="692" t="str">
        <f>IF(AND(Adubação!$E50="",Adubação!$C50=""),"Informações incompletas para gerar o relatório.",IF(Adubação!$E50="Falta %K","Informações incompletas para gerar o relatório.",IF(Adubação!$E50=0,"Não precisa realizar adubação de potássio",IF(Adubação!$E50&lt;=120,"Parcelar a adubação em 2x de "&amp;ROUND(Adubação!$E50/2,0)&amp;"kg/ha de "&amp;Adubação!$C50&amp;" em períodos equidistantes na época da chuva. Se possível, adubar próximo a adubação de N.",IF(AND(Adubação!$E50&gt;120,Adubação!$E50&lt;=240),"Parcelar a adubação em 3x de "&amp;ROUND(Adubação!$E50/3,0)&amp;"kg/ha de "&amp;Adubação!$C50&amp;" em períodos equidistantes na época da chuva. Se possível, adubar próximo a adubação de N.","Parcelar a adubação em 4x de "&amp;ROUND(Adubação!$E50/4,0)&amp;"kg/ha de "&amp;Adubação!$C50&amp;" em períodos equidistantes na época da chuva. Se possível, adubar próximo a adubação de N.")))))</f>
        <v>Informações incompletas para gerar o relatório.</v>
      </c>
      <c r="K50" s="692"/>
      <c r="L50" s="692"/>
      <c r="M50" s="692"/>
      <c r="N50" s="692"/>
      <c r="O50" s="692"/>
      <c r="P50" s="692"/>
      <c r="Q50" s="692"/>
      <c r="R50" s="692"/>
      <c r="S50" s="692"/>
      <c r="T50" s="692"/>
      <c r="U50" s="692"/>
      <c r="V50" s="692"/>
      <c r="W50" s="692"/>
      <c r="X50" s="692"/>
      <c r="Y50" s="692"/>
      <c r="Z50" s="693"/>
      <c r="AA50" s="121"/>
      <c r="AB50" s="121"/>
      <c r="AC50" s="121"/>
      <c r="AD50" s="121"/>
      <c r="AE50" s="121"/>
      <c r="AF50" s="121"/>
      <c r="AG50" s="121"/>
      <c r="AH50" s="121"/>
      <c r="AI50" s="121"/>
      <c r="AJ50" s="121"/>
      <c r="AK50" s="121"/>
      <c r="AL50" s="121"/>
      <c r="AM50" s="121"/>
    </row>
    <row r="51" spans="1:39" ht="24.95" customHeight="1" x14ac:dyDescent="0.25">
      <c r="A51" s="121"/>
      <c r="B51" s="576"/>
      <c r="C51" s="579"/>
      <c r="D51" s="553" t="str">
        <f>IF(B51="","Falta %K", IFERROR((IF((3+(D7-1)*0.6-H7)*(G7/10)*100&lt;0,0,(3+(D7-1)*0.6-H7)*(G7/10)*100))/B51,0))</f>
        <v>Falta %K</v>
      </c>
      <c r="E51" s="566"/>
      <c r="F51" s="554" t="str">
        <f t="shared" ref="F51:F54" si="6">IFERROR(IF(OR(B$6=0,B$6=""),"",ROUND(IFERROR(((E51*C$6)/1000),""),1)),"")</f>
        <v/>
      </c>
      <c r="G51" s="578"/>
      <c r="H51" s="555">
        <f>IF(Adubação!$G51="",0,IFERROR((G51*E51*C7),"Falta Kg/ha"))</f>
        <v>0</v>
      </c>
      <c r="I51" s="555">
        <f>IF(Adubação!$G51="",0,IFERROR(G51*D51,0))</f>
        <v>0</v>
      </c>
      <c r="J51" s="692" t="str">
        <f>IF(AND(Adubação!$E51="",Adubação!$C51=""),"Informações incompletas para gerar o relatório.",IF(Adubação!$E51="Falta %K","Informações incompletas para gerar o relatório.",IF(Adubação!$E51=0,"Não precisa realizar adubação de potássio",IF(Adubação!$E51&lt;=120,"Parcelar a adubação em 2x de "&amp;ROUND(Adubação!$E51/2,0)&amp;"kg/ha de "&amp;Adubação!$C51&amp;" em períodos equidistantes na época da chuva. Se possível, adubar próximo a adubação de N.",IF(AND(Adubação!$E51&gt;120,Adubação!$E51&lt;=240),"Parcelar a adubação em 3x de "&amp;ROUND(Adubação!$E51/3,0)&amp;"kg/ha de "&amp;Adubação!$C51&amp;" em períodos equidistantes na época da chuva. Se possível, adubar próximo a adubação de N.","Parcelar a adubação em 4x de "&amp;ROUND(Adubação!$E51/4,0)&amp;"kg/ha de "&amp;Adubação!$C51&amp;" em períodos equidistantes na época da chuva. Se possível, adubar próximo a adubação de N.")))))</f>
        <v>Informações incompletas para gerar o relatório.</v>
      </c>
      <c r="K51" s="692"/>
      <c r="L51" s="692"/>
      <c r="M51" s="692"/>
      <c r="N51" s="692"/>
      <c r="O51" s="692"/>
      <c r="P51" s="692"/>
      <c r="Q51" s="692"/>
      <c r="R51" s="692"/>
      <c r="S51" s="692"/>
      <c r="T51" s="692"/>
      <c r="U51" s="692"/>
      <c r="V51" s="692"/>
      <c r="W51" s="692"/>
      <c r="X51" s="692"/>
      <c r="Y51" s="692"/>
      <c r="Z51" s="693"/>
      <c r="AA51" s="121"/>
      <c r="AB51" s="121"/>
      <c r="AC51" s="121"/>
      <c r="AD51" s="121"/>
      <c r="AE51" s="121"/>
      <c r="AF51" s="121"/>
      <c r="AG51" s="121"/>
      <c r="AH51" s="121"/>
      <c r="AI51" s="121"/>
      <c r="AJ51" s="121"/>
      <c r="AK51" s="121"/>
      <c r="AL51" s="121"/>
      <c r="AM51" s="121"/>
    </row>
    <row r="52" spans="1:39" ht="24.95" customHeight="1" x14ac:dyDescent="0.25">
      <c r="A52" s="121"/>
      <c r="B52" s="576"/>
      <c r="C52" s="579"/>
      <c r="D52" s="553" t="str">
        <f>IF(B52="","Falta %K", IFERROR((IF((3+(D8-1)*0.6-H8)*(G8/10)*100&lt;0,0,(3+(D8-1)*0.6-H8)*(G8/10)*100))/B52,0))</f>
        <v>Falta %K</v>
      </c>
      <c r="E52" s="566"/>
      <c r="F52" s="554" t="str">
        <f t="shared" si="6"/>
        <v/>
      </c>
      <c r="G52" s="578"/>
      <c r="H52" s="555">
        <f>IF(Adubação!$G52="",0,IFERROR((G52*E52*C8),"Falta Kg/ha"))</f>
        <v>0</v>
      </c>
      <c r="I52" s="555">
        <f>IF(Adubação!$G52="",0,IFERROR(G52*D52,0))</f>
        <v>0</v>
      </c>
      <c r="J52" s="692" t="str">
        <f>IF(AND(Adubação!$E52="",Adubação!$C52=""),"Informações incompletas para gerar o relatório.",IF(Adubação!$E52="Falta %K","Informações incompletas para gerar o relatório.",IF(Adubação!$E52=0,"Não precisa realizar adubação de potássio",IF(Adubação!$E52&lt;=120,"Parcelar a adubação em 2x de "&amp;ROUND(Adubação!$E52/2,0)&amp;"kg/ha de "&amp;Adubação!$C52&amp;" em períodos equidistantes na época da chuva. Se possível, adubar próximo a adubação de N.",IF(AND(Adubação!$E52&gt;120,Adubação!$E52&lt;=240),"Parcelar a adubação em 3x de "&amp;ROUND(Adubação!$E52/3,0)&amp;"kg/ha de "&amp;Adubação!$C52&amp;" em períodos equidistantes na época da chuva. Se possível, adubar próximo a adubação de N.","Parcelar a adubação em 4x de "&amp;ROUND(Adubação!$E52/4,0)&amp;"kg/ha de "&amp;Adubação!$C52&amp;" em períodos equidistantes na época da chuva. Se possível, adubar próximo a adubação de N.")))))</f>
        <v>Informações incompletas para gerar o relatório.</v>
      </c>
      <c r="K52" s="692"/>
      <c r="L52" s="692"/>
      <c r="M52" s="692"/>
      <c r="N52" s="692"/>
      <c r="O52" s="692"/>
      <c r="P52" s="692"/>
      <c r="Q52" s="692"/>
      <c r="R52" s="692"/>
      <c r="S52" s="692"/>
      <c r="T52" s="692"/>
      <c r="U52" s="692"/>
      <c r="V52" s="692"/>
      <c r="W52" s="692"/>
      <c r="X52" s="692"/>
      <c r="Y52" s="692"/>
      <c r="Z52" s="693"/>
      <c r="AA52" s="121"/>
      <c r="AB52" s="121"/>
      <c r="AC52" s="121"/>
      <c r="AD52" s="121"/>
      <c r="AE52" s="121"/>
      <c r="AF52" s="121"/>
      <c r="AG52" s="121"/>
      <c r="AH52" s="121"/>
      <c r="AI52" s="121"/>
      <c r="AJ52" s="121"/>
      <c r="AK52" s="121"/>
      <c r="AL52" s="121"/>
      <c r="AM52" s="121"/>
    </row>
    <row r="53" spans="1:39" ht="24.95" customHeight="1" x14ac:dyDescent="0.25">
      <c r="A53" s="121"/>
      <c r="B53" s="576"/>
      <c r="C53" s="579"/>
      <c r="D53" s="553" t="str">
        <f>IF(B53="","Falta %K", IFERROR((IF((3+(D9-1)*0.6-H9)*(G9/10)*100&lt;0,0,(3+(D9-1)*0.6-H9)*(G9/10)*100))/B53,0))</f>
        <v>Falta %K</v>
      </c>
      <c r="E53" s="566"/>
      <c r="F53" s="554" t="str">
        <f t="shared" si="6"/>
        <v/>
      </c>
      <c r="G53" s="578"/>
      <c r="H53" s="555">
        <f>IF(Adubação!$G53="",0,IFERROR((G53*E53*C9),"Falta Kg/ha"))</f>
        <v>0</v>
      </c>
      <c r="I53" s="555">
        <f>IF(Adubação!$G53="",0,IFERROR(G53*D53,0))</f>
        <v>0</v>
      </c>
      <c r="J53" s="692" t="str">
        <f>IF(AND(Adubação!$E53="",Adubação!$C53=""),"Informações incompletas para gerar o relatório.",IF(Adubação!$E53="Falta %K","Informações incompletas para gerar o relatório.",IF(Adubação!$E53=0,"Não precisa realizar adubação de potássio",IF(Adubação!$E53&lt;=120,"Parcelar a adubação em 2x de "&amp;ROUND(Adubação!$E53/2,0)&amp;"kg/ha de "&amp;Adubação!$C53&amp;" em períodos equidistantes na época da chuva. Se possível, adubar próximo a adubação de N.",IF(AND(Adubação!$E53&gt;120,Adubação!$E53&lt;=240),"Parcelar a adubação em 3x de "&amp;ROUND(Adubação!$E53/3,0)&amp;"kg/ha de "&amp;Adubação!$C53&amp;" em períodos equidistantes na época da chuva. Se possível, adubar próximo a adubação de N.","Parcelar a adubação em 4x de "&amp;ROUND(Adubação!$E53/4,0)&amp;"kg/ha de "&amp;Adubação!$C53&amp;" em períodos equidistantes na época da chuva. Se possível, adubar próximo a adubação de N.")))))</f>
        <v>Informações incompletas para gerar o relatório.</v>
      </c>
      <c r="K53" s="692"/>
      <c r="L53" s="692"/>
      <c r="M53" s="692"/>
      <c r="N53" s="692"/>
      <c r="O53" s="692"/>
      <c r="P53" s="692"/>
      <c r="Q53" s="692"/>
      <c r="R53" s="692"/>
      <c r="S53" s="692"/>
      <c r="T53" s="692"/>
      <c r="U53" s="692"/>
      <c r="V53" s="692"/>
      <c r="W53" s="692"/>
      <c r="X53" s="692"/>
      <c r="Y53" s="692"/>
      <c r="Z53" s="693"/>
      <c r="AA53" s="121"/>
      <c r="AB53" s="121"/>
      <c r="AC53" s="121"/>
      <c r="AD53" s="121"/>
      <c r="AE53" s="121"/>
      <c r="AF53" s="121"/>
      <c r="AG53" s="121"/>
      <c r="AH53" s="121"/>
      <c r="AI53" s="121"/>
      <c r="AJ53" s="121"/>
      <c r="AK53" s="121"/>
      <c r="AL53" s="121"/>
      <c r="AM53" s="121"/>
    </row>
    <row r="54" spans="1:39" ht="24.95" customHeight="1" x14ac:dyDescent="0.25">
      <c r="A54" s="121"/>
      <c r="B54" s="576"/>
      <c r="C54" s="579"/>
      <c r="D54" s="553" t="str">
        <f>IF(B54="","Falta %K", IFERROR((IF((3+(D10-1)*0.6-H10)*(G10/10)*100&lt;0,0,(3+(D10-1)*0.6-H10)*(G10/10)*100))/B54,0))</f>
        <v>Falta %K</v>
      </c>
      <c r="E54" s="566"/>
      <c r="F54" s="554" t="str">
        <f t="shared" si="6"/>
        <v/>
      </c>
      <c r="G54" s="578"/>
      <c r="H54" s="555">
        <f>IF(Adubação!$G54="",0,IFERROR((G54*E54*C10),"Falta Kg/ha"))</f>
        <v>0</v>
      </c>
      <c r="I54" s="555">
        <f>IF(Adubação!$G54="",0,IFERROR(G54*D54,0))</f>
        <v>0</v>
      </c>
      <c r="J54" s="692" t="str">
        <f>IF(AND(Adubação!$E54="",Adubação!$C54=""),"Informações incompletas para gerar o relatório.",IF(Adubação!$E54="Falta %K","Informações incompletas para gerar o relatório.",IF(Adubação!$E54=0,"Não precisa realizar adubação de potássio",IF(Adubação!$E54&lt;=120,"Parcelar a adubação em 2x de "&amp;ROUND(Adubação!$E54/2,0)&amp;"kg/ha de "&amp;Adubação!$C54&amp;" em períodos equidistantes na época da chuva. Se possível, adubar próximo a adubação de N.",IF(AND(Adubação!$E54&gt;120,Adubação!$E54&lt;=240),"Parcelar a adubação em 3x de "&amp;ROUND(Adubação!$E54/3,0)&amp;"kg/ha de "&amp;Adubação!$C54&amp;" em períodos equidistantes na época da chuva. Se possível, adubar próximo a adubação de N.","Parcelar a adubação em 4x de "&amp;ROUND(Adubação!$E54/4,0)&amp;"kg/ha de "&amp;Adubação!$C54&amp;" em períodos equidistantes na época da chuva. Se possível, adubar próximo a adubação de N.")))))</f>
        <v>Informações incompletas para gerar o relatório.</v>
      </c>
      <c r="K54" s="692"/>
      <c r="L54" s="692"/>
      <c r="M54" s="692"/>
      <c r="N54" s="692"/>
      <c r="O54" s="692"/>
      <c r="P54" s="692"/>
      <c r="Q54" s="692"/>
      <c r="R54" s="692"/>
      <c r="S54" s="692"/>
      <c r="T54" s="692"/>
      <c r="U54" s="692"/>
      <c r="V54" s="692"/>
      <c r="W54" s="692"/>
      <c r="X54" s="692"/>
      <c r="Y54" s="692"/>
      <c r="Z54" s="693"/>
      <c r="AA54" s="121"/>
      <c r="AB54" s="121"/>
      <c r="AC54" s="121"/>
      <c r="AD54" s="121"/>
      <c r="AE54" s="121"/>
      <c r="AF54" s="121"/>
      <c r="AG54" s="121"/>
      <c r="AH54" s="121"/>
      <c r="AI54" s="121"/>
      <c r="AJ54" s="121"/>
      <c r="AK54" s="121"/>
      <c r="AL54" s="121"/>
      <c r="AM54" s="121"/>
    </row>
    <row r="55" spans="1:39" x14ac:dyDescent="0.25">
      <c r="A55" s="121"/>
      <c r="B55" s="556" t="s">
        <v>700</v>
      </c>
      <c r="C55" s="228"/>
      <c r="D55" s="228"/>
      <c r="E55" s="228"/>
      <c r="F55" s="228"/>
      <c r="G55" s="228"/>
      <c r="H55" s="228"/>
      <c r="I55" s="228"/>
      <c r="J55" s="228"/>
      <c r="K55" s="228"/>
      <c r="L55" s="121"/>
      <c r="M55" s="121"/>
      <c r="N55" s="228"/>
      <c r="O55" s="228"/>
      <c r="P55" s="228"/>
      <c r="Q55" s="121"/>
      <c r="R55" s="121"/>
      <c r="S55" s="121"/>
      <c r="T55" s="121"/>
      <c r="U55" s="121"/>
      <c r="V55" s="121"/>
      <c r="W55" s="121"/>
      <c r="X55" s="121"/>
      <c r="Y55" s="121"/>
      <c r="Z55" s="121"/>
      <c r="AA55" s="121"/>
      <c r="AB55" s="121"/>
      <c r="AC55" s="121"/>
      <c r="AD55" s="121"/>
      <c r="AE55" s="121"/>
      <c r="AF55" s="121"/>
      <c r="AG55" s="121"/>
      <c r="AH55" s="121"/>
      <c r="AI55" s="121"/>
      <c r="AJ55" s="121"/>
      <c r="AK55" s="121"/>
      <c r="AL55" s="121"/>
    </row>
    <row r="56" spans="1:39" x14ac:dyDescent="0.25">
      <c r="A56" s="121"/>
      <c r="B56" s="556"/>
      <c r="C56" s="228"/>
      <c r="D56" s="228"/>
      <c r="E56" s="228"/>
      <c r="F56" s="228"/>
      <c r="G56" s="228"/>
      <c r="H56" s="228"/>
      <c r="I56" s="228"/>
      <c r="J56" s="228"/>
      <c r="K56" s="228"/>
      <c r="L56" s="121"/>
      <c r="M56" s="121"/>
      <c r="N56" s="228"/>
      <c r="O56" s="228"/>
      <c r="P56" s="228"/>
      <c r="Q56" s="121"/>
      <c r="R56" s="121"/>
      <c r="S56" s="121"/>
      <c r="T56" s="121"/>
      <c r="U56" s="121"/>
      <c r="V56" s="121"/>
      <c r="W56" s="121"/>
      <c r="X56" s="121"/>
      <c r="Y56" s="121"/>
      <c r="Z56" s="121"/>
      <c r="AA56" s="121"/>
      <c r="AB56" s="121"/>
      <c r="AC56" s="121"/>
      <c r="AD56" s="121"/>
      <c r="AE56" s="121"/>
      <c r="AF56" s="121"/>
      <c r="AG56" s="121"/>
      <c r="AH56" s="121"/>
      <c r="AI56" s="121"/>
      <c r="AJ56" s="121"/>
      <c r="AK56" s="121"/>
      <c r="AL56" s="121"/>
    </row>
    <row r="57" spans="1:39" ht="18.75" x14ac:dyDescent="0.25">
      <c r="A57" s="121"/>
      <c r="B57" s="536" t="s">
        <v>701</v>
      </c>
      <c r="C57" s="228"/>
      <c r="D57" s="228"/>
      <c r="E57" s="228"/>
      <c r="F57" s="228"/>
      <c r="G57" s="228"/>
      <c r="H57" s="228"/>
      <c r="I57" s="228"/>
      <c r="J57" s="228"/>
      <c r="K57" s="228"/>
      <c r="L57" s="121"/>
      <c r="M57" s="121"/>
      <c r="N57" s="228"/>
      <c r="O57" s="228"/>
      <c r="P57" s="228"/>
      <c r="Q57" s="121"/>
      <c r="R57" s="121"/>
      <c r="S57" s="121"/>
      <c r="T57" s="121"/>
      <c r="U57" s="121"/>
      <c r="V57" s="121"/>
      <c r="W57" s="121"/>
      <c r="X57" s="121"/>
      <c r="Y57" s="121"/>
      <c r="Z57" s="121"/>
      <c r="AA57" s="121"/>
      <c r="AB57" s="121"/>
      <c r="AC57" s="121"/>
      <c r="AD57" s="121"/>
      <c r="AE57" s="121"/>
      <c r="AF57" s="121"/>
      <c r="AG57" s="121"/>
      <c r="AH57" s="121"/>
      <c r="AI57" s="121"/>
      <c r="AJ57" s="121"/>
      <c r="AK57" s="121"/>
      <c r="AL57" s="121"/>
    </row>
    <row r="58" spans="1:39" ht="7.5" customHeight="1" x14ac:dyDescent="0.25">
      <c r="A58" s="121"/>
      <c r="B58" s="563"/>
      <c r="C58" s="228"/>
      <c r="D58" s="228"/>
      <c r="E58" s="228"/>
      <c r="F58" s="228"/>
      <c r="G58" s="228"/>
      <c r="H58" s="228"/>
      <c r="I58" s="228"/>
      <c r="J58" s="228"/>
      <c r="K58" s="228"/>
      <c r="L58" s="121"/>
      <c r="M58" s="121"/>
      <c r="N58" s="228"/>
      <c r="O58" s="228"/>
      <c r="P58" s="228"/>
      <c r="Q58" s="121"/>
      <c r="R58" s="121"/>
      <c r="S58" s="121"/>
      <c r="T58" s="121"/>
      <c r="U58" s="121"/>
      <c r="V58" s="121"/>
      <c r="W58" s="121"/>
      <c r="X58" s="121"/>
      <c r="Y58" s="121"/>
      <c r="Z58" s="121"/>
      <c r="AA58" s="121"/>
      <c r="AB58" s="121"/>
      <c r="AC58" s="121"/>
      <c r="AD58" s="121"/>
      <c r="AE58" s="121"/>
      <c r="AF58" s="121"/>
      <c r="AG58" s="121"/>
      <c r="AH58" s="121"/>
      <c r="AI58" s="121"/>
      <c r="AJ58" s="121"/>
      <c r="AK58" s="121"/>
      <c r="AL58" s="121"/>
    </row>
    <row r="59" spans="1:39" x14ac:dyDescent="0.25">
      <c r="A59" s="121"/>
      <c r="B59" s="699" t="s">
        <v>687</v>
      </c>
      <c r="C59" s="700"/>
      <c r="D59" s="700"/>
      <c r="E59" s="700"/>
      <c r="F59" s="700"/>
      <c r="G59" s="701"/>
      <c r="H59" s="228"/>
      <c r="I59" s="228"/>
      <c r="J59" s="228"/>
      <c r="K59" s="228"/>
      <c r="L59" s="121"/>
      <c r="M59" s="121"/>
      <c r="N59" s="228"/>
      <c r="O59" s="228"/>
      <c r="P59" s="228"/>
      <c r="Q59" s="121"/>
      <c r="R59" s="121"/>
      <c r="S59" s="121"/>
      <c r="T59" s="121"/>
      <c r="U59" s="121"/>
      <c r="V59" s="121"/>
      <c r="W59" s="121"/>
      <c r="X59" s="121"/>
      <c r="Y59" s="121"/>
      <c r="Z59" s="121"/>
      <c r="AA59" s="121"/>
      <c r="AB59" s="121"/>
      <c r="AC59" s="121"/>
      <c r="AD59" s="121"/>
      <c r="AE59" s="121"/>
      <c r="AF59" s="121"/>
      <c r="AG59" s="121"/>
      <c r="AH59" s="121"/>
      <c r="AI59" s="121"/>
      <c r="AJ59" s="121"/>
      <c r="AK59" s="121"/>
      <c r="AL59" s="121"/>
    </row>
    <row r="60" spans="1:39" ht="24.95" customHeight="1" x14ac:dyDescent="0.25">
      <c r="A60" s="121"/>
      <c r="B60" s="702" t="s">
        <v>702</v>
      </c>
      <c r="C60" s="703"/>
      <c r="D60" s="703"/>
      <c r="E60" s="703"/>
      <c r="F60" s="703"/>
      <c r="G60" s="704"/>
      <c r="H60" s="228"/>
      <c r="I60" s="228"/>
      <c r="J60" s="228"/>
      <c r="K60" s="228"/>
      <c r="L60" s="121"/>
      <c r="M60" s="121"/>
      <c r="N60" s="228"/>
      <c r="O60" s="228"/>
      <c r="P60" s="228"/>
      <c r="Q60" s="121"/>
      <c r="R60" s="121"/>
      <c r="S60" s="121"/>
      <c r="T60" s="121"/>
      <c r="U60" s="121"/>
      <c r="V60" s="121"/>
      <c r="W60" s="121"/>
      <c r="X60" s="121"/>
      <c r="Y60" s="121"/>
      <c r="Z60" s="121"/>
      <c r="AA60" s="121"/>
      <c r="AB60" s="121"/>
      <c r="AC60" s="121"/>
      <c r="AD60" s="121"/>
      <c r="AE60" s="121"/>
      <c r="AF60" s="121"/>
      <c r="AG60" s="121"/>
      <c r="AH60" s="121"/>
      <c r="AI60" s="121"/>
      <c r="AJ60" s="121"/>
      <c r="AK60" s="121"/>
      <c r="AL60" s="121"/>
    </row>
    <row r="61" spans="1:39" x14ac:dyDescent="0.25">
      <c r="A61" s="121"/>
      <c r="B61" s="556"/>
      <c r="C61" s="228"/>
      <c r="D61" s="228"/>
      <c r="E61" s="228"/>
      <c r="F61" s="228"/>
      <c r="G61" s="228"/>
      <c r="H61" s="228"/>
      <c r="I61" s="228"/>
      <c r="J61" s="228"/>
      <c r="K61" s="228"/>
      <c r="L61" s="121"/>
      <c r="M61" s="121"/>
      <c r="N61" s="228"/>
      <c r="O61" s="228"/>
      <c r="P61" s="228"/>
      <c r="Q61" s="121"/>
      <c r="R61" s="121"/>
      <c r="S61" s="121"/>
      <c r="T61" s="121"/>
      <c r="U61" s="121"/>
      <c r="V61" s="121"/>
      <c r="W61" s="121"/>
      <c r="X61" s="121"/>
      <c r="Y61" s="121"/>
      <c r="Z61" s="121"/>
      <c r="AA61" s="121"/>
      <c r="AB61" s="121"/>
      <c r="AC61" s="121"/>
      <c r="AD61" s="121"/>
      <c r="AE61" s="121"/>
      <c r="AF61" s="121"/>
      <c r="AG61" s="121"/>
      <c r="AH61" s="121"/>
      <c r="AI61" s="121"/>
      <c r="AJ61" s="121"/>
      <c r="AK61" s="121"/>
      <c r="AL61" s="121"/>
    </row>
    <row r="62" spans="1:39" ht="18.75" x14ac:dyDescent="0.25">
      <c r="A62" s="121"/>
      <c r="B62" s="536" t="s">
        <v>703</v>
      </c>
      <c r="C62" s="228"/>
      <c r="D62" s="228"/>
      <c r="E62" s="228"/>
      <c r="F62" s="228"/>
      <c r="G62" s="228"/>
      <c r="H62" s="228"/>
      <c r="I62" s="228"/>
      <c r="J62" s="228"/>
      <c r="K62" s="228"/>
      <c r="L62" s="121"/>
      <c r="M62" s="121"/>
      <c r="N62" s="228"/>
      <c r="O62" s="228"/>
      <c r="P62" s="228"/>
      <c r="Q62" s="121"/>
      <c r="R62" s="121"/>
      <c r="S62" s="121"/>
      <c r="T62" s="121"/>
      <c r="U62" s="121"/>
      <c r="V62" s="121"/>
      <c r="W62" s="121"/>
      <c r="X62" s="121"/>
      <c r="Y62" s="121"/>
      <c r="Z62" s="121"/>
      <c r="AA62" s="121"/>
      <c r="AB62" s="121"/>
      <c r="AC62" s="121"/>
      <c r="AD62" s="121"/>
      <c r="AE62" s="121"/>
      <c r="AF62" s="121"/>
      <c r="AG62" s="121"/>
      <c r="AH62" s="121"/>
      <c r="AI62" s="121"/>
      <c r="AJ62" s="121"/>
      <c r="AK62" s="121"/>
      <c r="AL62" s="121"/>
    </row>
    <row r="63" spans="1:39" ht="9" customHeight="1" x14ac:dyDescent="0.25">
      <c r="A63" s="121"/>
      <c r="B63" s="556"/>
      <c r="C63" s="228"/>
      <c r="D63" s="228"/>
      <c r="E63" s="228"/>
      <c r="F63" s="228"/>
      <c r="G63" s="228"/>
      <c r="H63" s="228"/>
      <c r="I63" s="228"/>
      <c r="J63" s="228"/>
      <c r="K63" s="228"/>
      <c r="L63" s="121"/>
      <c r="M63" s="121"/>
      <c r="N63" s="228"/>
      <c r="O63" s="228"/>
      <c r="P63" s="228"/>
      <c r="Q63" s="121"/>
      <c r="R63" s="121"/>
      <c r="S63" s="121"/>
      <c r="T63" s="121"/>
      <c r="U63" s="121"/>
      <c r="V63" s="121"/>
      <c r="W63" s="121"/>
      <c r="X63" s="121"/>
      <c r="Y63" s="121"/>
      <c r="Z63" s="121"/>
      <c r="AA63" s="121"/>
      <c r="AB63" s="121"/>
      <c r="AC63" s="121"/>
      <c r="AD63" s="121"/>
      <c r="AE63" s="121"/>
      <c r="AF63" s="121"/>
      <c r="AG63" s="121"/>
      <c r="AH63" s="121"/>
      <c r="AI63" s="121"/>
      <c r="AJ63" s="121"/>
      <c r="AK63" s="121"/>
      <c r="AL63" s="121"/>
    </row>
    <row r="64" spans="1:39" x14ac:dyDescent="0.25">
      <c r="A64" s="121"/>
      <c r="B64" s="699" t="s">
        <v>687</v>
      </c>
      <c r="C64" s="700"/>
      <c r="D64" s="700"/>
      <c r="E64" s="700"/>
      <c r="F64" s="700"/>
      <c r="G64" s="701"/>
      <c r="H64" s="228"/>
      <c r="I64" s="228"/>
      <c r="J64" s="228"/>
      <c r="K64" s="228"/>
      <c r="L64" s="121"/>
      <c r="M64" s="121"/>
      <c r="N64" s="228"/>
      <c r="O64" s="228"/>
      <c r="P64" s="228"/>
      <c r="Q64" s="121"/>
      <c r="R64" s="121"/>
      <c r="S64" s="121"/>
      <c r="T64" s="121"/>
      <c r="U64" s="121"/>
      <c r="V64" s="121"/>
      <c r="W64" s="121"/>
      <c r="X64" s="121"/>
      <c r="Y64" s="121"/>
      <c r="Z64" s="121"/>
      <c r="AA64" s="121"/>
      <c r="AB64" s="121"/>
      <c r="AC64" s="121"/>
      <c r="AD64" s="121"/>
      <c r="AE64" s="121"/>
      <c r="AF64" s="121"/>
      <c r="AG64" s="121"/>
      <c r="AH64" s="121"/>
      <c r="AI64" s="121"/>
      <c r="AJ64" s="121"/>
      <c r="AK64" s="121"/>
      <c r="AL64" s="121"/>
    </row>
    <row r="65" spans="1:38" ht="24.75" customHeight="1" x14ac:dyDescent="0.25">
      <c r="A65" s="121"/>
      <c r="B65" s="696" t="str">
        <f>IF(L6="","Falta preencher informações da área",(50*(L6/10))/1000)</f>
        <v>Falta preencher informações da área</v>
      </c>
      <c r="C65" s="697"/>
      <c r="D65" s="697"/>
      <c r="E65" s="697"/>
      <c r="F65" s="697"/>
      <c r="G65" s="698"/>
      <c r="H65" s="228"/>
      <c r="I65" s="228"/>
      <c r="J65" s="228"/>
      <c r="K65" s="228"/>
      <c r="L65" s="121"/>
      <c r="M65" s="121"/>
      <c r="N65" s="228"/>
      <c r="O65" s="228"/>
      <c r="P65" s="228"/>
      <c r="Q65" s="121"/>
      <c r="R65" s="121"/>
      <c r="S65" s="121"/>
      <c r="T65" s="121"/>
      <c r="U65" s="121"/>
      <c r="V65" s="121"/>
      <c r="W65" s="121"/>
      <c r="X65" s="121"/>
      <c r="Y65" s="121"/>
      <c r="Z65" s="121"/>
      <c r="AA65" s="121"/>
      <c r="AB65" s="121"/>
      <c r="AC65" s="121"/>
      <c r="AD65" s="121"/>
      <c r="AE65" s="121"/>
      <c r="AF65" s="121"/>
      <c r="AG65" s="121"/>
      <c r="AH65" s="121"/>
      <c r="AI65" s="121"/>
      <c r="AJ65" s="121"/>
      <c r="AK65" s="121"/>
      <c r="AL65" s="121"/>
    </row>
    <row r="66" spans="1:38" ht="24.75" customHeight="1" x14ac:dyDescent="0.25">
      <c r="A66" s="121"/>
      <c r="B66" s="696" t="str">
        <f t="shared" ref="B66:B69" si="7">IF(L7="","Falta preencher informações da área",(50*(L7/10))/1000)</f>
        <v>Falta preencher informações da área</v>
      </c>
      <c r="C66" s="697"/>
      <c r="D66" s="697"/>
      <c r="E66" s="697"/>
      <c r="F66" s="697"/>
      <c r="G66" s="698"/>
      <c r="H66" s="228"/>
      <c r="I66" s="228"/>
      <c r="J66" s="228"/>
      <c r="K66" s="228"/>
      <c r="L66" s="121"/>
      <c r="M66" s="121"/>
      <c r="N66" s="228"/>
      <c r="O66" s="228"/>
      <c r="P66" s="228"/>
      <c r="Q66" s="121"/>
      <c r="R66" s="121"/>
      <c r="S66" s="121"/>
      <c r="T66" s="121"/>
      <c r="U66" s="121"/>
      <c r="V66" s="121"/>
      <c r="W66" s="121"/>
      <c r="X66" s="121"/>
      <c r="Y66" s="121"/>
      <c r="Z66" s="121"/>
      <c r="AA66" s="121"/>
      <c r="AB66" s="121"/>
      <c r="AC66" s="121"/>
      <c r="AD66" s="121"/>
      <c r="AE66" s="121"/>
      <c r="AF66" s="121"/>
      <c r="AG66" s="121"/>
      <c r="AH66" s="121"/>
      <c r="AI66" s="121"/>
      <c r="AJ66" s="121"/>
      <c r="AK66" s="121"/>
      <c r="AL66" s="121"/>
    </row>
    <row r="67" spans="1:38" ht="24.75" customHeight="1" x14ac:dyDescent="0.25">
      <c r="A67" s="121"/>
      <c r="B67" s="696" t="str">
        <f t="shared" si="7"/>
        <v>Falta preencher informações da área</v>
      </c>
      <c r="C67" s="697"/>
      <c r="D67" s="697"/>
      <c r="E67" s="697"/>
      <c r="F67" s="697"/>
      <c r="G67" s="698"/>
      <c r="H67" s="228"/>
      <c r="I67" s="228"/>
      <c r="J67" s="228"/>
      <c r="K67" s="228"/>
      <c r="L67" s="121"/>
      <c r="M67" s="121"/>
      <c r="N67" s="228"/>
      <c r="O67" s="228"/>
      <c r="P67" s="228"/>
      <c r="Q67" s="121"/>
      <c r="R67" s="121"/>
      <c r="S67" s="121"/>
      <c r="T67" s="121"/>
      <c r="U67" s="121"/>
      <c r="V67" s="121"/>
      <c r="W67" s="121"/>
      <c r="X67" s="121"/>
      <c r="Y67" s="121"/>
      <c r="Z67" s="121"/>
      <c r="AA67" s="121"/>
      <c r="AB67" s="121"/>
      <c r="AC67" s="121"/>
      <c r="AD67" s="121"/>
      <c r="AE67" s="121"/>
      <c r="AF67" s="121"/>
      <c r="AG67" s="121"/>
      <c r="AH67" s="121"/>
      <c r="AI67" s="121"/>
      <c r="AJ67" s="121"/>
      <c r="AK67" s="121"/>
      <c r="AL67" s="121"/>
    </row>
    <row r="68" spans="1:38" ht="24.75" customHeight="1" x14ac:dyDescent="0.25">
      <c r="A68" s="121"/>
      <c r="B68" s="696" t="str">
        <f t="shared" si="7"/>
        <v>Falta preencher informações da área</v>
      </c>
      <c r="C68" s="697"/>
      <c r="D68" s="697"/>
      <c r="E68" s="697"/>
      <c r="F68" s="697"/>
      <c r="G68" s="698"/>
      <c r="H68" s="228"/>
      <c r="I68" s="228"/>
      <c r="J68" s="228"/>
      <c r="K68" s="228"/>
      <c r="L68" s="121"/>
      <c r="M68" s="121"/>
      <c r="N68" s="228"/>
      <c r="O68" s="228"/>
      <c r="P68" s="228"/>
      <c r="Q68" s="121"/>
      <c r="R68" s="121"/>
      <c r="S68" s="121"/>
      <c r="T68" s="121"/>
      <c r="U68" s="121"/>
      <c r="V68" s="121"/>
      <c r="W68" s="121"/>
      <c r="X68" s="121"/>
      <c r="Y68" s="121"/>
      <c r="Z68" s="121"/>
      <c r="AA68" s="121"/>
      <c r="AB68" s="121"/>
      <c r="AC68" s="121"/>
      <c r="AD68" s="121"/>
      <c r="AE68" s="121"/>
      <c r="AF68" s="121"/>
      <c r="AG68" s="121"/>
      <c r="AH68" s="121"/>
      <c r="AI68" s="121"/>
      <c r="AJ68" s="121"/>
      <c r="AK68" s="121"/>
      <c r="AL68" s="121"/>
    </row>
    <row r="69" spans="1:38" ht="24.75" customHeight="1" x14ac:dyDescent="0.25">
      <c r="A69" s="121"/>
      <c r="B69" s="696" t="str">
        <f t="shared" si="7"/>
        <v>Falta preencher informações da área</v>
      </c>
      <c r="C69" s="697"/>
      <c r="D69" s="697"/>
      <c r="E69" s="697"/>
      <c r="F69" s="697"/>
      <c r="G69" s="698"/>
      <c r="H69" s="228"/>
      <c r="I69" s="228"/>
      <c r="J69" s="228"/>
      <c r="K69" s="228"/>
      <c r="L69" s="121"/>
      <c r="M69" s="121"/>
      <c r="N69" s="228"/>
      <c r="O69" s="228"/>
      <c r="P69" s="228"/>
      <c r="Q69" s="121"/>
      <c r="R69" s="121"/>
      <c r="S69" s="121"/>
      <c r="T69" s="121"/>
      <c r="U69" s="121"/>
      <c r="V69" s="121"/>
      <c r="W69" s="121"/>
      <c r="X69" s="121"/>
      <c r="Y69" s="121"/>
      <c r="Z69" s="121"/>
      <c r="AA69" s="121"/>
      <c r="AB69" s="121"/>
      <c r="AC69" s="121"/>
      <c r="AD69" s="121"/>
      <c r="AE69" s="121"/>
      <c r="AF69" s="121"/>
      <c r="AG69" s="121"/>
      <c r="AH69" s="121"/>
      <c r="AI69" s="121"/>
      <c r="AJ69" s="121"/>
      <c r="AK69" s="121"/>
      <c r="AL69" s="121"/>
    </row>
    <row r="70" spans="1:38" x14ac:dyDescent="0.25">
      <c r="A70" s="121"/>
      <c r="B70" s="556"/>
      <c r="C70" s="228"/>
      <c r="D70" s="228"/>
      <c r="E70" s="228"/>
      <c r="F70" s="228"/>
      <c r="G70" s="228"/>
      <c r="H70" s="228"/>
      <c r="I70" s="228"/>
      <c r="J70" s="228"/>
      <c r="K70" s="228"/>
      <c r="L70" s="121"/>
      <c r="M70" s="121"/>
      <c r="N70" s="228"/>
      <c r="O70" s="228"/>
      <c r="P70" s="228"/>
      <c r="Q70" s="121"/>
      <c r="R70" s="121"/>
      <c r="S70" s="121"/>
      <c r="T70" s="121"/>
      <c r="U70" s="121"/>
      <c r="V70" s="121"/>
      <c r="W70" s="121"/>
      <c r="X70" s="121"/>
      <c r="Y70" s="121"/>
      <c r="Z70" s="121"/>
      <c r="AA70" s="121"/>
      <c r="AB70" s="121"/>
      <c r="AC70" s="121"/>
      <c r="AD70" s="121"/>
      <c r="AE70" s="121"/>
      <c r="AF70" s="121"/>
      <c r="AG70" s="121"/>
      <c r="AH70" s="121"/>
      <c r="AI70" s="121"/>
      <c r="AJ70" s="121"/>
      <c r="AK70" s="121"/>
      <c r="AL70" s="121"/>
    </row>
    <row r="71" spans="1:38" ht="15.75" x14ac:dyDescent="0.25">
      <c r="A71" s="121"/>
      <c r="B71" s="564" t="s">
        <v>265</v>
      </c>
      <c r="C71" s="705">
        <f>IFERROR(H50++H16+H17+H18+H19+H26+H27+H28+H29+H40+H25+H15+H41+H42+H43+H44+H51+H52+H53+H54,0)</f>
        <v>0</v>
      </c>
      <c r="D71" s="705"/>
      <c r="E71" s="228"/>
      <c r="F71" s="228"/>
      <c r="G71" s="228"/>
      <c r="H71" s="228"/>
      <c r="I71" s="228"/>
      <c r="J71" s="228"/>
      <c r="K71" s="228"/>
      <c r="L71" s="121"/>
      <c r="M71" s="121"/>
      <c r="N71" s="228"/>
      <c r="O71" s="228"/>
      <c r="P71" s="228"/>
      <c r="Q71" s="121"/>
      <c r="R71" s="121"/>
      <c r="S71" s="121"/>
      <c r="T71" s="121"/>
      <c r="U71" s="121"/>
      <c r="V71" s="121"/>
      <c r="W71" s="121"/>
      <c r="X71" s="121"/>
      <c r="Y71" s="121"/>
      <c r="Z71" s="121"/>
      <c r="AA71" s="121"/>
      <c r="AB71" s="121"/>
      <c r="AC71" s="121"/>
      <c r="AD71" s="121"/>
      <c r="AE71" s="121"/>
      <c r="AF71" s="121"/>
      <c r="AG71" s="121"/>
      <c r="AH71" s="121"/>
      <c r="AI71" s="121"/>
      <c r="AJ71" s="121"/>
      <c r="AK71" s="121"/>
      <c r="AL71" s="121"/>
    </row>
    <row r="72" spans="1:38" ht="15.75" x14ac:dyDescent="0.25">
      <c r="A72" s="121"/>
      <c r="B72" s="564"/>
      <c r="C72" s="705"/>
      <c r="D72" s="705"/>
      <c r="E72" s="228"/>
      <c r="F72" s="228"/>
      <c r="G72" s="228"/>
      <c r="H72" s="228"/>
      <c r="I72" s="228"/>
      <c r="J72" s="228"/>
      <c r="K72" s="228"/>
      <c r="L72" s="121"/>
      <c r="M72" s="121"/>
      <c r="N72" s="228"/>
      <c r="O72" s="228"/>
      <c r="P72" s="228"/>
      <c r="Q72" s="121"/>
      <c r="R72" s="121"/>
      <c r="S72" s="121"/>
      <c r="T72" s="121"/>
      <c r="U72" s="121"/>
      <c r="V72" s="121"/>
      <c r="W72" s="121"/>
      <c r="X72" s="121"/>
      <c r="Y72" s="121"/>
      <c r="Z72" s="121"/>
      <c r="AA72" s="121"/>
      <c r="AB72" s="121"/>
      <c r="AC72" s="121"/>
      <c r="AD72" s="121"/>
      <c r="AE72" s="121"/>
      <c r="AF72" s="121"/>
      <c r="AG72" s="121"/>
      <c r="AH72" s="121"/>
      <c r="AI72" s="121"/>
      <c r="AJ72" s="121"/>
      <c r="AK72" s="121"/>
      <c r="AL72" s="121"/>
    </row>
    <row r="73" spans="1:38" x14ac:dyDescent="0.25">
      <c r="A73" s="121"/>
      <c r="B73" s="228"/>
      <c r="C73" s="228"/>
      <c r="D73" s="228"/>
      <c r="E73" s="228"/>
      <c r="F73" s="228"/>
      <c r="G73" s="228"/>
      <c r="H73" s="535"/>
      <c r="I73" s="228"/>
      <c r="J73" s="228"/>
      <c r="K73" s="228"/>
      <c r="L73" s="228"/>
      <c r="M73" s="228"/>
      <c r="N73" s="228"/>
      <c r="O73" s="228"/>
      <c r="P73" s="228"/>
      <c r="Q73" s="121"/>
      <c r="R73" s="121"/>
      <c r="S73" s="121"/>
      <c r="T73" s="121"/>
      <c r="U73" s="121"/>
      <c r="V73" s="121"/>
      <c r="W73" s="121"/>
      <c r="X73" s="121"/>
      <c r="Y73" s="121"/>
      <c r="Z73" s="121"/>
      <c r="AA73" s="121"/>
      <c r="AB73" s="121"/>
      <c r="AC73" s="121"/>
      <c r="AD73" s="121"/>
      <c r="AE73" s="121"/>
      <c r="AF73" s="121"/>
      <c r="AG73" s="121"/>
      <c r="AH73" s="121"/>
      <c r="AI73" s="121"/>
      <c r="AJ73" s="121"/>
      <c r="AK73" s="121"/>
      <c r="AL73" s="121"/>
    </row>
    <row r="74" spans="1:38" hidden="1" x14ac:dyDescent="0.25">
      <c r="A74" s="121"/>
      <c r="B74" s="228"/>
      <c r="C74" s="228"/>
      <c r="D74" s="228"/>
      <c r="E74" s="228"/>
      <c r="F74" s="228"/>
      <c r="G74" s="228"/>
      <c r="H74" s="535"/>
      <c r="I74" s="228"/>
      <c r="J74" s="228"/>
      <c r="K74" s="228"/>
      <c r="L74" s="228"/>
      <c r="M74" s="228"/>
      <c r="N74" s="228"/>
      <c r="O74" s="228"/>
      <c r="P74" s="228"/>
      <c r="Q74" s="121"/>
      <c r="R74" s="121"/>
      <c r="S74" s="121"/>
      <c r="T74" s="121"/>
      <c r="U74" s="121"/>
      <c r="V74" s="121"/>
      <c r="W74" s="121"/>
      <c r="X74" s="121"/>
      <c r="Y74" s="121"/>
      <c r="Z74" s="121"/>
      <c r="AA74" s="121"/>
      <c r="AB74" s="121"/>
      <c r="AC74" s="121"/>
      <c r="AD74" s="121"/>
      <c r="AE74" s="121"/>
      <c r="AF74" s="121"/>
      <c r="AG74" s="121"/>
      <c r="AH74" s="121"/>
      <c r="AI74" s="121"/>
      <c r="AJ74" s="121"/>
      <c r="AK74" s="121"/>
      <c r="AL74" s="121"/>
    </row>
  </sheetData>
  <sheetProtection algorithmName="SHA-512" hashValue="f6KQ5OutFP5Zo/F3GpD6bkZJ6ZZLQqYl8omDg6wBPBWd8gIQR1Mc7UGNisS44Uv+y2f+Bi8YW0goLr4cucY8Jw==" saltValue="qLB8i3aKqR4MfaESZVlQLQ==" spinCount="100000" sheet="1" objects="1" scenarios="1" selectLockedCells="1"/>
  <mergeCells count="35">
    <mergeCell ref="B67:G67"/>
    <mergeCell ref="B68:G68"/>
    <mergeCell ref="B69:G69"/>
    <mergeCell ref="C71:D71"/>
    <mergeCell ref="C72:D72"/>
    <mergeCell ref="B66:G66"/>
    <mergeCell ref="J44:Z44"/>
    <mergeCell ref="J49:Z49"/>
    <mergeCell ref="J50:Z50"/>
    <mergeCell ref="J51:Z51"/>
    <mergeCell ref="J52:Z52"/>
    <mergeCell ref="J53:Z53"/>
    <mergeCell ref="J54:Z54"/>
    <mergeCell ref="B59:G59"/>
    <mergeCell ref="B60:G60"/>
    <mergeCell ref="B64:G64"/>
    <mergeCell ref="B65:G65"/>
    <mergeCell ref="J43:Z43"/>
    <mergeCell ref="J19:Y19"/>
    <mergeCell ref="J24:Z24"/>
    <mergeCell ref="J25:Z25"/>
    <mergeCell ref="J26:Z26"/>
    <mergeCell ref="J27:Z27"/>
    <mergeCell ref="J28:Z28"/>
    <mergeCell ref="J29:Z29"/>
    <mergeCell ref="J39:Z39"/>
    <mergeCell ref="J40:Z40"/>
    <mergeCell ref="J41:Z41"/>
    <mergeCell ref="J42:Z42"/>
    <mergeCell ref="J18:Y18"/>
    <mergeCell ref="H4:L4"/>
    <mergeCell ref="J14:Y14"/>
    <mergeCell ref="J15:Y15"/>
    <mergeCell ref="J16:Y16"/>
    <mergeCell ref="J17:Y17"/>
  </mergeCells>
  <conditionalFormatting sqref="C37:E37 C47:E48 B31:H35 C36:H36 B30:I30 B45:I46 G37 G48:I48 G24:J29 G39:J44 G50:J54 D50:E54 B24:E29 B39:E44 G47 I47 I31:I37">
    <cfRule type="containsText" dxfId="8" priority="7" operator="containsText" text="Falta">
      <formula>NOT(ISERROR(SEARCH("Falta",B24)))</formula>
    </cfRule>
  </conditionalFormatting>
  <conditionalFormatting sqref="B49:D49 G49:J49">
    <cfRule type="containsText" dxfId="7" priority="6" operator="containsText" text="Falta">
      <formula>NOT(ISERROR(SEARCH("Falta",B49)))</formula>
    </cfRule>
  </conditionalFormatting>
  <conditionalFormatting sqref="J50:J54">
    <cfRule type="containsText" dxfId="6" priority="5" operator="containsText" text="Falta">
      <formula>NOT(ISERROR(SEARCH("Falta",J50)))</formula>
    </cfRule>
  </conditionalFormatting>
  <conditionalFormatting sqref="E49">
    <cfRule type="containsText" dxfId="5" priority="4" operator="containsText" text="Falta">
      <formula>NOT(ISERROR(SEARCH("Falta",E49)))</formula>
    </cfRule>
  </conditionalFormatting>
  <conditionalFormatting sqref="B59">
    <cfRule type="containsText" dxfId="4" priority="3" operator="containsText" text="Falta">
      <formula>NOT(ISERROR(SEARCH("Falta",B59)))</formula>
    </cfRule>
  </conditionalFormatting>
  <conditionalFormatting sqref="B64">
    <cfRule type="containsText" dxfId="3" priority="2" operator="containsText" text="Falta">
      <formula>NOT(ISERROR(SEARCH("Falta",B64)))</formula>
    </cfRule>
  </conditionalFormatting>
  <conditionalFormatting sqref="B50:B54">
    <cfRule type="containsText" dxfId="2" priority="1" operator="containsText" text="Falta">
      <formula>NOT(ISERROR(SEARCH("Falta",B50)))</formula>
    </cfRule>
  </conditionalFormatting>
  <dataValidations count="2">
    <dataValidation type="decimal" allowBlank="1" showInputMessage="1" showErrorMessage="1" sqref="B25:B29 B40:B44 B50:B54" xr:uid="{017126F2-B65A-4F60-BAAE-BBFC88F1AFFE}">
      <formula1>0</formula1>
      <formula2>1</formula2>
    </dataValidation>
    <dataValidation type="list" allowBlank="1" showErrorMessage="1" sqref="E14" xr:uid="{533B57A3-A35E-471F-830B-953E97C5A712}">
      <formula1>"Calcário"</formula1>
    </dataValidation>
  </dataValidations>
  <pageMargins left="0.511811024" right="0.511811024" top="0.78740157499999996" bottom="0.78740157499999996" header="0.31496062000000002" footer="0.31496062000000002"/>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2811-7D87-4606-A445-B2CCD5EA0C09}">
  <sheetPr codeName="Planilha12"/>
  <dimension ref="A1:L37"/>
  <sheetViews>
    <sheetView showGridLines="0" zoomScale="115" zoomScaleNormal="115" workbookViewId="0">
      <pane xSplit="1" topLeftCell="B1" activePane="topRight" state="frozen"/>
      <selection activeCell="H3" sqref="H3"/>
      <selection pane="topRight" activeCell="B36" sqref="B36:L36"/>
    </sheetView>
  </sheetViews>
  <sheetFormatPr defaultRowHeight="15" x14ac:dyDescent="0.25"/>
  <cols>
    <col min="1" max="1" width="26.5703125" bestFit="1" customWidth="1"/>
    <col min="2" max="12" width="16.7109375" customWidth="1"/>
  </cols>
  <sheetData>
    <row r="1" spans="1:12" x14ac:dyDescent="0.25">
      <c r="A1" s="706" t="s">
        <v>589</v>
      </c>
      <c r="B1" s="707"/>
      <c r="C1" s="707"/>
      <c r="D1" s="707"/>
      <c r="E1" s="707"/>
      <c r="F1" s="707"/>
      <c r="G1" s="707"/>
      <c r="H1" s="707"/>
      <c r="I1" s="707"/>
      <c r="J1" s="707"/>
      <c r="K1" s="707"/>
      <c r="L1" s="708"/>
    </row>
    <row r="2" spans="1:12" x14ac:dyDescent="0.25">
      <c r="A2" s="431" t="s">
        <v>44</v>
      </c>
      <c r="B2" s="443" t="s">
        <v>590</v>
      </c>
      <c r="C2" s="443" t="s">
        <v>591</v>
      </c>
      <c r="D2" s="443" t="s">
        <v>592</v>
      </c>
      <c r="E2" s="443" t="s">
        <v>593</v>
      </c>
      <c r="F2" s="443" t="s">
        <v>594</v>
      </c>
      <c r="G2" s="443" t="s">
        <v>595</v>
      </c>
      <c r="H2" s="443" t="s">
        <v>596</v>
      </c>
      <c r="I2" s="443" t="s">
        <v>597</v>
      </c>
      <c r="J2" s="443" t="s">
        <v>598</v>
      </c>
      <c r="K2" s="443" t="s">
        <v>599</v>
      </c>
      <c r="L2" s="444" t="s">
        <v>600</v>
      </c>
    </row>
    <row r="3" spans="1:12" x14ac:dyDescent="0.25">
      <c r="A3" s="445" t="s">
        <v>38</v>
      </c>
      <c r="B3" s="510">
        <v>50</v>
      </c>
      <c r="C3" s="510">
        <v>60</v>
      </c>
      <c r="D3" s="510">
        <v>60</v>
      </c>
      <c r="E3" s="510">
        <v>60</v>
      </c>
      <c r="F3" s="510">
        <v>60</v>
      </c>
      <c r="G3" s="510">
        <v>60</v>
      </c>
      <c r="H3" s="510">
        <v>60</v>
      </c>
      <c r="I3" s="510">
        <v>60</v>
      </c>
      <c r="J3" s="510">
        <v>60</v>
      </c>
      <c r="K3" s="510">
        <v>60</v>
      </c>
      <c r="L3" s="511">
        <v>60</v>
      </c>
    </row>
    <row r="4" spans="1:12" x14ac:dyDescent="0.25">
      <c r="A4" s="446" t="s">
        <v>601</v>
      </c>
      <c r="B4" s="510">
        <f>15*220</f>
        <v>3300</v>
      </c>
      <c r="C4" s="510">
        <v>3000</v>
      </c>
      <c r="D4" s="510">
        <v>3000</v>
      </c>
      <c r="E4" s="510">
        <v>3000</v>
      </c>
      <c r="F4" s="510">
        <v>3000</v>
      </c>
      <c r="G4" s="510">
        <v>3000</v>
      </c>
      <c r="H4" s="510">
        <v>3000</v>
      </c>
      <c r="I4" s="510">
        <v>3000</v>
      </c>
      <c r="J4" s="510">
        <v>3000</v>
      </c>
      <c r="K4" s="510">
        <v>3000</v>
      </c>
      <c r="L4" s="511">
        <v>3000</v>
      </c>
    </row>
    <row r="5" spans="1:12" x14ac:dyDescent="0.25">
      <c r="A5" s="446" t="s">
        <v>602</v>
      </c>
      <c r="B5" s="510">
        <v>2000</v>
      </c>
      <c r="C5" s="510">
        <v>2000</v>
      </c>
      <c r="D5" s="510">
        <v>2000</v>
      </c>
      <c r="E5" s="510">
        <v>2000</v>
      </c>
      <c r="F5" s="510">
        <v>2000</v>
      </c>
      <c r="G5" s="510">
        <v>2000</v>
      </c>
      <c r="H5" s="510">
        <v>2000</v>
      </c>
      <c r="I5" s="510">
        <v>2000</v>
      </c>
      <c r="J5" s="510">
        <v>2000</v>
      </c>
      <c r="K5" s="510">
        <v>2000</v>
      </c>
      <c r="L5" s="511">
        <v>2000</v>
      </c>
    </row>
    <row r="6" spans="1:12" x14ac:dyDescent="0.25">
      <c r="A6" s="446" t="s">
        <v>603</v>
      </c>
      <c r="B6" s="510">
        <v>2500</v>
      </c>
      <c r="C6" s="510">
        <v>2000</v>
      </c>
      <c r="D6" s="510">
        <v>2000</v>
      </c>
      <c r="E6" s="510">
        <v>2000</v>
      </c>
      <c r="F6" s="510">
        <v>2000</v>
      </c>
      <c r="G6" s="510">
        <v>2000</v>
      </c>
      <c r="H6" s="510">
        <v>2000</v>
      </c>
      <c r="I6" s="510">
        <v>2000</v>
      </c>
      <c r="J6" s="510">
        <v>2000</v>
      </c>
      <c r="K6" s="510">
        <v>2000</v>
      </c>
      <c r="L6" s="511">
        <v>2000</v>
      </c>
    </row>
    <row r="8" spans="1:12" x14ac:dyDescent="0.25">
      <c r="A8" s="706" t="s">
        <v>604</v>
      </c>
      <c r="B8" s="707"/>
      <c r="C8" s="707"/>
      <c r="D8" s="707"/>
      <c r="E8" s="707"/>
      <c r="F8" s="707"/>
      <c r="G8" s="707"/>
      <c r="H8" s="707"/>
      <c r="I8" s="707"/>
      <c r="J8" s="707"/>
      <c r="K8" s="707"/>
      <c r="L8" s="708"/>
    </row>
    <row r="9" spans="1:12" x14ac:dyDescent="0.25">
      <c r="A9" s="431" t="s">
        <v>155</v>
      </c>
      <c r="B9" s="443" t="s">
        <v>590</v>
      </c>
      <c r="C9" s="443" t="s">
        <v>591</v>
      </c>
      <c r="D9" s="443" t="s">
        <v>592</v>
      </c>
      <c r="E9" s="443" t="s">
        <v>593</v>
      </c>
      <c r="F9" s="443" t="s">
        <v>594</v>
      </c>
      <c r="G9" s="443" t="s">
        <v>595</v>
      </c>
      <c r="H9" s="443" t="s">
        <v>596</v>
      </c>
      <c r="I9" s="443" t="s">
        <v>597</v>
      </c>
      <c r="J9" s="443" t="s">
        <v>598</v>
      </c>
      <c r="K9" s="443" t="s">
        <v>599</v>
      </c>
      <c r="L9" s="444" t="s">
        <v>600</v>
      </c>
    </row>
    <row r="10" spans="1:12" x14ac:dyDescent="0.25">
      <c r="A10" s="446" t="s">
        <v>605</v>
      </c>
      <c r="B10" s="512">
        <v>100</v>
      </c>
      <c r="C10" s="447">
        <f t="shared" ref="C10:L10" si="0">ROUND((B10*B13)+(B11*B14),0)</f>
        <v>107</v>
      </c>
      <c r="D10" s="447">
        <f t="shared" si="0"/>
        <v>117</v>
      </c>
      <c r="E10" s="447">
        <f t="shared" si="0"/>
        <v>129</v>
      </c>
      <c r="F10" s="447">
        <f t="shared" si="0"/>
        <v>140</v>
      </c>
      <c r="G10" s="447">
        <f t="shared" si="0"/>
        <v>153</v>
      </c>
      <c r="H10" s="447">
        <f t="shared" si="0"/>
        <v>168</v>
      </c>
      <c r="I10" s="447">
        <f t="shared" si="0"/>
        <v>183</v>
      </c>
      <c r="J10" s="447">
        <f t="shared" si="0"/>
        <v>200</v>
      </c>
      <c r="K10" s="447">
        <f t="shared" si="0"/>
        <v>219</v>
      </c>
      <c r="L10" s="448">
        <f t="shared" si="0"/>
        <v>239</v>
      </c>
    </row>
    <row r="11" spans="1:12" x14ac:dyDescent="0.25">
      <c r="A11" s="446" t="s">
        <v>606</v>
      </c>
      <c r="B11" s="512">
        <v>30</v>
      </c>
      <c r="C11" s="447">
        <f t="shared" ref="C11:L11" si="1">B12</f>
        <v>35</v>
      </c>
      <c r="D11" s="447">
        <f t="shared" si="1"/>
        <v>39</v>
      </c>
      <c r="E11" s="447">
        <f t="shared" si="1"/>
        <v>41</v>
      </c>
      <c r="F11" s="447">
        <f t="shared" si="1"/>
        <v>45</v>
      </c>
      <c r="G11" s="447">
        <f t="shared" si="1"/>
        <v>50</v>
      </c>
      <c r="H11" s="447">
        <f t="shared" si="1"/>
        <v>54</v>
      </c>
      <c r="I11" s="447">
        <f t="shared" si="1"/>
        <v>59</v>
      </c>
      <c r="J11" s="447">
        <f t="shared" si="1"/>
        <v>65</v>
      </c>
      <c r="K11" s="447">
        <f t="shared" si="1"/>
        <v>70</v>
      </c>
      <c r="L11" s="448">
        <f t="shared" si="1"/>
        <v>77</v>
      </c>
    </row>
    <row r="12" spans="1:12" x14ac:dyDescent="0.25">
      <c r="A12" s="446" t="s">
        <v>607</v>
      </c>
      <c r="B12" s="512">
        <v>35</v>
      </c>
      <c r="C12" s="447">
        <f t="shared" ref="C12:L12" si="2">ROUND(B10*B13*0.5,0)</f>
        <v>39</v>
      </c>
      <c r="D12" s="447">
        <f t="shared" si="2"/>
        <v>41</v>
      </c>
      <c r="E12" s="447">
        <f t="shared" si="2"/>
        <v>45</v>
      </c>
      <c r="F12" s="447">
        <f t="shared" si="2"/>
        <v>50</v>
      </c>
      <c r="G12" s="447">
        <f t="shared" si="2"/>
        <v>54</v>
      </c>
      <c r="H12" s="447">
        <f t="shared" si="2"/>
        <v>59</v>
      </c>
      <c r="I12" s="447">
        <f t="shared" si="2"/>
        <v>65</v>
      </c>
      <c r="J12" s="447">
        <f t="shared" si="2"/>
        <v>70</v>
      </c>
      <c r="K12" s="447">
        <f t="shared" si="2"/>
        <v>77</v>
      </c>
      <c r="L12" s="448">
        <f t="shared" si="2"/>
        <v>84</v>
      </c>
    </row>
    <row r="13" spans="1:12" x14ac:dyDescent="0.25">
      <c r="A13" s="446" t="s">
        <v>113</v>
      </c>
      <c r="B13" s="513">
        <v>0.77</v>
      </c>
      <c r="C13" s="513">
        <f>B13</f>
        <v>0.77</v>
      </c>
      <c r="D13" s="513">
        <f t="shared" ref="D13:L14" si="3">C13</f>
        <v>0.77</v>
      </c>
      <c r="E13" s="513">
        <f t="shared" si="3"/>
        <v>0.77</v>
      </c>
      <c r="F13" s="513">
        <f t="shared" si="3"/>
        <v>0.77</v>
      </c>
      <c r="G13" s="513">
        <f t="shared" si="3"/>
        <v>0.77</v>
      </c>
      <c r="H13" s="513">
        <f t="shared" si="3"/>
        <v>0.77</v>
      </c>
      <c r="I13" s="513">
        <f t="shared" si="3"/>
        <v>0.77</v>
      </c>
      <c r="J13" s="513">
        <f t="shared" si="3"/>
        <v>0.77</v>
      </c>
      <c r="K13" s="513">
        <f t="shared" si="3"/>
        <v>0.77</v>
      </c>
      <c r="L13" s="514">
        <f t="shared" si="3"/>
        <v>0.77</v>
      </c>
    </row>
    <row r="14" spans="1:12" x14ac:dyDescent="0.25">
      <c r="A14" s="446" t="s">
        <v>608</v>
      </c>
      <c r="B14" s="513">
        <v>1</v>
      </c>
      <c r="C14" s="513">
        <v>1</v>
      </c>
      <c r="D14" s="513">
        <f t="shared" si="3"/>
        <v>1</v>
      </c>
      <c r="E14" s="513">
        <f t="shared" si="3"/>
        <v>1</v>
      </c>
      <c r="F14" s="513">
        <f t="shared" si="3"/>
        <v>1</v>
      </c>
      <c r="G14" s="513">
        <f t="shared" si="3"/>
        <v>1</v>
      </c>
      <c r="H14" s="513">
        <f t="shared" si="3"/>
        <v>1</v>
      </c>
      <c r="I14" s="513">
        <f t="shared" si="3"/>
        <v>1</v>
      </c>
      <c r="J14" s="513">
        <f t="shared" si="3"/>
        <v>1</v>
      </c>
      <c r="K14" s="513">
        <v>1</v>
      </c>
      <c r="L14" s="514">
        <f t="shared" si="3"/>
        <v>1</v>
      </c>
    </row>
    <row r="16" spans="1:12" x14ac:dyDescent="0.25">
      <c r="A16" s="706" t="s">
        <v>609</v>
      </c>
      <c r="B16" s="707"/>
      <c r="C16" s="707"/>
      <c r="D16" s="707"/>
      <c r="E16" s="707"/>
      <c r="F16" s="707"/>
      <c r="G16" s="707"/>
      <c r="H16" s="707"/>
      <c r="I16" s="707"/>
      <c r="J16" s="707"/>
      <c r="K16" s="707"/>
      <c r="L16" s="708"/>
    </row>
    <row r="17" spans="1:12" x14ac:dyDescent="0.25">
      <c r="A17" s="431" t="s">
        <v>155</v>
      </c>
      <c r="B17" s="443" t="s">
        <v>590</v>
      </c>
      <c r="C17" s="443" t="s">
        <v>591</v>
      </c>
      <c r="D17" s="443" t="s">
        <v>592</v>
      </c>
      <c r="E17" s="443" t="s">
        <v>593</v>
      </c>
      <c r="F17" s="443" t="s">
        <v>594</v>
      </c>
      <c r="G17" s="443" t="s">
        <v>595</v>
      </c>
      <c r="H17" s="443" t="s">
        <v>596</v>
      </c>
      <c r="I17" s="443" t="s">
        <v>597</v>
      </c>
      <c r="J17" s="443" t="s">
        <v>598</v>
      </c>
      <c r="K17" s="443" t="s">
        <v>599</v>
      </c>
      <c r="L17" s="444" t="s">
        <v>600</v>
      </c>
    </row>
    <row r="18" spans="1:12" x14ac:dyDescent="0.25">
      <c r="A18" s="446" t="s">
        <v>610</v>
      </c>
      <c r="B18" s="449">
        <f>(B10*(1-B13))*B4</f>
        <v>75900</v>
      </c>
      <c r="C18" s="449">
        <f t="shared" ref="C18:L18" si="4">(C10*(1-C13))*C4</f>
        <v>73830</v>
      </c>
      <c r="D18" s="449">
        <f t="shared" si="4"/>
        <v>80729.999999999985</v>
      </c>
      <c r="E18" s="449">
        <f t="shared" si="4"/>
        <v>89010</v>
      </c>
      <c r="F18" s="449">
        <f t="shared" si="4"/>
        <v>96599.999999999985</v>
      </c>
      <c r="G18" s="449">
        <f t="shared" si="4"/>
        <v>105570</v>
      </c>
      <c r="H18" s="449">
        <f t="shared" si="4"/>
        <v>115920</v>
      </c>
      <c r="I18" s="449">
        <f t="shared" si="4"/>
        <v>126269.99999999999</v>
      </c>
      <c r="J18" s="449">
        <f t="shared" si="4"/>
        <v>138000</v>
      </c>
      <c r="K18" s="449">
        <f t="shared" si="4"/>
        <v>151110</v>
      </c>
      <c r="L18" s="450">
        <f t="shared" si="4"/>
        <v>164910</v>
      </c>
    </row>
    <row r="19" spans="1:12" x14ac:dyDescent="0.25">
      <c r="A19" s="446" t="s">
        <v>611</v>
      </c>
      <c r="B19" s="451">
        <f>(1-B14)*B11*B6</f>
        <v>0</v>
      </c>
      <c r="C19" s="451">
        <f t="shared" ref="C19:L19" si="5">(1-C14)*C11*C6</f>
        <v>0</v>
      </c>
      <c r="D19" s="451">
        <f t="shared" si="5"/>
        <v>0</v>
      </c>
      <c r="E19" s="451">
        <f t="shared" si="5"/>
        <v>0</v>
      </c>
      <c r="F19" s="451">
        <f t="shared" si="5"/>
        <v>0</v>
      </c>
      <c r="G19" s="451">
        <f t="shared" si="5"/>
        <v>0</v>
      </c>
      <c r="H19" s="451">
        <f t="shared" si="5"/>
        <v>0</v>
      </c>
      <c r="I19" s="451">
        <f t="shared" si="5"/>
        <v>0</v>
      </c>
      <c r="J19" s="451">
        <f t="shared" si="5"/>
        <v>0</v>
      </c>
      <c r="K19" s="451">
        <f t="shared" si="5"/>
        <v>0</v>
      </c>
      <c r="L19" s="452">
        <f t="shared" si="5"/>
        <v>0</v>
      </c>
    </row>
    <row r="20" spans="1:12" x14ac:dyDescent="0.25">
      <c r="A20" s="446" t="s">
        <v>612</v>
      </c>
      <c r="B20" s="449">
        <f>B12*B5</f>
        <v>70000</v>
      </c>
      <c r="C20" s="449">
        <f t="shared" ref="C20:L20" si="6">C12*C5</f>
        <v>78000</v>
      </c>
      <c r="D20" s="449">
        <f t="shared" si="6"/>
        <v>82000</v>
      </c>
      <c r="E20" s="449">
        <f t="shared" si="6"/>
        <v>90000</v>
      </c>
      <c r="F20" s="449">
        <f t="shared" si="6"/>
        <v>100000</v>
      </c>
      <c r="G20" s="449">
        <f t="shared" si="6"/>
        <v>108000</v>
      </c>
      <c r="H20" s="449">
        <f t="shared" si="6"/>
        <v>118000</v>
      </c>
      <c r="I20" s="449">
        <f t="shared" si="6"/>
        <v>130000</v>
      </c>
      <c r="J20" s="449">
        <f t="shared" si="6"/>
        <v>140000</v>
      </c>
      <c r="K20" s="449">
        <f t="shared" si="6"/>
        <v>154000</v>
      </c>
      <c r="L20" s="450">
        <f t="shared" si="6"/>
        <v>168000</v>
      </c>
    </row>
    <row r="21" spans="1:12" x14ac:dyDescent="0.25">
      <c r="A21" s="446" t="s">
        <v>613</v>
      </c>
      <c r="B21" s="449">
        <f>(B10+B11)*B3*12</f>
        <v>78000</v>
      </c>
      <c r="C21" s="449">
        <f t="shared" ref="C21:L21" si="7">(C10+C11)*C3*12</f>
        <v>102240</v>
      </c>
      <c r="D21" s="449">
        <f t="shared" si="7"/>
        <v>112320</v>
      </c>
      <c r="E21" s="449">
        <f t="shared" si="7"/>
        <v>122400</v>
      </c>
      <c r="F21" s="449">
        <f t="shared" si="7"/>
        <v>133200</v>
      </c>
      <c r="G21" s="449">
        <f t="shared" si="7"/>
        <v>146160</v>
      </c>
      <c r="H21" s="449">
        <f t="shared" si="7"/>
        <v>159840</v>
      </c>
      <c r="I21" s="449">
        <f t="shared" si="7"/>
        <v>174240</v>
      </c>
      <c r="J21" s="449">
        <f t="shared" si="7"/>
        <v>190800</v>
      </c>
      <c r="K21" s="449">
        <f t="shared" si="7"/>
        <v>208080</v>
      </c>
      <c r="L21" s="450">
        <f t="shared" si="7"/>
        <v>227520</v>
      </c>
    </row>
    <row r="22" spans="1:12" x14ac:dyDescent="0.25">
      <c r="A22" s="446" t="s">
        <v>614</v>
      </c>
      <c r="B22" s="449">
        <f>B18+B20-B21+B19</f>
        <v>67900</v>
      </c>
      <c r="C22" s="449">
        <f>C18+C20-C21+C19</f>
        <v>49590</v>
      </c>
      <c r="D22" s="449">
        <f t="shared" ref="D22:L22" si="8">D18+D20-D21+D19</f>
        <v>50410</v>
      </c>
      <c r="E22" s="449">
        <f t="shared" si="8"/>
        <v>56610</v>
      </c>
      <c r="F22" s="449">
        <f t="shared" si="8"/>
        <v>63400</v>
      </c>
      <c r="G22" s="449">
        <f t="shared" si="8"/>
        <v>67410</v>
      </c>
      <c r="H22" s="449">
        <f t="shared" si="8"/>
        <v>74080</v>
      </c>
      <c r="I22" s="449">
        <f t="shared" si="8"/>
        <v>82030</v>
      </c>
      <c r="J22" s="449">
        <f t="shared" si="8"/>
        <v>87200</v>
      </c>
      <c r="K22" s="449">
        <f t="shared" si="8"/>
        <v>97030</v>
      </c>
      <c r="L22" s="450">
        <f t="shared" si="8"/>
        <v>105390</v>
      </c>
    </row>
    <row r="23" spans="1:12" x14ac:dyDescent="0.25">
      <c r="A23" s="446" t="s">
        <v>615</v>
      </c>
      <c r="B23" s="451">
        <f>B22/'Cadastro pastos'!$B$61</f>
        <v>565.83333333333337</v>
      </c>
      <c r="C23" s="451">
        <f>C22/'Cadastro pastos'!$B$61</f>
        <v>413.25</v>
      </c>
      <c r="D23" s="451">
        <f>D22/'Cadastro pastos'!$B$61</f>
        <v>420.08333333333331</v>
      </c>
      <c r="E23" s="451">
        <f>E22/'Cadastro pastos'!$B$61</f>
        <v>471.75</v>
      </c>
      <c r="F23" s="451">
        <f>F22/'Cadastro pastos'!$B$61</f>
        <v>528.33333333333337</v>
      </c>
      <c r="G23" s="451">
        <f>G22/'Cadastro pastos'!$B$61</f>
        <v>561.75</v>
      </c>
      <c r="H23" s="451">
        <f>H22/'Cadastro pastos'!$B$61</f>
        <v>617.33333333333337</v>
      </c>
      <c r="I23" s="451">
        <f>I22/'Cadastro pastos'!$B$61</f>
        <v>683.58333333333337</v>
      </c>
      <c r="J23" s="451">
        <f>J22/'Cadastro pastos'!$B$61</f>
        <v>726.66666666666663</v>
      </c>
      <c r="K23" s="451">
        <f>K22/'Cadastro pastos'!$B$61</f>
        <v>808.58333333333337</v>
      </c>
      <c r="L23" s="452">
        <f>L22/'Cadastro pastos'!$B$61</f>
        <v>878.25</v>
      </c>
    </row>
    <row r="24" spans="1:12" x14ac:dyDescent="0.25">
      <c r="A24" s="446" t="s">
        <v>616</v>
      </c>
      <c r="B24" s="441">
        <f>B10/'Cadastro pastos'!$B$61</f>
        <v>0.83333333333333337</v>
      </c>
      <c r="C24" s="453">
        <f>C10/'Cadastro pastos'!$B$61</f>
        <v>0.89166666666666672</v>
      </c>
      <c r="D24" s="453">
        <f>D10/'Cadastro pastos'!$B$61</f>
        <v>0.97499999999999998</v>
      </c>
      <c r="E24" s="453">
        <f>E10/'Cadastro pastos'!$B$61</f>
        <v>1.075</v>
      </c>
      <c r="F24" s="453">
        <f>F10/'Cadastro pastos'!$B$61</f>
        <v>1.1666666666666667</v>
      </c>
      <c r="G24" s="453">
        <f>G10/'Cadastro pastos'!$B$61</f>
        <v>1.2749999999999999</v>
      </c>
      <c r="H24" s="453">
        <f>H10/'Cadastro pastos'!$B$61</f>
        <v>1.4</v>
      </c>
      <c r="I24" s="453">
        <f>I10/'Cadastro pastos'!$B$61</f>
        <v>1.5249999999999999</v>
      </c>
      <c r="J24" s="453">
        <f>J10/'Cadastro pastos'!$B$61</f>
        <v>1.6666666666666667</v>
      </c>
      <c r="K24" s="453">
        <f>K10/'Cadastro pastos'!$B$61</f>
        <v>1.825</v>
      </c>
      <c r="L24" s="454">
        <f>L10/'Cadastro pastos'!$B$61</f>
        <v>1.9916666666666667</v>
      </c>
    </row>
    <row r="26" spans="1:12" x14ac:dyDescent="0.25">
      <c r="A26" s="706" t="s">
        <v>617</v>
      </c>
      <c r="B26" s="707"/>
      <c r="C26" s="707"/>
      <c r="D26" s="707"/>
      <c r="E26" s="707"/>
      <c r="F26" s="707"/>
      <c r="G26" s="707"/>
      <c r="H26" s="707"/>
      <c r="I26" s="707"/>
      <c r="J26" s="707"/>
      <c r="K26" s="707"/>
      <c r="L26" s="708"/>
    </row>
    <row r="27" spans="1:12" x14ac:dyDescent="0.25">
      <c r="A27" s="431" t="s">
        <v>155</v>
      </c>
      <c r="B27" s="443" t="s">
        <v>590</v>
      </c>
      <c r="C27" s="443" t="s">
        <v>591</v>
      </c>
      <c r="D27" s="443" t="s">
        <v>592</v>
      </c>
      <c r="E27" s="443" t="s">
        <v>593</v>
      </c>
      <c r="F27" s="443" t="s">
        <v>594</v>
      </c>
      <c r="G27" s="443" t="s">
        <v>595</v>
      </c>
      <c r="H27" s="443" t="s">
        <v>596</v>
      </c>
      <c r="I27" s="443" t="s">
        <v>597</v>
      </c>
      <c r="J27" s="443" t="s">
        <v>598</v>
      </c>
      <c r="K27" s="443" t="s">
        <v>599</v>
      </c>
      <c r="L27" s="444" t="s">
        <v>600</v>
      </c>
    </row>
    <row r="28" spans="1:12" x14ac:dyDescent="0.25">
      <c r="A28" s="446" t="s">
        <v>618</v>
      </c>
      <c r="B28" s="515">
        <v>1.4</v>
      </c>
      <c r="C28" s="516">
        <v>1.4</v>
      </c>
      <c r="D28" s="516">
        <v>1.4</v>
      </c>
      <c r="E28" s="516">
        <v>1.4</v>
      </c>
      <c r="F28" s="516">
        <v>1.4</v>
      </c>
      <c r="G28" s="516">
        <v>1.4</v>
      </c>
      <c r="H28" s="516">
        <v>1.4</v>
      </c>
      <c r="I28" s="516">
        <v>1.4</v>
      </c>
      <c r="J28" s="516">
        <v>1.4</v>
      </c>
      <c r="K28" s="516">
        <v>1.4</v>
      </c>
      <c r="L28" s="517">
        <v>1.4</v>
      </c>
    </row>
    <row r="29" spans="1:12" x14ac:dyDescent="0.25">
      <c r="A29" s="446" t="s">
        <v>619</v>
      </c>
      <c r="B29" s="455">
        <f>IF(B24-B28&lt;0,0,B24-B28)</f>
        <v>0</v>
      </c>
      <c r="C29" s="455">
        <f t="shared" ref="C29:L29" si="9">IF(C24-C28&lt;0,0,C24-C28)</f>
        <v>0</v>
      </c>
      <c r="D29" s="455">
        <f t="shared" si="9"/>
        <v>0</v>
      </c>
      <c r="E29" s="455">
        <f t="shared" si="9"/>
        <v>0</v>
      </c>
      <c r="F29" s="455">
        <f t="shared" si="9"/>
        <v>0</v>
      </c>
      <c r="G29" s="455">
        <f t="shared" si="9"/>
        <v>0</v>
      </c>
      <c r="H29" s="455">
        <f t="shared" si="9"/>
        <v>0</v>
      </c>
      <c r="I29" s="455">
        <f t="shared" si="9"/>
        <v>0.125</v>
      </c>
      <c r="J29" s="455">
        <f t="shared" si="9"/>
        <v>0.26666666666666683</v>
      </c>
      <c r="K29" s="455">
        <f t="shared" si="9"/>
        <v>0.42500000000000004</v>
      </c>
      <c r="L29" s="456">
        <f t="shared" si="9"/>
        <v>0.59166666666666679</v>
      </c>
    </row>
    <row r="30" spans="1:12" x14ac:dyDescent="0.25">
      <c r="A30" s="446" t="s">
        <v>620</v>
      </c>
      <c r="B30" s="457">
        <f>B29*'Cadastro pastos'!$B$61</f>
        <v>0</v>
      </c>
      <c r="C30" s="457">
        <f>C29*'Cadastro pastos'!$B$61</f>
        <v>0</v>
      </c>
      <c r="D30" s="457">
        <f>D29*'Cadastro pastos'!$B$61</f>
        <v>0</v>
      </c>
      <c r="E30" s="457">
        <f>E29*'Cadastro pastos'!$B$61</f>
        <v>0</v>
      </c>
      <c r="F30" s="457">
        <f>F29*'Cadastro pastos'!$B$61</f>
        <v>0</v>
      </c>
      <c r="G30" s="457">
        <f>G29*'Cadastro pastos'!$B$61</f>
        <v>0</v>
      </c>
      <c r="H30" s="457">
        <f>H29*'Cadastro pastos'!$B$61</f>
        <v>0</v>
      </c>
      <c r="I30" s="457">
        <f>I29*'Cadastro pastos'!$B$61</f>
        <v>15</v>
      </c>
      <c r="J30" s="457">
        <f>J29*'Cadastro pastos'!$B$61</f>
        <v>32.000000000000021</v>
      </c>
      <c r="K30" s="457">
        <f>K29*'Cadastro pastos'!$B$61</f>
        <v>51.000000000000007</v>
      </c>
      <c r="L30" s="458">
        <f>L29*'Cadastro pastos'!$B$61</f>
        <v>71.000000000000014</v>
      </c>
    </row>
    <row r="31" spans="1:12" x14ac:dyDescent="0.25">
      <c r="A31" s="446" t="s">
        <v>621</v>
      </c>
      <c r="B31" s="512">
        <v>90</v>
      </c>
      <c r="C31" s="512">
        <v>90</v>
      </c>
      <c r="D31" s="512">
        <v>90</v>
      </c>
      <c r="E31" s="512">
        <v>90</v>
      </c>
      <c r="F31" s="512">
        <v>90</v>
      </c>
      <c r="G31" s="512">
        <v>90</v>
      </c>
      <c r="H31" s="512">
        <v>90</v>
      </c>
      <c r="I31" s="512">
        <v>90</v>
      </c>
      <c r="J31" s="512">
        <v>90</v>
      </c>
      <c r="K31" s="512">
        <v>90</v>
      </c>
      <c r="L31" s="518">
        <v>90</v>
      </c>
    </row>
    <row r="32" spans="1:12" x14ac:dyDescent="0.25">
      <c r="A32" s="446" t="s">
        <v>622</v>
      </c>
      <c r="B32" s="459">
        <f>(B31*B30*11.25)</f>
        <v>0</v>
      </c>
      <c r="C32" s="459">
        <f t="shared" ref="C32:L32" si="10">(C31*C30*11.25)</f>
        <v>0</v>
      </c>
      <c r="D32" s="459">
        <f t="shared" si="10"/>
        <v>0</v>
      </c>
      <c r="E32" s="459">
        <f t="shared" si="10"/>
        <v>0</v>
      </c>
      <c r="F32" s="459">
        <f t="shared" si="10"/>
        <v>0</v>
      </c>
      <c r="G32" s="459">
        <f t="shared" si="10"/>
        <v>0</v>
      </c>
      <c r="H32" s="459">
        <f t="shared" si="10"/>
        <v>0</v>
      </c>
      <c r="I32" s="459">
        <f t="shared" si="10"/>
        <v>15187.5</v>
      </c>
      <c r="J32" s="459">
        <f t="shared" si="10"/>
        <v>32400.000000000022</v>
      </c>
      <c r="K32" s="459">
        <f t="shared" si="10"/>
        <v>51637.500000000007</v>
      </c>
      <c r="L32" s="460">
        <f t="shared" si="10"/>
        <v>71887.500000000015</v>
      </c>
    </row>
    <row r="33" spans="1:12" hidden="1" x14ac:dyDescent="0.25">
      <c r="A33" s="7" t="s">
        <v>623</v>
      </c>
      <c r="B33" s="461">
        <f t="shared" ref="B33:K33" si="11">B32/11/180</f>
        <v>0</v>
      </c>
      <c r="C33" s="461">
        <f t="shared" si="11"/>
        <v>0</v>
      </c>
      <c r="D33" s="461">
        <f t="shared" si="11"/>
        <v>0</v>
      </c>
      <c r="E33" s="461">
        <f t="shared" si="11"/>
        <v>0</v>
      </c>
      <c r="F33" s="461">
        <f t="shared" si="11"/>
        <v>0</v>
      </c>
      <c r="G33" s="461">
        <f t="shared" si="11"/>
        <v>0</v>
      </c>
      <c r="H33" s="461">
        <f t="shared" si="11"/>
        <v>0</v>
      </c>
      <c r="I33" s="461">
        <f t="shared" si="11"/>
        <v>7.6704545454545459</v>
      </c>
      <c r="J33" s="461">
        <f t="shared" si="11"/>
        <v>16.363636363636374</v>
      </c>
      <c r="K33" s="461">
        <f t="shared" si="11"/>
        <v>26.07954545454546</v>
      </c>
      <c r="L33" s="461">
        <f>L32/11/180</f>
        <v>36.306818181818187</v>
      </c>
    </row>
    <row r="34" spans="1:12" x14ac:dyDescent="0.25">
      <c r="A34" s="446" t="s">
        <v>624</v>
      </c>
      <c r="B34" s="519">
        <v>5</v>
      </c>
      <c r="C34" s="519">
        <f>B34</f>
        <v>5</v>
      </c>
      <c r="D34" s="519">
        <f t="shared" ref="D34:K34" si="12">C34</f>
        <v>5</v>
      </c>
      <c r="E34" s="519">
        <f t="shared" si="12"/>
        <v>5</v>
      </c>
      <c r="F34" s="519">
        <f t="shared" si="12"/>
        <v>5</v>
      </c>
      <c r="G34" s="519">
        <f t="shared" si="12"/>
        <v>5</v>
      </c>
      <c r="H34" s="519">
        <f t="shared" si="12"/>
        <v>5</v>
      </c>
      <c r="I34" s="519">
        <f t="shared" si="12"/>
        <v>5</v>
      </c>
      <c r="J34" s="519">
        <f t="shared" si="12"/>
        <v>5</v>
      </c>
      <c r="K34" s="519">
        <f t="shared" si="12"/>
        <v>5</v>
      </c>
      <c r="L34" s="520">
        <v>5</v>
      </c>
    </row>
    <row r="35" spans="1:12" x14ac:dyDescent="0.25">
      <c r="A35" s="446" t="s">
        <v>625</v>
      </c>
      <c r="B35" s="441">
        <f>B33/B34</f>
        <v>0</v>
      </c>
      <c r="C35" s="441">
        <f t="shared" ref="C35:L35" si="13">C33/C34</f>
        <v>0</v>
      </c>
      <c r="D35" s="441">
        <f t="shared" si="13"/>
        <v>0</v>
      </c>
      <c r="E35" s="441">
        <f t="shared" si="13"/>
        <v>0</v>
      </c>
      <c r="F35" s="441">
        <f t="shared" si="13"/>
        <v>0</v>
      </c>
      <c r="G35" s="441">
        <f t="shared" si="13"/>
        <v>0</v>
      </c>
      <c r="H35" s="441">
        <f t="shared" si="13"/>
        <v>0</v>
      </c>
      <c r="I35" s="441">
        <f t="shared" si="13"/>
        <v>1.5340909090909092</v>
      </c>
      <c r="J35" s="441">
        <f t="shared" si="13"/>
        <v>3.2727272727272747</v>
      </c>
      <c r="K35" s="441">
        <f t="shared" si="13"/>
        <v>5.2159090909090917</v>
      </c>
      <c r="L35" s="442">
        <f t="shared" si="13"/>
        <v>7.2613636363636376</v>
      </c>
    </row>
    <row r="36" spans="1:12" x14ac:dyDescent="0.25">
      <c r="A36" s="446" t="s">
        <v>626</v>
      </c>
      <c r="B36" s="510">
        <v>3000</v>
      </c>
      <c r="C36" s="510">
        <v>3000</v>
      </c>
      <c r="D36" s="510">
        <v>3000</v>
      </c>
      <c r="E36" s="510">
        <v>3000</v>
      </c>
      <c r="F36" s="510">
        <v>3000</v>
      </c>
      <c r="G36" s="510">
        <v>3000</v>
      </c>
      <c r="H36" s="510">
        <v>3000</v>
      </c>
      <c r="I36" s="510">
        <v>3000</v>
      </c>
      <c r="J36" s="510">
        <v>3000</v>
      </c>
      <c r="K36" s="510">
        <v>3000</v>
      </c>
      <c r="L36" s="511">
        <v>3000</v>
      </c>
    </row>
    <row r="37" spans="1:12" x14ac:dyDescent="0.25">
      <c r="A37" s="446" t="s">
        <v>627</v>
      </c>
      <c r="B37" s="449">
        <f>B36*B35</f>
        <v>0</v>
      </c>
      <c r="C37" s="449">
        <f t="shared" ref="C37:L37" si="14">C36*C35</f>
        <v>0</v>
      </c>
      <c r="D37" s="449">
        <f t="shared" si="14"/>
        <v>0</v>
      </c>
      <c r="E37" s="449">
        <f t="shared" si="14"/>
        <v>0</v>
      </c>
      <c r="F37" s="449">
        <f t="shared" si="14"/>
        <v>0</v>
      </c>
      <c r="G37" s="449">
        <f t="shared" si="14"/>
        <v>0</v>
      </c>
      <c r="H37" s="449">
        <f t="shared" si="14"/>
        <v>0</v>
      </c>
      <c r="I37" s="449">
        <f t="shared" si="14"/>
        <v>4602.2727272727279</v>
      </c>
      <c r="J37" s="449">
        <f t="shared" si="14"/>
        <v>9818.1818181818235</v>
      </c>
      <c r="K37" s="449">
        <f t="shared" si="14"/>
        <v>15647.727272727276</v>
      </c>
      <c r="L37" s="450">
        <f t="shared" si="14"/>
        <v>21784.090909090912</v>
      </c>
    </row>
  </sheetData>
  <sheetProtection algorithmName="SHA-512" hashValue="WbDSDpgkysrl+yC6+5ABNGB98FQNv1C7AbNotORYC/F+Mo45ZO9EYYe3tiFqlrA8hAaof9XGD7uMImoPnGbRrw==" saltValue="A8J1QMbr11VlgXPbIf3mdw==" spinCount="100000" sheet="1" objects="1" scenarios="1" selectLockedCells="1"/>
  <mergeCells count="4">
    <mergeCell ref="A1:L1"/>
    <mergeCell ref="A8:L8"/>
    <mergeCell ref="A16:L16"/>
    <mergeCell ref="A26:L26"/>
  </mergeCells>
  <conditionalFormatting sqref="B22:L22">
    <cfRule type="cellIs" dxfId="1" priority="1" operator="lessThan">
      <formula>0</formula>
    </cfRule>
    <cfRule type="cellIs" dxfId="0" priority="2" operator="greaterThan">
      <formula>0</formula>
    </cfRule>
  </conditionalFormatting>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292B-F3AF-4BA9-8BE7-48A2BDC7D911}">
  <sheetPr codeName="Planilha13"/>
  <dimension ref="A1:I64"/>
  <sheetViews>
    <sheetView showGridLines="0" zoomScale="85" zoomScaleNormal="85" workbookViewId="0">
      <selection activeCell="H3" sqref="H3"/>
    </sheetView>
  </sheetViews>
  <sheetFormatPr defaultRowHeight="15" x14ac:dyDescent="0.25"/>
  <cols>
    <col min="1" max="9" width="17.7109375" style="1" customWidth="1"/>
  </cols>
  <sheetData>
    <row r="1" spans="1:9" x14ac:dyDescent="0.25">
      <c r="D1" s="709" t="s">
        <v>43</v>
      </c>
      <c r="E1" s="670"/>
      <c r="F1" s="670"/>
      <c r="G1" s="670"/>
      <c r="H1" s="670"/>
      <c r="I1" s="671"/>
    </row>
    <row r="2" spans="1:9" x14ac:dyDescent="0.25">
      <c r="D2" s="462" t="s">
        <v>562</v>
      </c>
      <c r="E2" s="463" t="s">
        <v>628</v>
      </c>
      <c r="F2" s="463" t="s">
        <v>629</v>
      </c>
      <c r="G2" s="463" t="s">
        <v>630</v>
      </c>
      <c r="H2" s="463" t="s">
        <v>631</v>
      </c>
      <c r="I2" s="464" t="s">
        <v>632</v>
      </c>
    </row>
    <row r="3" spans="1:9" x14ac:dyDescent="0.25">
      <c r="D3" s="465">
        <f>SUM(B7:B64)</f>
        <v>120</v>
      </c>
      <c r="E3" s="466">
        <f>SUM(E7:E64)/D3</f>
        <v>0</v>
      </c>
      <c r="F3" s="466">
        <f>SUM(F7:F64)/D3</f>
        <v>0</v>
      </c>
      <c r="G3" s="467" t="e">
        <f>AVERAGE(G7:G64)</f>
        <v>#DIV/0!</v>
      </c>
      <c r="H3" s="467">
        <f>SUM(H7:H64)</f>
        <v>0</v>
      </c>
      <c r="I3" s="468">
        <f>SUM(I7:I64)</f>
        <v>0</v>
      </c>
    </row>
    <row r="5" spans="1:9" x14ac:dyDescent="0.25">
      <c r="A5" s="674" t="s">
        <v>633</v>
      </c>
      <c r="B5" s="710"/>
      <c r="C5" s="710"/>
      <c r="D5" s="710"/>
      <c r="E5" s="710"/>
      <c r="F5" s="710"/>
      <c r="G5" s="710"/>
      <c r="H5" s="710"/>
      <c r="I5" s="675"/>
    </row>
    <row r="6" spans="1:9" ht="36" customHeight="1" x14ac:dyDescent="0.25">
      <c r="A6" s="430" t="s">
        <v>634</v>
      </c>
      <c r="B6" s="430" t="s">
        <v>529</v>
      </c>
      <c r="C6" s="49" t="s">
        <v>635</v>
      </c>
      <c r="D6" s="49" t="s">
        <v>636</v>
      </c>
      <c r="E6" s="430" t="s">
        <v>637</v>
      </c>
      <c r="F6" s="430" t="s">
        <v>638</v>
      </c>
      <c r="G6" s="430" t="s">
        <v>630</v>
      </c>
      <c r="H6" s="430" t="s">
        <v>639</v>
      </c>
      <c r="I6" s="430" t="s">
        <v>632</v>
      </c>
    </row>
    <row r="7" spans="1:9" x14ac:dyDescent="0.25">
      <c r="A7" s="410">
        <f>'Cadastro pastos'!A3</f>
        <v>1</v>
      </c>
      <c r="B7" s="410">
        <f>'Cadastro pastos'!B3</f>
        <v>10</v>
      </c>
      <c r="C7" s="469"/>
      <c r="D7" s="469"/>
      <c r="E7" s="410">
        <f>C7*B7</f>
        <v>0</v>
      </c>
      <c r="F7" s="410">
        <f>D7*B7</f>
        <v>0</v>
      </c>
      <c r="G7" s="469"/>
      <c r="H7" s="410" t="str">
        <f>IFERROR(ROUND(E7*450/G7,0),"")</f>
        <v/>
      </c>
      <c r="I7" s="410" t="str">
        <f>IFERROR(ROUND(F7*450/G7,0),"")</f>
        <v/>
      </c>
    </row>
    <row r="8" spans="1:9" x14ac:dyDescent="0.25">
      <c r="A8" s="413">
        <f>'Cadastro pastos'!A4</f>
        <v>2</v>
      </c>
      <c r="B8" s="413">
        <f>'Cadastro pastos'!B4</f>
        <v>20</v>
      </c>
      <c r="C8" s="470"/>
      <c r="D8" s="470"/>
      <c r="E8" s="413">
        <f t="shared" ref="E8:E64" si="0">C8*B8</f>
        <v>0</v>
      </c>
      <c r="F8" s="413">
        <f t="shared" ref="F8:F64" si="1">D8*B8</f>
        <v>0</v>
      </c>
      <c r="G8" s="470"/>
      <c r="H8" s="413" t="str">
        <f t="shared" ref="H8:H64" si="2">IFERROR(ROUND(E8*450/G8,0),"")</f>
        <v/>
      </c>
      <c r="I8" s="413" t="str">
        <f t="shared" ref="I8:I64" si="3">IFERROR(ROUND(F8*450/G8,0),"")</f>
        <v/>
      </c>
    </row>
    <row r="9" spans="1:9" x14ac:dyDescent="0.25">
      <c r="A9" s="413">
        <f>'Cadastro pastos'!A5</f>
        <v>3</v>
      </c>
      <c r="B9" s="413">
        <f>'Cadastro pastos'!B5</f>
        <v>30</v>
      </c>
      <c r="C9" s="470"/>
      <c r="D9" s="470"/>
      <c r="E9" s="413">
        <f t="shared" si="0"/>
        <v>0</v>
      </c>
      <c r="F9" s="413">
        <f t="shared" si="1"/>
        <v>0</v>
      </c>
      <c r="G9" s="470"/>
      <c r="H9" s="413" t="str">
        <f t="shared" si="2"/>
        <v/>
      </c>
      <c r="I9" s="413" t="str">
        <f t="shared" si="3"/>
        <v/>
      </c>
    </row>
    <row r="10" spans="1:9" x14ac:dyDescent="0.25">
      <c r="A10" s="413">
        <f>'Cadastro pastos'!A6</f>
        <v>4</v>
      </c>
      <c r="B10" s="413">
        <f>'Cadastro pastos'!B6</f>
        <v>15</v>
      </c>
      <c r="C10" s="470"/>
      <c r="D10" s="470"/>
      <c r="E10" s="413">
        <f t="shared" si="0"/>
        <v>0</v>
      </c>
      <c r="F10" s="413">
        <f t="shared" si="1"/>
        <v>0</v>
      </c>
      <c r="G10" s="470"/>
      <c r="H10" s="413" t="str">
        <f t="shared" si="2"/>
        <v/>
      </c>
      <c r="I10" s="413" t="str">
        <f t="shared" si="3"/>
        <v/>
      </c>
    </row>
    <row r="11" spans="1:9" x14ac:dyDescent="0.25">
      <c r="A11" s="413">
        <f>'Cadastro pastos'!A7</f>
        <v>5</v>
      </c>
      <c r="B11" s="413">
        <f>'Cadastro pastos'!B7</f>
        <v>20</v>
      </c>
      <c r="C11" s="470"/>
      <c r="D11" s="470"/>
      <c r="E11" s="413">
        <f t="shared" si="0"/>
        <v>0</v>
      </c>
      <c r="F11" s="413">
        <f t="shared" si="1"/>
        <v>0</v>
      </c>
      <c r="G11" s="470"/>
      <c r="H11" s="413" t="str">
        <f t="shared" si="2"/>
        <v/>
      </c>
      <c r="I11" s="413" t="str">
        <f t="shared" si="3"/>
        <v/>
      </c>
    </row>
    <row r="12" spans="1:9" x14ac:dyDescent="0.25">
      <c r="A12" s="413">
        <f>'Cadastro pastos'!A8</f>
        <v>6</v>
      </c>
      <c r="B12" s="413">
        <f>'Cadastro pastos'!B8</f>
        <v>25</v>
      </c>
      <c r="C12" s="470"/>
      <c r="D12" s="470"/>
      <c r="E12" s="413">
        <f t="shared" si="0"/>
        <v>0</v>
      </c>
      <c r="F12" s="413">
        <f t="shared" si="1"/>
        <v>0</v>
      </c>
      <c r="G12" s="470"/>
      <c r="H12" s="413" t="str">
        <f t="shared" si="2"/>
        <v/>
      </c>
      <c r="I12" s="413" t="str">
        <f t="shared" si="3"/>
        <v/>
      </c>
    </row>
    <row r="13" spans="1:9" x14ac:dyDescent="0.25">
      <c r="A13" s="413">
        <f>'Cadastro pastos'!A9</f>
        <v>0</v>
      </c>
      <c r="B13" s="413">
        <f>'Cadastro pastos'!B9</f>
        <v>0</v>
      </c>
      <c r="C13" s="470"/>
      <c r="D13" s="470"/>
      <c r="E13" s="413">
        <f t="shared" si="0"/>
        <v>0</v>
      </c>
      <c r="F13" s="413">
        <f t="shared" si="1"/>
        <v>0</v>
      </c>
      <c r="G13" s="470"/>
      <c r="H13" s="413" t="str">
        <f t="shared" si="2"/>
        <v/>
      </c>
      <c r="I13" s="413" t="str">
        <f t="shared" si="3"/>
        <v/>
      </c>
    </row>
    <row r="14" spans="1:9" x14ac:dyDescent="0.25">
      <c r="A14" s="413">
        <f>'Cadastro pastos'!A10</f>
        <v>0</v>
      </c>
      <c r="B14" s="413">
        <f>'Cadastro pastos'!B10</f>
        <v>0</v>
      </c>
      <c r="C14" s="470"/>
      <c r="D14" s="470"/>
      <c r="E14" s="413">
        <f t="shared" si="0"/>
        <v>0</v>
      </c>
      <c r="F14" s="413">
        <f t="shared" si="1"/>
        <v>0</v>
      </c>
      <c r="G14" s="470"/>
      <c r="H14" s="413" t="str">
        <f t="shared" si="2"/>
        <v/>
      </c>
      <c r="I14" s="413" t="str">
        <f t="shared" si="3"/>
        <v/>
      </c>
    </row>
    <row r="15" spans="1:9" x14ac:dyDescent="0.25">
      <c r="A15" s="413">
        <f>'Cadastro pastos'!A11</f>
        <v>0</v>
      </c>
      <c r="B15" s="413">
        <f>'Cadastro pastos'!B11</f>
        <v>0</v>
      </c>
      <c r="C15" s="470"/>
      <c r="D15" s="470"/>
      <c r="E15" s="413">
        <f t="shared" si="0"/>
        <v>0</v>
      </c>
      <c r="F15" s="413">
        <f t="shared" si="1"/>
        <v>0</v>
      </c>
      <c r="G15" s="470"/>
      <c r="H15" s="413" t="str">
        <f t="shared" si="2"/>
        <v/>
      </c>
      <c r="I15" s="413" t="str">
        <f t="shared" si="3"/>
        <v/>
      </c>
    </row>
    <row r="16" spans="1:9" x14ac:dyDescent="0.25">
      <c r="A16" s="413">
        <f>'Cadastro pastos'!A12</f>
        <v>0</v>
      </c>
      <c r="B16" s="413">
        <f>'Cadastro pastos'!B12</f>
        <v>0</v>
      </c>
      <c r="C16" s="470"/>
      <c r="D16" s="470"/>
      <c r="E16" s="413">
        <f t="shared" si="0"/>
        <v>0</v>
      </c>
      <c r="F16" s="413">
        <f t="shared" si="1"/>
        <v>0</v>
      </c>
      <c r="G16" s="470"/>
      <c r="H16" s="413" t="str">
        <f t="shared" si="2"/>
        <v/>
      </c>
      <c r="I16" s="413" t="str">
        <f t="shared" si="3"/>
        <v/>
      </c>
    </row>
    <row r="17" spans="1:9" x14ac:dyDescent="0.25">
      <c r="A17" s="413">
        <f>'Cadastro pastos'!A13</f>
        <v>0</v>
      </c>
      <c r="B17" s="413">
        <f>'Cadastro pastos'!B13</f>
        <v>0</v>
      </c>
      <c r="C17" s="470"/>
      <c r="D17" s="470"/>
      <c r="E17" s="413">
        <f t="shared" si="0"/>
        <v>0</v>
      </c>
      <c r="F17" s="413">
        <f t="shared" si="1"/>
        <v>0</v>
      </c>
      <c r="G17" s="470"/>
      <c r="H17" s="413" t="str">
        <f t="shared" si="2"/>
        <v/>
      </c>
      <c r="I17" s="413" t="str">
        <f t="shared" si="3"/>
        <v/>
      </c>
    </row>
    <row r="18" spans="1:9" x14ac:dyDescent="0.25">
      <c r="A18" s="413">
        <f>'Cadastro pastos'!A14</f>
        <v>0</v>
      </c>
      <c r="B18" s="413">
        <f>'Cadastro pastos'!B14</f>
        <v>0</v>
      </c>
      <c r="C18" s="470"/>
      <c r="D18" s="470"/>
      <c r="E18" s="413">
        <f t="shared" si="0"/>
        <v>0</v>
      </c>
      <c r="F18" s="413">
        <f t="shared" si="1"/>
        <v>0</v>
      </c>
      <c r="G18" s="470"/>
      <c r="H18" s="413" t="str">
        <f t="shared" si="2"/>
        <v/>
      </c>
      <c r="I18" s="413" t="str">
        <f t="shared" si="3"/>
        <v/>
      </c>
    </row>
    <row r="19" spans="1:9" x14ac:dyDescent="0.25">
      <c r="A19" s="413">
        <f>'Cadastro pastos'!A15</f>
        <v>0</v>
      </c>
      <c r="B19" s="413">
        <f>'Cadastro pastos'!B15</f>
        <v>0</v>
      </c>
      <c r="C19" s="470"/>
      <c r="D19" s="470"/>
      <c r="E19" s="413">
        <f t="shared" si="0"/>
        <v>0</v>
      </c>
      <c r="F19" s="413">
        <f t="shared" si="1"/>
        <v>0</v>
      </c>
      <c r="G19" s="470"/>
      <c r="H19" s="413" t="str">
        <f t="shared" si="2"/>
        <v/>
      </c>
      <c r="I19" s="413" t="str">
        <f t="shared" si="3"/>
        <v/>
      </c>
    </row>
    <row r="20" spans="1:9" x14ac:dyDescent="0.25">
      <c r="A20" s="413">
        <f>'Cadastro pastos'!A16</f>
        <v>0</v>
      </c>
      <c r="B20" s="413">
        <f>'Cadastro pastos'!B16</f>
        <v>0</v>
      </c>
      <c r="C20" s="470"/>
      <c r="D20" s="470"/>
      <c r="E20" s="413">
        <f t="shared" si="0"/>
        <v>0</v>
      </c>
      <c r="F20" s="413">
        <f t="shared" si="1"/>
        <v>0</v>
      </c>
      <c r="G20" s="470"/>
      <c r="H20" s="413" t="str">
        <f t="shared" si="2"/>
        <v/>
      </c>
      <c r="I20" s="413" t="str">
        <f t="shared" si="3"/>
        <v/>
      </c>
    </row>
    <row r="21" spans="1:9" x14ac:dyDescent="0.25">
      <c r="A21" s="413">
        <f>'Cadastro pastos'!A17</f>
        <v>0</v>
      </c>
      <c r="B21" s="413">
        <f>'Cadastro pastos'!B17</f>
        <v>0</v>
      </c>
      <c r="C21" s="470"/>
      <c r="D21" s="470"/>
      <c r="E21" s="413">
        <f t="shared" si="0"/>
        <v>0</v>
      </c>
      <c r="F21" s="413">
        <f t="shared" si="1"/>
        <v>0</v>
      </c>
      <c r="G21" s="470"/>
      <c r="H21" s="413" t="str">
        <f t="shared" si="2"/>
        <v/>
      </c>
      <c r="I21" s="413" t="str">
        <f t="shared" si="3"/>
        <v/>
      </c>
    </row>
    <row r="22" spans="1:9" x14ac:dyDescent="0.25">
      <c r="A22" s="413">
        <f>'Cadastro pastos'!A18</f>
        <v>0</v>
      </c>
      <c r="B22" s="413">
        <f>'Cadastro pastos'!B18</f>
        <v>0</v>
      </c>
      <c r="C22" s="470"/>
      <c r="D22" s="470"/>
      <c r="E22" s="413">
        <f t="shared" si="0"/>
        <v>0</v>
      </c>
      <c r="F22" s="413">
        <f t="shared" si="1"/>
        <v>0</v>
      </c>
      <c r="G22" s="470"/>
      <c r="H22" s="413" t="str">
        <f t="shared" si="2"/>
        <v/>
      </c>
      <c r="I22" s="413" t="str">
        <f t="shared" si="3"/>
        <v/>
      </c>
    </row>
    <row r="23" spans="1:9" x14ac:dyDescent="0.25">
      <c r="A23" s="413">
        <f>'Cadastro pastos'!A19</f>
        <v>0</v>
      </c>
      <c r="B23" s="413">
        <f>'Cadastro pastos'!B19</f>
        <v>0</v>
      </c>
      <c r="C23" s="470"/>
      <c r="D23" s="470"/>
      <c r="E23" s="413">
        <f t="shared" si="0"/>
        <v>0</v>
      </c>
      <c r="F23" s="413">
        <f t="shared" si="1"/>
        <v>0</v>
      </c>
      <c r="G23" s="470"/>
      <c r="H23" s="413" t="str">
        <f t="shared" si="2"/>
        <v/>
      </c>
      <c r="I23" s="413" t="str">
        <f t="shared" si="3"/>
        <v/>
      </c>
    </row>
    <row r="24" spans="1:9" x14ac:dyDescent="0.25">
      <c r="A24" s="413">
        <f>'Cadastro pastos'!A20</f>
        <v>0</v>
      </c>
      <c r="B24" s="413">
        <f>'Cadastro pastos'!B20</f>
        <v>0</v>
      </c>
      <c r="C24" s="470"/>
      <c r="D24" s="470"/>
      <c r="E24" s="413">
        <f t="shared" si="0"/>
        <v>0</v>
      </c>
      <c r="F24" s="413">
        <f t="shared" si="1"/>
        <v>0</v>
      </c>
      <c r="G24" s="470"/>
      <c r="H24" s="413" t="str">
        <f t="shared" si="2"/>
        <v/>
      </c>
      <c r="I24" s="413" t="str">
        <f t="shared" si="3"/>
        <v/>
      </c>
    </row>
    <row r="25" spans="1:9" x14ac:dyDescent="0.25">
      <c r="A25" s="413">
        <f>'Cadastro pastos'!A21</f>
        <v>0</v>
      </c>
      <c r="B25" s="413">
        <f>'Cadastro pastos'!B21</f>
        <v>0</v>
      </c>
      <c r="C25" s="470"/>
      <c r="D25" s="470"/>
      <c r="E25" s="413">
        <f t="shared" si="0"/>
        <v>0</v>
      </c>
      <c r="F25" s="413">
        <f t="shared" si="1"/>
        <v>0</v>
      </c>
      <c r="G25" s="470"/>
      <c r="H25" s="413" t="str">
        <f t="shared" si="2"/>
        <v/>
      </c>
      <c r="I25" s="413" t="str">
        <f t="shared" si="3"/>
        <v/>
      </c>
    </row>
    <row r="26" spans="1:9" x14ac:dyDescent="0.25">
      <c r="A26" s="413">
        <f>'Cadastro pastos'!A22</f>
        <v>0</v>
      </c>
      <c r="B26" s="413">
        <f>'Cadastro pastos'!B22</f>
        <v>0</v>
      </c>
      <c r="C26" s="470"/>
      <c r="D26" s="470"/>
      <c r="E26" s="413">
        <f t="shared" si="0"/>
        <v>0</v>
      </c>
      <c r="F26" s="413">
        <f t="shared" si="1"/>
        <v>0</v>
      </c>
      <c r="G26" s="470"/>
      <c r="H26" s="413" t="str">
        <f t="shared" si="2"/>
        <v/>
      </c>
      <c r="I26" s="413" t="str">
        <f t="shared" si="3"/>
        <v/>
      </c>
    </row>
    <row r="27" spans="1:9" x14ac:dyDescent="0.25">
      <c r="A27" s="413">
        <f>'Cadastro pastos'!A23</f>
        <v>0</v>
      </c>
      <c r="B27" s="413">
        <f>'Cadastro pastos'!B23</f>
        <v>0</v>
      </c>
      <c r="C27" s="470"/>
      <c r="D27" s="470"/>
      <c r="E27" s="413">
        <f t="shared" si="0"/>
        <v>0</v>
      </c>
      <c r="F27" s="413">
        <f t="shared" si="1"/>
        <v>0</v>
      </c>
      <c r="G27" s="470"/>
      <c r="H27" s="413" t="str">
        <f t="shared" si="2"/>
        <v/>
      </c>
      <c r="I27" s="413" t="str">
        <f t="shared" si="3"/>
        <v/>
      </c>
    </row>
    <row r="28" spans="1:9" x14ac:dyDescent="0.25">
      <c r="A28" s="413">
        <f>'Cadastro pastos'!A24</f>
        <v>0</v>
      </c>
      <c r="B28" s="413">
        <f>'Cadastro pastos'!B24</f>
        <v>0</v>
      </c>
      <c r="C28" s="470"/>
      <c r="D28" s="470"/>
      <c r="E28" s="413">
        <f t="shared" si="0"/>
        <v>0</v>
      </c>
      <c r="F28" s="413">
        <f t="shared" si="1"/>
        <v>0</v>
      </c>
      <c r="G28" s="470"/>
      <c r="H28" s="413" t="str">
        <f t="shared" si="2"/>
        <v/>
      </c>
      <c r="I28" s="413" t="str">
        <f t="shared" si="3"/>
        <v/>
      </c>
    </row>
    <row r="29" spans="1:9" x14ac:dyDescent="0.25">
      <c r="A29" s="413">
        <f>'Cadastro pastos'!A25</f>
        <v>0</v>
      </c>
      <c r="B29" s="413">
        <f>'Cadastro pastos'!B25</f>
        <v>0</v>
      </c>
      <c r="C29" s="470"/>
      <c r="D29" s="470"/>
      <c r="E29" s="413">
        <f t="shared" si="0"/>
        <v>0</v>
      </c>
      <c r="F29" s="413">
        <f t="shared" si="1"/>
        <v>0</v>
      </c>
      <c r="G29" s="470"/>
      <c r="H29" s="413" t="str">
        <f t="shared" si="2"/>
        <v/>
      </c>
      <c r="I29" s="413" t="str">
        <f t="shared" si="3"/>
        <v/>
      </c>
    </row>
    <row r="30" spans="1:9" x14ac:dyDescent="0.25">
      <c r="A30" s="413">
        <f>'Cadastro pastos'!A26</f>
        <v>0</v>
      </c>
      <c r="B30" s="413">
        <f>'Cadastro pastos'!B26</f>
        <v>0</v>
      </c>
      <c r="C30" s="470"/>
      <c r="D30" s="470"/>
      <c r="E30" s="413">
        <f t="shared" si="0"/>
        <v>0</v>
      </c>
      <c r="F30" s="413">
        <f t="shared" si="1"/>
        <v>0</v>
      </c>
      <c r="G30" s="470"/>
      <c r="H30" s="413" t="str">
        <f t="shared" si="2"/>
        <v/>
      </c>
      <c r="I30" s="413" t="str">
        <f t="shared" si="3"/>
        <v/>
      </c>
    </row>
    <row r="31" spans="1:9" x14ac:dyDescent="0.25">
      <c r="A31" s="413">
        <f>'Cadastro pastos'!A27</f>
        <v>0</v>
      </c>
      <c r="B31" s="413">
        <f>'Cadastro pastos'!B27</f>
        <v>0</v>
      </c>
      <c r="C31" s="470"/>
      <c r="D31" s="470"/>
      <c r="E31" s="413">
        <f t="shared" si="0"/>
        <v>0</v>
      </c>
      <c r="F31" s="413">
        <f t="shared" si="1"/>
        <v>0</v>
      </c>
      <c r="G31" s="470"/>
      <c r="H31" s="413" t="str">
        <f t="shared" si="2"/>
        <v/>
      </c>
      <c r="I31" s="413" t="str">
        <f t="shared" si="3"/>
        <v/>
      </c>
    </row>
    <row r="32" spans="1:9" x14ac:dyDescent="0.25">
      <c r="A32" s="413">
        <f>'Cadastro pastos'!A28</f>
        <v>0</v>
      </c>
      <c r="B32" s="413">
        <f>'Cadastro pastos'!B28</f>
        <v>0</v>
      </c>
      <c r="C32" s="470"/>
      <c r="D32" s="470"/>
      <c r="E32" s="413">
        <f t="shared" si="0"/>
        <v>0</v>
      </c>
      <c r="F32" s="413">
        <f t="shared" si="1"/>
        <v>0</v>
      </c>
      <c r="G32" s="470"/>
      <c r="H32" s="413" t="str">
        <f t="shared" si="2"/>
        <v/>
      </c>
      <c r="I32" s="413" t="str">
        <f t="shared" si="3"/>
        <v/>
      </c>
    </row>
    <row r="33" spans="1:9" x14ac:dyDescent="0.25">
      <c r="A33" s="413">
        <f>'Cadastro pastos'!A29</f>
        <v>0</v>
      </c>
      <c r="B33" s="413">
        <f>'Cadastro pastos'!B29</f>
        <v>0</v>
      </c>
      <c r="C33" s="470"/>
      <c r="D33" s="470"/>
      <c r="E33" s="413">
        <f t="shared" si="0"/>
        <v>0</v>
      </c>
      <c r="F33" s="413">
        <f t="shared" si="1"/>
        <v>0</v>
      </c>
      <c r="G33" s="470"/>
      <c r="H33" s="413" t="str">
        <f t="shared" si="2"/>
        <v/>
      </c>
      <c r="I33" s="413" t="str">
        <f t="shared" si="3"/>
        <v/>
      </c>
    </row>
    <row r="34" spans="1:9" x14ac:dyDescent="0.25">
      <c r="A34" s="413">
        <f>'Cadastro pastos'!A30</f>
        <v>0</v>
      </c>
      <c r="B34" s="413">
        <f>'Cadastro pastos'!B30</f>
        <v>0</v>
      </c>
      <c r="C34" s="470"/>
      <c r="D34" s="470"/>
      <c r="E34" s="413">
        <f t="shared" si="0"/>
        <v>0</v>
      </c>
      <c r="F34" s="413">
        <f t="shared" si="1"/>
        <v>0</v>
      </c>
      <c r="G34" s="470"/>
      <c r="H34" s="413" t="str">
        <f t="shared" si="2"/>
        <v/>
      </c>
      <c r="I34" s="413" t="str">
        <f t="shared" si="3"/>
        <v/>
      </c>
    </row>
    <row r="35" spans="1:9" x14ac:dyDescent="0.25">
      <c r="A35" s="413">
        <f>'Cadastro pastos'!A31</f>
        <v>0</v>
      </c>
      <c r="B35" s="413">
        <f>'Cadastro pastos'!B31</f>
        <v>0</v>
      </c>
      <c r="C35" s="470"/>
      <c r="D35" s="470"/>
      <c r="E35" s="413">
        <f t="shared" si="0"/>
        <v>0</v>
      </c>
      <c r="F35" s="413">
        <f t="shared" si="1"/>
        <v>0</v>
      </c>
      <c r="G35" s="470"/>
      <c r="H35" s="413" t="str">
        <f t="shared" si="2"/>
        <v/>
      </c>
      <c r="I35" s="413" t="str">
        <f t="shared" si="3"/>
        <v/>
      </c>
    </row>
    <row r="36" spans="1:9" x14ac:dyDescent="0.25">
      <c r="A36" s="413">
        <f>'Cadastro pastos'!A32</f>
        <v>0</v>
      </c>
      <c r="B36" s="413">
        <f>'Cadastro pastos'!B32</f>
        <v>0</v>
      </c>
      <c r="C36" s="470"/>
      <c r="D36" s="470"/>
      <c r="E36" s="413">
        <f t="shared" si="0"/>
        <v>0</v>
      </c>
      <c r="F36" s="413">
        <f t="shared" si="1"/>
        <v>0</v>
      </c>
      <c r="G36" s="470"/>
      <c r="H36" s="413" t="str">
        <f t="shared" si="2"/>
        <v/>
      </c>
      <c r="I36" s="413" t="str">
        <f t="shared" si="3"/>
        <v/>
      </c>
    </row>
    <row r="37" spans="1:9" x14ac:dyDescent="0.25">
      <c r="A37" s="413">
        <f>'Cadastro pastos'!A33</f>
        <v>0</v>
      </c>
      <c r="B37" s="413">
        <f>'Cadastro pastos'!B33</f>
        <v>0</v>
      </c>
      <c r="C37" s="470"/>
      <c r="D37" s="470"/>
      <c r="E37" s="413">
        <f t="shared" si="0"/>
        <v>0</v>
      </c>
      <c r="F37" s="413">
        <f t="shared" si="1"/>
        <v>0</v>
      </c>
      <c r="G37" s="470"/>
      <c r="H37" s="413" t="str">
        <f t="shared" si="2"/>
        <v/>
      </c>
      <c r="I37" s="413" t="str">
        <f t="shared" si="3"/>
        <v/>
      </c>
    </row>
    <row r="38" spans="1:9" x14ac:dyDescent="0.25">
      <c r="A38" s="413">
        <f>'Cadastro pastos'!A34</f>
        <v>0</v>
      </c>
      <c r="B38" s="413">
        <f>'Cadastro pastos'!B34</f>
        <v>0</v>
      </c>
      <c r="C38" s="470"/>
      <c r="D38" s="470"/>
      <c r="E38" s="413">
        <f t="shared" si="0"/>
        <v>0</v>
      </c>
      <c r="F38" s="413">
        <f t="shared" si="1"/>
        <v>0</v>
      </c>
      <c r="G38" s="470"/>
      <c r="H38" s="413" t="str">
        <f t="shared" si="2"/>
        <v/>
      </c>
      <c r="I38" s="413" t="str">
        <f t="shared" si="3"/>
        <v/>
      </c>
    </row>
    <row r="39" spans="1:9" x14ac:dyDescent="0.25">
      <c r="A39" s="413">
        <f>'Cadastro pastos'!A35</f>
        <v>0</v>
      </c>
      <c r="B39" s="413">
        <f>'Cadastro pastos'!B35</f>
        <v>0</v>
      </c>
      <c r="C39" s="470"/>
      <c r="D39" s="470"/>
      <c r="E39" s="413">
        <f t="shared" si="0"/>
        <v>0</v>
      </c>
      <c r="F39" s="413">
        <f t="shared" si="1"/>
        <v>0</v>
      </c>
      <c r="G39" s="470"/>
      <c r="H39" s="413" t="str">
        <f t="shared" si="2"/>
        <v/>
      </c>
      <c r="I39" s="413" t="str">
        <f t="shared" si="3"/>
        <v/>
      </c>
    </row>
    <row r="40" spans="1:9" x14ac:dyDescent="0.25">
      <c r="A40" s="413">
        <f>'Cadastro pastos'!A36</f>
        <v>0</v>
      </c>
      <c r="B40" s="413">
        <f>'Cadastro pastos'!B36</f>
        <v>0</v>
      </c>
      <c r="C40" s="470"/>
      <c r="D40" s="470"/>
      <c r="E40" s="413">
        <f t="shared" si="0"/>
        <v>0</v>
      </c>
      <c r="F40" s="413">
        <f t="shared" si="1"/>
        <v>0</v>
      </c>
      <c r="G40" s="470"/>
      <c r="H40" s="413" t="str">
        <f t="shared" si="2"/>
        <v/>
      </c>
      <c r="I40" s="413" t="str">
        <f t="shared" si="3"/>
        <v/>
      </c>
    </row>
    <row r="41" spans="1:9" x14ac:dyDescent="0.25">
      <c r="A41" s="413">
        <f>'Cadastro pastos'!A37</f>
        <v>0</v>
      </c>
      <c r="B41" s="413">
        <f>'Cadastro pastos'!B37</f>
        <v>0</v>
      </c>
      <c r="C41" s="470"/>
      <c r="D41" s="470"/>
      <c r="E41" s="413">
        <f t="shared" si="0"/>
        <v>0</v>
      </c>
      <c r="F41" s="413">
        <f t="shared" si="1"/>
        <v>0</v>
      </c>
      <c r="G41" s="470"/>
      <c r="H41" s="413" t="str">
        <f t="shared" si="2"/>
        <v/>
      </c>
      <c r="I41" s="413" t="str">
        <f t="shared" si="3"/>
        <v/>
      </c>
    </row>
    <row r="42" spans="1:9" x14ac:dyDescent="0.25">
      <c r="A42" s="413">
        <f>'Cadastro pastos'!A38</f>
        <v>0</v>
      </c>
      <c r="B42" s="413">
        <f>'Cadastro pastos'!B38</f>
        <v>0</v>
      </c>
      <c r="C42" s="470"/>
      <c r="D42" s="470"/>
      <c r="E42" s="413">
        <f t="shared" si="0"/>
        <v>0</v>
      </c>
      <c r="F42" s="413">
        <f t="shared" si="1"/>
        <v>0</v>
      </c>
      <c r="G42" s="470"/>
      <c r="H42" s="413" t="str">
        <f t="shared" si="2"/>
        <v/>
      </c>
      <c r="I42" s="413" t="str">
        <f t="shared" si="3"/>
        <v/>
      </c>
    </row>
    <row r="43" spans="1:9" x14ac:dyDescent="0.25">
      <c r="A43" s="413">
        <f>'Cadastro pastos'!A39</f>
        <v>0</v>
      </c>
      <c r="B43" s="413">
        <f>'Cadastro pastos'!B39</f>
        <v>0</v>
      </c>
      <c r="C43" s="470"/>
      <c r="D43" s="470"/>
      <c r="E43" s="413">
        <f t="shared" si="0"/>
        <v>0</v>
      </c>
      <c r="F43" s="413">
        <f t="shared" si="1"/>
        <v>0</v>
      </c>
      <c r="G43" s="470"/>
      <c r="H43" s="413" t="str">
        <f t="shared" si="2"/>
        <v/>
      </c>
      <c r="I43" s="413" t="str">
        <f t="shared" si="3"/>
        <v/>
      </c>
    </row>
    <row r="44" spans="1:9" x14ac:dyDescent="0.25">
      <c r="A44" s="413">
        <f>'Cadastro pastos'!A40</f>
        <v>0</v>
      </c>
      <c r="B44" s="413">
        <f>'Cadastro pastos'!B40</f>
        <v>0</v>
      </c>
      <c r="C44" s="470"/>
      <c r="D44" s="470"/>
      <c r="E44" s="413">
        <f t="shared" si="0"/>
        <v>0</v>
      </c>
      <c r="F44" s="413">
        <f t="shared" si="1"/>
        <v>0</v>
      </c>
      <c r="G44" s="470"/>
      <c r="H44" s="413" t="str">
        <f t="shared" si="2"/>
        <v/>
      </c>
      <c r="I44" s="413" t="str">
        <f t="shared" si="3"/>
        <v/>
      </c>
    </row>
    <row r="45" spans="1:9" x14ac:dyDescent="0.25">
      <c r="A45" s="413">
        <f>'Cadastro pastos'!A41</f>
        <v>0</v>
      </c>
      <c r="B45" s="413">
        <f>'Cadastro pastos'!B41</f>
        <v>0</v>
      </c>
      <c r="C45" s="470"/>
      <c r="D45" s="470"/>
      <c r="E45" s="413">
        <f t="shared" si="0"/>
        <v>0</v>
      </c>
      <c r="F45" s="413">
        <f t="shared" si="1"/>
        <v>0</v>
      </c>
      <c r="G45" s="470"/>
      <c r="H45" s="413" t="str">
        <f t="shared" si="2"/>
        <v/>
      </c>
      <c r="I45" s="413" t="str">
        <f t="shared" si="3"/>
        <v/>
      </c>
    </row>
    <row r="46" spans="1:9" x14ac:dyDescent="0.25">
      <c r="A46" s="413">
        <f>'Cadastro pastos'!A42</f>
        <v>0</v>
      </c>
      <c r="B46" s="413">
        <f>'Cadastro pastos'!B42</f>
        <v>0</v>
      </c>
      <c r="C46" s="470"/>
      <c r="D46" s="470"/>
      <c r="E46" s="413">
        <f t="shared" si="0"/>
        <v>0</v>
      </c>
      <c r="F46" s="413">
        <f t="shared" si="1"/>
        <v>0</v>
      </c>
      <c r="G46" s="470"/>
      <c r="H46" s="413" t="str">
        <f t="shared" si="2"/>
        <v/>
      </c>
      <c r="I46" s="413" t="str">
        <f t="shared" si="3"/>
        <v/>
      </c>
    </row>
    <row r="47" spans="1:9" x14ac:dyDescent="0.25">
      <c r="A47" s="413">
        <f>'Cadastro pastos'!A43</f>
        <v>0</v>
      </c>
      <c r="B47" s="413">
        <f>'Cadastro pastos'!B43</f>
        <v>0</v>
      </c>
      <c r="C47" s="470"/>
      <c r="D47" s="470"/>
      <c r="E47" s="413">
        <f t="shared" si="0"/>
        <v>0</v>
      </c>
      <c r="F47" s="413">
        <f t="shared" si="1"/>
        <v>0</v>
      </c>
      <c r="G47" s="470"/>
      <c r="H47" s="413" t="str">
        <f t="shared" si="2"/>
        <v/>
      </c>
      <c r="I47" s="413" t="str">
        <f t="shared" si="3"/>
        <v/>
      </c>
    </row>
    <row r="48" spans="1:9" x14ac:dyDescent="0.25">
      <c r="A48" s="413">
        <f>'Cadastro pastos'!A44</f>
        <v>0</v>
      </c>
      <c r="B48" s="413">
        <f>'Cadastro pastos'!B44</f>
        <v>0</v>
      </c>
      <c r="C48" s="470"/>
      <c r="D48" s="470"/>
      <c r="E48" s="413">
        <f t="shared" si="0"/>
        <v>0</v>
      </c>
      <c r="F48" s="413">
        <f t="shared" si="1"/>
        <v>0</v>
      </c>
      <c r="G48" s="470"/>
      <c r="H48" s="413" t="str">
        <f t="shared" si="2"/>
        <v/>
      </c>
      <c r="I48" s="413" t="str">
        <f t="shared" si="3"/>
        <v/>
      </c>
    </row>
    <row r="49" spans="1:9" x14ac:dyDescent="0.25">
      <c r="A49" s="413">
        <f>'Cadastro pastos'!A45</f>
        <v>0</v>
      </c>
      <c r="B49" s="413">
        <f>'Cadastro pastos'!B45</f>
        <v>0</v>
      </c>
      <c r="C49" s="470"/>
      <c r="D49" s="470"/>
      <c r="E49" s="413">
        <f t="shared" si="0"/>
        <v>0</v>
      </c>
      <c r="F49" s="413">
        <f t="shared" si="1"/>
        <v>0</v>
      </c>
      <c r="G49" s="470"/>
      <c r="H49" s="413" t="str">
        <f t="shared" si="2"/>
        <v/>
      </c>
      <c r="I49" s="413" t="str">
        <f t="shared" si="3"/>
        <v/>
      </c>
    </row>
    <row r="50" spans="1:9" x14ac:dyDescent="0.25">
      <c r="A50" s="413">
        <f>'Cadastro pastos'!A46</f>
        <v>0</v>
      </c>
      <c r="B50" s="413">
        <f>'Cadastro pastos'!B46</f>
        <v>0</v>
      </c>
      <c r="C50" s="470"/>
      <c r="D50" s="470"/>
      <c r="E50" s="413">
        <f t="shared" si="0"/>
        <v>0</v>
      </c>
      <c r="F50" s="413">
        <f t="shared" si="1"/>
        <v>0</v>
      </c>
      <c r="G50" s="470"/>
      <c r="H50" s="413" t="str">
        <f t="shared" si="2"/>
        <v/>
      </c>
      <c r="I50" s="413" t="str">
        <f t="shared" si="3"/>
        <v/>
      </c>
    </row>
    <row r="51" spans="1:9" x14ac:dyDescent="0.25">
      <c r="A51" s="413">
        <f>'Cadastro pastos'!A47</f>
        <v>0</v>
      </c>
      <c r="B51" s="413">
        <f>'Cadastro pastos'!B47</f>
        <v>0</v>
      </c>
      <c r="C51" s="470"/>
      <c r="D51" s="470"/>
      <c r="E51" s="413">
        <f t="shared" si="0"/>
        <v>0</v>
      </c>
      <c r="F51" s="413">
        <f t="shared" si="1"/>
        <v>0</v>
      </c>
      <c r="G51" s="470"/>
      <c r="H51" s="413" t="str">
        <f t="shared" si="2"/>
        <v/>
      </c>
      <c r="I51" s="413" t="str">
        <f t="shared" si="3"/>
        <v/>
      </c>
    </row>
    <row r="52" spans="1:9" x14ac:dyDescent="0.25">
      <c r="A52" s="413">
        <f>'Cadastro pastos'!A48</f>
        <v>0</v>
      </c>
      <c r="B52" s="413">
        <f>'Cadastro pastos'!B48</f>
        <v>0</v>
      </c>
      <c r="C52" s="470"/>
      <c r="D52" s="470"/>
      <c r="E52" s="413">
        <f t="shared" si="0"/>
        <v>0</v>
      </c>
      <c r="F52" s="413">
        <f t="shared" si="1"/>
        <v>0</v>
      </c>
      <c r="G52" s="470"/>
      <c r="H52" s="413" t="str">
        <f t="shared" si="2"/>
        <v/>
      </c>
      <c r="I52" s="413" t="str">
        <f t="shared" si="3"/>
        <v/>
      </c>
    </row>
    <row r="53" spans="1:9" x14ac:dyDescent="0.25">
      <c r="A53" s="413">
        <f>'Cadastro pastos'!A49</f>
        <v>0</v>
      </c>
      <c r="B53" s="413">
        <f>'Cadastro pastos'!B49</f>
        <v>0</v>
      </c>
      <c r="C53" s="470"/>
      <c r="D53" s="470"/>
      <c r="E53" s="413">
        <f t="shared" si="0"/>
        <v>0</v>
      </c>
      <c r="F53" s="413">
        <f t="shared" si="1"/>
        <v>0</v>
      </c>
      <c r="G53" s="470"/>
      <c r="H53" s="413" t="str">
        <f t="shared" si="2"/>
        <v/>
      </c>
      <c r="I53" s="413" t="str">
        <f t="shared" si="3"/>
        <v/>
      </c>
    </row>
    <row r="54" spans="1:9" x14ac:dyDescent="0.25">
      <c r="A54" s="413">
        <f>'Cadastro pastos'!A50</f>
        <v>0</v>
      </c>
      <c r="B54" s="413">
        <f>'Cadastro pastos'!B50</f>
        <v>0</v>
      </c>
      <c r="C54" s="470"/>
      <c r="D54" s="470"/>
      <c r="E54" s="413">
        <f t="shared" si="0"/>
        <v>0</v>
      </c>
      <c r="F54" s="413">
        <f t="shared" si="1"/>
        <v>0</v>
      </c>
      <c r="G54" s="470"/>
      <c r="H54" s="413" t="str">
        <f t="shared" si="2"/>
        <v/>
      </c>
      <c r="I54" s="413" t="str">
        <f t="shared" si="3"/>
        <v/>
      </c>
    </row>
    <row r="55" spans="1:9" x14ac:dyDescent="0.25">
      <c r="A55" s="413">
        <f>'Cadastro pastos'!A51</f>
        <v>0</v>
      </c>
      <c r="B55" s="413">
        <f>'Cadastro pastos'!B51</f>
        <v>0</v>
      </c>
      <c r="C55" s="470"/>
      <c r="D55" s="470"/>
      <c r="E55" s="413">
        <f t="shared" si="0"/>
        <v>0</v>
      </c>
      <c r="F55" s="413">
        <f t="shared" si="1"/>
        <v>0</v>
      </c>
      <c r="G55" s="470"/>
      <c r="H55" s="413" t="str">
        <f t="shared" si="2"/>
        <v/>
      </c>
      <c r="I55" s="413" t="str">
        <f t="shared" si="3"/>
        <v/>
      </c>
    </row>
    <row r="56" spans="1:9" x14ac:dyDescent="0.25">
      <c r="A56" s="413">
        <f>'Cadastro pastos'!A52</f>
        <v>0</v>
      </c>
      <c r="B56" s="413">
        <f>'Cadastro pastos'!B52</f>
        <v>0</v>
      </c>
      <c r="C56" s="470"/>
      <c r="D56" s="470"/>
      <c r="E56" s="413">
        <f t="shared" si="0"/>
        <v>0</v>
      </c>
      <c r="F56" s="413">
        <f t="shared" si="1"/>
        <v>0</v>
      </c>
      <c r="G56" s="470"/>
      <c r="H56" s="413" t="str">
        <f t="shared" si="2"/>
        <v/>
      </c>
      <c r="I56" s="413" t="str">
        <f t="shared" si="3"/>
        <v/>
      </c>
    </row>
    <row r="57" spans="1:9" x14ac:dyDescent="0.25">
      <c r="A57" s="413">
        <f>'Cadastro pastos'!A53</f>
        <v>0</v>
      </c>
      <c r="B57" s="413">
        <f>'Cadastro pastos'!B53</f>
        <v>0</v>
      </c>
      <c r="C57" s="470"/>
      <c r="D57" s="470"/>
      <c r="E57" s="413">
        <f t="shared" si="0"/>
        <v>0</v>
      </c>
      <c r="F57" s="413">
        <f t="shared" si="1"/>
        <v>0</v>
      </c>
      <c r="G57" s="470"/>
      <c r="H57" s="413" t="str">
        <f t="shared" si="2"/>
        <v/>
      </c>
      <c r="I57" s="413" t="str">
        <f t="shared" si="3"/>
        <v/>
      </c>
    </row>
    <row r="58" spans="1:9" x14ac:dyDescent="0.25">
      <c r="A58" s="413">
        <f>'Cadastro pastos'!A54</f>
        <v>0</v>
      </c>
      <c r="B58" s="413">
        <f>'Cadastro pastos'!B54</f>
        <v>0</v>
      </c>
      <c r="C58" s="470"/>
      <c r="D58" s="470"/>
      <c r="E58" s="413">
        <f t="shared" si="0"/>
        <v>0</v>
      </c>
      <c r="F58" s="413">
        <f t="shared" si="1"/>
        <v>0</v>
      </c>
      <c r="G58" s="470"/>
      <c r="H58" s="413" t="str">
        <f t="shared" si="2"/>
        <v/>
      </c>
      <c r="I58" s="413" t="str">
        <f t="shared" si="3"/>
        <v/>
      </c>
    </row>
    <row r="59" spans="1:9" x14ac:dyDescent="0.25">
      <c r="A59" s="413">
        <f>'Cadastro pastos'!A55</f>
        <v>0</v>
      </c>
      <c r="B59" s="413">
        <f>'Cadastro pastos'!B55</f>
        <v>0</v>
      </c>
      <c r="C59" s="470"/>
      <c r="D59" s="470"/>
      <c r="E59" s="413">
        <f t="shared" si="0"/>
        <v>0</v>
      </c>
      <c r="F59" s="413">
        <f t="shared" si="1"/>
        <v>0</v>
      </c>
      <c r="G59" s="470"/>
      <c r="H59" s="413" t="str">
        <f t="shared" si="2"/>
        <v/>
      </c>
      <c r="I59" s="413" t="str">
        <f t="shared" si="3"/>
        <v/>
      </c>
    </row>
    <row r="60" spans="1:9" x14ac:dyDescent="0.25">
      <c r="A60" s="413">
        <f>'Cadastro pastos'!A56</f>
        <v>0</v>
      </c>
      <c r="B60" s="413">
        <f>'Cadastro pastos'!B56</f>
        <v>0</v>
      </c>
      <c r="C60" s="470"/>
      <c r="D60" s="470"/>
      <c r="E60" s="413">
        <f t="shared" si="0"/>
        <v>0</v>
      </c>
      <c r="F60" s="413">
        <f t="shared" si="1"/>
        <v>0</v>
      </c>
      <c r="G60" s="470"/>
      <c r="H60" s="413" t="str">
        <f t="shared" si="2"/>
        <v/>
      </c>
      <c r="I60" s="413" t="str">
        <f t="shared" si="3"/>
        <v/>
      </c>
    </row>
    <row r="61" spans="1:9" x14ac:dyDescent="0.25">
      <c r="A61" s="413">
        <f>'Cadastro pastos'!A57</f>
        <v>0</v>
      </c>
      <c r="B61" s="413">
        <f>'Cadastro pastos'!B57</f>
        <v>0</v>
      </c>
      <c r="C61" s="470"/>
      <c r="D61" s="470"/>
      <c r="E61" s="413">
        <f t="shared" si="0"/>
        <v>0</v>
      </c>
      <c r="F61" s="413">
        <f t="shared" si="1"/>
        <v>0</v>
      </c>
      <c r="G61" s="470"/>
      <c r="H61" s="413" t="str">
        <f t="shared" si="2"/>
        <v/>
      </c>
      <c r="I61" s="413" t="str">
        <f t="shared" si="3"/>
        <v/>
      </c>
    </row>
    <row r="62" spans="1:9" x14ac:dyDescent="0.25">
      <c r="A62" s="413">
        <f>'Cadastro pastos'!A58</f>
        <v>0</v>
      </c>
      <c r="B62" s="413">
        <f>'Cadastro pastos'!B58</f>
        <v>0</v>
      </c>
      <c r="C62" s="470"/>
      <c r="D62" s="470"/>
      <c r="E62" s="413">
        <f t="shared" si="0"/>
        <v>0</v>
      </c>
      <c r="F62" s="413">
        <f t="shared" si="1"/>
        <v>0</v>
      </c>
      <c r="G62" s="470"/>
      <c r="H62" s="413" t="str">
        <f t="shared" si="2"/>
        <v/>
      </c>
      <c r="I62" s="413" t="str">
        <f t="shared" si="3"/>
        <v/>
      </c>
    </row>
    <row r="63" spans="1:9" x14ac:dyDescent="0.25">
      <c r="A63" s="413">
        <f>'Cadastro pastos'!A59</f>
        <v>0</v>
      </c>
      <c r="B63" s="413">
        <f>'Cadastro pastos'!B59</f>
        <v>0</v>
      </c>
      <c r="C63" s="470"/>
      <c r="D63" s="470"/>
      <c r="E63" s="413">
        <f t="shared" si="0"/>
        <v>0</v>
      </c>
      <c r="F63" s="413">
        <f t="shared" si="1"/>
        <v>0</v>
      </c>
      <c r="G63" s="470"/>
      <c r="H63" s="413" t="str">
        <f t="shared" si="2"/>
        <v/>
      </c>
      <c r="I63" s="413" t="str">
        <f t="shared" si="3"/>
        <v/>
      </c>
    </row>
    <row r="64" spans="1:9" x14ac:dyDescent="0.25">
      <c r="A64" s="471">
        <f>'Cadastro pastos'!A60</f>
        <v>0</v>
      </c>
      <c r="B64" s="471">
        <f>'Cadastro pastos'!B60</f>
        <v>0</v>
      </c>
      <c r="C64" s="472"/>
      <c r="D64" s="472"/>
      <c r="E64" s="471">
        <f t="shared" si="0"/>
        <v>0</v>
      </c>
      <c r="F64" s="471">
        <f t="shared" si="1"/>
        <v>0</v>
      </c>
      <c r="G64" s="472"/>
      <c r="H64" s="471" t="str">
        <f t="shared" si="2"/>
        <v/>
      </c>
      <c r="I64" s="471" t="str">
        <f t="shared" si="3"/>
        <v/>
      </c>
    </row>
  </sheetData>
  <sheetProtection algorithmName="SHA-512" hashValue="Ael/nEsIZWm9+ZcbfdHGlWP1Zzwdo8UCC9zz8klVr/WQusjB8GEN5SZcVXvV9wVX5tdciXmTCVSLMf3vOgAuMg==" saltValue="Gq07DMWre8LMai68tUMVOA==" spinCount="100000" sheet="1" objects="1" scenarios="1" selectLockedCells="1"/>
  <mergeCells count="2">
    <mergeCell ref="D1:I1"/>
    <mergeCell ref="A5:I5"/>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Planejamento</vt:lpstr>
      <vt:lpstr>Indicadores</vt:lpstr>
      <vt:lpstr>IATF x Touro</vt:lpstr>
      <vt:lpstr>1 IATF + Touro</vt:lpstr>
      <vt:lpstr>2 IATF + Touro</vt:lpstr>
      <vt:lpstr>Reprodutivo LANÇAR</vt:lpstr>
      <vt:lpstr>Ficha Reprodutivo IMPRIMIR</vt:lpstr>
      <vt:lpstr>Formulação suplementos</vt:lpstr>
      <vt:lpstr>CHUVAS</vt:lpstr>
      <vt:lpstr>Cadastro pastos</vt:lpstr>
      <vt:lpstr>Planejamento de lotação</vt:lpstr>
      <vt:lpstr>Resultado lotação</vt:lpstr>
      <vt:lpstr>Resumo materiais</vt:lpstr>
      <vt:lpstr>Dimensionamento de água</vt:lpstr>
      <vt:lpstr>Adubação</vt:lpstr>
      <vt:lpstr>Evolução dos anos - Avançado</vt:lpstr>
      <vt:lpstr>Potencial dos pastos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Sauvesuk</dc:creator>
  <cp:lastModifiedBy>app</cp:lastModifiedBy>
  <cp:lastPrinted>2024-01-25T14:39:44Z</cp:lastPrinted>
  <dcterms:created xsi:type="dcterms:W3CDTF">2023-12-19T12:28:47Z</dcterms:created>
  <dcterms:modified xsi:type="dcterms:W3CDTF">2026-10-17T15:16:26Z</dcterms:modified>
</cp:coreProperties>
</file>