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EstaPastaDeTrabalho" defaultThemeVersion="166925"/>
  <mc:AlternateContent xmlns:mc="http://schemas.openxmlformats.org/markup-compatibility/2006">
    <mc:Choice Requires="x15">
      <x15ac:absPath xmlns:x15ac="http://schemas.microsoft.com/office/spreadsheetml/2010/11/ac" url="Z:\fc\task\"/>
    </mc:Choice>
  </mc:AlternateContent>
  <xr:revisionPtr revIDLastSave="0" documentId="8_{E7596581-6303-48D6-92A4-C2EB8A721270}" xr6:coauthVersionLast="47" xr6:coauthVersionMax="47" xr10:uidLastSave="{00000000-0000-0000-0000-000000000000}"/>
  <workbookProtection workbookAlgorithmName="SHA-512" workbookHashValue="sBhTWys1xqReyczcM/woPLVEMSQ3UCh4gXRkRwcDbjwTsQ5n7AYeKjbBQiV98rCwfHQAqKd4wgQ+qOyRBU8ANg==" workbookSaltValue="pADjBQWPER8uYs8M2cPVRA==" workbookSpinCount="100000" lockStructure="1"/>
  <bookViews>
    <workbookView xWindow="2340" yWindow="2340" windowWidth="14400" windowHeight="8235" tabRatio="782" xr2:uid="{E8020BB9-FB7E-415D-ADC8-067CA2CC726C}"/>
  </bookViews>
  <sheets>
    <sheet name="CHUVAS" sheetId="7" r:id="rId1"/>
    <sheet name="Metas" sheetId="1" r:id="rId2"/>
    <sheet name="Adubação" sheetId="8" r:id="rId3"/>
    <sheet name="Dimensionamento de água" sheetId="11" r:id="rId4"/>
    <sheet name="Formulação de suplemento" sheetId="13" r:id="rId5"/>
    <sheet name="Relatório de suplementação" sheetId="17" r:id="rId6"/>
    <sheet name="Resumo suplementação" sheetId="3" r:id="rId7"/>
    <sheet name="Resumo materiais" sheetId="15" r:id="rId8"/>
    <sheet name="Vamos ver" sheetId="5" r:id="rId9"/>
    <sheet name="Fechamento" sheetId="16" r:id="rId10"/>
    <sheet name="Acompanhamento de lotação e sup" sheetId="18"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4" i="8" l="1"/>
  <c r="J53" i="8"/>
  <c r="J52" i="8"/>
  <c r="J51" i="8"/>
  <c r="J50" i="8"/>
  <c r="J44" i="8"/>
  <c r="J43" i="8"/>
  <c r="J42" i="8"/>
  <c r="J41" i="8"/>
  <c r="J40" i="8"/>
  <c r="J27" i="8"/>
  <c r="J26" i="8"/>
  <c r="I51" i="8"/>
  <c r="I52" i="8"/>
  <c r="I53" i="8"/>
  <c r="I54" i="8"/>
  <c r="I50" i="8"/>
  <c r="I41" i="8"/>
  <c r="I42" i="8"/>
  <c r="I43" i="8"/>
  <c r="I44" i="8"/>
  <c r="I40" i="8"/>
  <c r="I27" i="8"/>
  <c r="I28" i="8"/>
  <c r="I31" i="8"/>
  <c r="I34" i="8"/>
  <c r="H51" i="8"/>
  <c r="H52" i="8"/>
  <c r="H53" i="8"/>
  <c r="H54" i="8"/>
  <c r="H50" i="8"/>
  <c r="H47" i="8" s="1"/>
  <c r="H41" i="8"/>
  <c r="H42" i="8"/>
  <c r="H43" i="8"/>
  <c r="H44" i="8"/>
  <c r="H40" i="8"/>
  <c r="H37" i="8" s="1"/>
  <c r="H26" i="8"/>
  <c r="I26" i="8" s="1"/>
  <c r="H27" i="8"/>
  <c r="H28" i="8"/>
  <c r="H29" i="8"/>
  <c r="I29" i="8" s="1"/>
  <c r="H25" i="8"/>
  <c r="I25" i="8" s="1"/>
  <c r="F54" i="8"/>
  <c r="F53" i="8"/>
  <c r="F52" i="8"/>
  <c r="F51" i="8"/>
  <c r="F50" i="8"/>
  <c r="F47" i="8" s="1"/>
  <c r="F44" i="8"/>
  <c r="F43" i="8"/>
  <c r="F42" i="8"/>
  <c r="F41" i="8"/>
  <c r="F40" i="8"/>
  <c r="F26" i="8"/>
  <c r="F27" i="8"/>
  <c r="F28" i="8"/>
  <c r="F29" i="8"/>
  <c r="F25" i="8"/>
  <c r="B66" i="8"/>
  <c r="B67" i="8"/>
  <c r="B68" i="8"/>
  <c r="B69" i="8"/>
  <c r="D54" i="8"/>
  <c r="D53" i="8"/>
  <c r="D52" i="8"/>
  <c r="D51" i="8"/>
  <c r="D44" i="8"/>
  <c r="D43" i="8"/>
  <c r="D42" i="8"/>
  <c r="D41" i="8"/>
  <c r="D29" i="8"/>
  <c r="J29" i="8" s="1"/>
  <c r="D28" i="8"/>
  <c r="I33" i="8" s="1"/>
  <c r="D27" i="8"/>
  <c r="I32" i="8" s="1"/>
  <c r="D26" i="8"/>
  <c r="E19" i="8"/>
  <c r="D19" i="8"/>
  <c r="E18" i="8"/>
  <c r="D18" i="8"/>
  <c r="F18" i="8" s="1"/>
  <c r="H18" i="8" s="1"/>
  <c r="I18" i="8" s="1"/>
  <c r="E17" i="8"/>
  <c r="D17" i="8"/>
  <c r="E16" i="8"/>
  <c r="D16" i="8"/>
  <c r="C23" i="16"/>
  <c r="Y374" i="18"/>
  <c r="X374" i="18"/>
  <c r="W374" i="18"/>
  <c r="V374" i="18"/>
  <c r="U374" i="18"/>
  <c r="T374" i="18"/>
  <c r="N373" i="18"/>
  <c r="N372" i="18"/>
  <c r="N371" i="18"/>
  <c r="N370" i="18"/>
  <c r="N369" i="18"/>
  <c r="N368" i="18"/>
  <c r="N367" i="18"/>
  <c r="N366" i="18"/>
  <c r="N365" i="18"/>
  <c r="N364" i="18"/>
  <c r="N363" i="18"/>
  <c r="N362" i="18"/>
  <c r="N361" i="18"/>
  <c r="N360" i="18"/>
  <c r="N359" i="18"/>
  <c r="N358" i="18"/>
  <c r="N357" i="18"/>
  <c r="N356" i="18"/>
  <c r="N355" i="18"/>
  <c r="N354" i="18"/>
  <c r="N353" i="18"/>
  <c r="N352" i="18"/>
  <c r="N351" i="18"/>
  <c r="N350" i="18"/>
  <c r="N349" i="18"/>
  <c r="N348" i="18"/>
  <c r="N347" i="18"/>
  <c r="N346" i="18"/>
  <c r="N345" i="18"/>
  <c r="N344" i="18"/>
  <c r="N343" i="18"/>
  <c r="N342" i="18"/>
  <c r="N341" i="18"/>
  <c r="N340" i="18"/>
  <c r="N339" i="18"/>
  <c r="N338" i="18"/>
  <c r="N337" i="18"/>
  <c r="N336" i="18"/>
  <c r="N335" i="18"/>
  <c r="N334" i="18"/>
  <c r="N333" i="18"/>
  <c r="N332" i="18"/>
  <c r="N331" i="18"/>
  <c r="N330" i="18"/>
  <c r="N329" i="18"/>
  <c r="N328" i="18"/>
  <c r="N327" i="18"/>
  <c r="N326" i="18"/>
  <c r="N325" i="18"/>
  <c r="N324" i="18"/>
  <c r="N323" i="18"/>
  <c r="N322" i="18"/>
  <c r="N321" i="18"/>
  <c r="N320" i="18"/>
  <c r="N319" i="18"/>
  <c r="N318" i="18"/>
  <c r="N317" i="18"/>
  <c r="N316" i="18"/>
  <c r="N315" i="18"/>
  <c r="N314" i="18"/>
  <c r="N313" i="18"/>
  <c r="N312" i="18"/>
  <c r="N311" i="18"/>
  <c r="N310" i="18"/>
  <c r="N309" i="18"/>
  <c r="N308" i="18"/>
  <c r="N307" i="18"/>
  <c r="N306" i="18"/>
  <c r="N305" i="18"/>
  <c r="N304" i="18"/>
  <c r="N303" i="18"/>
  <c r="N302" i="18"/>
  <c r="N301" i="18"/>
  <c r="N300" i="18"/>
  <c r="N299" i="18"/>
  <c r="N298" i="18"/>
  <c r="N297" i="18"/>
  <c r="N296" i="18"/>
  <c r="N295" i="18"/>
  <c r="N294" i="18"/>
  <c r="N293" i="18"/>
  <c r="N292" i="18"/>
  <c r="N291" i="18"/>
  <c r="N290" i="18"/>
  <c r="N289" i="18"/>
  <c r="N288" i="18"/>
  <c r="N287" i="18"/>
  <c r="N286" i="18"/>
  <c r="N285" i="18"/>
  <c r="N284" i="18"/>
  <c r="N283" i="18"/>
  <c r="N282" i="18"/>
  <c r="N281" i="18"/>
  <c r="N280" i="18"/>
  <c r="N279" i="18"/>
  <c r="N278" i="18"/>
  <c r="N277" i="18"/>
  <c r="N276" i="18"/>
  <c r="N275" i="18"/>
  <c r="N274" i="18"/>
  <c r="N273" i="18"/>
  <c r="N272" i="18"/>
  <c r="N271" i="18"/>
  <c r="N270" i="18"/>
  <c r="N269" i="18"/>
  <c r="N268" i="18"/>
  <c r="N267" i="18"/>
  <c r="N266" i="18"/>
  <c r="N265" i="18"/>
  <c r="N264" i="18"/>
  <c r="N263" i="18"/>
  <c r="N262" i="18"/>
  <c r="N261" i="18"/>
  <c r="N260" i="18"/>
  <c r="N259" i="18"/>
  <c r="N258" i="18"/>
  <c r="N257" i="18"/>
  <c r="N256" i="18"/>
  <c r="N255" i="18"/>
  <c r="N254" i="18"/>
  <c r="N253" i="18"/>
  <c r="N252" i="18"/>
  <c r="N251" i="18"/>
  <c r="N250" i="18"/>
  <c r="N249" i="18"/>
  <c r="N248" i="18"/>
  <c r="N247" i="18"/>
  <c r="N246" i="18"/>
  <c r="N245" i="18"/>
  <c r="N244" i="18"/>
  <c r="N243" i="18"/>
  <c r="N242" i="18"/>
  <c r="N241" i="18"/>
  <c r="N240" i="18"/>
  <c r="N239" i="18"/>
  <c r="N238" i="18"/>
  <c r="N237" i="18"/>
  <c r="N236" i="18"/>
  <c r="N235" i="18"/>
  <c r="N234" i="18"/>
  <c r="N233" i="18"/>
  <c r="N232" i="18"/>
  <c r="N231" i="18"/>
  <c r="N230" i="18"/>
  <c r="N229" i="18"/>
  <c r="N228" i="18"/>
  <c r="N227" i="18"/>
  <c r="N226" i="18"/>
  <c r="N225" i="18"/>
  <c r="N224" i="18"/>
  <c r="N223" i="18"/>
  <c r="N222" i="18"/>
  <c r="N221" i="18"/>
  <c r="N220" i="18"/>
  <c r="N219" i="18"/>
  <c r="N218" i="18"/>
  <c r="N217" i="18"/>
  <c r="N216" i="18"/>
  <c r="N215" i="18"/>
  <c r="N214" i="18"/>
  <c r="N213" i="18"/>
  <c r="N212" i="18"/>
  <c r="N211" i="18"/>
  <c r="N210" i="18"/>
  <c r="N209" i="18"/>
  <c r="N208" i="18"/>
  <c r="N207" i="18"/>
  <c r="N206" i="18"/>
  <c r="N205" i="18"/>
  <c r="N204" i="18"/>
  <c r="N203" i="18"/>
  <c r="N202" i="18"/>
  <c r="N201" i="18"/>
  <c r="N200" i="18"/>
  <c r="N199" i="18"/>
  <c r="N198" i="18"/>
  <c r="N197" i="18"/>
  <c r="N196" i="18"/>
  <c r="N195" i="18"/>
  <c r="N194" i="18"/>
  <c r="N193" i="18"/>
  <c r="N192" i="18"/>
  <c r="N191" i="18"/>
  <c r="N190" i="18"/>
  <c r="N189" i="18"/>
  <c r="N188" i="18"/>
  <c r="N187" i="18"/>
  <c r="N186" i="18"/>
  <c r="N185" i="18"/>
  <c r="N184" i="18"/>
  <c r="N183" i="18"/>
  <c r="N182" i="18"/>
  <c r="N181" i="18"/>
  <c r="N180" i="18"/>
  <c r="N179" i="18"/>
  <c r="N178" i="18"/>
  <c r="N177" i="18"/>
  <c r="N176" i="18"/>
  <c r="N175" i="18"/>
  <c r="N174" i="18"/>
  <c r="N173" i="18"/>
  <c r="N172" i="18"/>
  <c r="N171" i="18"/>
  <c r="N170" i="18"/>
  <c r="N169" i="18"/>
  <c r="N168" i="18"/>
  <c r="N167" i="18"/>
  <c r="N166" i="18"/>
  <c r="N165" i="18"/>
  <c r="N164" i="18"/>
  <c r="N163" i="18"/>
  <c r="N162" i="18"/>
  <c r="N161" i="18"/>
  <c r="N160" i="18"/>
  <c r="N159" i="18"/>
  <c r="N158" i="18"/>
  <c r="N157" i="18"/>
  <c r="N156" i="18"/>
  <c r="N155" i="18"/>
  <c r="N154" i="18"/>
  <c r="N153" i="18"/>
  <c r="N152" i="18"/>
  <c r="N151" i="18"/>
  <c r="N150" i="18"/>
  <c r="N149" i="18"/>
  <c r="N148" i="18"/>
  <c r="N147" i="18"/>
  <c r="N146" i="18"/>
  <c r="N145" i="18"/>
  <c r="N144" i="18"/>
  <c r="N143" i="18"/>
  <c r="N142" i="18"/>
  <c r="N141" i="18"/>
  <c r="N140" i="18"/>
  <c r="N139" i="18"/>
  <c r="N138" i="18"/>
  <c r="N137" i="18"/>
  <c r="N136" i="18"/>
  <c r="N135" i="18"/>
  <c r="N134" i="18"/>
  <c r="N133" i="18"/>
  <c r="N132" i="18"/>
  <c r="N131" i="18"/>
  <c r="N130" i="18"/>
  <c r="N129" i="18"/>
  <c r="N128" i="18"/>
  <c r="N127" i="18"/>
  <c r="N126" i="18"/>
  <c r="N125" i="18"/>
  <c r="N124" i="18"/>
  <c r="N123" i="18"/>
  <c r="N122" i="18"/>
  <c r="N121" i="18"/>
  <c r="N120" i="18"/>
  <c r="N119" i="18"/>
  <c r="N118" i="18"/>
  <c r="N117" i="18"/>
  <c r="N116" i="18"/>
  <c r="N115" i="18"/>
  <c r="N114" i="18"/>
  <c r="N113" i="18"/>
  <c r="N112" i="18"/>
  <c r="N111" i="18"/>
  <c r="N110" i="18"/>
  <c r="N109" i="18"/>
  <c r="N108" i="18"/>
  <c r="N107" i="18"/>
  <c r="N106" i="18"/>
  <c r="N105" i="18"/>
  <c r="N104" i="18"/>
  <c r="N103" i="18"/>
  <c r="N102" i="18"/>
  <c r="N101" i="18"/>
  <c r="N100" i="18"/>
  <c r="N99" i="18"/>
  <c r="N98" i="18"/>
  <c r="N97" i="18"/>
  <c r="N96" i="18"/>
  <c r="N95" i="18"/>
  <c r="N94" i="18"/>
  <c r="N93" i="18"/>
  <c r="N92" i="18"/>
  <c r="N91" i="18"/>
  <c r="N90" i="18"/>
  <c r="N89" i="18"/>
  <c r="N88" i="18"/>
  <c r="N87" i="18"/>
  <c r="N86" i="18"/>
  <c r="N85" i="18"/>
  <c r="N84" i="18"/>
  <c r="N83" i="18"/>
  <c r="N82" i="18"/>
  <c r="N81" i="18"/>
  <c r="N80" i="18"/>
  <c r="N79" i="18"/>
  <c r="N78" i="18"/>
  <c r="N77" i="18"/>
  <c r="N76" i="18"/>
  <c r="N75" i="18"/>
  <c r="N74" i="18"/>
  <c r="N73" i="18"/>
  <c r="N72" i="18"/>
  <c r="N71" i="18"/>
  <c r="N70" i="18"/>
  <c r="N69" i="18"/>
  <c r="N68" i="18"/>
  <c r="N67" i="18"/>
  <c r="N66" i="18"/>
  <c r="N65" i="18"/>
  <c r="N64" i="18"/>
  <c r="N63" i="18"/>
  <c r="N62" i="18"/>
  <c r="N61" i="18"/>
  <c r="N60" i="18"/>
  <c r="N59" i="18"/>
  <c r="N58" i="18"/>
  <c r="N57" i="18"/>
  <c r="N56" i="18"/>
  <c r="N55" i="18"/>
  <c r="N54" i="18"/>
  <c r="N53" i="18"/>
  <c r="N52" i="18"/>
  <c r="N51" i="18"/>
  <c r="N50" i="18"/>
  <c r="N49" i="18"/>
  <c r="N48" i="18"/>
  <c r="N47" i="18"/>
  <c r="N46" i="18"/>
  <c r="N45" i="18"/>
  <c r="N44" i="18"/>
  <c r="N43" i="18"/>
  <c r="N42" i="18"/>
  <c r="N41" i="18"/>
  <c r="N40" i="18"/>
  <c r="N39" i="18"/>
  <c r="N38" i="18"/>
  <c r="N37" i="18"/>
  <c r="N36" i="18"/>
  <c r="N35" i="18"/>
  <c r="N34" i="18"/>
  <c r="N33" i="18"/>
  <c r="N32" i="18"/>
  <c r="N31" i="18"/>
  <c r="N30" i="18"/>
  <c r="N29" i="18"/>
  <c r="N28" i="18"/>
  <c r="N27" i="18"/>
  <c r="N26" i="18"/>
  <c r="N25" i="18"/>
  <c r="N24" i="18"/>
  <c r="N23" i="18"/>
  <c r="N22" i="18"/>
  <c r="N21" i="18"/>
  <c r="N20" i="18"/>
  <c r="N19" i="18"/>
  <c r="N18" i="18"/>
  <c r="N17" i="18"/>
  <c r="N16" i="18"/>
  <c r="N15" i="18"/>
  <c r="N14" i="18"/>
  <c r="N13" i="18"/>
  <c r="N12" i="18"/>
  <c r="N11" i="18"/>
  <c r="D10" i="18"/>
  <c r="A10" i="18" s="1"/>
  <c r="Y9" i="18"/>
  <c r="X9" i="18"/>
  <c r="W9" i="18"/>
  <c r="R9" i="18"/>
  <c r="V9" i="18" s="1"/>
  <c r="N9" i="18"/>
  <c r="M9" i="18"/>
  <c r="L9" i="18"/>
  <c r="H9" i="18"/>
  <c r="H10" i="18" s="1"/>
  <c r="J5" i="18"/>
  <c r="D5" i="18"/>
  <c r="A5" i="18"/>
  <c r="J28" i="8" l="1"/>
  <c r="H22" i="8"/>
  <c r="J18" i="8"/>
  <c r="F19" i="8"/>
  <c r="H19" i="8" s="1"/>
  <c r="I19" i="8" s="1"/>
  <c r="F17" i="8"/>
  <c r="H17" i="8" s="1"/>
  <c r="I17" i="8" s="1"/>
  <c r="F16" i="8"/>
  <c r="H16" i="8" s="1"/>
  <c r="I16" i="8" s="1"/>
  <c r="J34" i="8"/>
  <c r="J33" i="8"/>
  <c r="J32" i="8"/>
  <c r="J31" i="8"/>
  <c r="H11" i="18"/>
  <c r="S9" i="18"/>
  <c r="T9" i="18"/>
  <c r="U9" i="18"/>
  <c r="C10" i="18"/>
  <c r="J9" i="18"/>
  <c r="F10" i="18"/>
  <c r="D11" i="18"/>
  <c r="J19" i="8" l="1"/>
  <c r="J17" i="8"/>
  <c r="J16" i="8"/>
  <c r="I10" i="18"/>
  <c r="Y10" i="18"/>
  <c r="X10" i="18"/>
  <c r="W10" i="18"/>
  <c r="N10" i="18"/>
  <c r="F5" i="18" s="1"/>
  <c r="H12" i="18"/>
  <c r="C11" i="18"/>
  <c r="F11" i="18" s="1"/>
  <c r="A11" i="18"/>
  <c r="D12" i="18"/>
  <c r="E10" i="18"/>
  <c r="B10" i="18"/>
  <c r="L10" i="18" s="1"/>
  <c r="R10" i="18"/>
  <c r="M10" i="18"/>
  <c r="J10" i="18"/>
  <c r="Y11" i="18" l="1"/>
  <c r="X11" i="18"/>
  <c r="W11" i="18"/>
  <c r="I11" i="18"/>
  <c r="J11" i="18"/>
  <c r="C12" i="18"/>
  <c r="A12" i="18"/>
  <c r="D13" i="18"/>
  <c r="R11" i="18"/>
  <c r="E11" i="18"/>
  <c r="F12" i="18" s="1"/>
  <c r="B11" i="18"/>
  <c r="L11" i="18" s="1"/>
  <c r="H13" i="18"/>
  <c r="V10" i="18"/>
  <c r="U10" i="18"/>
  <c r="T10" i="18"/>
  <c r="S10" i="18"/>
  <c r="Y12" i="18" l="1"/>
  <c r="X12" i="18"/>
  <c r="W12" i="18"/>
  <c r="I12" i="18"/>
  <c r="J12" i="18"/>
  <c r="L12" i="18"/>
  <c r="M11" i="18"/>
  <c r="V11" i="18"/>
  <c r="U11" i="18"/>
  <c r="T11" i="18"/>
  <c r="S11" i="18"/>
  <c r="D14" i="18"/>
  <c r="F13" i="18"/>
  <c r="C13" i="18"/>
  <c r="A13" i="18"/>
  <c r="B12" i="18"/>
  <c r="M12" i="18" s="1"/>
  <c r="R12" i="18"/>
  <c r="E12" i="18"/>
  <c r="H14" i="18"/>
  <c r="I13" i="18" l="1"/>
  <c r="Y13" i="18"/>
  <c r="X13" i="18"/>
  <c r="W13" i="18"/>
  <c r="V12" i="18"/>
  <c r="U12" i="18"/>
  <c r="T12" i="18"/>
  <c r="S12" i="18"/>
  <c r="J13" i="18"/>
  <c r="A14" i="18"/>
  <c r="D15" i="18"/>
  <c r="C14" i="18"/>
  <c r="H15" i="18"/>
  <c r="E13" i="18"/>
  <c r="R13" i="18"/>
  <c r="B13" i="18"/>
  <c r="M13" i="18" s="1"/>
  <c r="U13" i="18" l="1"/>
  <c r="T13" i="18"/>
  <c r="S13" i="18"/>
  <c r="L13" i="18"/>
  <c r="V13" i="18" s="1"/>
  <c r="H16" i="18"/>
  <c r="R14" i="18"/>
  <c r="E14" i="18"/>
  <c r="B14" i="18"/>
  <c r="M14" i="18" s="1"/>
  <c r="F14" i="18"/>
  <c r="D16" i="18"/>
  <c r="C15" i="18"/>
  <c r="A15" i="18"/>
  <c r="H17" i="18" l="1"/>
  <c r="S14" i="18"/>
  <c r="T14" i="18"/>
  <c r="U14" i="18"/>
  <c r="I14" i="18"/>
  <c r="Y14" i="18"/>
  <c r="X14" i="18"/>
  <c r="W14" i="18"/>
  <c r="J14" i="18"/>
  <c r="L14" i="18"/>
  <c r="V14" i="18" s="1"/>
  <c r="R15" i="18"/>
  <c r="E15" i="18"/>
  <c r="B15" i="18"/>
  <c r="F15" i="18"/>
  <c r="D17" i="18"/>
  <c r="C16" i="18"/>
  <c r="A16" i="18"/>
  <c r="M15" i="18"/>
  <c r="E16" i="18" l="1"/>
  <c r="B16" i="18"/>
  <c r="R16" i="18"/>
  <c r="H18" i="18"/>
  <c r="I15" i="18"/>
  <c r="Y15" i="18"/>
  <c r="X15" i="18"/>
  <c r="W15" i="18"/>
  <c r="J15" i="18"/>
  <c r="C17" i="18"/>
  <c r="D18" i="18"/>
  <c r="A17" i="18"/>
  <c r="F16" i="18"/>
  <c r="M16" i="18"/>
  <c r="L16" i="18"/>
  <c r="U15" i="18"/>
  <c r="T15" i="18"/>
  <c r="S15" i="18"/>
  <c r="L15" i="18"/>
  <c r="V15" i="18" s="1"/>
  <c r="E17" i="18" l="1"/>
  <c r="B17" i="18"/>
  <c r="M17" i="18" s="1"/>
  <c r="R17" i="18"/>
  <c r="F17" i="18"/>
  <c r="A18" i="18"/>
  <c r="D19" i="18"/>
  <c r="C18" i="18"/>
  <c r="F18" i="18" s="1"/>
  <c r="H19" i="18"/>
  <c r="V16" i="18"/>
  <c r="U16" i="18"/>
  <c r="T16" i="18"/>
  <c r="S16" i="18"/>
  <c r="I16" i="18"/>
  <c r="Y16" i="18"/>
  <c r="X16" i="18"/>
  <c r="W16" i="18"/>
  <c r="J16" i="18"/>
  <c r="Y18" i="18" l="1"/>
  <c r="X18" i="18"/>
  <c r="W18" i="18"/>
  <c r="J18" i="18"/>
  <c r="C19" i="18"/>
  <c r="A19" i="18"/>
  <c r="D20" i="18"/>
  <c r="H20" i="18"/>
  <c r="E18" i="18"/>
  <c r="F19" i="18" s="1"/>
  <c r="B18" i="18"/>
  <c r="M18" i="18" s="1"/>
  <c r="R18" i="18"/>
  <c r="X17" i="18"/>
  <c r="I17" i="18"/>
  <c r="I18" i="18" s="1"/>
  <c r="Y17" i="18"/>
  <c r="W17" i="18"/>
  <c r="J17" i="18"/>
  <c r="L17" i="18"/>
  <c r="V17" i="18"/>
  <c r="U17" i="18"/>
  <c r="T17" i="18"/>
  <c r="S17" i="18"/>
  <c r="Y19" i="18" l="1"/>
  <c r="X19" i="18"/>
  <c r="W19" i="18"/>
  <c r="I19" i="18"/>
  <c r="L19" i="18"/>
  <c r="J19" i="18"/>
  <c r="M19" i="18"/>
  <c r="H21" i="18"/>
  <c r="L18" i="18"/>
  <c r="V18" i="18" s="1"/>
  <c r="A20" i="18"/>
  <c r="C20" i="18"/>
  <c r="F20" i="18"/>
  <c r="D21" i="18"/>
  <c r="R19" i="18"/>
  <c r="B19" i="18"/>
  <c r="E19" i="18"/>
  <c r="T18" i="18"/>
  <c r="U18" i="18"/>
  <c r="S18" i="18"/>
  <c r="Y20" i="18" l="1"/>
  <c r="X20" i="18"/>
  <c r="W20" i="18"/>
  <c r="I20" i="18"/>
  <c r="C21" i="18"/>
  <c r="A21" i="18"/>
  <c r="D22" i="18"/>
  <c r="H22" i="18"/>
  <c r="B20" i="18"/>
  <c r="M20" i="18" s="1"/>
  <c r="R20" i="18"/>
  <c r="E20" i="18"/>
  <c r="F21" i="18" s="1"/>
  <c r="J20" i="18"/>
  <c r="V19" i="18"/>
  <c r="U19" i="18"/>
  <c r="T19" i="18"/>
  <c r="S19" i="18"/>
  <c r="X21" i="18" l="1"/>
  <c r="W21" i="18"/>
  <c r="Y21" i="18"/>
  <c r="I21" i="18"/>
  <c r="J21" i="18"/>
  <c r="V20" i="18"/>
  <c r="U20" i="18"/>
  <c r="T20" i="18"/>
  <c r="S20" i="18"/>
  <c r="H23" i="18"/>
  <c r="E21" i="18"/>
  <c r="R21" i="18"/>
  <c r="B21" i="18"/>
  <c r="M21" i="18" s="1"/>
  <c r="A22" i="18"/>
  <c r="D23" i="18"/>
  <c r="C22" i="18"/>
  <c r="L20" i="18"/>
  <c r="H24" i="18" l="1"/>
  <c r="U21" i="18"/>
  <c r="T21" i="18"/>
  <c r="S21" i="18"/>
  <c r="R22" i="18"/>
  <c r="B22" i="18"/>
  <c r="M22" i="18" s="1"/>
  <c r="E22" i="18"/>
  <c r="L21" i="18"/>
  <c r="V21" i="18" s="1"/>
  <c r="D24" i="18"/>
  <c r="C23" i="18"/>
  <c r="A23" i="18"/>
  <c r="F22" i="18"/>
  <c r="R23" i="18" l="1"/>
  <c r="E23" i="18"/>
  <c r="B23" i="18"/>
  <c r="M23" i="18"/>
  <c r="L23" i="18"/>
  <c r="D25" i="18"/>
  <c r="C24" i="18"/>
  <c r="A24" i="18"/>
  <c r="T22" i="18"/>
  <c r="S22" i="18"/>
  <c r="U22" i="18"/>
  <c r="L22" i="18"/>
  <c r="V22" i="18" s="1"/>
  <c r="F23" i="18"/>
  <c r="Y22" i="18"/>
  <c r="X22" i="18"/>
  <c r="W22" i="18"/>
  <c r="I22" i="18"/>
  <c r="J22" i="18"/>
  <c r="H25" i="18"/>
  <c r="C25" i="18" l="1"/>
  <c r="D26" i="18"/>
  <c r="A25" i="18"/>
  <c r="R24" i="18"/>
  <c r="E24" i="18"/>
  <c r="B24" i="18"/>
  <c r="H26" i="18"/>
  <c r="F24" i="18"/>
  <c r="L24" i="18" s="1"/>
  <c r="M24" i="18"/>
  <c r="X23" i="18"/>
  <c r="W23" i="18"/>
  <c r="I23" i="18"/>
  <c r="Y23" i="18"/>
  <c r="J23" i="18"/>
  <c r="V23" i="18"/>
  <c r="U23" i="18"/>
  <c r="T23" i="18"/>
  <c r="S23" i="18"/>
  <c r="H27" i="18" l="1"/>
  <c r="W24" i="18"/>
  <c r="X24" i="18"/>
  <c r="I24" i="18"/>
  <c r="Y24" i="18"/>
  <c r="J24" i="18"/>
  <c r="V24" i="18"/>
  <c r="U24" i="18"/>
  <c r="T24" i="18"/>
  <c r="S24" i="18"/>
  <c r="A26" i="18"/>
  <c r="F26" i="18"/>
  <c r="D27" i="18"/>
  <c r="C26" i="18"/>
  <c r="F25" i="18"/>
  <c r="E25" i="18"/>
  <c r="B25" i="18"/>
  <c r="M25" i="18" s="1"/>
  <c r="R25" i="18"/>
  <c r="U25" i="18" l="1"/>
  <c r="T25" i="18"/>
  <c r="S25" i="18"/>
  <c r="X26" i="18"/>
  <c r="W26" i="18"/>
  <c r="Y26" i="18"/>
  <c r="X25" i="18"/>
  <c r="W25" i="18"/>
  <c r="I25" i="18"/>
  <c r="I26" i="18" s="1"/>
  <c r="Y25" i="18"/>
  <c r="L25" i="18"/>
  <c r="V25" i="18" s="1"/>
  <c r="J25" i="18"/>
  <c r="H28" i="18"/>
  <c r="D28" i="18"/>
  <c r="C27" i="18"/>
  <c r="A27" i="18"/>
  <c r="R26" i="18"/>
  <c r="E26" i="18"/>
  <c r="F27" i="18" s="1"/>
  <c r="B26" i="18"/>
  <c r="M26" i="18" s="1"/>
  <c r="J26" i="18"/>
  <c r="W27" i="18" l="1"/>
  <c r="X27" i="18"/>
  <c r="I27" i="18"/>
  <c r="Y27" i="18"/>
  <c r="J27" i="18"/>
  <c r="T26" i="18"/>
  <c r="S26" i="18"/>
  <c r="U26" i="18"/>
  <c r="R27" i="18"/>
  <c r="E27" i="18"/>
  <c r="B27" i="18"/>
  <c r="M27" i="18" s="1"/>
  <c r="H29" i="18"/>
  <c r="F28" i="18"/>
  <c r="J28" i="18" s="1"/>
  <c r="D29" i="18"/>
  <c r="C28" i="18"/>
  <c r="A28" i="18"/>
  <c r="L26" i="18"/>
  <c r="V26" i="18" s="1"/>
  <c r="U27" i="18" l="1"/>
  <c r="T27" i="18"/>
  <c r="S27" i="18"/>
  <c r="H30" i="18"/>
  <c r="L27" i="18"/>
  <c r="V27" i="18" s="1"/>
  <c r="W28" i="18"/>
  <c r="I28" i="18"/>
  <c r="Y28" i="18"/>
  <c r="X28" i="18"/>
  <c r="R28" i="18"/>
  <c r="E28" i="18"/>
  <c r="B28" i="18"/>
  <c r="L28" i="18" s="1"/>
  <c r="C29" i="18"/>
  <c r="F29" i="18" s="1"/>
  <c r="D30" i="18"/>
  <c r="A29" i="18"/>
  <c r="X29" i="18" l="1"/>
  <c r="W29" i="18"/>
  <c r="I29" i="18"/>
  <c r="Y29" i="18"/>
  <c r="J29" i="18"/>
  <c r="V28" i="18"/>
  <c r="U28" i="18"/>
  <c r="T28" i="18"/>
  <c r="S28" i="18"/>
  <c r="M29" i="18"/>
  <c r="H31" i="18"/>
  <c r="A30" i="18"/>
  <c r="F30" i="18"/>
  <c r="D31" i="18"/>
  <c r="C30" i="18"/>
  <c r="M28" i="18"/>
  <c r="E29" i="18"/>
  <c r="B29" i="18"/>
  <c r="R29" i="18"/>
  <c r="L29" i="18"/>
  <c r="H32" i="18" l="1"/>
  <c r="Y30" i="18"/>
  <c r="X30" i="18"/>
  <c r="W30" i="18"/>
  <c r="I30" i="18"/>
  <c r="J30" i="18"/>
  <c r="S29" i="18"/>
  <c r="V29" i="18"/>
  <c r="U29" i="18"/>
  <c r="T29" i="18"/>
  <c r="R30" i="18"/>
  <c r="E30" i="18"/>
  <c r="B30" i="18"/>
  <c r="M30" i="18" s="1"/>
  <c r="A31" i="18"/>
  <c r="D32" i="18"/>
  <c r="C31" i="18"/>
  <c r="T30" i="18" l="1"/>
  <c r="S30" i="18"/>
  <c r="U30" i="18"/>
  <c r="R31" i="18"/>
  <c r="E31" i="18"/>
  <c r="B31" i="18"/>
  <c r="M31" i="18" s="1"/>
  <c r="D33" i="18"/>
  <c r="C32" i="18"/>
  <c r="A32" i="18"/>
  <c r="F31" i="18"/>
  <c r="H33" i="18"/>
  <c r="L30" i="18"/>
  <c r="V30" i="18" s="1"/>
  <c r="Y31" i="18" l="1"/>
  <c r="X31" i="18"/>
  <c r="W31" i="18"/>
  <c r="I31" i="18"/>
  <c r="J31" i="18"/>
  <c r="C33" i="18"/>
  <c r="A33" i="18"/>
  <c r="F33" i="18"/>
  <c r="D34" i="18"/>
  <c r="H34" i="18"/>
  <c r="J33" i="18"/>
  <c r="L32" i="18"/>
  <c r="B32" i="18"/>
  <c r="M32" i="18" s="1"/>
  <c r="R32" i="18"/>
  <c r="E32" i="18"/>
  <c r="F32" i="18"/>
  <c r="U31" i="18"/>
  <c r="T31" i="18"/>
  <c r="S31" i="18"/>
  <c r="L31" i="18"/>
  <c r="V31" i="18" s="1"/>
  <c r="H35" i="18" l="1"/>
  <c r="Y33" i="18"/>
  <c r="X33" i="18"/>
  <c r="W33" i="18"/>
  <c r="I33" i="18"/>
  <c r="A34" i="18"/>
  <c r="D35" i="18"/>
  <c r="C34" i="18"/>
  <c r="E33" i="18"/>
  <c r="B33" i="18"/>
  <c r="R33" i="18"/>
  <c r="W32" i="18"/>
  <c r="Y32" i="18"/>
  <c r="X32" i="18"/>
  <c r="I32" i="18"/>
  <c r="J32" i="18"/>
  <c r="V32" i="18"/>
  <c r="U32" i="18"/>
  <c r="T32" i="18"/>
  <c r="S32" i="18"/>
  <c r="L33" i="18" l="1"/>
  <c r="M33" i="18"/>
  <c r="E34" i="18"/>
  <c r="B34" i="18"/>
  <c r="M34" i="18" s="1"/>
  <c r="R34" i="18"/>
  <c r="F34" i="18"/>
  <c r="D36" i="18"/>
  <c r="C35" i="18"/>
  <c r="A35" i="18"/>
  <c r="S33" i="18"/>
  <c r="V33" i="18"/>
  <c r="U33" i="18"/>
  <c r="T33" i="18"/>
  <c r="H36" i="18"/>
  <c r="D37" i="18" l="1"/>
  <c r="C36" i="18"/>
  <c r="A36" i="18"/>
  <c r="R35" i="18"/>
  <c r="E35" i="18"/>
  <c r="B35" i="18"/>
  <c r="M35" i="18" s="1"/>
  <c r="L35" i="18"/>
  <c r="Y34" i="18"/>
  <c r="X34" i="18"/>
  <c r="W34" i="18"/>
  <c r="I34" i="18"/>
  <c r="J34" i="18"/>
  <c r="L34" i="18"/>
  <c r="F35" i="18"/>
  <c r="V34" i="18"/>
  <c r="U34" i="18"/>
  <c r="T34" i="18"/>
  <c r="S34" i="18"/>
  <c r="H37" i="18"/>
  <c r="V35" i="18" l="1"/>
  <c r="U35" i="18"/>
  <c r="T35" i="18"/>
  <c r="S35" i="18"/>
  <c r="H38" i="18"/>
  <c r="B36" i="18"/>
  <c r="E36" i="18"/>
  <c r="F37" i="18" s="1"/>
  <c r="R36" i="18"/>
  <c r="I35" i="18"/>
  <c r="Y35" i="18"/>
  <c r="X35" i="18"/>
  <c r="W35" i="18"/>
  <c r="J35" i="18"/>
  <c r="M36" i="18"/>
  <c r="F36" i="18"/>
  <c r="C37" i="18"/>
  <c r="A37" i="18"/>
  <c r="D38" i="18"/>
  <c r="Y37" i="18" l="1"/>
  <c r="X37" i="18"/>
  <c r="W37" i="18"/>
  <c r="J37" i="18"/>
  <c r="U36" i="18"/>
  <c r="T36" i="18"/>
  <c r="S36" i="18"/>
  <c r="H39" i="18"/>
  <c r="A38" i="18"/>
  <c r="F38" i="18"/>
  <c r="D39" i="18"/>
  <c r="C38" i="18"/>
  <c r="E37" i="18"/>
  <c r="B37" i="18"/>
  <c r="R37" i="18"/>
  <c r="L37" i="18"/>
  <c r="M37" i="18"/>
  <c r="I36" i="18"/>
  <c r="I37" i="18" s="1"/>
  <c r="W36" i="18"/>
  <c r="Y36" i="18"/>
  <c r="X36" i="18"/>
  <c r="J36" i="18"/>
  <c r="L36" i="18"/>
  <c r="V36" i="18" s="1"/>
  <c r="X38" i="18" l="1"/>
  <c r="W38" i="18"/>
  <c r="I38" i="18"/>
  <c r="Y38" i="18"/>
  <c r="H40" i="18"/>
  <c r="C39" i="18"/>
  <c r="D40" i="18"/>
  <c r="A39" i="18"/>
  <c r="J38" i="18"/>
  <c r="L38" i="18"/>
  <c r="S37" i="18"/>
  <c r="T37" i="18"/>
  <c r="V37" i="18"/>
  <c r="U37" i="18"/>
  <c r="R38" i="18"/>
  <c r="E38" i="18"/>
  <c r="B38" i="18"/>
  <c r="M38" i="18" s="1"/>
  <c r="R39" i="18" l="1"/>
  <c r="E39" i="18"/>
  <c r="B39" i="18"/>
  <c r="M39" i="18" s="1"/>
  <c r="H41" i="18"/>
  <c r="D41" i="18"/>
  <c r="C40" i="18"/>
  <c r="F40" i="18" s="1"/>
  <c r="A40" i="18"/>
  <c r="F39" i="18"/>
  <c r="V38" i="18"/>
  <c r="U38" i="18"/>
  <c r="T38" i="18"/>
  <c r="S38" i="18"/>
  <c r="X40" i="18" l="1"/>
  <c r="W40" i="18"/>
  <c r="Y40" i="18"/>
  <c r="J40" i="18"/>
  <c r="H42" i="18"/>
  <c r="X39" i="18"/>
  <c r="W39" i="18"/>
  <c r="Y39" i="18"/>
  <c r="I39" i="18"/>
  <c r="I40" i="18" s="1"/>
  <c r="J39" i="18"/>
  <c r="B40" i="18"/>
  <c r="M40" i="18" s="1"/>
  <c r="R40" i="18"/>
  <c r="E40" i="18"/>
  <c r="C41" i="18"/>
  <c r="F41" i="18" s="1"/>
  <c r="A41" i="18"/>
  <c r="D42" i="18"/>
  <c r="L39" i="18"/>
  <c r="V39" i="18"/>
  <c r="U39" i="18"/>
  <c r="T39" i="18"/>
  <c r="S39" i="18"/>
  <c r="Y41" i="18" l="1"/>
  <c r="X41" i="18"/>
  <c r="W41" i="18"/>
  <c r="I41" i="18"/>
  <c r="J41" i="18"/>
  <c r="H43" i="18"/>
  <c r="L40" i="18"/>
  <c r="V40" i="18" s="1"/>
  <c r="M41" i="18"/>
  <c r="A42" i="18"/>
  <c r="C42" i="18"/>
  <c r="D43" i="18"/>
  <c r="U40" i="18"/>
  <c r="T40" i="18"/>
  <c r="S40" i="18"/>
  <c r="E41" i="18"/>
  <c r="B41" i="18"/>
  <c r="L41" i="18" s="1"/>
  <c r="R41" i="18"/>
  <c r="F42" i="18" l="1"/>
  <c r="D44" i="18"/>
  <c r="C43" i="18"/>
  <c r="A43" i="18"/>
  <c r="V41" i="18"/>
  <c r="T41" i="18"/>
  <c r="S41" i="18"/>
  <c r="U41" i="18"/>
  <c r="R42" i="18"/>
  <c r="E42" i="18"/>
  <c r="B42" i="18"/>
  <c r="M42" i="18" s="1"/>
  <c r="H44" i="18"/>
  <c r="R43" i="18" l="1"/>
  <c r="E43" i="18"/>
  <c r="B43" i="18"/>
  <c r="D45" i="18"/>
  <c r="C44" i="18"/>
  <c r="F44" i="18" s="1"/>
  <c r="A44" i="18"/>
  <c r="V42" i="18"/>
  <c r="U42" i="18"/>
  <c r="T42" i="18"/>
  <c r="S42" i="18"/>
  <c r="F43" i="18"/>
  <c r="L43" i="18"/>
  <c r="M43" i="18"/>
  <c r="W42" i="18"/>
  <c r="I42" i="18"/>
  <c r="X42" i="18"/>
  <c r="Y42" i="18"/>
  <c r="J42" i="18"/>
  <c r="H45" i="18"/>
  <c r="L42" i="18"/>
  <c r="X44" i="18" l="1"/>
  <c r="W44" i="18"/>
  <c r="Y44" i="18"/>
  <c r="J44" i="18"/>
  <c r="H46" i="18"/>
  <c r="Y43" i="18"/>
  <c r="X43" i="18"/>
  <c r="W43" i="18"/>
  <c r="I43" i="18"/>
  <c r="I44" i="18" s="1"/>
  <c r="J43" i="18"/>
  <c r="E44" i="18"/>
  <c r="F45" i="18" s="1"/>
  <c r="B44" i="18"/>
  <c r="M44" i="18" s="1"/>
  <c r="R44" i="18"/>
  <c r="C45" i="18"/>
  <c r="A45" i="18"/>
  <c r="D46" i="18"/>
  <c r="V43" i="18"/>
  <c r="U43" i="18"/>
  <c r="T43" i="18"/>
  <c r="S43" i="18"/>
  <c r="Y45" i="18" l="1"/>
  <c r="X45" i="18"/>
  <c r="W45" i="18"/>
  <c r="I45" i="18"/>
  <c r="J45" i="18"/>
  <c r="T44" i="18"/>
  <c r="U44" i="18"/>
  <c r="S44" i="18"/>
  <c r="L44" i="18"/>
  <c r="V44" i="18" s="1"/>
  <c r="H47" i="18"/>
  <c r="J46" i="18"/>
  <c r="A46" i="18"/>
  <c r="C46" i="18"/>
  <c r="D47" i="18"/>
  <c r="F46" i="18"/>
  <c r="E45" i="18"/>
  <c r="B45" i="18"/>
  <c r="M45" i="18" s="1"/>
  <c r="R45" i="18"/>
  <c r="Y46" i="18" l="1"/>
  <c r="X46" i="18"/>
  <c r="W46" i="18"/>
  <c r="I46" i="18"/>
  <c r="T45" i="18"/>
  <c r="S45" i="18"/>
  <c r="U45" i="18"/>
  <c r="H48" i="18"/>
  <c r="L45" i="18"/>
  <c r="V45" i="18" s="1"/>
  <c r="C47" i="18"/>
  <c r="A47" i="18"/>
  <c r="D48" i="18"/>
  <c r="R46" i="18"/>
  <c r="B46" i="18"/>
  <c r="E46" i="18"/>
  <c r="R47" i="18" l="1"/>
  <c r="E47" i="18"/>
  <c r="B47" i="18"/>
  <c r="H49" i="18"/>
  <c r="F47" i="18"/>
  <c r="L47" i="18" s="1"/>
  <c r="M47" i="18"/>
  <c r="M46" i="18"/>
  <c r="L46" i="18"/>
  <c r="V46" i="18"/>
  <c r="U46" i="18"/>
  <c r="T46" i="18"/>
  <c r="S46" i="18"/>
  <c r="D49" i="18"/>
  <c r="F48" i="18"/>
  <c r="C48" i="18"/>
  <c r="A48" i="18"/>
  <c r="C49" i="18" l="1"/>
  <c r="A49" i="18"/>
  <c r="F49" i="18"/>
  <c r="D50" i="18"/>
  <c r="X47" i="18"/>
  <c r="I47" i="18"/>
  <c r="Y47" i="18"/>
  <c r="W47" i="18"/>
  <c r="J47" i="18"/>
  <c r="I48" i="18"/>
  <c r="X48" i="18"/>
  <c r="W48" i="18"/>
  <c r="Y48" i="18"/>
  <c r="H50" i="18"/>
  <c r="J48" i="18"/>
  <c r="E48" i="18"/>
  <c r="B48" i="18"/>
  <c r="M48" i="18" s="1"/>
  <c r="R48" i="18"/>
  <c r="U47" i="18"/>
  <c r="T47" i="18"/>
  <c r="S47" i="18"/>
  <c r="V47" i="18"/>
  <c r="T48" i="18" l="1"/>
  <c r="U48" i="18"/>
  <c r="S48" i="18"/>
  <c r="Y49" i="18"/>
  <c r="X49" i="18"/>
  <c r="W49" i="18"/>
  <c r="I49" i="18"/>
  <c r="J49" i="18"/>
  <c r="E49" i="18"/>
  <c r="B49" i="18"/>
  <c r="M49" i="18" s="1"/>
  <c r="R49" i="18"/>
  <c r="A50" i="18"/>
  <c r="D51" i="18"/>
  <c r="C50" i="18"/>
  <c r="H51" i="18"/>
  <c r="L48" i="18"/>
  <c r="V48" i="18" s="1"/>
  <c r="U49" i="18" l="1"/>
  <c r="T49" i="18"/>
  <c r="S49" i="18"/>
  <c r="R50" i="18"/>
  <c r="E50" i="18"/>
  <c r="B50" i="18"/>
  <c r="M50" i="18" s="1"/>
  <c r="H52" i="18"/>
  <c r="F50" i="18"/>
  <c r="D52" i="18"/>
  <c r="C51" i="18"/>
  <c r="A51" i="18"/>
  <c r="L49" i="18"/>
  <c r="V49" i="18" s="1"/>
  <c r="D53" i="18" l="1"/>
  <c r="C52" i="18"/>
  <c r="F52" i="18" s="1"/>
  <c r="A52" i="18"/>
  <c r="R51" i="18"/>
  <c r="E51" i="18"/>
  <c r="B51" i="18"/>
  <c r="M51" i="18" s="1"/>
  <c r="Y50" i="18"/>
  <c r="X50" i="18"/>
  <c r="W50" i="18"/>
  <c r="I50" i="18"/>
  <c r="J50" i="18"/>
  <c r="L50" i="18"/>
  <c r="V50" i="18" s="1"/>
  <c r="F51" i="18"/>
  <c r="L51" i="18" s="1"/>
  <c r="H53" i="18"/>
  <c r="U50" i="18"/>
  <c r="T50" i="18"/>
  <c r="S50" i="18"/>
  <c r="Y52" i="18" l="1"/>
  <c r="X52" i="18"/>
  <c r="W52" i="18"/>
  <c r="J52" i="18"/>
  <c r="L52" i="18"/>
  <c r="H54" i="18"/>
  <c r="I51" i="18"/>
  <c r="I52" i="18" s="1"/>
  <c r="X51" i="18"/>
  <c r="Y51" i="18"/>
  <c r="W51" i="18"/>
  <c r="J51" i="18"/>
  <c r="S51" i="18"/>
  <c r="T51" i="18"/>
  <c r="V51" i="18"/>
  <c r="U51" i="18"/>
  <c r="E52" i="18"/>
  <c r="B52" i="18"/>
  <c r="M52" i="18" s="1"/>
  <c r="R52" i="18"/>
  <c r="C53" i="18"/>
  <c r="A53" i="18"/>
  <c r="F53" i="18"/>
  <c r="J53" i="18" s="1"/>
  <c r="D54" i="18"/>
  <c r="Y53" i="18" l="1"/>
  <c r="X53" i="18"/>
  <c r="W53" i="18"/>
  <c r="I53" i="18"/>
  <c r="E53" i="18"/>
  <c r="B53" i="18"/>
  <c r="M53" i="18" s="1"/>
  <c r="R53" i="18"/>
  <c r="H55" i="18"/>
  <c r="A54" i="18"/>
  <c r="D55" i="18"/>
  <c r="C54" i="18"/>
  <c r="L53" i="18"/>
  <c r="V52" i="18"/>
  <c r="T52" i="18"/>
  <c r="U52" i="18"/>
  <c r="S52" i="18"/>
  <c r="D56" i="18" l="1"/>
  <c r="C55" i="18"/>
  <c r="A55" i="18"/>
  <c r="F54" i="18"/>
  <c r="V53" i="18"/>
  <c r="U53" i="18"/>
  <c r="T53" i="18"/>
  <c r="S53" i="18"/>
  <c r="R54" i="18"/>
  <c r="E54" i="18"/>
  <c r="B54" i="18"/>
  <c r="M54" i="18" s="1"/>
  <c r="L54" i="18"/>
  <c r="H56" i="18"/>
  <c r="V54" i="18" l="1"/>
  <c r="U54" i="18"/>
  <c r="T54" i="18"/>
  <c r="S54" i="18"/>
  <c r="Y54" i="18"/>
  <c r="X54" i="18"/>
  <c r="W54" i="18"/>
  <c r="I54" i="18"/>
  <c r="J54" i="18"/>
  <c r="F55" i="18"/>
  <c r="D57" i="18"/>
  <c r="C56" i="18"/>
  <c r="A56" i="18"/>
  <c r="R55" i="18"/>
  <c r="E55" i="18"/>
  <c r="B55" i="18"/>
  <c r="M55" i="18" s="1"/>
  <c r="H57" i="18"/>
  <c r="E56" i="18" l="1"/>
  <c r="B56" i="18"/>
  <c r="R56" i="18"/>
  <c r="F56" i="18"/>
  <c r="C57" i="18"/>
  <c r="A57" i="18"/>
  <c r="F57" i="18"/>
  <c r="D58" i="18"/>
  <c r="I55" i="18"/>
  <c r="X55" i="18"/>
  <c r="Y55" i="18"/>
  <c r="W55" i="18"/>
  <c r="J55" i="18"/>
  <c r="L55" i="18"/>
  <c r="V55" i="18" s="1"/>
  <c r="H58" i="18"/>
  <c r="S55" i="18"/>
  <c r="T55" i="18"/>
  <c r="U55" i="18"/>
  <c r="L56" i="18"/>
  <c r="M56" i="18"/>
  <c r="Y57" i="18" l="1"/>
  <c r="X57" i="18"/>
  <c r="W57" i="18"/>
  <c r="A58" i="18"/>
  <c r="D59" i="18"/>
  <c r="C58" i="18"/>
  <c r="V56" i="18"/>
  <c r="T56" i="18"/>
  <c r="S56" i="18"/>
  <c r="U56" i="18"/>
  <c r="L57" i="18"/>
  <c r="E57" i="18"/>
  <c r="F58" i="18" s="1"/>
  <c r="B57" i="18"/>
  <c r="M57" i="18" s="1"/>
  <c r="R57" i="18"/>
  <c r="I56" i="18"/>
  <c r="I57" i="18" s="1"/>
  <c r="Y56" i="18"/>
  <c r="X56" i="18"/>
  <c r="W56" i="18"/>
  <c r="J56" i="18"/>
  <c r="J57" i="18"/>
  <c r="H59" i="18"/>
  <c r="Y58" i="18" l="1"/>
  <c r="X58" i="18"/>
  <c r="W58" i="18"/>
  <c r="I58" i="18"/>
  <c r="J58" i="18"/>
  <c r="R58" i="18"/>
  <c r="B58" i="18"/>
  <c r="M58" i="18" s="1"/>
  <c r="E58" i="18"/>
  <c r="H60" i="18"/>
  <c r="L58" i="18"/>
  <c r="D60" i="18"/>
  <c r="C59" i="18"/>
  <c r="A59" i="18"/>
  <c r="V57" i="18"/>
  <c r="U57" i="18"/>
  <c r="T57" i="18"/>
  <c r="S57" i="18"/>
  <c r="D61" i="18" l="1"/>
  <c r="C60" i="18"/>
  <c r="A60" i="18"/>
  <c r="R59" i="18"/>
  <c r="E59" i="18"/>
  <c r="B59" i="18"/>
  <c r="L59" i="18" s="1"/>
  <c r="H61" i="18"/>
  <c r="V58" i="18"/>
  <c r="U58" i="18"/>
  <c r="T58" i="18"/>
  <c r="S58" i="18"/>
  <c r="F59" i="18"/>
  <c r="H62" i="18" l="1"/>
  <c r="E60" i="18"/>
  <c r="B60" i="18"/>
  <c r="M60" i="18" s="1"/>
  <c r="R60" i="18"/>
  <c r="M59" i="18"/>
  <c r="F60" i="18"/>
  <c r="V59" i="18"/>
  <c r="U59" i="18"/>
  <c r="T59" i="18"/>
  <c r="S59" i="18"/>
  <c r="I59" i="18"/>
  <c r="X59" i="18"/>
  <c r="W59" i="18"/>
  <c r="Y59" i="18"/>
  <c r="J59" i="18"/>
  <c r="C61" i="18"/>
  <c r="A61" i="18"/>
  <c r="D62" i="18"/>
  <c r="T60" i="18" l="1"/>
  <c r="S60" i="18"/>
  <c r="U60" i="18"/>
  <c r="I60" i="18"/>
  <c r="Y60" i="18"/>
  <c r="X60" i="18"/>
  <c r="W60" i="18"/>
  <c r="L60" i="18"/>
  <c r="V60" i="18" s="1"/>
  <c r="J60" i="18"/>
  <c r="F61" i="18"/>
  <c r="A62" i="18"/>
  <c r="C62" i="18"/>
  <c r="D63" i="18"/>
  <c r="E61" i="18"/>
  <c r="B61" i="18"/>
  <c r="M61" i="18" s="1"/>
  <c r="R61" i="18"/>
  <c r="H63" i="18"/>
  <c r="R62" i="18" l="1"/>
  <c r="E62" i="18"/>
  <c r="B62" i="18"/>
  <c r="M62" i="18"/>
  <c r="F62" i="18"/>
  <c r="Y61" i="18"/>
  <c r="X61" i="18"/>
  <c r="W61" i="18"/>
  <c r="I61" i="18"/>
  <c r="J61" i="18"/>
  <c r="L61" i="18"/>
  <c r="V61" i="18" s="1"/>
  <c r="H64" i="18"/>
  <c r="U61" i="18"/>
  <c r="T61" i="18"/>
  <c r="S61" i="18"/>
  <c r="D64" i="18"/>
  <c r="C63" i="18"/>
  <c r="A63" i="18"/>
  <c r="I62" i="18" l="1"/>
  <c r="Y62" i="18"/>
  <c r="X62" i="18"/>
  <c r="W62" i="18"/>
  <c r="J62" i="18"/>
  <c r="R63" i="18"/>
  <c r="E63" i="18"/>
  <c r="B63" i="18"/>
  <c r="M63" i="18" s="1"/>
  <c r="F63" i="18"/>
  <c r="D65" i="18"/>
  <c r="C64" i="18"/>
  <c r="A64" i="18"/>
  <c r="H65" i="18"/>
  <c r="L62" i="18"/>
  <c r="V62" i="18"/>
  <c r="U62" i="18"/>
  <c r="T62" i="18"/>
  <c r="S62" i="18"/>
  <c r="E64" i="18" l="1"/>
  <c r="B64" i="18"/>
  <c r="M64" i="18" s="1"/>
  <c r="R64" i="18"/>
  <c r="I63" i="18"/>
  <c r="X63" i="18"/>
  <c r="W63" i="18"/>
  <c r="Y63" i="18"/>
  <c r="J63" i="18"/>
  <c r="H66" i="18"/>
  <c r="F64" i="18"/>
  <c r="V63" i="18"/>
  <c r="U63" i="18"/>
  <c r="T63" i="18"/>
  <c r="S63" i="18"/>
  <c r="C65" i="18"/>
  <c r="A65" i="18"/>
  <c r="D66" i="18"/>
  <c r="L63" i="18"/>
  <c r="H67" i="18" l="1"/>
  <c r="S64" i="18"/>
  <c r="U64" i="18"/>
  <c r="T64" i="18"/>
  <c r="E65" i="18"/>
  <c r="B65" i="18"/>
  <c r="M65" i="18" s="1"/>
  <c r="R65" i="18"/>
  <c r="I64" i="18"/>
  <c r="Y64" i="18"/>
  <c r="X64" i="18"/>
  <c r="W64" i="18"/>
  <c r="J64" i="18"/>
  <c r="L64" i="18"/>
  <c r="V64" i="18" s="1"/>
  <c r="F66" i="18"/>
  <c r="C66" i="18"/>
  <c r="A66" i="18"/>
  <c r="D67" i="18"/>
  <c r="F65" i="18"/>
  <c r="Y66" i="18" l="1"/>
  <c r="X66" i="18"/>
  <c r="W66" i="18"/>
  <c r="I66" i="18"/>
  <c r="V65" i="18"/>
  <c r="U65" i="18"/>
  <c r="T65" i="18"/>
  <c r="S65" i="18"/>
  <c r="D68" i="18"/>
  <c r="C67" i="18"/>
  <c r="A67" i="18"/>
  <c r="J66" i="18"/>
  <c r="Y65" i="18"/>
  <c r="X65" i="18"/>
  <c r="W65" i="18"/>
  <c r="I65" i="18"/>
  <c r="L65" i="18"/>
  <c r="J65" i="18"/>
  <c r="B66" i="18"/>
  <c r="M66" i="18" s="1"/>
  <c r="R66" i="18"/>
  <c r="E66" i="18"/>
  <c r="H68" i="18"/>
  <c r="B67" i="18" l="1"/>
  <c r="R67" i="18"/>
  <c r="E67" i="18"/>
  <c r="M67" i="18"/>
  <c r="H69" i="18"/>
  <c r="F67" i="18"/>
  <c r="L67" i="18" s="1"/>
  <c r="U66" i="18"/>
  <c r="T66" i="18"/>
  <c r="S66" i="18"/>
  <c r="L66" i="18"/>
  <c r="V66" i="18" s="1"/>
  <c r="D69" i="18"/>
  <c r="F68" i="18"/>
  <c r="C68" i="18"/>
  <c r="A68" i="18"/>
  <c r="D70" i="18" l="1"/>
  <c r="C69" i="18"/>
  <c r="F69" i="18" s="1"/>
  <c r="A69" i="18"/>
  <c r="W67" i="18"/>
  <c r="I67" i="18"/>
  <c r="I68" i="18" s="1"/>
  <c r="Y67" i="18"/>
  <c r="X67" i="18"/>
  <c r="J67" i="18"/>
  <c r="H70" i="18"/>
  <c r="V67" i="18"/>
  <c r="U67" i="18"/>
  <c r="T67" i="18"/>
  <c r="S67" i="18"/>
  <c r="Y68" i="18"/>
  <c r="X68" i="18"/>
  <c r="W68" i="18"/>
  <c r="J68" i="18"/>
  <c r="R68" i="18"/>
  <c r="E68" i="18"/>
  <c r="B68" i="18"/>
  <c r="I69" i="18" l="1"/>
  <c r="Y69" i="18"/>
  <c r="W69" i="18"/>
  <c r="X69" i="18"/>
  <c r="J69" i="18"/>
  <c r="H71" i="18"/>
  <c r="M68" i="18"/>
  <c r="L68" i="18"/>
  <c r="V68" i="18" s="1"/>
  <c r="D71" i="18"/>
  <c r="C70" i="18"/>
  <c r="A70" i="18"/>
  <c r="E69" i="18"/>
  <c r="R69" i="18"/>
  <c r="B69" i="18"/>
  <c r="M69" i="18"/>
  <c r="S68" i="18"/>
  <c r="T68" i="18"/>
  <c r="U68" i="18"/>
  <c r="L69" i="18"/>
  <c r="E70" i="18" l="1"/>
  <c r="B70" i="18"/>
  <c r="M70" i="18" s="1"/>
  <c r="R70" i="18"/>
  <c r="F70" i="18"/>
  <c r="H72" i="18"/>
  <c r="C71" i="18"/>
  <c r="A71" i="18"/>
  <c r="D72" i="18"/>
  <c r="V69" i="18"/>
  <c r="U69" i="18"/>
  <c r="T69" i="18"/>
  <c r="S69" i="18"/>
  <c r="B71" i="18" l="1"/>
  <c r="M71" i="18" s="1"/>
  <c r="E71" i="18"/>
  <c r="R71" i="18"/>
  <c r="H73" i="18"/>
  <c r="F71" i="18"/>
  <c r="I70" i="18"/>
  <c r="Y70" i="18"/>
  <c r="X70" i="18"/>
  <c r="W70" i="18"/>
  <c r="J70" i="18"/>
  <c r="L70" i="18"/>
  <c r="V70" i="18" s="1"/>
  <c r="C72" i="18"/>
  <c r="A72" i="18"/>
  <c r="D73" i="18"/>
  <c r="T70" i="18"/>
  <c r="S70" i="18"/>
  <c r="U70" i="18"/>
  <c r="A73" i="18" l="1"/>
  <c r="C73" i="18"/>
  <c r="F73" i="18" s="1"/>
  <c r="D74" i="18"/>
  <c r="B72" i="18"/>
  <c r="M72" i="18" s="1"/>
  <c r="R72" i="18"/>
  <c r="E72" i="18"/>
  <c r="W71" i="18"/>
  <c r="Y71" i="18"/>
  <c r="X71" i="18"/>
  <c r="I71" i="18"/>
  <c r="J71" i="18"/>
  <c r="L71" i="18"/>
  <c r="V71" i="18"/>
  <c r="U71" i="18"/>
  <c r="T71" i="18"/>
  <c r="S71" i="18"/>
  <c r="F72" i="18"/>
  <c r="H74" i="18"/>
  <c r="L72" i="18"/>
  <c r="Y73" i="18" l="1"/>
  <c r="X73" i="18"/>
  <c r="W73" i="18"/>
  <c r="J73" i="18"/>
  <c r="S72" i="18"/>
  <c r="V72" i="18"/>
  <c r="U72" i="18"/>
  <c r="T72" i="18"/>
  <c r="D75" i="18"/>
  <c r="C74" i="18"/>
  <c r="A74" i="18"/>
  <c r="H75" i="18"/>
  <c r="R73" i="18"/>
  <c r="E73" i="18"/>
  <c r="B73" i="18"/>
  <c r="Y72" i="18"/>
  <c r="X72" i="18"/>
  <c r="W72" i="18"/>
  <c r="I72" i="18"/>
  <c r="I73" i="18" s="1"/>
  <c r="J72" i="18"/>
  <c r="M73" i="18"/>
  <c r="L73" i="18"/>
  <c r="R74" i="18" l="1"/>
  <c r="E74" i="18"/>
  <c r="B74" i="18"/>
  <c r="D76" i="18"/>
  <c r="C75" i="18"/>
  <c r="A75" i="18"/>
  <c r="M74" i="18"/>
  <c r="F74" i="18"/>
  <c r="V73" i="18"/>
  <c r="U73" i="18"/>
  <c r="T73" i="18"/>
  <c r="S73" i="18"/>
  <c r="H76" i="18"/>
  <c r="D77" i="18" l="1"/>
  <c r="C76" i="18"/>
  <c r="F76" i="18" s="1"/>
  <c r="A76" i="18"/>
  <c r="B75" i="18"/>
  <c r="M75" i="18" s="1"/>
  <c r="E75" i="18"/>
  <c r="R75" i="18"/>
  <c r="F75" i="18"/>
  <c r="L75" i="18"/>
  <c r="S74" i="18"/>
  <c r="V74" i="18"/>
  <c r="U74" i="18"/>
  <c r="T74" i="18"/>
  <c r="I74" i="18"/>
  <c r="Y74" i="18"/>
  <c r="X74" i="18"/>
  <c r="W74" i="18"/>
  <c r="J74" i="18"/>
  <c r="H77" i="18"/>
  <c r="L74" i="18"/>
  <c r="Y76" i="18" l="1"/>
  <c r="X76" i="18"/>
  <c r="W76" i="18"/>
  <c r="L76" i="18"/>
  <c r="J76" i="18"/>
  <c r="W75" i="18"/>
  <c r="I75" i="18"/>
  <c r="I76" i="18" s="1"/>
  <c r="Y75" i="18"/>
  <c r="X75" i="18"/>
  <c r="J75" i="18"/>
  <c r="V75" i="18"/>
  <c r="U75" i="18"/>
  <c r="T75" i="18"/>
  <c r="S75" i="18"/>
  <c r="H78" i="18"/>
  <c r="E76" i="18"/>
  <c r="B76" i="18"/>
  <c r="M76" i="18" s="1"/>
  <c r="R76" i="18"/>
  <c r="C77" i="18"/>
  <c r="A77" i="18"/>
  <c r="D78" i="18"/>
  <c r="F77" i="18"/>
  <c r="H79" i="18" l="1"/>
  <c r="S76" i="18"/>
  <c r="V76" i="18"/>
  <c r="T76" i="18"/>
  <c r="U76" i="18"/>
  <c r="Y77" i="18"/>
  <c r="X77" i="18"/>
  <c r="W77" i="18"/>
  <c r="I77" i="18"/>
  <c r="A78" i="18"/>
  <c r="D79" i="18"/>
  <c r="C78" i="18"/>
  <c r="F78" i="18" s="1"/>
  <c r="E77" i="18"/>
  <c r="B77" i="18"/>
  <c r="M77" i="18" s="1"/>
  <c r="R77" i="18"/>
  <c r="L77" i="18"/>
  <c r="J77" i="18"/>
  <c r="X78" i="18" l="1"/>
  <c r="Y78" i="18"/>
  <c r="W78" i="18"/>
  <c r="I78" i="18"/>
  <c r="J78" i="18"/>
  <c r="D80" i="18"/>
  <c r="C79" i="18"/>
  <c r="A79" i="18"/>
  <c r="B78" i="18"/>
  <c r="M78" i="18" s="1"/>
  <c r="R78" i="18"/>
  <c r="E78" i="18"/>
  <c r="V77" i="18"/>
  <c r="U77" i="18"/>
  <c r="T77" i="18"/>
  <c r="S77" i="18"/>
  <c r="H80" i="18"/>
  <c r="F79" i="18" l="1"/>
  <c r="U78" i="18"/>
  <c r="T78" i="18"/>
  <c r="S78" i="18"/>
  <c r="L78" i="18"/>
  <c r="V78" i="18" s="1"/>
  <c r="C80" i="18"/>
  <c r="A80" i="18"/>
  <c r="F80" i="18"/>
  <c r="D81" i="18"/>
  <c r="H81" i="18"/>
  <c r="J80" i="18"/>
  <c r="B79" i="18"/>
  <c r="M79" i="18" s="1"/>
  <c r="R79" i="18"/>
  <c r="E79" i="18"/>
  <c r="H82" i="18" l="1"/>
  <c r="Y80" i="18"/>
  <c r="X80" i="18"/>
  <c r="W80" i="18"/>
  <c r="C81" i="18"/>
  <c r="F81" i="18" s="1"/>
  <c r="A81" i="18"/>
  <c r="D82" i="18"/>
  <c r="R80" i="18"/>
  <c r="E80" i="18"/>
  <c r="B80" i="18"/>
  <c r="L80" i="18" s="1"/>
  <c r="W79" i="18"/>
  <c r="X79" i="18"/>
  <c r="Y79" i="18"/>
  <c r="I79" i="18"/>
  <c r="I80" i="18" s="1"/>
  <c r="J79" i="18"/>
  <c r="T79" i="18"/>
  <c r="U79" i="18"/>
  <c r="S79" i="18"/>
  <c r="L79" i="18"/>
  <c r="V79" i="18" s="1"/>
  <c r="I81" i="18" l="1"/>
  <c r="Y81" i="18"/>
  <c r="X81" i="18"/>
  <c r="W81" i="18"/>
  <c r="J81" i="18"/>
  <c r="C82" i="18"/>
  <c r="D83" i="18"/>
  <c r="A82" i="18"/>
  <c r="R81" i="18"/>
  <c r="E81" i="18"/>
  <c r="B81" i="18"/>
  <c r="M81" i="18" s="1"/>
  <c r="S80" i="18"/>
  <c r="V80" i="18"/>
  <c r="U80" i="18"/>
  <c r="T80" i="18"/>
  <c r="H83" i="18"/>
  <c r="M80" i="18"/>
  <c r="U81" i="18" l="1"/>
  <c r="T81" i="18"/>
  <c r="S81" i="18"/>
  <c r="E82" i="18"/>
  <c r="R82" i="18"/>
  <c r="B82" i="18"/>
  <c r="A83" i="18"/>
  <c r="C83" i="18"/>
  <c r="D84" i="18"/>
  <c r="M82" i="18"/>
  <c r="L81" i="18"/>
  <c r="V81" i="18" s="1"/>
  <c r="H84" i="18"/>
  <c r="F82" i="18"/>
  <c r="F83" i="18" l="1"/>
  <c r="L83" i="18" s="1"/>
  <c r="B83" i="18"/>
  <c r="M83" i="18" s="1"/>
  <c r="R83" i="18"/>
  <c r="E83" i="18"/>
  <c r="T82" i="18"/>
  <c r="S82" i="18"/>
  <c r="V82" i="18"/>
  <c r="U82" i="18"/>
  <c r="X82" i="18"/>
  <c r="I82" i="18"/>
  <c r="Y82" i="18"/>
  <c r="W82" i="18"/>
  <c r="J82" i="18"/>
  <c r="L82" i="18"/>
  <c r="D85" i="18"/>
  <c r="C84" i="18"/>
  <c r="A84" i="18"/>
  <c r="H85" i="18"/>
  <c r="F84" i="18" l="1"/>
  <c r="V83" i="18"/>
  <c r="T83" i="18"/>
  <c r="S83" i="18"/>
  <c r="U83" i="18"/>
  <c r="H86" i="18"/>
  <c r="R84" i="18"/>
  <c r="E84" i="18"/>
  <c r="B84" i="18"/>
  <c r="M84" i="18" s="1"/>
  <c r="D86" i="18"/>
  <c r="C85" i="18"/>
  <c r="A85" i="18"/>
  <c r="W83" i="18"/>
  <c r="I83" i="18"/>
  <c r="Y83" i="18"/>
  <c r="X83" i="18"/>
  <c r="J83" i="18"/>
  <c r="S84" i="18" l="1"/>
  <c r="U84" i="18"/>
  <c r="T84" i="18"/>
  <c r="V84" i="18"/>
  <c r="R85" i="18"/>
  <c r="E85" i="18"/>
  <c r="B85" i="18"/>
  <c r="M85" i="18" s="1"/>
  <c r="F85" i="18"/>
  <c r="C86" i="18"/>
  <c r="D87" i="18"/>
  <c r="A86" i="18"/>
  <c r="I84" i="18"/>
  <c r="Y84" i="18"/>
  <c r="X84" i="18"/>
  <c r="W84" i="18"/>
  <c r="J84" i="18"/>
  <c r="H87" i="18"/>
  <c r="L84" i="18"/>
  <c r="I85" i="18" l="1"/>
  <c r="Y85" i="18"/>
  <c r="X85" i="18"/>
  <c r="W85" i="18"/>
  <c r="J85" i="18"/>
  <c r="E86" i="18"/>
  <c r="R86" i="18"/>
  <c r="B86" i="18"/>
  <c r="M86" i="18" s="1"/>
  <c r="T85" i="18"/>
  <c r="S85" i="18"/>
  <c r="V85" i="18"/>
  <c r="U85" i="18"/>
  <c r="F86" i="18"/>
  <c r="A87" i="18"/>
  <c r="D88" i="18"/>
  <c r="C87" i="18"/>
  <c r="L85" i="18"/>
  <c r="H88" i="18"/>
  <c r="B87" i="18" l="1"/>
  <c r="M87" i="18" s="1"/>
  <c r="R87" i="18"/>
  <c r="E87" i="18"/>
  <c r="X86" i="18"/>
  <c r="I86" i="18"/>
  <c r="Y86" i="18"/>
  <c r="W86" i="18"/>
  <c r="L86" i="18"/>
  <c r="J86" i="18"/>
  <c r="S86" i="18"/>
  <c r="V86" i="18"/>
  <c r="U86" i="18"/>
  <c r="T86" i="18"/>
  <c r="H89" i="18"/>
  <c r="D89" i="18"/>
  <c r="C88" i="18"/>
  <c r="A88" i="18"/>
  <c r="F87" i="18"/>
  <c r="W87" i="18" l="1"/>
  <c r="I87" i="18"/>
  <c r="Y87" i="18"/>
  <c r="X87" i="18"/>
  <c r="J87" i="18"/>
  <c r="L87" i="18"/>
  <c r="H90" i="18"/>
  <c r="V87" i="18"/>
  <c r="T87" i="18"/>
  <c r="U87" i="18"/>
  <c r="S87" i="18"/>
  <c r="R88" i="18"/>
  <c r="E88" i="18"/>
  <c r="B88" i="18"/>
  <c r="M88" i="18" s="1"/>
  <c r="D90" i="18"/>
  <c r="C89" i="18"/>
  <c r="A89" i="18"/>
  <c r="F88" i="18"/>
  <c r="S88" i="18" l="1"/>
  <c r="T88" i="18"/>
  <c r="V88" i="18"/>
  <c r="U88" i="18"/>
  <c r="H91" i="18"/>
  <c r="C90" i="18"/>
  <c r="F90" i="18" s="1"/>
  <c r="D91" i="18"/>
  <c r="A90" i="18"/>
  <c r="L88" i="18"/>
  <c r="I88" i="18"/>
  <c r="Y88" i="18"/>
  <c r="X88" i="18"/>
  <c r="W88" i="18"/>
  <c r="J88" i="18"/>
  <c r="R89" i="18"/>
  <c r="E89" i="18"/>
  <c r="B89" i="18"/>
  <c r="M89" i="18" s="1"/>
  <c r="F89" i="18"/>
  <c r="X90" i="18" l="1"/>
  <c r="Y90" i="18"/>
  <c r="W90" i="18"/>
  <c r="J90" i="18"/>
  <c r="L90" i="18"/>
  <c r="A91" i="18"/>
  <c r="D92" i="18"/>
  <c r="C91" i="18"/>
  <c r="H92" i="18"/>
  <c r="S89" i="18"/>
  <c r="V89" i="18"/>
  <c r="U89" i="18"/>
  <c r="T89" i="18"/>
  <c r="E90" i="18"/>
  <c r="R90" i="18"/>
  <c r="B90" i="18"/>
  <c r="M90" i="18" s="1"/>
  <c r="I89" i="18"/>
  <c r="I90" i="18" s="1"/>
  <c r="Y89" i="18"/>
  <c r="X89" i="18"/>
  <c r="W89" i="18"/>
  <c r="L89" i="18"/>
  <c r="J89" i="18"/>
  <c r="F91" i="18" l="1"/>
  <c r="D93" i="18"/>
  <c r="C92" i="18"/>
  <c r="A92" i="18"/>
  <c r="H93" i="18"/>
  <c r="V90" i="18"/>
  <c r="U90" i="18"/>
  <c r="T90" i="18"/>
  <c r="S90" i="18"/>
  <c r="B91" i="18"/>
  <c r="M91" i="18" s="1"/>
  <c r="E91" i="18"/>
  <c r="R91" i="18"/>
  <c r="H94" i="18" l="1"/>
  <c r="R92" i="18"/>
  <c r="E92" i="18"/>
  <c r="B92" i="18"/>
  <c r="F92" i="18"/>
  <c r="D94" i="18"/>
  <c r="C93" i="18"/>
  <c r="A93" i="18"/>
  <c r="V91" i="18"/>
  <c r="T91" i="18"/>
  <c r="U91" i="18"/>
  <c r="S91" i="18"/>
  <c r="W91" i="18"/>
  <c r="I91" i="18"/>
  <c r="Y91" i="18"/>
  <c r="X91" i="18"/>
  <c r="J91" i="18"/>
  <c r="L92" i="18"/>
  <c r="M92" i="18"/>
  <c r="L91" i="18"/>
  <c r="C94" i="18" l="1"/>
  <c r="D95" i="18"/>
  <c r="A94" i="18"/>
  <c r="R93" i="18"/>
  <c r="E93" i="18"/>
  <c r="B93" i="18"/>
  <c r="M93" i="18" s="1"/>
  <c r="S92" i="18"/>
  <c r="V92" i="18"/>
  <c r="U92" i="18"/>
  <c r="T92" i="18"/>
  <c r="F93" i="18"/>
  <c r="I92" i="18"/>
  <c r="Y92" i="18"/>
  <c r="X92" i="18"/>
  <c r="W92" i="18"/>
  <c r="J92" i="18"/>
  <c r="H95" i="18"/>
  <c r="V93" i="18" l="1"/>
  <c r="U93" i="18"/>
  <c r="T93" i="18"/>
  <c r="S93" i="18"/>
  <c r="H96" i="18"/>
  <c r="I93" i="18"/>
  <c r="Y93" i="18"/>
  <c r="X93" i="18"/>
  <c r="W93" i="18"/>
  <c r="J93" i="18"/>
  <c r="L93" i="18"/>
  <c r="A95" i="18"/>
  <c r="F95" i="18"/>
  <c r="D96" i="18"/>
  <c r="C95" i="18"/>
  <c r="E94" i="18"/>
  <c r="B94" i="18"/>
  <c r="M94" i="18" s="1"/>
  <c r="R94" i="18"/>
  <c r="F94" i="18"/>
  <c r="W95" i="18" l="1"/>
  <c r="Y95" i="18"/>
  <c r="X95" i="18"/>
  <c r="V94" i="18"/>
  <c r="U94" i="18"/>
  <c r="T94" i="18"/>
  <c r="S94" i="18"/>
  <c r="J95" i="18"/>
  <c r="B95" i="18"/>
  <c r="M95" i="18" s="1"/>
  <c r="E95" i="18"/>
  <c r="R95" i="18"/>
  <c r="Y94" i="18"/>
  <c r="X94" i="18"/>
  <c r="I94" i="18"/>
  <c r="I95" i="18" s="1"/>
  <c r="W94" i="18"/>
  <c r="L94" i="18"/>
  <c r="J94" i="18"/>
  <c r="H97" i="18"/>
  <c r="D97" i="18"/>
  <c r="C96" i="18"/>
  <c r="A96" i="18"/>
  <c r="F96" i="18" l="1"/>
  <c r="V95" i="18"/>
  <c r="U95" i="18"/>
  <c r="T95" i="18"/>
  <c r="S95" i="18"/>
  <c r="D98" i="18"/>
  <c r="C97" i="18"/>
  <c r="F97" i="18"/>
  <c r="A97" i="18"/>
  <c r="L95" i="18"/>
  <c r="J97" i="18"/>
  <c r="H98" i="18"/>
  <c r="R96" i="18"/>
  <c r="E96" i="18"/>
  <c r="B96" i="18"/>
  <c r="M96" i="18" s="1"/>
  <c r="H99" i="18" l="1"/>
  <c r="X97" i="18"/>
  <c r="Y97" i="18"/>
  <c r="W97" i="18"/>
  <c r="C98" i="18"/>
  <c r="F98" i="18" s="1"/>
  <c r="A98" i="18"/>
  <c r="D99" i="18"/>
  <c r="I96" i="18"/>
  <c r="I97" i="18" s="1"/>
  <c r="Y96" i="18"/>
  <c r="X96" i="18"/>
  <c r="W96" i="18"/>
  <c r="J96" i="18"/>
  <c r="L96" i="18"/>
  <c r="R97" i="18"/>
  <c r="E97" i="18"/>
  <c r="B97" i="18"/>
  <c r="M97" i="18" s="1"/>
  <c r="S96" i="18"/>
  <c r="T96" i="18"/>
  <c r="V96" i="18"/>
  <c r="U96" i="18"/>
  <c r="Y98" i="18" l="1"/>
  <c r="X98" i="18"/>
  <c r="W98" i="18"/>
  <c r="I98" i="18"/>
  <c r="J98" i="18"/>
  <c r="A99" i="18"/>
  <c r="D100" i="18"/>
  <c r="C99" i="18"/>
  <c r="L97" i="18"/>
  <c r="E98" i="18"/>
  <c r="R98" i="18"/>
  <c r="B98" i="18"/>
  <c r="M98" i="18" s="1"/>
  <c r="H100" i="18"/>
  <c r="U97" i="18"/>
  <c r="T97" i="18"/>
  <c r="S97" i="18"/>
  <c r="V97" i="18"/>
  <c r="B99" i="18" l="1"/>
  <c r="R99" i="18"/>
  <c r="E99" i="18"/>
  <c r="D101" i="18"/>
  <c r="C100" i="18"/>
  <c r="A100" i="18"/>
  <c r="T98" i="18"/>
  <c r="V98" i="18"/>
  <c r="U98" i="18"/>
  <c r="S98" i="18"/>
  <c r="F99" i="18"/>
  <c r="L98" i="18"/>
  <c r="M99" i="18"/>
  <c r="H101" i="18"/>
  <c r="W99" i="18" l="1"/>
  <c r="Y99" i="18"/>
  <c r="X99" i="18"/>
  <c r="I99" i="18"/>
  <c r="J99" i="18"/>
  <c r="L99" i="18"/>
  <c r="D102" i="18"/>
  <c r="C101" i="18"/>
  <c r="A101" i="18"/>
  <c r="F100" i="18"/>
  <c r="R100" i="18"/>
  <c r="B100" i="18"/>
  <c r="M100" i="18" s="1"/>
  <c r="E100" i="18"/>
  <c r="H102" i="18"/>
  <c r="V99" i="18"/>
  <c r="U99" i="18"/>
  <c r="T99" i="18"/>
  <c r="S99" i="18"/>
  <c r="S100" i="18" l="1"/>
  <c r="V100" i="18"/>
  <c r="U100" i="18"/>
  <c r="T100" i="18"/>
  <c r="Y100" i="18"/>
  <c r="X100" i="18"/>
  <c r="W100" i="18"/>
  <c r="I100" i="18"/>
  <c r="L100" i="18"/>
  <c r="J100" i="18"/>
  <c r="F101" i="18"/>
  <c r="B101" i="18"/>
  <c r="M101" i="18" s="1"/>
  <c r="R101" i="18"/>
  <c r="E101" i="18"/>
  <c r="L101" i="18"/>
  <c r="H103" i="18"/>
  <c r="C102" i="18"/>
  <c r="A102" i="18"/>
  <c r="D103" i="18"/>
  <c r="I101" i="18" l="1"/>
  <c r="X101" i="18"/>
  <c r="Y101" i="18"/>
  <c r="W101" i="18"/>
  <c r="J101" i="18"/>
  <c r="V101" i="18"/>
  <c r="U101" i="18"/>
  <c r="T101" i="18"/>
  <c r="S101" i="18"/>
  <c r="E102" i="18"/>
  <c r="F103" i="18" s="1"/>
  <c r="B102" i="18"/>
  <c r="M102" i="18" s="1"/>
  <c r="R102" i="18"/>
  <c r="A103" i="18"/>
  <c r="C103" i="18"/>
  <c r="D104" i="18"/>
  <c r="F102" i="18"/>
  <c r="H104" i="18"/>
  <c r="W103" i="18" l="1"/>
  <c r="Y103" i="18"/>
  <c r="X103" i="18"/>
  <c r="J103" i="18"/>
  <c r="T102" i="18"/>
  <c r="V102" i="18"/>
  <c r="U102" i="18"/>
  <c r="S102" i="18"/>
  <c r="H105" i="18"/>
  <c r="C104" i="18"/>
  <c r="F104" i="18" s="1"/>
  <c r="D105" i="18"/>
  <c r="A104" i="18"/>
  <c r="Y102" i="18"/>
  <c r="X102" i="18"/>
  <c r="I102" i="18"/>
  <c r="I103" i="18" s="1"/>
  <c r="W102" i="18"/>
  <c r="L102" i="18"/>
  <c r="J102" i="18"/>
  <c r="B103" i="18"/>
  <c r="M103" i="18" s="1"/>
  <c r="R103" i="18"/>
  <c r="E103" i="18"/>
  <c r="X104" i="18" l="1"/>
  <c r="W104" i="18"/>
  <c r="I104" i="18"/>
  <c r="Y104" i="18"/>
  <c r="J104" i="18"/>
  <c r="H106" i="18"/>
  <c r="R104" i="18"/>
  <c r="E104" i="18"/>
  <c r="B104" i="18"/>
  <c r="L104" i="18" s="1"/>
  <c r="M104" i="18"/>
  <c r="V103" i="18"/>
  <c r="U103" i="18"/>
  <c r="T103" i="18"/>
  <c r="S103" i="18"/>
  <c r="L103" i="18"/>
  <c r="D106" i="18"/>
  <c r="C105" i="18"/>
  <c r="A105" i="18"/>
  <c r="H107" i="18" l="1"/>
  <c r="S104" i="18"/>
  <c r="V104" i="18"/>
  <c r="U104" i="18"/>
  <c r="T104" i="18"/>
  <c r="E105" i="18"/>
  <c r="R105" i="18"/>
  <c r="B105" i="18"/>
  <c r="M105" i="18" s="1"/>
  <c r="F105" i="18"/>
  <c r="C106" i="18"/>
  <c r="F106" i="18" s="1"/>
  <c r="A106" i="18"/>
  <c r="D107" i="18"/>
  <c r="Y106" i="18" l="1"/>
  <c r="X106" i="18"/>
  <c r="W106" i="18"/>
  <c r="J106" i="18"/>
  <c r="I105" i="18"/>
  <c r="I106" i="18" s="1"/>
  <c r="X105" i="18"/>
  <c r="Y105" i="18"/>
  <c r="W105" i="18"/>
  <c r="J105" i="18"/>
  <c r="E106" i="18"/>
  <c r="B106" i="18"/>
  <c r="M106" i="18" s="1"/>
  <c r="R106" i="18"/>
  <c r="V105" i="18"/>
  <c r="U105" i="18"/>
  <c r="T105" i="18"/>
  <c r="S105" i="18"/>
  <c r="A107" i="18"/>
  <c r="C107" i="18"/>
  <c r="D108" i="18"/>
  <c r="H108" i="18"/>
  <c r="L105" i="18"/>
  <c r="H109" i="18" l="1"/>
  <c r="V106" i="18"/>
  <c r="T106" i="18"/>
  <c r="U106" i="18"/>
  <c r="S106" i="18"/>
  <c r="L106" i="18"/>
  <c r="C108" i="18"/>
  <c r="D109" i="18"/>
  <c r="A108" i="18"/>
  <c r="B107" i="18"/>
  <c r="M107" i="18" s="1"/>
  <c r="R107" i="18"/>
  <c r="E107" i="18"/>
  <c r="F107" i="18"/>
  <c r="R108" i="18" l="1"/>
  <c r="E108" i="18"/>
  <c r="B108" i="18"/>
  <c r="D110" i="18"/>
  <c r="C109" i="18"/>
  <c r="A109" i="18"/>
  <c r="L108" i="18"/>
  <c r="L107" i="18"/>
  <c r="F108" i="18"/>
  <c r="M108" i="18"/>
  <c r="H110" i="18"/>
  <c r="W107" i="18"/>
  <c r="X107" i="18"/>
  <c r="I107" i="18"/>
  <c r="Y107" i="18"/>
  <c r="J107" i="18"/>
  <c r="V107" i="18"/>
  <c r="U107" i="18"/>
  <c r="T107" i="18"/>
  <c r="S107" i="18"/>
  <c r="Y108" i="18" l="1"/>
  <c r="X108" i="18"/>
  <c r="W108" i="18"/>
  <c r="I108" i="18"/>
  <c r="J108" i="18"/>
  <c r="E109" i="18"/>
  <c r="R109" i="18"/>
  <c r="B109" i="18"/>
  <c r="M109" i="18" s="1"/>
  <c r="H111" i="18"/>
  <c r="F109" i="18"/>
  <c r="C110" i="18"/>
  <c r="F110" i="18" s="1"/>
  <c r="A110" i="18"/>
  <c r="D111" i="18"/>
  <c r="S108" i="18"/>
  <c r="V108" i="18"/>
  <c r="U108" i="18"/>
  <c r="T108" i="18"/>
  <c r="Y110" i="18" l="1"/>
  <c r="X110" i="18"/>
  <c r="W110" i="18"/>
  <c r="J110" i="18"/>
  <c r="L110" i="18"/>
  <c r="M110" i="18"/>
  <c r="H112" i="18"/>
  <c r="I109" i="18"/>
  <c r="I110" i="18" s="1"/>
  <c r="X109" i="18"/>
  <c r="Y109" i="18"/>
  <c r="W109" i="18"/>
  <c r="J109" i="18"/>
  <c r="V109" i="18"/>
  <c r="U109" i="18"/>
  <c r="T109" i="18"/>
  <c r="S109" i="18"/>
  <c r="L109" i="18"/>
  <c r="E110" i="18"/>
  <c r="B110" i="18"/>
  <c r="R110" i="18"/>
  <c r="A111" i="18"/>
  <c r="C111" i="18"/>
  <c r="D112" i="18"/>
  <c r="H113" i="18" l="1"/>
  <c r="F111" i="18"/>
  <c r="V110" i="18"/>
  <c r="T110" i="18"/>
  <c r="U110" i="18"/>
  <c r="S110" i="18"/>
  <c r="A112" i="18"/>
  <c r="D113" i="18"/>
  <c r="C112" i="18"/>
  <c r="B111" i="18"/>
  <c r="M111" i="18" s="1"/>
  <c r="R111" i="18"/>
  <c r="E111" i="18"/>
  <c r="D114" i="18" l="1"/>
  <c r="C113" i="18"/>
  <c r="A113" i="18"/>
  <c r="F112" i="18"/>
  <c r="R112" i="18"/>
  <c r="E112" i="18"/>
  <c r="B112" i="18"/>
  <c r="M112" i="18" s="1"/>
  <c r="L111" i="18"/>
  <c r="W111" i="18"/>
  <c r="Y111" i="18"/>
  <c r="X111" i="18"/>
  <c r="I111" i="18"/>
  <c r="J111" i="18"/>
  <c r="H114" i="18"/>
  <c r="V111" i="18"/>
  <c r="U111" i="18"/>
  <c r="T111" i="18"/>
  <c r="S111" i="18"/>
  <c r="S112" i="18" l="1"/>
  <c r="V112" i="18"/>
  <c r="U112" i="18"/>
  <c r="T112" i="18"/>
  <c r="Y112" i="18"/>
  <c r="X112" i="18"/>
  <c r="W112" i="18"/>
  <c r="I112" i="18"/>
  <c r="J112" i="18"/>
  <c r="E113" i="18"/>
  <c r="R113" i="18"/>
  <c r="B113" i="18"/>
  <c r="M113" i="18" s="1"/>
  <c r="F113" i="18"/>
  <c r="F114" i="18"/>
  <c r="C114" i="18"/>
  <c r="A114" i="18"/>
  <c r="D115" i="18"/>
  <c r="L112" i="18"/>
  <c r="H115" i="18"/>
  <c r="Y114" i="18" l="1"/>
  <c r="X114" i="18"/>
  <c r="W114" i="18"/>
  <c r="I113" i="18"/>
  <c r="I114" i="18" s="1"/>
  <c r="X113" i="18"/>
  <c r="W113" i="18"/>
  <c r="Y113" i="18"/>
  <c r="J113" i="18"/>
  <c r="E114" i="18"/>
  <c r="B114" i="18"/>
  <c r="L114" i="18" s="1"/>
  <c r="R114" i="18"/>
  <c r="V113" i="18"/>
  <c r="U113" i="18"/>
  <c r="T113" i="18"/>
  <c r="S113" i="18"/>
  <c r="J114" i="18"/>
  <c r="H116" i="18"/>
  <c r="A115" i="18"/>
  <c r="F115" i="18"/>
  <c r="C115" i="18"/>
  <c r="D116" i="18"/>
  <c r="L113" i="18"/>
  <c r="W115" i="18" l="1"/>
  <c r="Y115" i="18"/>
  <c r="X115" i="18"/>
  <c r="I115" i="18"/>
  <c r="C116" i="18"/>
  <c r="A116" i="18"/>
  <c r="D117" i="18"/>
  <c r="M114" i="18"/>
  <c r="J115" i="18"/>
  <c r="V114" i="18"/>
  <c r="T114" i="18"/>
  <c r="S114" i="18"/>
  <c r="U114" i="18"/>
  <c r="B115" i="18"/>
  <c r="M115" i="18" s="1"/>
  <c r="R115" i="18"/>
  <c r="E115" i="18"/>
  <c r="L115" i="18"/>
  <c r="H117" i="18"/>
  <c r="D118" i="18" l="1"/>
  <c r="C117" i="18"/>
  <c r="A117" i="18"/>
  <c r="R116" i="18"/>
  <c r="E116" i="18"/>
  <c r="B116" i="18"/>
  <c r="M116" i="18" s="1"/>
  <c r="V115" i="18"/>
  <c r="U115" i="18"/>
  <c r="T115" i="18"/>
  <c r="S115" i="18"/>
  <c r="F116" i="18"/>
  <c r="H118" i="18"/>
  <c r="Y116" i="18" l="1"/>
  <c r="X116" i="18"/>
  <c r="W116" i="18"/>
  <c r="I116" i="18"/>
  <c r="J116" i="18"/>
  <c r="S116" i="18"/>
  <c r="V116" i="18"/>
  <c r="U116" i="18"/>
  <c r="T116" i="18"/>
  <c r="E117" i="18"/>
  <c r="B117" i="18"/>
  <c r="M117" i="18" s="1"/>
  <c r="R117" i="18"/>
  <c r="F117" i="18"/>
  <c r="C118" i="18"/>
  <c r="A118" i="18"/>
  <c r="D119" i="18"/>
  <c r="H119" i="18"/>
  <c r="L116" i="18"/>
  <c r="I117" i="18" l="1"/>
  <c r="Y117" i="18"/>
  <c r="X117" i="18"/>
  <c r="W117" i="18"/>
  <c r="J117" i="18"/>
  <c r="V117" i="18"/>
  <c r="U117" i="18"/>
  <c r="T117" i="18"/>
  <c r="S117" i="18"/>
  <c r="E118" i="18"/>
  <c r="B118" i="18"/>
  <c r="L118" i="18" s="1"/>
  <c r="R118" i="18"/>
  <c r="H120" i="18"/>
  <c r="A119" i="18"/>
  <c r="D120" i="18"/>
  <c r="C119" i="18"/>
  <c r="F118" i="18"/>
  <c r="L117" i="18"/>
  <c r="H121" i="18" l="1"/>
  <c r="M118" i="18"/>
  <c r="Y118" i="18"/>
  <c r="X118" i="18"/>
  <c r="W118" i="18"/>
  <c r="I118" i="18"/>
  <c r="J118" i="18"/>
  <c r="F119" i="18"/>
  <c r="D121" i="18"/>
  <c r="C120" i="18"/>
  <c r="A120" i="18"/>
  <c r="V118" i="18"/>
  <c r="U118" i="18"/>
  <c r="T118" i="18"/>
  <c r="S118" i="18"/>
  <c r="B119" i="18"/>
  <c r="R119" i="18"/>
  <c r="E119" i="18"/>
  <c r="M119" i="18"/>
  <c r="R120" i="18" l="1"/>
  <c r="E120" i="18"/>
  <c r="B120" i="18"/>
  <c r="M120" i="18" s="1"/>
  <c r="D122" i="18"/>
  <c r="C121" i="18"/>
  <c r="A121" i="18"/>
  <c r="F120" i="18"/>
  <c r="W119" i="18"/>
  <c r="I119" i="18"/>
  <c r="Y119" i="18"/>
  <c r="X119" i="18"/>
  <c r="J119" i="18"/>
  <c r="L119" i="18"/>
  <c r="V119" i="18"/>
  <c r="U119" i="18"/>
  <c r="T119" i="18"/>
  <c r="S119" i="18"/>
  <c r="H122" i="18"/>
  <c r="H123" i="18" l="1"/>
  <c r="I120" i="18"/>
  <c r="Y120" i="18"/>
  <c r="X120" i="18"/>
  <c r="W120" i="18"/>
  <c r="J120" i="18"/>
  <c r="E121" i="18"/>
  <c r="B121" i="18"/>
  <c r="M121" i="18" s="1"/>
  <c r="R121" i="18"/>
  <c r="L120" i="18"/>
  <c r="F121" i="18"/>
  <c r="C122" i="18"/>
  <c r="F122" i="18" s="1"/>
  <c r="A122" i="18"/>
  <c r="D123" i="18"/>
  <c r="S120" i="18"/>
  <c r="V120" i="18"/>
  <c r="U120" i="18"/>
  <c r="T120" i="18"/>
  <c r="Y122" i="18" l="1"/>
  <c r="X122" i="18"/>
  <c r="W122" i="18"/>
  <c r="J122" i="18"/>
  <c r="I121" i="18"/>
  <c r="I122" i="18" s="1"/>
  <c r="Y121" i="18"/>
  <c r="X121" i="18"/>
  <c r="W121" i="18"/>
  <c r="J121" i="18"/>
  <c r="E122" i="18"/>
  <c r="B122" i="18"/>
  <c r="M122" i="18" s="1"/>
  <c r="R122" i="18"/>
  <c r="L122" i="18"/>
  <c r="V121" i="18"/>
  <c r="U121" i="18"/>
  <c r="T121" i="18"/>
  <c r="S121" i="18"/>
  <c r="A123" i="18"/>
  <c r="D124" i="18"/>
  <c r="C123" i="18"/>
  <c r="L121" i="18"/>
  <c r="H124" i="18"/>
  <c r="V122" i="18" l="1"/>
  <c r="U122" i="18"/>
  <c r="T122" i="18"/>
  <c r="S122" i="18"/>
  <c r="H125" i="18"/>
  <c r="B123" i="18"/>
  <c r="M123" i="18" s="1"/>
  <c r="R123" i="18"/>
  <c r="E123" i="18"/>
  <c r="F123" i="18"/>
  <c r="D125" i="18"/>
  <c r="C124" i="18"/>
  <c r="A124" i="18"/>
  <c r="R124" i="18" l="1"/>
  <c r="E124" i="18"/>
  <c r="B124" i="18"/>
  <c r="D126" i="18"/>
  <c r="C125" i="18"/>
  <c r="A125" i="18"/>
  <c r="W123" i="18"/>
  <c r="I123" i="18"/>
  <c r="Y123" i="18"/>
  <c r="X123" i="18"/>
  <c r="J123" i="18"/>
  <c r="F124" i="18"/>
  <c r="M124" i="18"/>
  <c r="V123" i="18"/>
  <c r="U123" i="18"/>
  <c r="T123" i="18"/>
  <c r="S123" i="18"/>
  <c r="H126" i="18"/>
  <c r="L123" i="18"/>
  <c r="E125" i="18" l="1"/>
  <c r="B125" i="18"/>
  <c r="M125" i="18" s="1"/>
  <c r="R125" i="18"/>
  <c r="F125" i="18"/>
  <c r="L125" i="18" s="1"/>
  <c r="I124" i="18"/>
  <c r="Y124" i="18"/>
  <c r="X124" i="18"/>
  <c r="W124" i="18"/>
  <c r="J124" i="18"/>
  <c r="L124" i="18"/>
  <c r="H127" i="18"/>
  <c r="C126" i="18"/>
  <c r="F126" i="18" s="1"/>
  <c r="A126" i="18"/>
  <c r="D127" i="18"/>
  <c r="S124" i="18"/>
  <c r="V124" i="18"/>
  <c r="U124" i="18"/>
  <c r="T124" i="18"/>
  <c r="Y126" i="18" l="1"/>
  <c r="X126" i="18"/>
  <c r="W126" i="18"/>
  <c r="J126" i="18"/>
  <c r="H128" i="18"/>
  <c r="V125" i="18"/>
  <c r="U125" i="18"/>
  <c r="T125" i="18"/>
  <c r="S125" i="18"/>
  <c r="E126" i="18"/>
  <c r="F127" i="18" s="1"/>
  <c r="B126" i="18"/>
  <c r="L126" i="18" s="1"/>
  <c r="R126" i="18"/>
  <c r="A127" i="18"/>
  <c r="D128" i="18"/>
  <c r="C127" i="18"/>
  <c r="I125" i="18"/>
  <c r="I126" i="18" s="1"/>
  <c r="Y125" i="18"/>
  <c r="X125" i="18"/>
  <c r="W125" i="18"/>
  <c r="J125" i="18"/>
  <c r="W127" i="18" l="1"/>
  <c r="I127" i="18"/>
  <c r="Y127" i="18"/>
  <c r="X127" i="18"/>
  <c r="J127" i="18"/>
  <c r="M126" i="18"/>
  <c r="V126" i="18"/>
  <c r="U126" i="18"/>
  <c r="T126" i="18"/>
  <c r="S126" i="18"/>
  <c r="B127" i="18"/>
  <c r="M127" i="18" s="1"/>
  <c r="R127" i="18"/>
  <c r="E127" i="18"/>
  <c r="D129" i="18"/>
  <c r="C128" i="18"/>
  <c r="A128" i="18"/>
  <c r="H129" i="18"/>
  <c r="D130" i="18" l="1"/>
  <c r="C129" i="18"/>
  <c r="A129" i="18"/>
  <c r="H130" i="18"/>
  <c r="L127" i="18"/>
  <c r="R128" i="18"/>
  <c r="E128" i="18"/>
  <c r="B128" i="18"/>
  <c r="M128" i="18" s="1"/>
  <c r="V127" i="18"/>
  <c r="U127" i="18"/>
  <c r="T127" i="18"/>
  <c r="S127" i="18"/>
  <c r="F128" i="18"/>
  <c r="T128" i="18" l="1"/>
  <c r="S128" i="18"/>
  <c r="V128" i="18"/>
  <c r="U128" i="18"/>
  <c r="H131" i="18"/>
  <c r="E129" i="18"/>
  <c r="B129" i="18"/>
  <c r="M129" i="18" s="1"/>
  <c r="R129" i="18"/>
  <c r="D131" i="18"/>
  <c r="C130" i="18"/>
  <c r="F130" i="18" s="1"/>
  <c r="A130" i="18"/>
  <c r="I128" i="18"/>
  <c r="Y128" i="18"/>
  <c r="X128" i="18"/>
  <c r="W128" i="18"/>
  <c r="J128" i="18"/>
  <c r="L128" i="18"/>
  <c r="F129" i="18"/>
  <c r="W130" i="18" l="1"/>
  <c r="Y130" i="18"/>
  <c r="X130" i="18"/>
  <c r="J130" i="18"/>
  <c r="L130" i="18"/>
  <c r="I129" i="18"/>
  <c r="I130" i="18" s="1"/>
  <c r="Y129" i="18"/>
  <c r="X129" i="18"/>
  <c r="W129" i="18"/>
  <c r="J129" i="18"/>
  <c r="C131" i="18"/>
  <c r="A131" i="18"/>
  <c r="D132" i="18"/>
  <c r="B130" i="18"/>
  <c r="M130" i="18" s="1"/>
  <c r="E130" i="18"/>
  <c r="R130" i="18"/>
  <c r="H132" i="18"/>
  <c r="V129" i="18"/>
  <c r="T129" i="18"/>
  <c r="S129" i="18"/>
  <c r="U129" i="18"/>
  <c r="L129" i="18"/>
  <c r="C132" i="18" l="1"/>
  <c r="A132" i="18"/>
  <c r="D133" i="18"/>
  <c r="E131" i="18"/>
  <c r="B131" i="18"/>
  <c r="R131" i="18"/>
  <c r="F131" i="18"/>
  <c r="M131" i="18"/>
  <c r="V130" i="18"/>
  <c r="U130" i="18"/>
  <c r="T130" i="18"/>
  <c r="S130" i="18"/>
  <c r="H133" i="18"/>
  <c r="H134" i="18" l="1"/>
  <c r="Y131" i="18"/>
  <c r="X131" i="18"/>
  <c r="W131" i="18"/>
  <c r="I131" i="18"/>
  <c r="J131" i="18"/>
  <c r="D134" i="18"/>
  <c r="A133" i="18"/>
  <c r="C133" i="18"/>
  <c r="L131" i="18"/>
  <c r="S131" i="18"/>
  <c r="V131" i="18"/>
  <c r="U131" i="18"/>
  <c r="T131" i="18"/>
  <c r="F132" i="18"/>
  <c r="B132" i="18"/>
  <c r="M132" i="18" s="1"/>
  <c r="R132" i="18"/>
  <c r="E132" i="18"/>
  <c r="L132" i="18"/>
  <c r="R133" i="18" l="1"/>
  <c r="E133" i="18"/>
  <c r="B133" i="18"/>
  <c r="M133" i="18"/>
  <c r="D135" i="18"/>
  <c r="C134" i="18"/>
  <c r="F134" i="18" s="1"/>
  <c r="A134" i="18"/>
  <c r="F133" i="18"/>
  <c r="Y132" i="18"/>
  <c r="X132" i="18"/>
  <c r="W132" i="18"/>
  <c r="I132" i="18"/>
  <c r="J132" i="18"/>
  <c r="L133" i="18"/>
  <c r="V132" i="18"/>
  <c r="U132" i="18"/>
  <c r="T132" i="18"/>
  <c r="S132" i="18"/>
  <c r="H135" i="18"/>
  <c r="W134" i="18" l="1"/>
  <c r="Y134" i="18"/>
  <c r="X134" i="18"/>
  <c r="J134" i="18"/>
  <c r="I133" i="18"/>
  <c r="I134" i="18" s="1"/>
  <c r="Y133" i="18"/>
  <c r="X133" i="18"/>
  <c r="W133" i="18"/>
  <c r="J133" i="18"/>
  <c r="B134" i="18"/>
  <c r="L134" i="18" s="1"/>
  <c r="R134" i="18"/>
  <c r="E134" i="18"/>
  <c r="D136" i="18"/>
  <c r="C135" i="18"/>
  <c r="A135" i="18"/>
  <c r="H136" i="18"/>
  <c r="V133" i="18"/>
  <c r="U133" i="18"/>
  <c r="T133" i="18"/>
  <c r="S133" i="18"/>
  <c r="H137" i="18" l="1"/>
  <c r="D137" i="18"/>
  <c r="C136" i="18"/>
  <c r="A136" i="18"/>
  <c r="M134" i="18"/>
  <c r="S134" i="18"/>
  <c r="V134" i="18"/>
  <c r="U134" i="18"/>
  <c r="T134" i="18"/>
  <c r="E135" i="18"/>
  <c r="B135" i="18"/>
  <c r="M135" i="18" s="1"/>
  <c r="R135" i="18"/>
  <c r="F135" i="18"/>
  <c r="I135" i="18" l="1"/>
  <c r="Y135" i="18"/>
  <c r="X135" i="18"/>
  <c r="W135" i="18"/>
  <c r="J135" i="18"/>
  <c r="L135" i="18"/>
  <c r="S135" i="18"/>
  <c r="V135" i="18"/>
  <c r="T135" i="18"/>
  <c r="U135" i="18"/>
  <c r="E136" i="18"/>
  <c r="B136" i="18"/>
  <c r="M136" i="18" s="1"/>
  <c r="R136" i="18"/>
  <c r="F136" i="18"/>
  <c r="F137" i="18"/>
  <c r="C137" i="18"/>
  <c r="A137" i="18"/>
  <c r="D138" i="18"/>
  <c r="H138" i="18"/>
  <c r="I136" i="18" l="1"/>
  <c r="Y136" i="18"/>
  <c r="X136" i="18"/>
  <c r="W136" i="18"/>
  <c r="J136" i="18"/>
  <c r="V136" i="18"/>
  <c r="U136" i="18"/>
  <c r="T136" i="18"/>
  <c r="S136" i="18"/>
  <c r="H139" i="18"/>
  <c r="C138" i="18"/>
  <c r="A138" i="18"/>
  <c r="D139" i="18"/>
  <c r="L136" i="18"/>
  <c r="J137" i="18"/>
  <c r="Y137" i="18"/>
  <c r="X137" i="18"/>
  <c r="W137" i="18"/>
  <c r="I137" i="18"/>
  <c r="E137" i="18"/>
  <c r="B137" i="18"/>
  <c r="L137" i="18" s="1"/>
  <c r="R137" i="18"/>
  <c r="B138" i="18" l="1"/>
  <c r="M138" i="18" s="1"/>
  <c r="R138" i="18"/>
  <c r="E138" i="18"/>
  <c r="V137" i="18"/>
  <c r="U137" i="18"/>
  <c r="T137" i="18"/>
  <c r="S137" i="18"/>
  <c r="F138" i="18"/>
  <c r="D140" i="18"/>
  <c r="C139" i="18"/>
  <c r="A139" i="18"/>
  <c r="M137" i="18"/>
  <c r="H140" i="18"/>
  <c r="D141" i="18" l="1"/>
  <c r="C140" i="18"/>
  <c r="A140" i="18"/>
  <c r="H141" i="18"/>
  <c r="F139" i="18"/>
  <c r="W138" i="18"/>
  <c r="Y138" i="18"/>
  <c r="X138" i="18"/>
  <c r="I138" i="18"/>
  <c r="J138" i="18"/>
  <c r="V138" i="18"/>
  <c r="U138" i="18"/>
  <c r="T138" i="18"/>
  <c r="S138" i="18"/>
  <c r="R139" i="18"/>
  <c r="E139" i="18"/>
  <c r="B139" i="18"/>
  <c r="M139" i="18"/>
  <c r="L138" i="18"/>
  <c r="H142" i="18" l="1"/>
  <c r="S139" i="18"/>
  <c r="V139" i="18"/>
  <c r="U139" i="18"/>
  <c r="T139" i="18"/>
  <c r="D142" i="18"/>
  <c r="C141" i="18"/>
  <c r="A141" i="18"/>
  <c r="I139" i="18"/>
  <c r="Y139" i="18"/>
  <c r="X139" i="18"/>
  <c r="W139" i="18"/>
  <c r="J139" i="18"/>
  <c r="R140" i="18"/>
  <c r="E140" i="18"/>
  <c r="B140" i="18"/>
  <c r="F140" i="18"/>
  <c r="M140" i="18"/>
  <c r="L140" i="18"/>
  <c r="L139" i="18"/>
  <c r="D143" i="18" l="1"/>
  <c r="C142" i="18"/>
  <c r="A142" i="18"/>
  <c r="E141" i="18"/>
  <c r="B141" i="18"/>
  <c r="M141" i="18" s="1"/>
  <c r="R141" i="18"/>
  <c r="F141" i="18"/>
  <c r="I140" i="18"/>
  <c r="Y140" i="18"/>
  <c r="X140" i="18"/>
  <c r="W140" i="18"/>
  <c r="J140" i="18"/>
  <c r="S140" i="18"/>
  <c r="V140" i="18"/>
  <c r="U140" i="18"/>
  <c r="T140" i="18"/>
  <c r="H143" i="18"/>
  <c r="V141" i="18" l="1"/>
  <c r="U141" i="18"/>
  <c r="T141" i="18"/>
  <c r="S141" i="18"/>
  <c r="B142" i="18"/>
  <c r="M142" i="18" s="1"/>
  <c r="E142" i="18"/>
  <c r="R142" i="18"/>
  <c r="F142" i="18"/>
  <c r="H144" i="18"/>
  <c r="D144" i="18"/>
  <c r="C143" i="18"/>
  <c r="F143" i="18" s="1"/>
  <c r="A143" i="18"/>
  <c r="I141" i="18"/>
  <c r="Y141" i="18"/>
  <c r="X141" i="18"/>
  <c r="W141" i="18"/>
  <c r="J141" i="18"/>
  <c r="L141" i="18"/>
  <c r="Y143" i="18" l="1"/>
  <c r="X143" i="18"/>
  <c r="W143" i="18"/>
  <c r="J143" i="18"/>
  <c r="R143" i="18"/>
  <c r="E143" i="18"/>
  <c r="F144" i="18" s="1"/>
  <c r="B143" i="18"/>
  <c r="L143" i="18" s="1"/>
  <c r="W142" i="18"/>
  <c r="I142" i="18"/>
  <c r="I143" i="18" s="1"/>
  <c r="Y142" i="18"/>
  <c r="X142" i="18"/>
  <c r="L142" i="18"/>
  <c r="J142" i="18"/>
  <c r="C144" i="18"/>
  <c r="A144" i="18"/>
  <c r="D145" i="18"/>
  <c r="H145" i="18"/>
  <c r="V142" i="18"/>
  <c r="U142" i="18"/>
  <c r="T142" i="18"/>
  <c r="S142" i="18"/>
  <c r="Y144" i="18" l="1"/>
  <c r="X144" i="18"/>
  <c r="W144" i="18"/>
  <c r="I144" i="18"/>
  <c r="J144" i="18"/>
  <c r="H146" i="18"/>
  <c r="S143" i="18"/>
  <c r="V143" i="18"/>
  <c r="U143" i="18"/>
  <c r="T143" i="18"/>
  <c r="M143" i="18"/>
  <c r="F145" i="18"/>
  <c r="A145" i="18"/>
  <c r="D146" i="18"/>
  <c r="C145" i="18"/>
  <c r="B144" i="18"/>
  <c r="M144" i="18" s="1"/>
  <c r="R144" i="18"/>
  <c r="E144" i="18"/>
  <c r="L144" i="18"/>
  <c r="H147" i="18" l="1"/>
  <c r="Y145" i="18"/>
  <c r="X145" i="18"/>
  <c r="W145" i="18"/>
  <c r="I145" i="18"/>
  <c r="V144" i="18"/>
  <c r="U144" i="18"/>
  <c r="T144" i="18"/>
  <c r="S144" i="18"/>
  <c r="E145" i="18"/>
  <c r="B145" i="18"/>
  <c r="R145" i="18"/>
  <c r="J145" i="18"/>
  <c r="A146" i="18"/>
  <c r="D147" i="18"/>
  <c r="C146" i="18"/>
  <c r="F146" i="18" s="1"/>
  <c r="W146" i="18" l="1"/>
  <c r="Y146" i="18"/>
  <c r="X146" i="18"/>
  <c r="I146" i="18"/>
  <c r="J146" i="18"/>
  <c r="V145" i="18"/>
  <c r="U145" i="18"/>
  <c r="T145" i="18"/>
  <c r="S145" i="18"/>
  <c r="L145" i="18"/>
  <c r="M145" i="18"/>
  <c r="B146" i="18"/>
  <c r="M146" i="18" s="1"/>
  <c r="R146" i="18"/>
  <c r="E146" i="18"/>
  <c r="D148" i="18"/>
  <c r="C147" i="18"/>
  <c r="F147" i="18" s="1"/>
  <c r="A147" i="18"/>
  <c r="H148" i="18"/>
  <c r="W147" i="18" l="1"/>
  <c r="I147" i="18"/>
  <c r="Y147" i="18"/>
  <c r="X147" i="18"/>
  <c r="J147" i="18"/>
  <c r="V146" i="18"/>
  <c r="U146" i="18"/>
  <c r="T146" i="18"/>
  <c r="S146" i="18"/>
  <c r="H149" i="18"/>
  <c r="L146" i="18"/>
  <c r="R147" i="18"/>
  <c r="E147" i="18"/>
  <c r="B147" i="18"/>
  <c r="M147" i="18" s="1"/>
  <c r="D149" i="18"/>
  <c r="C148" i="18"/>
  <c r="F148" i="18" s="1"/>
  <c r="A148" i="18"/>
  <c r="I148" i="18" l="1"/>
  <c r="W148" i="18"/>
  <c r="Y148" i="18"/>
  <c r="X148" i="18"/>
  <c r="J148" i="18"/>
  <c r="H150" i="18"/>
  <c r="S147" i="18"/>
  <c r="V147" i="18"/>
  <c r="U147" i="18"/>
  <c r="T147" i="18"/>
  <c r="L147" i="18"/>
  <c r="R148" i="18"/>
  <c r="E148" i="18"/>
  <c r="B148" i="18"/>
  <c r="L148" i="18" s="1"/>
  <c r="C149" i="18"/>
  <c r="A149" i="18"/>
  <c r="D150" i="18"/>
  <c r="M148" i="18" l="1"/>
  <c r="H151" i="18"/>
  <c r="A150" i="18"/>
  <c r="D151" i="18"/>
  <c r="C150" i="18"/>
  <c r="E149" i="18"/>
  <c r="R149" i="18"/>
  <c r="B149" i="18"/>
  <c r="M149" i="18" s="1"/>
  <c r="V148" i="18"/>
  <c r="U148" i="18"/>
  <c r="T148" i="18"/>
  <c r="S148" i="18"/>
  <c r="F149" i="18"/>
  <c r="B150" i="18" l="1"/>
  <c r="M150" i="18" s="1"/>
  <c r="R150" i="18"/>
  <c r="E150" i="18"/>
  <c r="V149" i="18"/>
  <c r="U149" i="18"/>
  <c r="T149" i="18"/>
  <c r="S149" i="18"/>
  <c r="A151" i="18"/>
  <c r="D152" i="18"/>
  <c r="C151" i="18"/>
  <c r="L150" i="18"/>
  <c r="H152" i="18"/>
  <c r="F150" i="18"/>
  <c r="Y149" i="18"/>
  <c r="X149" i="18"/>
  <c r="W149" i="18"/>
  <c r="I149" i="18"/>
  <c r="L149" i="18"/>
  <c r="J149" i="18"/>
  <c r="F151" i="18" l="1"/>
  <c r="D153" i="18"/>
  <c r="A152" i="18"/>
  <c r="C152" i="18"/>
  <c r="R151" i="18"/>
  <c r="B151" i="18"/>
  <c r="M151" i="18" s="1"/>
  <c r="E151" i="18"/>
  <c r="V150" i="18"/>
  <c r="U150" i="18"/>
  <c r="T150" i="18"/>
  <c r="S150" i="18"/>
  <c r="H153" i="18"/>
  <c r="W150" i="18"/>
  <c r="Y150" i="18"/>
  <c r="X150" i="18"/>
  <c r="I150" i="18"/>
  <c r="J150" i="18"/>
  <c r="R152" i="18" l="1"/>
  <c r="E152" i="18"/>
  <c r="B152" i="18"/>
  <c r="F152" i="18"/>
  <c r="M152" i="18"/>
  <c r="L152" i="18"/>
  <c r="S151" i="18"/>
  <c r="V151" i="18"/>
  <c r="U151" i="18"/>
  <c r="T151" i="18"/>
  <c r="C153" i="18"/>
  <c r="A153" i="18"/>
  <c r="D154" i="18"/>
  <c r="L151" i="18"/>
  <c r="Y151" i="18"/>
  <c r="X151" i="18"/>
  <c r="W151" i="18"/>
  <c r="I151" i="18"/>
  <c r="J151" i="18"/>
  <c r="H154" i="18"/>
  <c r="A154" i="18" l="1"/>
  <c r="D155" i="18"/>
  <c r="C154" i="18"/>
  <c r="I152" i="18"/>
  <c r="Y152" i="18"/>
  <c r="X152" i="18"/>
  <c r="W152" i="18"/>
  <c r="J152" i="18"/>
  <c r="E153" i="18"/>
  <c r="R153" i="18"/>
  <c r="B153" i="18"/>
  <c r="M153" i="18" s="1"/>
  <c r="F153" i="18"/>
  <c r="F154" i="18" s="1"/>
  <c r="H155" i="18"/>
  <c r="V152" i="18"/>
  <c r="U152" i="18"/>
  <c r="T152" i="18"/>
  <c r="S152" i="18"/>
  <c r="W154" i="18" l="1"/>
  <c r="Y154" i="18"/>
  <c r="X154" i="18"/>
  <c r="J154" i="18"/>
  <c r="V153" i="18"/>
  <c r="U153" i="18"/>
  <c r="T153" i="18"/>
  <c r="S153" i="18"/>
  <c r="B154" i="18"/>
  <c r="M154" i="18" s="1"/>
  <c r="E154" i="18"/>
  <c r="R154" i="18"/>
  <c r="D156" i="18"/>
  <c r="C155" i="18"/>
  <c r="A155" i="18"/>
  <c r="Y153" i="18"/>
  <c r="X153" i="18"/>
  <c r="W153" i="18"/>
  <c r="I153" i="18"/>
  <c r="I154" i="18" s="1"/>
  <c r="J153" i="18"/>
  <c r="L153" i="18"/>
  <c r="H156" i="18"/>
  <c r="D157" i="18" l="1"/>
  <c r="C156" i="18"/>
  <c r="A156" i="18"/>
  <c r="V154" i="18"/>
  <c r="U154" i="18"/>
  <c r="T154" i="18"/>
  <c r="S154" i="18"/>
  <c r="H157" i="18"/>
  <c r="R155" i="18"/>
  <c r="E155" i="18"/>
  <c r="F156" i="18" s="1"/>
  <c r="B155" i="18"/>
  <c r="M155" i="18" s="1"/>
  <c r="L154" i="18"/>
  <c r="F155" i="18"/>
  <c r="Y156" i="18" l="1"/>
  <c r="X156" i="18"/>
  <c r="W156" i="18"/>
  <c r="J156" i="18"/>
  <c r="C157" i="18"/>
  <c r="F157" i="18" s="1"/>
  <c r="A157" i="18"/>
  <c r="D158" i="18"/>
  <c r="H158" i="18"/>
  <c r="Y155" i="18"/>
  <c r="X155" i="18"/>
  <c r="W155" i="18"/>
  <c r="I155" i="18"/>
  <c r="I156" i="18" s="1"/>
  <c r="J155" i="18"/>
  <c r="S155" i="18"/>
  <c r="V155" i="18"/>
  <c r="U155" i="18"/>
  <c r="T155" i="18"/>
  <c r="B156" i="18"/>
  <c r="M156" i="18" s="1"/>
  <c r="R156" i="18"/>
  <c r="E156" i="18"/>
  <c r="L155" i="18"/>
  <c r="Y157" i="18" l="1"/>
  <c r="X157" i="18"/>
  <c r="I157" i="18"/>
  <c r="W157" i="18"/>
  <c r="J157" i="18"/>
  <c r="H159" i="18"/>
  <c r="A158" i="18"/>
  <c r="D159" i="18"/>
  <c r="C158" i="18"/>
  <c r="F158" i="18" s="1"/>
  <c r="E157" i="18"/>
  <c r="B157" i="18"/>
  <c r="M157" i="18" s="1"/>
  <c r="R157" i="18"/>
  <c r="V156" i="18"/>
  <c r="U156" i="18"/>
  <c r="T156" i="18"/>
  <c r="S156" i="18"/>
  <c r="L156" i="18"/>
  <c r="W158" i="18" l="1"/>
  <c r="I158" i="18"/>
  <c r="Y158" i="18"/>
  <c r="X158" i="18"/>
  <c r="J158" i="18"/>
  <c r="D160" i="18"/>
  <c r="C159" i="18"/>
  <c r="A159" i="18"/>
  <c r="B158" i="18"/>
  <c r="L158" i="18" s="1"/>
  <c r="E158" i="18"/>
  <c r="R158" i="18"/>
  <c r="H160" i="18"/>
  <c r="L157" i="18"/>
  <c r="V157" i="18"/>
  <c r="U157" i="18"/>
  <c r="T157" i="18"/>
  <c r="S157" i="18"/>
  <c r="V158" i="18" l="1"/>
  <c r="U158" i="18"/>
  <c r="T158" i="18"/>
  <c r="S158" i="18"/>
  <c r="H161" i="18"/>
  <c r="D161" i="18"/>
  <c r="C160" i="18"/>
  <c r="A160" i="18"/>
  <c r="R159" i="18"/>
  <c r="E159" i="18"/>
  <c r="B159" i="18"/>
  <c r="L159" i="18" s="1"/>
  <c r="M158" i="18"/>
  <c r="F159" i="18"/>
  <c r="S159" i="18" l="1"/>
  <c r="V159" i="18"/>
  <c r="U159" i="18"/>
  <c r="T159" i="18"/>
  <c r="R160" i="18"/>
  <c r="E160" i="18"/>
  <c r="B160" i="18"/>
  <c r="M159" i="18"/>
  <c r="M160" i="18"/>
  <c r="C161" i="18"/>
  <c r="F161" i="18" s="1"/>
  <c r="A161" i="18"/>
  <c r="D162" i="18"/>
  <c r="L160" i="18"/>
  <c r="F160" i="18"/>
  <c r="H162" i="18"/>
  <c r="I159" i="18"/>
  <c r="Y159" i="18"/>
  <c r="X159" i="18"/>
  <c r="W159" i="18"/>
  <c r="J159" i="18"/>
  <c r="Y161" i="18" l="1"/>
  <c r="X161" i="18"/>
  <c r="W161" i="18"/>
  <c r="J161" i="18"/>
  <c r="A162" i="18"/>
  <c r="D163" i="18"/>
  <c r="C162" i="18"/>
  <c r="E161" i="18"/>
  <c r="B161" i="18"/>
  <c r="M161" i="18" s="1"/>
  <c r="R161" i="18"/>
  <c r="H163" i="18"/>
  <c r="S160" i="18"/>
  <c r="V160" i="18"/>
  <c r="U160" i="18"/>
  <c r="T160" i="18"/>
  <c r="I160" i="18"/>
  <c r="I161" i="18" s="1"/>
  <c r="Y160" i="18"/>
  <c r="X160" i="18"/>
  <c r="W160" i="18"/>
  <c r="J160" i="18"/>
  <c r="T161" i="18" l="1"/>
  <c r="S161" i="18"/>
  <c r="V161" i="18"/>
  <c r="U161" i="18"/>
  <c r="A163" i="18"/>
  <c r="D164" i="18"/>
  <c r="C163" i="18"/>
  <c r="B162" i="18"/>
  <c r="M162" i="18" s="1"/>
  <c r="R162" i="18"/>
  <c r="E162" i="18"/>
  <c r="L162" i="18"/>
  <c r="F162" i="18"/>
  <c r="L161" i="18"/>
  <c r="H164" i="18"/>
  <c r="D165" i="18" l="1"/>
  <c r="A164" i="18"/>
  <c r="C164" i="18"/>
  <c r="F163" i="18"/>
  <c r="W162" i="18"/>
  <c r="Y162" i="18"/>
  <c r="X162" i="18"/>
  <c r="I162" i="18"/>
  <c r="J162" i="18"/>
  <c r="R163" i="18"/>
  <c r="E163" i="18"/>
  <c r="B163" i="18"/>
  <c r="M163" i="18" s="1"/>
  <c r="V162" i="18"/>
  <c r="U162" i="18"/>
  <c r="T162" i="18"/>
  <c r="S162" i="18"/>
  <c r="H165" i="18"/>
  <c r="S163" i="18" l="1"/>
  <c r="V163" i="18"/>
  <c r="U163" i="18"/>
  <c r="T163" i="18"/>
  <c r="Y163" i="18"/>
  <c r="X163" i="18"/>
  <c r="W163" i="18"/>
  <c r="I163" i="18"/>
  <c r="J163" i="18"/>
  <c r="C165" i="18"/>
  <c r="A165" i="18"/>
  <c r="D166" i="18"/>
  <c r="R164" i="18"/>
  <c r="E164" i="18"/>
  <c r="B164" i="18"/>
  <c r="M164" i="18" s="1"/>
  <c r="L163" i="18"/>
  <c r="H166" i="18"/>
  <c r="F164" i="18"/>
  <c r="V164" i="18" l="1"/>
  <c r="U164" i="18"/>
  <c r="T164" i="18"/>
  <c r="S164" i="18"/>
  <c r="E165" i="18"/>
  <c r="B165" i="18"/>
  <c r="M165" i="18" s="1"/>
  <c r="R165" i="18"/>
  <c r="A166" i="18"/>
  <c r="D167" i="18"/>
  <c r="C166" i="18"/>
  <c r="F165" i="18"/>
  <c r="H167" i="18"/>
  <c r="I164" i="18"/>
  <c r="Y164" i="18"/>
  <c r="X164" i="18"/>
  <c r="W164" i="18"/>
  <c r="J164" i="18"/>
  <c r="L164" i="18"/>
  <c r="C167" i="18" l="1"/>
  <c r="D168" i="18"/>
  <c r="A167" i="18"/>
  <c r="V165" i="18"/>
  <c r="U165" i="18"/>
  <c r="T165" i="18"/>
  <c r="S165" i="18"/>
  <c r="H168" i="18"/>
  <c r="Y165" i="18"/>
  <c r="X165" i="18"/>
  <c r="W165" i="18"/>
  <c r="I165" i="18"/>
  <c r="J165" i="18"/>
  <c r="L165" i="18"/>
  <c r="B166" i="18"/>
  <c r="M166" i="18" s="1"/>
  <c r="E166" i="18"/>
  <c r="R166" i="18"/>
  <c r="F166" i="18"/>
  <c r="W166" i="18" l="1"/>
  <c r="I166" i="18"/>
  <c r="Y166" i="18"/>
  <c r="X166" i="18"/>
  <c r="L166" i="18"/>
  <c r="J166" i="18"/>
  <c r="H169" i="18"/>
  <c r="V166" i="18"/>
  <c r="U166" i="18"/>
  <c r="T166" i="18"/>
  <c r="S166" i="18"/>
  <c r="R167" i="18"/>
  <c r="E167" i="18"/>
  <c r="B167" i="18"/>
  <c r="M167" i="18" s="1"/>
  <c r="F167" i="18"/>
  <c r="D169" i="18"/>
  <c r="C168" i="18"/>
  <c r="A168" i="18"/>
  <c r="S167" i="18" l="1"/>
  <c r="V167" i="18"/>
  <c r="U167" i="18"/>
  <c r="T167" i="18"/>
  <c r="H170" i="18"/>
  <c r="E168" i="18"/>
  <c r="R168" i="18"/>
  <c r="B168" i="18"/>
  <c r="M168" i="18" s="1"/>
  <c r="F168" i="18"/>
  <c r="D170" i="18"/>
  <c r="C169" i="18"/>
  <c r="A169" i="18"/>
  <c r="I167" i="18"/>
  <c r="Y167" i="18"/>
  <c r="X167" i="18"/>
  <c r="W167" i="18"/>
  <c r="J167" i="18"/>
  <c r="L167" i="18"/>
  <c r="H171" i="18" l="1"/>
  <c r="V168" i="18"/>
  <c r="U168" i="18"/>
  <c r="T168" i="18"/>
  <c r="S168" i="18"/>
  <c r="R169" i="18"/>
  <c r="E169" i="18"/>
  <c r="B169" i="18"/>
  <c r="M169" i="18" s="1"/>
  <c r="C170" i="18"/>
  <c r="A170" i="18"/>
  <c r="F170" i="18"/>
  <c r="D171" i="18"/>
  <c r="F169" i="18"/>
  <c r="I168" i="18"/>
  <c r="Y168" i="18"/>
  <c r="W168" i="18"/>
  <c r="X168" i="18"/>
  <c r="J168" i="18"/>
  <c r="L168" i="18"/>
  <c r="A171" i="18" l="1"/>
  <c r="C171" i="18"/>
  <c r="D172" i="18"/>
  <c r="B170" i="18"/>
  <c r="M170" i="18" s="1"/>
  <c r="E170" i="18"/>
  <c r="R170" i="18"/>
  <c r="L170" i="18"/>
  <c r="V169" i="18"/>
  <c r="U169" i="18"/>
  <c r="T169" i="18"/>
  <c r="S169" i="18"/>
  <c r="H172" i="18"/>
  <c r="Y170" i="18"/>
  <c r="X170" i="18"/>
  <c r="W170" i="18"/>
  <c r="J170" i="18"/>
  <c r="Y169" i="18"/>
  <c r="X169" i="18"/>
  <c r="W169" i="18"/>
  <c r="I169" i="18"/>
  <c r="I170" i="18" s="1"/>
  <c r="J169" i="18"/>
  <c r="L169" i="18"/>
  <c r="V170" i="18" l="1"/>
  <c r="U170" i="18"/>
  <c r="S170" i="18"/>
  <c r="T170" i="18"/>
  <c r="E171" i="18"/>
  <c r="R171" i="18"/>
  <c r="B171" i="18"/>
  <c r="L171" i="18"/>
  <c r="A172" i="18"/>
  <c r="D173" i="18"/>
  <c r="C172" i="18"/>
  <c r="M171" i="18"/>
  <c r="H173" i="18"/>
  <c r="F171" i="18"/>
  <c r="H174" i="18" l="1"/>
  <c r="R172" i="18"/>
  <c r="B172" i="18"/>
  <c r="E172" i="18"/>
  <c r="L172" i="18"/>
  <c r="M172" i="18"/>
  <c r="D174" i="18"/>
  <c r="C173" i="18"/>
  <c r="A173" i="18"/>
  <c r="W171" i="18"/>
  <c r="Y171" i="18"/>
  <c r="X171" i="18"/>
  <c r="I171" i="18"/>
  <c r="J171" i="18"/>
  <c r="F172" i="18"/>
  <c r="V171" i="18"/>
  <c r="U171" i="18"/>
  <c r="T171" i="18"/>
  <c r="S171" i="18"/>
  <c r="R173" i="18" l="1"/>
  <c r="E173" i="18"/>
  <c r="B173" i="18"/>
  <c r="D175" i="18"/>
  <c r="C174" i="18"/>
  <c r="A174" i="18"/>
  <c r="F173" i="18"/>
  <c r="V172" i="18"/>
  <c r="T172" i="18"/>
  <c r="S172" i="18"/>
  <c r="U172" i="18"/>
  <c r="M173" i="18"/>
  <c r="I172" i="18"/>
  <c r="Y172" i="18"/>
  <c r="X172" i="18"/>
  <c r="W172" i="18"/>
  <c r="J172" i="18"/>
  <c r="H175" i="18"/>
  <c r="I173" i="18" l="1"/>
  <c r="Y173" i="18"/>
  <c r="X173" i="18"/>
  <c r="W173" i="18"/>
  <c r="J173" i="18"/>
  <c r="H176" i="18"/>
  <c r="L173" i="18"/>
  <c r="E174" i="18"/>
  <c r="B174" i="18"/>
  <c r="M174" i="18" s="1"/>
  <c r="R174" i="18"/>
  <c r="F174" i="18"/>
  <c r="D176" i="18"/>
  <c r="F175" i="18"/>
  <c r="J175" i="18" s="1"/>
  <c r="C175" i="18"/>
  <c r="A175" i="18"/>
  <c r="S173" i="18"/>
  <c r="V173" i="18"/>
  <c r="U173" i="18"/>
  <c r="T173" i="18"/>
  <c r="A176" i="18" l="1"/>
  <c r="C176" i="18"/>
  <c r="D177" i="18"/>
  <c r="Y175" i="18"/>
  <c r="X175" i="18"/>
  <c r="W175" i="18"/>
  <c r="I175" i="18"/>
  <c r="V174" i="18"/>
  <c r="U174" i="18"/>
  <c r="T174" i="18"/>
  <c r="S174" i="18"/>
  <c r="H177" i="18"/>
  <c r="I174" i="18"/>
  <c r="Y174" i="18"/>
  <c r="X174" i="18"/>
  <c r="W174" i="18"/>
  <c r="J174" i="18"/>
  <c r="E175" i="18"/>
  <c r="F176" i="18" s="1"/>
  <c r="B175" i="18"/>
  <c r="M175" i="18" s="1"/>
  <c r="R175" i="18"/>
  <c r="L174" i="18"/>
  <c r="Y176" i="18" l="1"/>
  <c r="X176" i="18"/>
  <c r="W176" i="18"/>
  <c r="I176" i="18"/>
  <c r="J176" i="18"/>
  <c r="L176" i="18"/>
  <c r="V175" i="18"/>
  <c r="U175" i="18"/>
  <c r="T175" i="18"/>
  <c r="S175" i="18"/>
  <c r="H178" i="18"/>
  <c r="A177" i="18"/>
  <c r="D178" i="18"/>
  <c r="C177" i="18"/>
  <c r="L175" i="18"/>
  <c r="B176" i="18"/>
  <c r="M176" i="18" s="1"/>
  <c r="R176" i="18"/>
  <c r="E176" i="18"/>
  <c r="D179" i="18" l="1"/>
  <c r="C178" i="18"/>
  <c r="A178" i="18"/>
  <c r="H179" i="18"/>
  <c r="V176" i="18"/>
  <c r="U176" i="18"/>
  <c r="T176" i="18"/>
  <c r="S176" i="18"/>
  <c r="R177" i="18"/>
  <c r="B177" i="18"/>
  <c r="M177" i="18" s="1"/>
  <c r="E177" i="18"/>
  <c r="F177" i="18"/>
  <c r="W177" i="18" l="1"/>
  <c r="Y177" i="18"/>
  <c r="X177" i="18"/>
  <c r="I177" i="18"/>
  <c r="J177" i="18"/>
  <c r="L177" i="18"/>
  <c r="H180" i="18"/>
  <c r="V177" i="18"/>
  <c r="U177" i="18"/>
  <c r="T177" i="18"/>
  <c r="S177" i="18"/>
  <c r="R178" i="18"/>
  <c r="E178" i="18"/>
  <c r="B178" i="18"/>
  <c r="M178" i="18" s="1"/>
  <c r="L178" i="18"/>
  <c r="F178" i="18"/>
  <c r="D180" i="18"/>
  <c r="C179" i="18"/>
  <c r="A179" i="18"/>
  <c r="F179" i="18" l="1"/>
  <c r="L179" i="18"/>
  <c r="H181" i="18"/>
  <c r="A180" i="18"/>
  <c r="D181" i="18"/>
  <c r="C180" i="18"/>
  <c r="T178" i="18"/>
  <c r="S178" i="18"/>
  <c r="V178" i="18"/>
  <c r="U178" i="18"/>
  <c r="E179" i="18"/>
  <c r="R179" i="18"/>
  <c r="B179" i="18"/>
  <c r="M179" i="18" s="1"/>
  <c r="I178" i="18"/>
  <c r="Y178" i="18"/>
  <c r="X178" i="18"/>
  <c r="W178" i="18"/>
  <c r="J178" i="18"/>
  <c r="E180" i="18" l="1"/>
  <c r="B180" i="18"/>
  <c r="M180" i="18" s="1"/>
  <c r="R180" i="18"/>
  <c r="F180" i="18"/>
  <c r="L180" i="18" s="1"/>
  <c r="C181" i="18"/>
  <c r="F181" i="18" s="1"/>
  <c r="A181" i="18"/>
  <c r="D182" i="18"/>
  <c r="I179" i="18"/>
  <c r="W179" i="18"/>
  <c r="Y179" i="18"/>
  <c r="X179" i="18"/>
  <c r="J179" i="18"/>
  <c r="H182" i="18"/>
  <c r="V179" i="18"/>
  <c r="U179" i="18"/>
  <c r="T179" i="18"/>
  <c r="S179" i="18"/>
  <c r="Y181" i="18" l="1"/>
  <c r="X181" i="18"/>
  <c r="W181" i="18"/>
  <c r="I181" i="18"/>
  <c r="J181" i="18"/>
  <c r="L181" i="18"/>
  <c r="C182" i="18"/>
  <c r="A182" i="18"/>
  <c r="D183" i="18"/>
  <c r="H183" i="18"/>
  <c r="R181" i="18"/>
  <c r="E181" i="18"/>
  <c r="F182" i="18" s="1"/>
  <c r="B181" i="18"/>
  <c r="M181" i="18" s="1"/>
  <c r="I180" i="18"/>
  <c r="Y180" i="18"/>
  <c r="X180" i="18"/>
  <c r="W180" i="18"/>
  <c r="J180" i="18"/>
  <c r="V180" i="18"/>
  <c r="U180" i="18"/>
  <c r="T180" i="18"/>
  <c r="S180" i="18"/>
  <c r="Y182" i="18" l="1"/>
  <c r="X182" i="18"/>
  <c r="W182" i="18"/>
  <c r="I182" i="18"/>
  <c r="J182" i="18"/>
  <c r="L182" i="18"/>
  <c r="V181" i="18"/>
  <c r="U181" i="18"/>
  <c r="T181" i="18"/>
  <c r="S181" i="18"/>
  <c r="H184" i="18"/>
  <c r="D184" i="18"/>
  <c r="F183" i="18"/>
  <c r="C183" i="18"/>
  <c r="A183" i="18"/>
  <c r="B182" i="18"/>
  <c r="M182" i="18" s="1"/>
  <c r="R182" i="18"/>
  <c r="E182" i="18"/>
  <c r="A184" i="18" l="1"/>
  <c r="D185" i="18"/>
  <c r="C184" i="18"/>
  <c r="H185" i="18"/>
  <c r="X183" i="18"/>
  <c r="Y183" i="18"/>
  <c r="W183" i="18"/>
  <c r="I183" i="18"/>
  <c r="L183" i="18"/>
  <c r="J183" i="18"/>
  <c r="V182" i="18"/>
  <c r="U182" i="18"/>
  <c r="T182" i="18"/>
  <c r="S182" i="18"/>
  <c r="E183" i="18"/>
  <c r="R183" i="18"/>
  <c r="B183" i="18"/>
  <c r="M183" i="18" s="1"/>
  <c r="V183" i="18" l="1"/>
  <c r="U183" i="18"/>
  <c r="T183" i="18"/>
  <c r="S183" i="18"/>
  <c r="R184" i="18"/>
  <c r="E184" i="18"/>
  <c r="B184" i="18"/>
  <c r="F184" i="18"/>
  <c r="L184" i="18"/>
  <c r="H186" i="18"/>
  <c r="M184" i="18"/>
  <c r="D186" i="18"/>
  <c r="F185" i="18"/>
  <c r="C185" i="18"/>
  <c r="A185" i="18"/>
  <c r="Y185" i="18" l="1"/>
  <c r="X185" i="18"/>
  <c r="W185" i="18"/>
  <c r="J185" i="18"/>
  <c r="D187" i="18"/>
  <c r="C186" i="18"/>
  <c r="A186" i="18"/>
  <c r="I184" i="18"/>
  <c r="I185" i="18" s="1"/>
  <c r="Y184" i="18"/>
  <c r="X184" i="18"/>
  <c r="W184" i="18"/>
  <c r="J184" i="18"/>
  <c r="H187" i="18"/>
  <c r="V184" i="18"/>
  <c r="T184" i="18"/>
  <c r="U184" i="18"/>
  <c r="S184" i="18"/>
  <c r="R185" i="18"/>
  <c r="E185" i="18"/>
  <c r="B185" i="18"/>
  <c r="M185" i="18" s="1"/>
  <c r="T185" i="18" l="1"/>
  <c r="S185" i="18"/>
  <c r="U185" i="18"/>
  <c r="V185" i="18"/>
  <c r="C187" i="18"/>
  <c r="D188" i="18"/>
  <c r="A187" i="18"/>
  <c r="R186" i="18"/>
  <c r="E186" i="18"/>
  <c r="B186" i="18"/>
  <c r="M186" i="18" s="1"/>
  <c r="F186" i="18"/>
  <c r="L186" i="18"/>
  <c r="L185" i="18"/>
  <c r="H188" i="18"/>
  <c r="V186" i="18" l="1"/>
  <c r="U186" i="18"/>
  <c r="T186" i="18"/>
  <c r="S186" i="18"/>
  <c r="I186" i="18"/>
  <c r="Y186" i="18"/>
  <c r="X186" i="18"/>
  <c r="W186" i="18"/>
  <c r="J186" i="18"/>
  <c r="F187" i="18"/>
  <c r="A188" i="18"/>
  <c r="D189" i="18"/>
  <c r="C188" i="18"/>
  <c r="E187" i="18"/>
  <c r="B187" i="18"/>
  <c r="M187" i="18" s="1"/>
  <c r="R187" i="18"/>
  <c r="H189" i="18"/>
  <c r="E188" i="18" l="1"/>
  <c r="B188" i="18"/>
  <c r="R188" i="18"/>
  <c r="D190" i="18"/>
  <c r="C189" i="18"/>
  <c r="A189" i="18"/>
  <c r="X187" i="18"/>
  <c r="I187" i="18"/>
  <c r="Y187" i="18"/>
  <c r="W187" i="18"/>
  <c r="J187" i="18"/>
  <c r="L187" i="18"/>
  <c r="M188" i="18"/>
  <c r="H190" i="18"/>
  <c r="V187" i="18"/>
  <c r="U187" i="18"/>
  <c r="T187" i="18"/>
  <c r="S187" i="18"/>
  <c r="F188" i="18"/>
  <c r="I188" i="18" l="1"/>
  <c r="Y188" i="18"/>
  <c r="X188" i="18"/>
  <c r="W188" i="18"/>
  <c r="J188" i="18"/>
  <c r="R189" i="18"/>
  <c r="E189" i="18"/>
  <c r="B189" i="18"/>
  <c r="D191" i="18"/>
  <c r="C190" i="18"/>
  <c r="A190" i="18"/>
  <c r="F190" i="18"/>
  <c r="M189" i="18"/>
  <c r="L188" i="18"/>
  <c r="F189" i="18"/>
  <c r="V188" i="18"/>
  <c r="T188" i="18"/>
  <c r="U188" i="18"/>
  <c r="S188" i="18"/>
  <c r="H191" i="18"/>
  <c r="Y190" i="18" l="1"/>
  <c r="X190" i="18"/>
  <c r="W190" i="18"/>
  <c r="H192" i="18"/>
  <c r="E190" i="18"/>
  <c r="B190" i="18"/>
  <c r="M190" i="18" s="1"/>
  <c r="R190" i="18"/>
  <c r="V189" i="18"/>
  <c r="U189" i="18"/>
  <c r="T189" i="18"/>
  <c r="S189" i="18"/>
  <c r="C191" i="18"/>
  <c r="F191" i="18"/>
  <c r="D192" i="18"/>
  <c r="A191" i="18"/>
  <c r="J190" i="18"/>
  <c r="Y189" i="18"/>
  <c r="X189" i="18"/>
  <c r="W189" i="18"/>
  <c r="I189" i="18"/>
  <c r="I190" i="18" s="1"/>
  <c r="J189" i="18"/>
  <c r="L189" i="18"/>
  <c r="X191" i="18" l="1"/>
  <c r="W191" i="18"/>
  <c r="Y191" i="18"/>
  <c r="I191" i="18"/>
  <c r="E191" i="18"/>
  <c r="B191" i="18"/>
  <c r="R191" i="18"/>
  <c r="H193" i="18"/>
  <c r="M191" i="18"/>
  <c r="V190" i="18"/>
  <c r="U190" i="18"/>
  <c r="T190" i="18"/>
  <c r="S190" i="18"/>
  <c r="L190" i="18"/>
  <c r="L191" i="18"/>
  <c r="J191" i="18"/>
  <c r="A192" i="18"/>
  <c r="D193" i="18"/>
  <c r="C192" i="18"/>
  <c r="F192" i="18"/>
  <c r="Y192" i="18" l="1"/>
  <c r="X192" i="18"/>
  <c r="W192" i="18"/>
  <c r="I192" i="18"/>
  <c r="V191" i="18"/>
  <c r="U191" i="18"/>
  <c r="T191" i="18"/>
  <c r="S191" i="18"/>
  <c r="C193" i="18"/>
  <c r="A193" i="18"/>
  <c r="D194" i="18"/>
  <c r="F193" i="18"/>
  <c r="H194" i="18"/>
  <c r="J192" i="18"/>
  <c r="E192" i="18"/>
  <c r="B192" i="18"/>
  <c r="M192" i="18" s="1"/>
  <c r="R192" i="18"/>
  <c r="Y193" i="18" l="1"/>
  <c r="X193" i="18"/>
  <c r="W193" i="18"/>
  <c r="I193" i="18"/>
  <c r="J193" i="18"/>
  <c r="D195" i="18"/>
  <c r="C194" i="18"/>
  <c r="A194" i="18"/>
  <c r="L192" i="18"/>
  <c r="H195" i="18"/>
  <c r="R193" i="18"/>
  <c r="B193" i="18"/>
  <c r="L193" i="18" s="1"/>
  <c r="E193" i="18"/>
  <c r="M193" i="18"/>
  <c r="V192" i="18"/>
  <c r="T192" i="18"/>
  <c r="S192" i="18"/>
  <c r="U192" i="18"/>
  <c r="V193" i="18" l="1"/>
  <c r="U193" i="18"/>
  <c r="T193" i="18"/>
  <c r="S193" i="18"/>
  <c r="H196" i="18"/>
  <c r="F194" i="18"/>
  <c r="C195" i="18"/>
  <c r="D196" i="18"/>
  <c r="A195" i="18"/>
  <c r="F195" i="18"/>
  <c r="B194" i="18"/>
  <c r="M194" i="18" s="1"/>
  <c r="R194" i="18"/>
  <c r="E194" i="18"/>
  <c r="Y194" i="18" l="1"/>
  <c r="X194" i="18"/>
  <c r="W194" i="18"/>
  <c r="I194" i="18"/>
  <c r="J194" i="18"/>
  <c r="X195" i="18"/>
  <c r="W195" i="18"/>
  <c r="Y195" i="18"/>
  <c r="I195" i="18"/>
  <c r="A196" i="18"/>
  <c r="C196" i="18"/>
  <c r="D197" i="18"/>
  <c r="F196" i="18"/>
  <c r="L194" i="18"/>
  <c r="H197" i="18"/>
  <c r="J195" i="18"/>
  <c r="E195" i="18"/>
  <c r="B195" i="18"/>
  <c r="R195" i="18"/>
  <c r="V194" i="18"/>
  <c r="U194" i="18"/>
  <c r="T194" i="18"/>
  <c r="S194" i="18"/>
  <c r="C197" i="18" l="1"/>
  <c r="A197" i="18"/>
  <c r="D198" i="18"/>
  <c r="Y196" i="18"/>
  <c r="X196" i="18"/>
  <c r="W196" i="18"/>
  <c r="I196" i="18"/>
  <c r="B196" i="18"/>
  <c r="M196" i="18" s="1"/>
  <c r="R196" i="18"/>
  <c r="E196" i="18"/>
  <c r="F197" i="18" s="1"/>
  <c r="V195" i="18"/>
  <c r="U195" i="18"/>
  <c r="T195" i="18"/>
  <c r="S195" i="18"/>
  <c r="L195" i="18"/>
  <c r="M195" i="18"/>
  <c r="H198" i="18"/>
  <c r="J196" i="18"/>
  <c r="Y197" i="18" l="1"/>
  <c r="X197" i="18"/>
  <c r="W197" i="18"/>
  <c r="I197" i="18"/>
  <c r="J197" i="18"/>
  <c r="V196" i="18"/>
  <c r="T196" i="18"/>
  <c r="S196" i="18"/>
  <c r="U196" i="18"/>
  <c r="L197" i="18"/>
  <c r="L196" i="18"/>
  <c r="H199" i="18"/>
  <c r="F198" i="18"/>
  <c r="A198" i="18"/>
  <c r="D199" i="18"/>
  <c r="C198" i="18"/>
  <c r="R197" i="18"/>
  <c r="B197" i="18"/>
  <c r="M197" i="18" s="1"/>
  <c r="E197" i="18"/>
  <c r="Y198" i="18" l="1"/>
  <c r="X198" i="18"/>
  <c r="W198" i="18"/>
  <c r="I198" i="18"/>
  <c r="J198" i="18"/>
  <c r="C199" i="18"/>
  <c r="A199" i="18"/>
  <c r="D200" i="18"/>
  <c r="H200" i="18"/>
  <c r="B198" i="18"/>
  <c r="L198" i="18" s="1"/>
  <c r="R198" i="18"/>
  <c r="E198" i="18"/>
  <c r="F199" i="18" s="1"/>
  <c r="V197" i="18"/>
  <c r="U197" i="18"/>
  <c r="T197" i="18"/>
  <c r="S197" i="18"/>
  <c r="X199" i="18" l="1"/>
  <c r="W199" i="18"/>
  <c r="Y199" i="18"/>
  <c r="I199" i="18"/>
  <c r="J199" i="18"/>
  <c r="A200" i="18"/>
  <c r="C200" i="18"/>
  <c r="D201" i="18"/>
  <c r="M198" i="18"/>
  <c r="E199" i="18"/>
  <c r="F200" i="18" s="1"/>
  <c r="B199" i="18"/>
  <c r="M199" i="18" s="1"/>
  <c r="R199" i="18"/>
  <c r="V198" i="18"/>
  <c r="U198" i="18"/>
  <c r="T198" i="18"/>
  <c r="S198" i="18"/>
  <c r="H201" i="18"/>
  <c r="Y200" i="18" l="1"/>
  <c r="X200" i="18"/>
  <c r="W200" i="18"/>
  <c r="I200" i="18"/>
  <c r="J200" i="18"/>
  <c r="L200" i="18"/>
  <c r="V199" i="18"/>
  <c r="U199" i="18"/>
  <c r="T199" i="18"/>
  <c r="S199" i="18"/>
  <c r="A201" i="18"/>
  <c r="F201" i="18"/>
  <c r="D202" i="18"/>
  <c r="C201" i="18"/>
  <c r="B200" i="18"/>
  <c r="M200" i="18" s="1"/>
  <c r="R200" i="18"/>
  <c r="E200" i="18"/>
  <c r="H202" i="18"/>
  <c r="L199" i="18"/>
  <c r="R201" i="18" l="1"/>
  <c r="B201" i="18"/>
  <c r="M201" i="18" s="1"/>
  <c r="E201" i="18"/>
  <c r="L201" i="18"/>
  <c r="Y201" i="18"/>
  <c r="X201" i="18"/>
  <c r="W201" i="18"/>
  <c r="I201" i="18"/>
  <c r="J201" i="18"/>
  <c r="H203" i="18"/>
  <c r="D203" i="18"/>
  <c r="F202" i="18"/>
  <c r="J202" i="18" s="1"/>
  <c r="A202" i="18"/>
  <c r="C202" i="18"/>
  <c r="V200" i="18"/>
  <c r="T200" i="18"/>
  <c r="S200" i="18"/>
  <c r="U200" i="18"/>
  <c r="C203" i="18" l="1"/>
  <c r="A203" i="18"/>
  <c r="D204" i="18"/>
  <c r="F203" i="18"/>
  <c r="I202" i="18"/>
  <c r="Y202" i="18"/>
  <c r="X202" i="18"/>
  <c r="W202" i="18"/>
  <c r="J203" i="18"/>
  <c r="H204" i="18"/>
  <c r="V201" i="18"/>
  <c r="U201" i="18"/>
  <c r="T201" i="18"/>
  <c r="S201" i="18"/>
  <c r="R202" i="18"/>
  <c r="E202" i="18"/>
  <c r="B202" i="18"/>
  <c r="M202" i="18" s="1"/>
  <c r="L202" i="18"/>
  <c r="A204" i="18" l="1"/>
  <c r="D205" i="18"/>
  <c r="C204" i="18"/>
  <c r="F204" i="18"/>
  <c r="H205" i="18"/>
  <c r="Y203" i="18"/>
  <c r="X203" i="18"/>
  <c r="W203" i="18"/>
  <c r="I203" i="18"/>
  <c r="V202" i="18"/>
  <c r="U202" i="18"/>
  <c r="T202" i="18"/>
  <c r="S202" i="18"/>
  <c r="E203" i="18"/>
  <c r="B203" i="18"/>
  <c r="M203" i="18" s="1"/>
  <c r="R203" i="18"/>
  <c r="Y204" i="18" l="1"/>
  <c r="X204" i="18"/>
  <c r="W204" i="18"/>
  <c r="I204" i="18"/>
  <c r="J204" i="18"/>
  <c r="D206" i="18"/>
  <c r="C205" i="18"/>
  <c r="F205" i="18" s="1"/>
  <c r="A205" i="18"/>
  <c r="H206" i="18"/>
  <c r="V203" i="18"/>
  <c r="U203" i="18"/>
  <c r="T203" i="18"/>
  <c r="S203" i="18"/>
  <c r="E204" i="18"/>
  <c r="B204" i="18"/>
  <c r="M204" i="18" s="1"/>
  <c r="R204" i="18"/>
  <c r="L203" i="18"/>
  <c r="Y205" i="18" l="1"/>
  <c r="X205" i="18"/>
  <c r="W205" i="18"/>
  <c r="I205" i="18"/>
  <c r="J205" i="18"/>
  <c r="R205" i="18"/>
  <c r="E205" i="18"/>
  <c r="B205" i="18"/>
  <c r="M205" i="18" s="1"/>
  <c r="V204" i="18"/>
  <c r="U204" i="18"/>
  <c r="T204" i="18"/>
  <c r="S204" i="18"/>
  <c r="H207" i="18"/>
  <c r="D207" i="18"/>
  <c r="F206" i="18"/>
  <c r="J206" i="18" s="1"/>
  <c r="C206" i="18"/>
  <c r="A206" i="18"/>
  <c r="L204" i="18"/>
  <c r="C207" i="18" l="1"/>
  <c r="F207" i="18"/>
  <c r="A207" i="18"/>
  <c r="D208" i="18"/>
  <c r="I206" i="18"/>
  <c r="W206" i="18"/>
  <c r="Y206" i="18"/>
  <c r="X206" i="18"/>
  <c r="L205" i="18"/>
  <c r="V205" i="18"/>
  <c r="U205" i="18"/>
  <c r="T205" i="18"/>
  <c r="S205" i="18"/>
  <c r="B206" i="18"/>
  <c r="M206" i="18" s="1"/>
  <c r="E206" i="18"/>
  <c r="R206" i="18"/>
  <c r="H208" i="18"/>
  <c r="H209" i="18" l="1"/>
  <c r="A208" i="18"/>
  <c r="D209" i="18"/>
  <c r="C208" i="18"/>
  <c r="L206" i="18"/>
  <c r="V206" i="18"/>
  <c r="U206" i="18"/>
  <c r="T206" i="18"/>
  <c r="S206" i="18"/>
  <c r="Y207" i="18"/>
  <c r="X207" i="18"/>
  <c r="W207" i="18"/>
  <c r="I207" i="18"/>
  <c r="J207" i="18"/>
  <c r="E207" i="18"/>
  <c r="B207" i="18"/>
  <c r="M207" i="18" s="1"/>
  <c r="R207" i="18"/>
  <c r="R208" i="18" l="1"/>
  <c r="E208" i="18"/>
  <c r="B208" i="18"/>
  <c r="D210" i="18"/>
  <c r="C209" i="18"/>
  <c r="A209" i="18"/>
  <c r="M208" i="18"/>
  <c r="H210" i="18"/>
  <c r="S207" i="18"/>
  <c r="V207" i="18"/>
  <c r="U207" i="18"/>
  <c r="T207" i="18"/>
  <c r="L208" i="18"/>
  <c r="F208" i="18"/>
  <c r="L207" i="18"/>
  <c r="H211" i="18" l="1"/>
  <c r="R209" i="18"/>
  <c r="E209" i="18"/>
  <c r="B209" i="18"/>
  <c r="D211" i="18"/>
  <c r="C210" i="18"/>
  <c r="A210" i="18"/>
  <c r="F209" i="18"/>
  <c r="M209" i="18"/>
  <c r="I208" i="18"/>
  <c r="Y208" i="18"/>
  <c r="W208" i="18"/>
  <c r="X208" i="18"/>
  <c r="J208" i="18"/>
  <c r="V208" i="18"/>
  <c r="U208" i="18"/>
  <c r="T208" i="18"/>
  <c r="S208" i="18"/>
  <c r="I209" i="18" l="1"/>
  <c r="Y209" i="18"/>
  <c r="X209" i="18"/>
  <c r="W209" i="18"/>
  <c r="J209" i="18"/>
  <c r="M210" i="18"/>
  <c r="C211" i="18"/>
  <c r="D212" i="18"/>
  <c r="F211" i="18"/>
  <c r="A211" i="18"/>
  <c r="V209" i="18"/>
  <c r="U209" i="18"/>
  <c r="T209" i="18"/>
  <c r="S209" i="18"/>
  <c r="B210" i="18"/>
  <c r="R210" i="18"/>
  <c r="E210" i="18"/>
  <c r="F210" i="18"/>
  <c r="H212" i="18"/>
  <c r="L209" i="18"/>
  <c r="Y211" i="18" l="1"/>
  <c r="X211" i="18"/>
  <c r="W211" i="18"/>
  <c r="A212" i="18"/>
  <c r="C212" i="18"/>
  <c r="D213" i="18"/>
  <c r="F212" i="18"/>
  <c r="L211" i="18"/>
  <c r="H213" i="18"/>
  <c r="J212" i="18"/>
  <c r="I210" i="18"/>
  <c r="I211" i="18" s="1"/>
  <c r="W210" i="18"/>
  <c r="X210" i="18"/>
  <c r="Y210" i="18"/>
  <c r="J210" i="18"/>
  <c r="V210" i="18"/>
  <c r="U210" i="18"/>
  <c r="T210" i="18"/>
  <c r="S210" i="18"/>
  <c r="E211" i="18"/>
  <c r="B211" i="18"/>
  <c r="M211" i="18" s="1"/>
  <c r="R211" i="18"/>
  <c r="J211" i="18"/>
  <c r="L210" i="18"/>
  <c r="H214" i="18" l="1"/>
  <c r="S211" i="18"/>
  <c r="V211" i="18"/>
  <c r="U211" i="18"/>
  <c r="T211" i="18"/>
  <c r="C213" i="18"/>
  <c r="A213" i="18"/>
  <c r="D214" i="18"/>
  <c r="Y212" i="18"/>
  <c r="X212" i="18"/>
  <c r="W212" i="18"/>
  <c r="I212" i="18"/>
  <c r="R212" i="18"/>
  <c r="B212" i="18"/>
  <c r="M212" i="18" s="1"/>
  <c r="E212" i="18"/>
  <c r="D215" i="18" l="1"/>
  <c r="C214" i="18"/>
  <c r="A214" i="18"/>
  <c r="R213" i="18"/>
  <c r="E213" i="18"/>
  <c r="B213" i="18"/>
  <c r="M213" i="18" s="1"/>
  <c r="F213" i="18"/>
  <c r="V212" i="18"/>
  <c r="U212" i="18"/>
  <c r="T212" i="18"/>
  <c r="S212" i="18"/>
  <c r="H215" i="18"/>
  <c r="L212" i="18"/>
  <c r="I213" i="18" l="1"/>
  <c r="Y213" i="18"/>
  <c r="X213" i="18"/>
  <c r="W213" i="18"/>
  <c r="J213" i="18"/>
  <c r="S213" i="18"/>
  <c r="V213" i="18"/>
  <c r="U213" i="18"/>
  <c r="T213" i="18"/>
  <c r="C215" i="18"/>
  <c r="A215" i="18"/>
  <c r="D216" i="18"/>
  <c r="E214" i="18"/>
  <c r="F215" i="18" s="1"/>
  <c r="B214" i="18"/>
  <c r="M214" i="18" s="1"/>
  <c r="R214" i="18"/>
  <c r="F214" i="18"/>
  <c r="H216" i="18"/>
  <c r="L213" i="18"/>
  <c r="Y215" i="18" l="1"/>
  <c r="X215" i="18"/>
  <c r="W215" i="18"/>
  <c r="J215" i="18"/>
  <c r="E215" i="18"/>
  <c r="B215" i="18"/>
  <c r="M215" i="18" s="1"/>
  <c r="R215" i="18"/>
  <c r="H217" i="18"/>
  <c r="V214" i="18"/>
  <c r="U214" i="18"/>
  <c r="T214" i="18"/>
  <c r="S214" i="18"/>
  <c r="A216" i="18"/>
  <c r="C216" i="18"/>
  <c r="D217" i="18"/>
  <c r="I214" i="18"/>
  <c r="I215" i="18" s="1"/>
  <c r="X214" i="18"/>
  <c r="W214" i="18"/>
  <c r="Y214" i="18"/>
  <c r="L214" i="18"/>
  <c r="J214" i="18"/>
  <c r="H218" i="18" l="1"/>
  <c r="R216" i="18"/>
  <c r="E216" i="18"/>
  <c r="B216" i="18"/>
  <c r="M216" i="18" s="1"/>
  <c r="L215" i="18"/>
  <c r="F216" i="18"/>
  <c r="V215" i="18"/>
  <c r="T215" i="18"/>
  <c r="S215" i="18"/>
  <c r="U215" i="18"/>
  <c r="L216" i="18"/>
  <c r="D218" i="18"/>
  <c r="F217" i="18"/>
  <c r="C217" i="18"/>
  <c r="A217" i="18"/>
  <c r="D219" i="18" l="1"/>
  <c r="C218" i="18"/>
  <c r="A218" i="18"/>
  <c r="V216" i="18"/>
  <c r="U216" i="18"/>
  <c r="T216" i="18"/>
  <c r="S216" i="18"/>
  <c r="I217" i="18"/>
  <c r="Y217" i="18"/>
  <c r="X217" i="18"/>
  <c r="W217" i="18"/>
  <c r="L217" i="18"/>
  <c r="W216" i="18"/>
  <c r="I216" i="18"/>
  <c r="Y216" i="18"/>
  <c r="X216" i="18"/>
  <c r="J216" i="18"/>
  <c r="J217" i="18"/>
  <c r="R217" i="18"/>
  <c r="E217" i="18"/>
  <c r="B217" i="18"/>
  <c r="M217" i="18" s="1"/>
  <c r="H219" i="18"/>
  <c r="H220" i="18" l="1"/>
  <c r="V217" i="18"/>
  <c r="U217" i="18"/>
  <c r="T217" i="18"/>
  <c r="S217" i="18"/>
  <c r="E218" i="18"/>
  <c r="B218" i="18"/>
  <c r="M218" i="18" s="1"/>
  <c r="R218" i="18"/>
  <c r="F218" i="18"/>
  <c r="C219" i="18"/>
  <c r="A219" i="18"/>
  <c r="D220" i="18"/>
  <c r="F219" i="18"/>
  <c r="Y219" i="18" l="1"/>
  <c r="X219" i="18"/>
  <c r="W219" i="18"/>
  <c r="I219" i="18"/>
  <c r="E219" i="18"/>
  <c r="B219" i="18"/>
  <c r="M219" i="18" s="1"/>
  <c r="R219" i="18"/>
  <c r="V218" i="18"/>
  <c r="U218" i="18"/>
  <c r="T218" i="18"/>
  <c r="S218" i="18"/>
  <c r="A220" i="18"/>
  <c r="D221" i="18"/>
  <c r="C220" i="18"/>
  <c r="I218" i="18"/>
  <c r="Y218" i="18"/>
  <c r="X218" i="18"/>
  <c r="W218" i="18"/>
  <c r="L218" i="18"/>
  <c r="J218" i="18"/>
  <c r="J219" i="18"/>
  <c r="L219" i="18"/>
  <c r="H221" i="18"/>
  <c r="D222" i="18" l="1"/>
  <c r="C221" i="18"/>
  <c r="A221" i="18"/>
  <c r="V219" i="18"/>
  <c r="U219" i="18"/>
  <c r="T219" i="18"/>
  <c r="S219" i="18"/>
  <c r="R220" i="18"/>
  <c r="E220" i="18"/>
  <c r="B220" i="18"/>
  <c r="M220" i="18" s="1"/>
  <c r="H222" i="18"/>
  <c r="F220" i="18"/>
  <c r="H223" i="18" l="1"/>
  <c r="V220" i="18"/>
  <c r="U220" i="18"/>
  <c r="T220" i="18"/>
  <c r="S220" i="18"/>
  <c r="R221" i="18"/>
  <c r="E221" i="18"/>
  <c r="B221" i="18"/>
  <c r="F221" i="18"/>
  <c r="L221" i="18" s="1"/>
  <c r="Y220" i="18"/>
  <c r="X220" i="18"/>
  <c r="W220" i="18"/>
  <c r="I220" i="18"/>
  <c r="J220" i="18"/>
  <c r="M221" i="18"/>
  <c r="D223" i="18"/>
  <c r="C222" i="18"/>
  <c r="A222" i="18"/>
  <c r="L220" i="18"/>
  <c r="E222" i="18" l="1"/>
  <c r="B222" i="18"/>
  <c r="M222" i="18" s="1"/>
  <c r="R222" i="18"/>
  <c r="I221" i="18"/>
  <c r="Y221" i="18"/>
  <c r="X221" i="18"/>
  <c r="W221" i="18"/>
  <c r="J221" i="18"/>
  <c r="F222" i="18"/>
  <c r="H224" i="18"/>
  <c r="V221" i="18"/>
  <c r="U221" i="18"/>
  <c r="T221" i="18"/>
  <c r="S221" i="18"/>
  <c r="C223" i="18"/>
  <c r="A223" i="18"/>
  <c r="D224" i="18"/>
  <c r="I222" i="18" l="1"/>
  <c r="Y222" i="18"/>
  <c r="X222" i="18"/>
  <c r="W222" i="18"/>
  <c r="J222" i="18"/>
  <c r="L222" i="18"/>
  <c r="H225" i="18"/>
  <c r="V222" i="18"/>
  <c r="U222" i="18"/>
  <c r="T222" i="18"/>
  <c r="S222" i="18"/>
  <c r="E223" i="18"/>
  <c r="B223" i="18"/>
  <c r="M223" i="18" s="1"/>
  <c r="R223" i="18"/>
  <c r="F223" i="18"/>
  <c r="F224" i="18" s="1"/>
  <c r="A224" i="18"/>
  <c r="D225" i="18"/>
  <c r="C224" i="18"/>
  <c r="W224" i="18" l="1"/>
  <c r="Y224" i="18"/>
  <c r="X224" i="18"/>
  <c r="J224" i="18"/>
  <c r="V223" i="18"/>
  <c r="U223" i="18"/>
  <c r="T223" i="18"/>
  <c r="S223" i="18"/>
  <c r="H226" i="18"/>
  <c r="L224" i="18"/>
  <c r="Y223" i="18"/>
  <c r="X223" i="18"/>
  <c r="W223" i="18"/>
  <c r="I223" i="18"/>
  <c r="I224" i="18" s="1"/>
  <c r="J223" i="18"/>
  <c r="L223" i="18"/>
  <c r="D226" i="18"/>
  <c r="C225" i="18"/>
  <c r="A225" i="18"/>
  <c r="R224" i="18"/>
  <c r="E224" i="18"/>
  <c r="B224" i="18"/>
  <c r="M224" i="18" s="1"/>
  <c r="H227" i="18" l="1"/>
  <c r="V224" i="18"/>
  <c r="U224" i="18"/>
  <c r="T224" i="18"/>
  <c r="S224" i="18"/>
  <c r="R225" i="18"/>
  <c r="E225" i="18"/>
  <c r="B225" i="18"/>
  <c r="M225" i="18" s="1"/>
  <c r="F225" i="18"/>
  <c r="D227" i="18"/>
  <c r="C226" i="18"/>
  <c r="A226" i="18"/>
  <c r="I225" i="18" l="1"/>
  <c r="Y225" i="18"/>
  <c r="X225" i="18"/>
  <c r="W225" i="18"/>
  <c r="J225" i="18"/>
  <c r="E226" i="18"/>
  <c r="B226" i="18"/>
  <c r="M226" i="18" s="1"/>
  <c r="R226" i="18"/>
  <c r="V225" i="18"/>
  <c r="U225" i="18"/>
  <c r="T225" i="18"/>
  <c r="S225" i="18"/>
  <c r="F226" i="18"/>
  <c r="H228" i="18"/>
  <c r="C227" i="18"/>
  <c r="A227" i="18"/>
  <c r="D228" i="18"/>
  <c r="L225" i="18"/>
  <c r="E227" i="18" l="1"/>
  <c r="B227" i="18"/>
  <c r="R227" i="18"/>
  <c r="H229" i="18"/>
  <c r="V226" i="18"/>
  <c r="U226" i="18"/>
  <c r="T226" i="18"/>
  <c r="S226" i="18"/>
  <c r="I226" i="18"/>
  <c r="Y226" i="18"/>
  <c r="X226" i="18"/>
  <c r="W226" i="18"/>
  <c r="J226" i="18"/>
  <c r="L226" i="18"/>
  <c r="A228" i="18"/>
  <c r="D229" i="18"/>
  <c r="C228" i="18"/>
  <c r="M227" i="18"/>
  <c r="F227" i="18"/>
  <c r="Y227" i="18" l="1"/>
  <c r="X227" i="18"/>
  <c r="W227" i="18"/>
  <c r="I227" i="18"/>
  <c r="J227" i="18"/>
  <c r="V227" i="18"/>
  <c r="U227" i="18"/>
  <c r="T227" i="18"/>
  <c r="S227" i="18"/>
  <c r="F228" i="18"/>
  <c r="L227" i="18"/>
  <c r="R228" i="18"/>
  <c r="E228" i="18"/>
  <c r="B228" i="18"/>
  <c r="M228" i="18" s="1"/>
  <c r="H230" i="18"/>
  <c r="D230" i="18"/>
  <c r="C229" i="18"/>
  <c r="A229" i="18"/>
  <c r="I228" i="18" l="1"/>
  <c r="Y228" i="18"/>
  <c r="X228" i="18"/>
  <c r="W228" i="18"/>
  <c r="J228" i="18"/>
  <c r="H231" i="18"/>
  <c r="F229" i="18"/>
  <c r="D231" i="18"/>
  <c r="C230" i="18"/>
  <c r="A230" i="18"/>
  <c r="V228" i="18"/>
  <c r="U228" i="18"/>
  <c r="T228" i="18"/>
  <c r="S228" i="18"/>
  <c r="R229" i="18"/>
  <c r="E229" i="18"/>
  <c r="B229" i="18"/>
  <c r="M229" i="18" s="1"/>
  <c r="L228" i="18"/>
  <c r="E230" i="18" l="1"/>
  <c r="B230" i="18"/>
  <c r="R230" i="18"/>
  <c r="V229" i="18"/>
  <c r="U229" i="18"/>
  <c r="T229" i="18"/>
  <c r="S229" i="18"/>
  <c r="I229" i="18"/>
  <c r="Y229" i="18"/>
  <c r="X229" i="18"/>
  <c r="W229" i="18"/>
  <c r="J229" i="18"/>
  <c r="L229" i="18"/>
  <c r="M230" i="18"/>
  <c r="A231" i="18"/>
  <c r="C231" i="18"/>
  <c r="D232" i="18"/>
  <c r="H232" i="18"/>
  <c r="F230" i="18"/>
  <c r="L230" i="18" s="1"/>
  <c r="I230" i="18" l="1"/>
  <c r="Y230" i="18"/>
  <c r="X230" i="18"/>
  <c r="W230" i="18"/>
  <c r="J230" i="18"/>
  <c r="C232" i="18"/>
  <c r="A232" i="18"/>
  <c r="D233" i="18"/>
  <c r="E231" i="18"/>
  <c r="F232" i="18" s="1"/>
  <c r="B231" i="18"/>
  <c r="M231" i="18" s="1"/>
  <c r="R231" i="18"/>
  <c r="H233" i="18"/>
  <c r="V230" i="18"/>
  <c r="U230" i="18"/>
  <c r="T230" i="18"/>
  <c r="S230" i="18"/>
  <c r="F231" i="18"/>
  <c r="Y232" i="18" l="1"/>
  <c r="X232" i="18"/>
  <c r="W232" i="18"/>
  <c r="J232" i="18"/>
  <c r="D234" i="18"/>
  <c r="C233" i="18"/>
  <c r="A233" i="18"/>
  <c r="H234" i="18"/>
  <c r="R232" i="18"/>
  <c r="B232" i="18"/>
  <c r="M232" i="18" s="1"/>
  <c r="E232" i="18"/>
  <c r="Y231" i="18"/>
  <c r="X231" i="18"/>
  <c r="W231" i="18"/>
  <c r="I231" i="18"/>
  <c r="I232" i="18" s="1"/>
  <c r="J231" i="18"/>
  <c r="L231" i="18"/>
  <c r="V231" i="18"/>
  <c r="U231" i="18"/>
  <c r="T231" i="18"/>
  <c r="S231" i="18"/>
  <c r="V232" i="18" l="1"/>
  <c r="U232" i="18"/>
  <c r="T232" i="18"/>
  <c r="S232" i="18"/>
  <c r="D235" i="18"/>
  <c r="C234" i="18"/>
  <c r="F234" i="18" s="1"/>
  <c r="A234" i="18"/>
  <c r="H235" i="18"/>
  <c r="R233" i="18"/>
  <c r="E233" i="18"/>
  <c r="B233" i="18"/>
  <c r="M233" i="18" s="1"/>
  <c r="L233" i="18"/>
  <c r="L232" i="18"/>
  <c r="F233" i="18"/>
  <c r="Y234" i="18" l="1"/>
  <c r="X234" i="18"/>
  <c r="W234" i="18"/>
  <c r="J234" i="18"/>
  <c r="H236" i="18"/>
  <c r="V233" i="18"/>
  <c r="U233" i="18"/>
  <c r="T233" i="18"/>
  <c r="S233" i="18"/>
  <c r="E234" i="18"/>
  <c r="R234" i="18"/>
  <c r="B234" i="18"/>
  <c r="L234" i="18" s="1"/>
  <c r="M234" i="18"/>
  <c r="I233" i="18"/>
  <c r="I234" i="18" s="1"/>
  <c r="Y233" i="18"/>
  <c r="X233" i="18"/>
  <c r="W233" i="18"/>
  <c r="J233" i="18"/>
  <c r="A235" i="18"/>
  <c r="D236" i="18"/>
  <c r="C235" i="18"/>
  <c r="E235" i="18" l="1"/>
  <c r="B235" i="18"/>
  <c r="R235" i="18"/>
  <c r="D237" i="18"/>
  <c r="C236" i="18"/>
  <c r="A236" i="18"/>
  <c r="M235" i="18"/>
  <c r="S234" i="18"/>
  <c r="V234" i="18"/>
  <c r="U234" i="18"/>
  <c r="T234" i="18"/>
  <c r="L235" i="18"/>
  <c r="H237" i="18"/>
  <c r="F235" i="18"/>
  <c r="R236" i="18" l="1"/>
  <c r="E236" i="18"/>
  <c r="B236" i="18"/>
  <c r="M236" i="18" s="1"/>
  <c r="F236" i="18"/>
  <c r="C237" i="18"/>
  <c r="A237" i="18"/>
  <c r="D238" i="18"/>
  <c r="F237" i="18"/>
  <c r="I235" i="18"/>
  <c r="Y235" i="18"/>
  <c r="X235" i="18"/>
  <c r="W235" i="18"/>
  <c r="J235" i="18"/>
  <c r="V235" i="18"/>
  <c r="U235" i="18"/>
  <c r="T235" i="18"/>
  <c r="S235" i="18"/>
  <c r="H238" i="18"/>
  <c r="I236" i="18" l="1"/>
  <c r="Y236" i="18"/>
  <c r="X236" i="18"/>
  <c r="W236" i="18"/>
  <c r="J236" i="18"/>
  <c r="L236" i="18"/>
  <c r="Y237" i="18"/>
  <c r="X237" i="18"/>
  <c r="W237" i="18"/>
  <c r="I237" i="18"/>
  <c r="H239" i="18"/>
  <c r="A238" i="18"/>
  <c r="D239" i="18"/>
  <c r="C238" i="18"/>
  <c r="E237" i="18"/>
  <c r="B237" i="18"/>
  <c r="M237" i="18" s="1"/>
  <c r="R237" i="18"/>
  <c r="J237" i="18"/>
  <c r="V236" i="18"/>
  <c r="U236" i="18"/>
  <c r="T236" i="18"/>
  <c r="S236" i="18"/>
  <c r="H240" i="18" l="1"/>
  <c r="L237" i="18"/>
  <c r="A239" i="18"/>
  <c r="D240" i="18"/>
  <c r="C239" i="18"/>
  <c r="V237" i="18"/>
  <c r="U237" i="18"/>
  <c r="T237" i="18"/>
  <c r="S237" i="18"/>
  <c r="E238" i="18"/>
  <c r="B238" i="18"/>
  <c r="M238" i="18" s="1"/>
  <c r="R238" i="18"/>
  <c r="F238" i="18"/>
  <c r="V238" i="18" l="1"/>
  <c r="U238" i="18"/>
  <c r="T238" i="18"/>
  <c r="S238" i="18"/>
  <c r="R239" i="18"/>
  <c r="E239" i="18"/>
  <c r="B239" i="18"/>
  <c r="F239" i="18"/>
  <c r="M239" i="18"/>
  <c r="D241" i="18"/>
  <c r="C240" i="18"/>
  <c r="A240" i="18"/>
  <c r="L239" i="18"/>
  <c r="X238" i="18"/>
  <c r="W238" i="18"/>
  <c r="I238" i="18"/>
  <c r="Y238" i="18"/>
  <c r="J238" i="18"/>
  <c r="L238" i="18"/>
  <c r="H241" i="18"/>
  <c r="D242" i="18" l="1"/>
  <c r="C241" i="18"/>
  <c r="A241" i="18"/>
  <c r="H242" i="18"/>
  <c r="R240" i="18"/>
  <c r="E240" i="18"/>
  <c r="B240" i="18"/>
  <c r="M240" i="18" s="1"/>
  <c r="F240" i="18"/>
  <c r="I239" i="18"/>
  <c r="W239" i="18"/>
  <c r="Y239" i="18"/>
  <c r="X239" i="18"/>
  <c r="J239" i="18"/>
  <c r="V239" i="18"/>
  <c r="U239" i="18"/>
  <c r="T239" i="18"/>
  <c r="S239" i="18"/>
  <c r="I240" i="18" l="1"/>
  <c r="Y240" i="18"/>
  <c r="X240" i="18"/>
  <c r="W240" i="18"/>
  <c r="J240" i="18"/>
  <c r="H243" i="18"/>
  <c r="S240" i="18"/>
  <c r="V240" i="18"/>
  <c r="U240" i="18"/>
  <c r="T240" i="18"/>
  <c r="E241" i="18"/>
  <c r="B241" i="18"/>
  <c r="M241" i="18" s="1"/>
  <c r="R241" i="18"/>
  <c r="F241" i="18"/>
  <c r="D243" i="18"/>
  <c r="C242" i="18"/>
  <c r="A242" i="18"/>
  <c r="L240" i="18"/>
  <c r="V241" i="18" l="1"/>
  <c r="U241" i="18"/>
  <c r="T241" i="18"/>
  <c r="S241" i="18"/>
  <c r="H244" i="18"/>
  <c r="I241" i="18"/>
  <c r="Y241" i="18"/>
  <c r="X241" i="18"/>
  <c r="W241" i="18"/>
  <c r="J241" i="18"/>
  <c r="L241" i="18"/>
  <c r="E242" i="18"/>
  <c r="B242" i="18"/>
  <c r="M242" i="18" s="1"/>
  <c r="R242" i="18"/>
  <c r="F242" i="18"/>
  <c r="A243" i="18"/>
  <c r="D244" i="18"/>
  <c r="C243" i="18"/>
  <c r="V242" i="18" l="1"/>
  <c r="U242" i="18"/>
  <c r="T242" i="18"/>
  <c r="S242" i="18"/>
  <c r="W242" i="18"/>
  <c r="I242" i="18"/>
  <c r="Y242" i="18"/>
  <c r="X242" i="18"/>
  <c r="J242" i="18"/>
  <c r="L242" i="18"/>
  <c r="E243" i="18"/>
  <c r="B243" i="18"/>
  <c r="M243" i="18" s="1"/>
  <c r="R243" i="18"/>
  <c r="C244" i="18"/>
  <c r="A244" i="18"/>
  <c r="D245" i="18"/>
  <c r="H245" i="18"/>
  <c r="F243" i="18"/>
  <c r="R244" i="18" l="1"/>
  <c r="E244" i="18"/>
  <c r="B244" i="18"/>
  <c r="H246" i="18"/>
  <c r="V243" i="18"/>
  <c r="S243" i="18"/>
  <c r="U243" i="18"/>
  <c r="T243" i="18"/>
  <c r="Y243" i="18"/>
  <c r="X243" i="18"/>
  <c r="W243" i="18"/>
  <c r="I243" i="18"/>
  <c r="J243" i="18"/>
  <c r="L243" i="18"/>
  <c r="C245" i="18"/>
  <c r="A245" i="18"/>
  <c r="D246" i="18"/>
  <c r="F244" i="18"/>
  <c r="M244" i="18"/>
  <c r="Y244" i="18" l="1"/>
  <c r="X244" i="18"/>
  <c r="W244" i="18"/>
  <c r="I244" i="18"/>
  <c r="J244" i="18"/>
  <c r="H247" i="18"/>
  <c r="V244" i="18"/>
  <c r="U244" i="18"/>
  <c r="T244" i="18"/>
  <c r="S244" i="18"/>
  <c r="A246" i="18"/>
  <c r="D247" i="18"/>
  <c r="F246" i="18"/>
  <c r="J246" i="18" s="1"/>
  <c r="C246" i="18"/>
  <c r="B245" i="18"/>
  <c r="M245" i="18" s="1"/>
  <c r="R245" i="18"/>
  <c r="E245" i="18"/>
  <c r="F245" i="18"/>
  <c r="L244" i="18"/>
  <c r="A247" i="18" l="1"/>
  <c r="D248" i="18"/>
  <c r="C247" i="18"/>
  <c r="W246" i="18"/>
  <c r="Y246" i="18"/>
  <c r="X246" i="18"/>
  <c r="H248" i="18"/>
  <c r="Y245" i="18"/>
  <c r="X245" i="18"/>
  <c r="W245" i="18"/>
  <c r="I245" i="18"/>
  <c r="I246" i="18" s="1"/>
  <c r="J245" i="18"/>
  <c r="L245" i="18"/>
  <c r="V245" i="18"/>
  <c r="U245" i="18"/>
  <c r="T245" i="18"/>
  <c r="S245" i="18"/>
  <c r="E246" i="18"/>
  <c r="B246" i="18"/>
  <c r="M246" i="18" s="1"/>
  <c r="R246" i="18"/>
  <c r="H249" i="18" l="1"/>
  <c r="F247" i="18"/>
  <c r="L247" i="18" s="1"/>
  <c r="D249" i="18"/>
  <c r="C248" i="18"/>
  <c r="A248" i="18"/>
  <c r="L246" i="18"/>
  <c r="V246" i="18"/>
  <c r="U246" i="18"/>
  <c r="T246" i="18"/>
  <c r="S246" i="18"/>
  <c r="R247" i="18"/>
  <c r="E247" i="18"/>
  <c r="B247" i="18"/>
  <c r="M247" i="18" s="1"/>
  <c r="R248" i="18" l="1"/>
  <c r="E248" i="18"/>
  <c r="B248" i="18"/>
  <c r="F248" i="18"/>
  <c r="L248" i="18"/>
  <c r="H250" i="18"/>
  <c r="D250" i="18"/>
  <c r="C249" i="18"/>
  <c r="A249" i="18"/>
  <c r="M248" i="18"/>
  <c r="X247" i="18"/>
  <c r="W247" i="18"/>
  <c r="I247" i="18"/>
  <c r="Y247" i="18"/>
  <c r="J247" i="18"/>
  <c r="V247" i="18"/>
  <c r="S247" i="18"/>
  <c r="U247" i="18"/>
  <c r="T247" i="18"/>
  <c r="R249" i="18" l="1"/>
  <c r="E249" i="18"/>
  <c r="B249" i="18"/>
  <c r="C250" i="18"/>
  <c r="D251" i="18"/>
  <c r="A250" i="18"/>
  <c r="M249" i="18"/>
  <c r="H251" i="18"/>
  <c r="F249" i="18"/>
  <c r="W248" i="18"/>
  <c r="I248" i="18"/>
  <c r="X248" i="18"/>
  <c r="Y248" i="18"/>
  <c r="J248" i="18"/>
  <c r="V248" i="18"/>
  <c r="U248" i="18"/>
  <c r="T248" i="18"/>
  <c r="S248" i="18"/>
  <c r="I249" i="18" l="1"/>
  <c r="Y249" i="18"/>
  <c r="X249" i="18"/>
  <c r="W249" i="18"/>
  <c r="J249" i="18"/>
  <c r="H252" i="18"/>
  <c r="E250" i="18"/>
  <c r="B250" i="18"/>
  <c r="M250" i="18" s="1"/>
  <c r="R250" i="18"/>
  <c r="F250" i="18"/>
  <c r="L249" i="18"/>
  <c r="A251" i="18"/>
  <c r="F251" i="18"/>
  <c r="D252" i="18"/>
  <c r="C251" i="18"/>
  <c r="V249" i="18"/>
  <c r="U249" i="18"/>
  <c r="T249" i="18"/>
  <c r="S249" i="18"/>
  <c r="X250" i="18" l="1"/>
  <c r="W250" i="18"/>
  <c r="I250" i="18"/>
  <c r="Y250" i="18"/>
  <c r="L250" i="18"/>
  <c r="J250" i="18"/>
  <c r="W251" i="18"/>
  <c r="I251" i="18"/>
  <c r="Y251" i="18"/>
  <c r="X251" i="18"/>
  <c r="L251" i="18"/>
  <c r="U250" i="18"/>
  <c r="T250" i="18"/>
  <c r="S250" i="18"/>
  <c r="V250" i="18"/>
  <c r="J251" i="18"/>
  <c r="H253" i="18"/>
  <c r="R251" i="18"/>
  <c r="E251" i="18"/>
  <c r="B251" i="18"/>
  <c r="M251" i="18" s="1"/>
  <c r="D253" i="18"/>
  <c r="C252" i="18"/>
  <c r="A252" i="18"/>
  <c r="D254" i="18" l="1"/>
  <c r="C253" i="18"/>
  <c r="A253" i="18"/>
  <c r="V251" i="18"/>
  <c r="T251" i="18"/>
  <c r="S251" i="18"/>
  <c r="U251" i="18"/>
  <c r="R252" i="18"/>
  <c r="E252" i="18"/>
  <c r="B252" i="18"/>
  <c r="M252" i="18" s="1"/>
  <c r="F252" i="18"/>
  <c r="L252" i="18" s="1"/>
  <c r="H254" i="18"/>
  <c r="V252" i="18" l="1"/>
  <c r="U252" i="18"/>
  <c r="T252" i="18"/>
  <c r="S252" i="18"/>
  <c r="R253" i="18"/>
  <c r="E253" i="18"/>
  <c r="B253" i="18"/>
  <c r="M253" i="18" s="1"/>
  <c r="F253" i="18"/>
  <c r="L253" i="18" s="1"/>
  <c r="I252" i="18"/>
  <c r="Y252" i="18"/>
  <c r="X252" i="18"/>
  <c r="W252" i="18"/>
  <c r="J252" i="18"/>
  <c r="C254" i="18"/>
  <c r="D255" i="18"/>
  <c r="A254" i="18"/>
  <c r="H255" i="18"/>
  <c r="E254" i="18" l="1"/>
  <c r="B254" i="18"/>
  <c r="M254" i="18" s="1"/>
  <c r="R254" i="18"/>
  <c r="U253" i="18"/>
  <c r="T253" i="18"/>
  <c r="S253" i="18"/>
  <c r="V253" i="18"/>
  <c r="F254" i="18"/>
  <c r="L254" i="18" s="1"/>
  <c r="I253" i="18"/>
  <c r="Y253" i="18"/>
  <c r="X253" i="18"/>
  <c r="W253" i="18"/>
  <c r="J253" i="18"/>
  <c r="H256" i="18"/>
  <c r="A255" i="18"/>
  <c r="D256" i="18"/>
  <c r="C255" i="18"/>
  <c r="H257" i="18" l="1"/>
  <c r="D257" i="18"/>
  <c r="C256" i="18"/>
  <c r="A256" i="18"/>
  <c r="F255" i="18"/>
  <c r="X254" i="18"/>
  <c r="W254" i="18"/>
  <c r="I254" i="18"/>
  <c r="Y254" i="18"/>
  <c r="J254" i="18"/>
  <c r="R255" i="18"/>
  <c r="E255" i="18"/>
  <c r="B255" i="18"/>
  <c r="T254" i="18"/>
  <c r="S254" i="18"/>
  <c r="V254" i="18"/>
  <c r="U254" i="18"/>
  <c r="M255" i="18"/>
  <c r="V255" i="18" l="1"/>
  <c r="T255" i="18"/>
  <c r="S255" i="18"/>
  <c r="U255" i="18"/>
  <c r="D258" i="18"/>
  <c r="C257" i="18"/>
  <c r="A257" i="18"/>
  <c r="R256" i="18"/>
  <c r="E256" i="18"/>
  <c r="B256" i="18"/>
  <c r="M256" i="18" s="1"/>
  <c r="F256" i="18"/>
  <c r="I255" i="18"/>
  <c r="Y255" i="18"/>
  <c r="X255" i="18"/>
  <c r="W255" i="18"/>
  <c r="J255" i="18"/>
  <c r="H258" i="18"/>
  <c r="L255" i="18"/>
  <c r="I256" i="18" l="1"/>
  <c r="Y256" i="18"/>
  <c r="X256" i="18"/>
  <c r="W256" i="18"/>
  <c r="J256" i="18"/>
  <c r="R257" i="18"/>
  <c r="E257" i="18"/>
  <c r="B257" i="18"/>
  <c r="M257" i="18" s="1"/>
  <c r="C258" i="18"/>
  <c r="F258" i="18"/>
  <c r="D259" i="18"/>
  <c r="A258" i="18"/>
  <c r="J258" i="18"/>
  <c r="H259" i="18"/>
  <c r="U256" i="18"/>
  <c r="T256" i="18"/>
  <c r="S256" i="18"/>
  <c r="V256" i="18"/>
  <c r="L256" i="18"/>
  <c r="F257" i="18"/>
  <c r="L257" i="18"/>
  <c r="H260" i="18" l="1"/>
  <c r="X258" i="18"/>
  <c r="W258" i="18"/>
  <c r="I258" i="18"/>
  <c r="Y258" i="18"/>
  <c r="A259" i="18"/>
  <c r="D260" i="18"/>
  <c r="C259" i="18"/>
  <c r="L258" i="18"/>
  <c r="T257" i="18"/>
  <c r="S257" i="18"/>
  <c r="V257" i="18"/>
  <c r="U257" i="18"/>
  <c r="I257" i="18"/>
  <c r="Y257" i="18"/>
  <c r="X257" i="18"/>
  <c r="W257" i="18"/>
  <c r="J257" i="18"/>
  <c r="E258" i="18"/>
  <c r="B258" i="18"/>
  <c r="M258" i="18" s="1"/>
  <c r="R258" i="18"/>
  <c r="S258" i="18" l="1"/>
  <c r="V258" i="18"/>
  <c r="U258" i="18"/>
  <c r="T258" i="18"/>
  <c r="F259" i="18"/>
  <c r="D261" i="18"/>
  <c r="C260" i="18"/>
  <c r="A260" i="18"/>
  <c r="H261" i="18"/>
  <c r="R259" i="18"/>
  <c r="E259" i="18"/>
  <c r="B259" i="18"/>
  <c r="M259" i="18" s="1"/>
  <c r="V259" i="18" l="1"/>
  <c r="T259" i="18"/>
  <c r="S259" i="18"/>
  <c r="U259" i="18"/>
  <c r="H262" i="18"/>
  <c r="R260" i="18"/>
  <c r="E260" i="18"/>
  <c r="B260" i="18"/>
  <c r="M260" i="18"/>
  <c r="D262" i="18"/>
  <c r="C261" i="18"/>
  <c r="A261" i="18"/>
  <c r="I259" i="18"/>
  <c r="Y259" i="18"/>
  <c r="X259" i="18"/>
  <c r="W259" i="18"/>
  <c r="J259" i="18"/>
  <c r="L259" i="18"/>
  <c r="F260" i="18"/>
  <c r="E261" i="18" l="1"/>
  <c r="R261" i="18"/>
  <c r="B261" i="18"/>
  <c r="M261" i="18" s="1"/>
  <c r="L261" i="18"/>
  <c r="U260" i="18"/>
  <c r="T260" i="18"/>
  <c r="S260" i="18"/>
  <c r="V260" i="18"/>
  <c r="C262" i="18"/>
  <c r="A262" i="18"/>
  <c r="D263" i="18"/>
  <c r="F262" i="18"/>
  <c r="J262" i="18"/>
  <c r="H263" i="18"/>
  <c r="F261" i="18"/>
  <c r="I260" i="18"/>
  <c r="Y260" i="18"/>
  <c r="X260" i="18"/>
  <c r="W260" i="18"/>
  <c r="J260" i="18"/>
  <c r="L260" i="18"/>
  <c r="A263" i="18" l="1"/>
  <c r="C263" i="18"/>
  <c r="D264" i="18"/>
  <c r="H264" i="18"/>
  <c r="Y262" i="18"/>
  <c r="X262" i="18"/>
  <c r="W262" i="18"/>
  <c r="W261" i="18"/>
  <c r="I261" i="18"/>
  <c r="I262" i="18" s="1"/>
  <c r="Y261" i="18"/>
  <c r="X261" i="18"/>
  <c r="J261" i="18"/>
  <c r="U261" i="18"/>
  <c r="T261" i="18"/>
  <c r="S261" i="18"/>
  <c r="V261" i="18"/>
  <c r="E262" i="18"/>
  <c r="F263" i="18" s="1"/>
  <c r="B262" i="18"/>
  <c r="M262" i="18" s="1"/>
  <c r="R262" i="18"/>
  <c r="Y263" i="18" l="1"/>
  <c r="X263" i="18"/>
  <c r="W263" i="18"/>
  <c r="I263" i="18"/>
  <c r="J263" i="18"/>
  <c r="H265" i="18"/>
  <c r="R263" i="18"/>
  <c r="B263" i="18"/>
  <c r="M263" i="18" s="1"/>
  <c r="E263" i="18"/>
  <c r="V262" i="18"/>
  <c r="S262" i="18"/>
  <c r="U262" i="18"/>
  <c r="T262" i="18"/>
  <c r="C264" i="18"/>
  <c r="D265" i="18"/>
  <c r="A264" i="18"/>
  <c r="L262" i="18"/>
  <c r="H266" i="18" l="1"/>
  <c r="R264" i="18"/>
  <c r="E264" i="18"/>
  <c r="B264" i="18"/>
  <c r="M264" i="18" s="1"/>
  <c r="V263" i="18"/>
  <c r="U263" i="18"/>
  <c r="T263" i="18"/>
  <c r="S263" i="18"/>
  <c r="D266" i="18"/>
  <c r="C265" i="18"/>
  <c r="A265" i="18"/>
  <c r="F264" i="18"/>
  <c r="L263" i="18"/>
  <c r="C266" i="18" l="1"/>
  <c r="A266" i="18"/>
  <c r="D267" i="18"/>
  <c r="E265" i="18"/>
  <c r="B265" i="18"/>
  <c r="M265" i="18" s="1"/>
  <c r="R265" i="18"/>
  <c r="F265" i="18"/>
  <c r="F266" i="18" s="1"/>
  <c r="V264" i="18"/>
  <c r="U264" i="18"/>
  <c r="T264" i="18"/>
  <c r="S264" i="18"/>
  <c r="H267" i="18"/>
  <c r="Y264" i="18"/>
  <c r="X264" i="18"/>
  <c r="W264" i="18"/>
  <c r="I264" i="18"/>
  <c r="J264" i="18"/>
  <c r="L264" i="18"/>
  <c r="Y266" i="18" l="1"/>
  <c r="X266" i="18"/>
  <c r="W266" i="18"/>
  <c r="J266" i="18"/>
  <c r="L266" i="18"/>
  <c r="V265" i="18"/>
  <c r="U265" i="18"/>
  <c r="T265" i="18"/>
  <c r="S265" i="18"/>
  <c r="I265" i="18"/>
  <c r="I266" i="18" s="1"/>
  <c r="W265" i="18"/>
  <c r="Y265" i="18"/>
  <c r="X265" i="18"/>
  <c r="J265" i="18"/>
  <c r="E266" i="18"/>
  <c r="B266" i="18"/>
  <c r="M266" i="18" s="1"/>
  <c r="R266" i="18"/>
  <c r="A267" i="18"/>
  <c r="C267" i="18"/>
  <c r="D268" i="18"/>
  <c r="H268" i="18"/>
  <c r="L265" i="18"/>
  <c r="H269" i="18" l="1"/>
  <c r="R267" i="18"/>
  <c r="E267" i="18"/>
  <c r="B267" i="18"/>
  <c r="C268" i="18"/>
  <c r="D269" i="18"/>
  <c r="A268" i="18"/>
  <c r="F267" i="18"/>
  <c r="M267" i="18"/>
  <c r="V266" i="18"/>
  <c r="S266" i="18"/>
  <c r="U266" i="18"/>
  <c r="T266" i="18"/>
  <c r="Y267" i="18" l="1"/>
  <c r="X267" i="18"/>
  <c r="W267" i="18"/>
  <c r="I267" i="18"/>
  <c r="J267" i="18"/>
  <c r="R268" i="18"/>
  <c r="B268" i="18"/>
  <c r="E268" i="18"/>
  <c r="M268" i="18"/>
  <c r="H270" i="18"/>
  <c r="D270" i="18"/>
  <c r="C269" i="18"/>
  <c r="A269" i="18"/>
  <c r="F268" i="18"/>
  <c r="V267" i="18"/>
  <c r="U267" i="18"/>
  <c r="T267" i="18"/>
  <c r="S267" i="18"/>
  <c r="L267" i="18"/>
  <c r="C270" i="18" l="1"/>
  <c r="A270" i="18"/>
  <c r="D271" i="18"/>
  <c r="Y268" i="18"/>
  <c r="X268" i="18"/>
  <c r="W268" i="18"/>
  <c r="I268" i="18"/>
  <c r="L268" i="18"/>
  <c r="J268" i="18"/>
  <c r="E269" i="18"/>
  <c r="F270" i="18" s="1"/>
  <c r="B269" i="18"/>
  <c r="M269" i="18" s="1"/>
  <c r="R269" i="18"/>
  <c r="F269" i="18"/>
  <c r="H271" i="18"/>
  <c r="V268" i="18"/>
  <c r="U268" i="18"/>
  <c r="T268" i="18"/>
  <c r="S268" i="18"/>
  <c r="Y270" i="18" l="1"/>
  <c r="X270" i="18"/>
  <c r="W270" i="18"/>
  <c r="J270" i="18"/>
  <c r="V269" i="18"/>
  <c r="U269" i="18"/>
  <c r="T269" i="18"/>
  <c r="S269" i="18"/>
  <c r="E270" i="18"/>
  <c r="B270" i="18"/>
  <c r="M270" i="18" s="1"/>
  <c r="R270" i="18"/>
  <c r="A271" i="18"/>
  <c r="C271" i="18"/>
  <c r="D272" i="18"/>
  <c r="H272" i="18"/>
  <c r="I269" i="18"/>
  <c r="I270" i="18" s="1"/>
  <c r="W269" i="18"/>
  <c r="Y269" i="18"/>
  <c r="X269" i="18"/>
  <c r="J269" i="18"/>
  <c r="L269" i="18"/>
  <c r="V270" i="18" l="1"/>
  <c r="S270" i="18"/>
  <c r="U270" i="18"/>
  <c r="T270" i="18"/>
  <c r="L270" i="18"/>
  <c r="D273" i="18"/>
  <c r="C272" i="18"/>
  <c r="A272" i="18"/>
  <c r="R271" i="18"/>
  <c r="E271" i="18"/>
  <c r="B271" i="18"/>
  <c r="M271" i="18" s="1"/>
  <c r="H273" i="18"/>
  <c r="F271" i="18"/>
  <c r="R272" i="18" l="1"/>
  <c r="E272" i="18"/>
  <c r="B272" i="18"/>
  <c r="M272" i="18" s="1"/>
  <c r="H274" i="18"/>
  <c r="L272" i="18"/>
  <c r="V271" i="18"/>
  <c r="U271" i="18"/>
  <c r="T271" i="18"/>
  <c r="S271" i="18"/>
  <c r="D274" i="18"/>
  <c r="A273" i="18"/>
  <c r="C273" i="18"/>
  <c r="F272" i="18"/>
  <c r="Y271" i="18"/>
  <c r="X271" i="18"/>
  <c r="W271" i="18"/>
  <c r="I271" i="18"/>
  <c r="J271" i="18"/>
  <c r="L271" i="18"/>
  <c r="E273" i="18" l="1"/>
  <c r="B273" i="18"/>
  <c r="R273" i="18"/>
  <c r="M273" i="18"/>
  <c r="C274" i="18"/>
  <c r="A274" i="18"/>
  <c r="D275" i="18"/>
  <c r="H275" i="18"/>
  <c r="F273" i="18"/>
  <c r="Y272" i="18"/>
  <c r="X272" i="18"/>
  <c r="W272" i="18"/>
  <c r="I272" i="18"/>
  <c r="J272" i="18"/>
  <c r="V272" i="18"/>
  <c r="U272" i="18"/>
  <c r="T272" i="18"/>
  <c r="S272" i="18"/>
  <c r="I273" i="18" l="1"/>
  <c r="Y273" i="18"/>
  <c r="W273" i="18"/>
  <c r="X273" i="18"/>
  <c r="J273" i="18"/>
  <c r="F274" i="18"/>
  <c r="H276" i="18"/>
  <c r="V273" i="18"/>
  <c r="U273" i="18"/>
  <c r="T273" i="18"/>
  <c r="S273" i="18"/>
  <c r="A275" i="18"/>
  <c r="F275" i="18"/>
  <c r="C275" i="18"/>
  <c r="D276" i="18"/>
  <c r="E274" i="18"/>
  <c r="B274" i="18"/>
  <c r="M274" i="18" s="1"/>
  <c r="R274" i="18"/>
  <c r="L273" i="18"/>
  <c r="Y275" i="18" l="1"/>
  <c r="X275" i="18"/>
  <c r="W275" i="18"/>
  <c r="J275" i="18"/>
  <c r="V274" i="18"/>
  <c r="U274" i="18"/>
  <c r="S274" i="18"/>
  <c r="T274" i="18"/>
  <c r="H277" i="18"/>
  <c r="Y274" i="18"/>
  <c r="X274" i="18"/>
  <c r="W274" i="18"/>
  <c r="I274" i="18"/>
  <c r="I275" i="18" s="1"/>
  <c r="J274" i="18"/>
  <c r="L274" i="18"/>
  <c r="D277" i="18"/>
  <c r="A276" i="18"/>
  <c r="C276" i="18"/>
  <c r="R275" i="18"/>
  <c r="E275" i="18"/>
  <c r="B275" i="18"/>
  <c r="M275" i="18" s="1"/>
  <c r="R276" i="18" l="1"/>
  <c r="E276" i="18"/>
  <c r="B276" i="18"/>
  <c r="H278" i="18"/>
  <c r="F276" i="18"/>
  <c r="L275" i="18"/>
  <c r="M276" i="18"/>
  <c r="V275" i="18"/>
  <c r="U275" i="18"/>
  <c r="T275" i="18"/>
  <c r="S275" i="18"/>
  <c r="D278" i="18"/>
  <c r="C277" i="18"/>
  <c r="A277" i="18"/>
  <c r="E277" i="18" l="1"/>
  <c r="B277" i="18"/>
  <c r="R277" i="18"/>
  <c r="C278" i="18"/>
  <c r="A278" i="18"/>
  <c r="D279" i="18"/>
  <c r="F278" i="18"/>
  <c r="I276" i="18"/>
  <c r="Y276" i="18"/>
  <c r="X276" i="18"/>
  <c r="W276" i="18"/>
  <c r="J276" i="18"/>
  <c r="L276" i="18"/>
  <c r="M277" i="18"/>
  <c r="F277" i="18"/>
  <c r="H279" i="18"/>
  <c r="L277" i="18"/>
  <c r="V276" i="18"/>
  <c r="U276" i="18"/>
  <c r="T276" i="18"/>
  <c r="S276" i="18"/>
  <c r="A279" i="18" l="1"/>
  <c r="C279" i="18"/>
  <c r="D280" i="18"/>
  <c r="Y278" i="18"/>
  <c r="X278" i="18"/>
  <c r="W278" i="18"/>
  <c r="I278" i="18"/>
  <c r="V277" i="18"/>
  <c r="U277" i="18"/>
  <c r="T277" i="18"/>
  <c r="S277" i="18"/>
  <c r="E278" i="18"/>
  <c r="F279" i="18" s="1"/>
  <c r="B278" i="18"/>
  <c r="M278" i="18" s="1"/>
  <c r="R278" i="18"/>
  <c r="H280" i="18"/>
  <c r="J278" i="18"/>
  <c r="I277" i="18"/>
  <c r="Y277" i="18"/>
  <c r="X277" i="18"/>
  <c r="W277" i="18"/>
  <c r="J277" i="18"/>
  <c r="Y279" i="18" l="1"/>
  <c r="X279" i="18"/>
  <c r="W279" i="18"/>
  <c r="I279" i="18"/>
  <c r="J279" i="18"/>
  <c r="M279" i="18"/>
  <c r="L279" i="18"/>
  <c r="D281" i="18"/>
  <c r="F280" i="18"/>
  <c r="C280" i="18"/>
  <c r="A280" i="18"/>
  <c r="H281" i="18"/>
  <c r="R279" i="18"/>
  <c r="B279" i="18"/>
  <c r="E279" i="18"/>
  <c r="V278" i="18"/>
  <c r="U278" i="18"/>
  <c r="T278" i="18"/>
  <c r="S278" i="18"/>
  <c r="L278" i="18"/>
  <c r="H282" i="18" l="1"/>
  <c r="I280" i="18"/>
  <c r="Y280" i="18"/>
  <c r="X280" i="18"/>
  <c r="W280" i="18"/>
  <c r="V279" i="18"/>
  <c r="U279" i="18"/>
  <c r="T279" i="18"/>
  <c r="S279" i="18"/>
  <c r="D282" i="18"/>
  <c r="C281" i="18"/>
  <c r="F281" i="18" s="1"/>
  <c r="A281" i="18"/>
  <c r="R280" i="18"/>
  <c r="E280" i="18"/>
  <c r="B280" i="18"/>
  <c r="L280" i="18"/>
  <c r="J280" i="18"/>
  <c r="M280" i="18"/>
  <c r="I281" i="18" l="1"/>
  <c r="Y281" i="18"/>
  <c r="X281" i="18"/>
  <c r="W281" i="18"/>
  <c r="J281" i="18"/>
  <c r="E281" i="18"/>
  <c r="B281" i="18"/>
  <c r="M281" i="18" s="1"/>
  <c r="R281" i="18"/>
  <c r="D283" i="18"/>
  <c r="C282" i="18"/>
  <c r="A282" i="18"/>
  <c r="H283" i="18"/>
  <c r="S280" i="18"/>
  <c r="V280" i="18"/>
  <c r="U280" i="18"/>
  <c r="T280" i="18"/>
  <c r="H284" i="18" l="1"/>
  <c r="E282" i="18"/>
  <c r="B282" i="18"/>
  <c r="M282" i="18" s="1"/>
  <c r="R282" i="18"/>
  <c r="V281" i="18"/>
  <c r="U281" i="18"/>
  <c r="T281" i="18"/>
  <c r="S281" i="18"/>
  <c r="L281" i="18"/>
  <c r="F282" i="18"/>
  <c r="A283" i="18"/>
  <c r="C283" i="18"/>
  <c r="D284" i="18"/>
  <c r="B283" i="18" l="1"/>
  <c r="R283" i="18"/>
  <c r="E283" i="18"/>
  <c r="M283" i="18"/>
  <c r="L283" i="18"/>
  <c r="I282" i="18"/>
  <c r="Y282" i="18"/>
  <c r="X282" i="18"/>
  <c r="W282" i="18"/>
  <c r="J282" i="18"/>
  <c r="L282" i="18"/>
  <c r="V282" i="18"/>
  <c r="U282" i="18"/>
  <c r="T282" i="18"/>
  <c r="S282" i="18"/>
  <c r="H285" i="18"/>
  <c r="F283" i="18"/>
  <c r="A284" i="18"/>
  <c r="D285" i="18"/>
  <c r="C284" i="18"/>
  <c r="V283" i="18" l="1"/>
  <c r="U283" i="18"/>
  <c r="T283" i="18"/>
  <c r="S283" i="18"/>
  <c r="H286" i="18"/>
  <c r="R284" i="18"/>
  <c r="B284" i="18"/>
  <c r="M284" i="18" s="1"/>
  <c r="E284" i="18"/>
  <c r="F284" i="18"/>
  <c r="C285" i="18"/>
  <c r="A285" i="18"/>
  <c r="D286" i="18"/>
  <c r="Y283" i="18"/>
  <c r="X283" i="18"/>
  <c r="W283" i="18"/>
  <c r="I283" i="18"/>
  <c r="J283" i="18"/>
  <c r="X284" i="18" l="1"/>
  <c r="W284" i="18"/>
  <c r="I284" i="18"/>
  <c r="Y284" i="18"/>
  <c r="J284" i="18"/>
  <c r="H287" i="18"/>
  <c r="F285" i="18"/>
  <c r="R285" i="18"/>
  <c r="E285" i="18"/>
  <c r="B285" i="18"/>
  <c r="M285" i="18" s="1"/>
  <c r="U284" i="18"/>
  <c r="V284" i="18"/>
  <c r="T284" i="18"/>
  <c r="S284" i="18"/>
  <c r="L284" i="18"/>
  <c r="D287" i="18"/>
  <c r="C286" i="18"/>
  <c r="A286" i="18"/>
  <c r="E286" i="18" l="1"/>
  <c r="R286" i="18"/>
  <c r="B286" i="18"/>
  <c r="U285" i="18"/>
  <c r="T285" i="18"/>
  <c r="S285" i="18"/>
  <c r="V285" i="18"/>
  <c r="F286" i="18"/>
  <c r="A287" i="18"/>
  <c r="D288" i="18"/>
  <c r="C287" i="18"/>
  <c r="L286" i="18"/>
  <c r="I285" i="18"/>
  <c r="W285" i="18"/>
  <c r="Y285" i="18"/>
  <c r="X285" i="18"/>
  <c r="J285" i="18"/>
  <c r="H288" i="18"/>
  <c r="M286" i="18"/>
  <c r="L285" i="18"/>
  <c r="F287" i="18" l="1"/>
  <c r="E287" i="18"/>
  <c r="B287" i="18"/>
  <c r="R287" i="18"/>
  <c r="D289" i="18"/>
  <c r="C288" i="18"/>
  <c r="A288" i="18"/>
  <c r="M287" i="18"/>
  <c r="I286" i="18"/>
  <c r="Y286" i="18"/>
  <c r="X286" i="18"/>
  <c r="W286" i="18"/>
  <c r="J286" i="18"/>
  <c r="S286" i="18"/>
  <c r="V286" i="18"/>
  <c r="U286" i="18"/>
  <c r="T286" i="18"/>
  <c r="H289" i="18"/>
  <c r="V287" i="18" l="1"/>
  <c r="U287" i="18"/>
  <c r="T287" i="18"/>
  <c r="S287" i="18"/>
  <c r="R288" i="18"/>
  <c r="E288" i="18"/>
  <c r="B288" i="18"/>
  <c r="D290" i="18"/>
  <c r="C289" i="18"/>
  <c r="F289" i="18" s="1"/>
  <c r="A289" i="18"/>
  <c r="M288" i="18"/>
  <c r="L288" i="18"/>
  <c r="Y287" i="18"/>
  <c r="I287" i="18"/>
  <c r="X287" i="18"/>
  <c r="W287" i="18"/>
  <c r="J287" i="18"/>
  <c r="F288" i="18"/>
  <c r="H290" i="18"/>
  <c r="L287" i="18"/>
  <c r="Y289" i="18" l="1"/>
  <c r="X289" i="18"/>
  <c r="W289" i="18"/>
  <c r="J289" i="18"/>
  <c r="U288" i="18"/>
  <c r="V288" i="18"/>
  <c r="T288" i="18"/>
  <c r="S288" i="18"/>
  <c r="E289" i="18"/>
  <c r="B289" i="18"/>
  <c r="M289" i="18" s="1"/>
  <c r="R289" i="18"/>
  <c r="H291" i="18"/>
  <c r="I288" i="18"/>
  <c r="I289" i="18" s="1"/>
  <c r="Y288" i="18"/>
  <c r="X288" i="18"/>
  <c r="W288" i="18"/>
  <c r="J288" i="18"/>
  <c r="D291" i="18"/>
  <c r="C290" i="18"/>
  <c r="A290" i="18"/>
  <c r="H292" i="18" l="1"/>
  <c r="V289" i="18"/>
  <c r="U289" i="18"/>
  <c r="T289" i="18"/>
  <c r="S289" i="18"/>
  <c r="E290" i="18"/>
  <c r="B290" i="18"/>
  <c r="M290" i="18" s="1"/>
  <c r="R290" i="18"/>
  <c r="F290" i="18"/>
  <c r="A291" i="18"/>
  <c r="C291" i="18"/>
  <c r="F291" i="18"/>
  <c r="D292" i="18"/>
  <c r="L289" i="18"/>
  <c r="I290" i="18" l="1"/>
  <c r="Y290" i="18"/>
  <c r="X290" i="18"/>
  <c r="W290" i="18"/>
  <c r="L290" i="18"/>
  <c r="J290" i="18"/>
  <c r="V290" i="18"/>
  <c r="U290" i="18"/>
  <c r="T290" i="18"/>
  <c r="S290" i="18"/>
  <c r="C292" i="18"/>
  <c r="A292" i="18"/>
  <c r="D293" i="18"/>
  <c r="E291" i="18"/>
  <c r="B291" i="18"/>
  <c r="M291" i="18" s="1"/>
  <c r="R291" i="18"/>
  <c r="Y291" i="18"/>
  <c r="X291" i="18"/>
  <c r="W291" i="18"/>
  <c r="I291" i="18"/>
  <c r="J291" i="18"/>
  <c r="H293" i="18"/>
  <c r="L292" i="18" l="1"/>
  <c r="A293" i="18"/>
  <c r="C293" i="18"/>
  <c r="D294" i="18"/>
  <c r="R292" i="18"/>
  <c r="B292" i="18"/>
  <c r="M292" i="18" s="1"/>
  <c r="E292" i="18"/>
  <c r="H294" i="18"/>
  <c r="V291" i="18"/>
  <c r="U291" i="18"/>
  <c r="T291" i="18"/>
  <c r="S291" i="18"/>
  <c r="F292" i="18"/>
  <c r="L291" i="18"/>
  <c r="H295" i="18" l="1"/>
  <c r="U292" i="18"/>
  <c r="V292" i="18"/>
  <c r="T292" i="18"/>
  <c r="S292" i="18"/>
  <c r="F293" i="18"/>
  <c r="D295" i="18"/>
  <c r="A294" i="18"/>
  <c r="C294" i="18"/>
  <c r="F294" i="18" s="1"/>
  <c r="R293" i="18"/>
  <c r="E293" i="18"/>
  <c r="B293" i="18"/>
  <c r="M293" i="18" s="1"/>
  <c r="Y292" i="18"/>
  <c r="X292" i="18"/>
  <c r="W292" i="18"/>
  <c r="I292" i="18"/>
  <c r="J292" i="18"/>
  <c r="Y294" i="18" l="1"/>
  <c r="X294" i="18"/>
  <c r="W294" i="18"/>
  <c r="J294" i="18"/>
  <c r="V293" i="18"/>
  <c r="U293" i="18"/>
  <c r="T293" i="18"/>
  <c r="S293" i="18"/>
  <c r="C295" i="18"/>
  <c r="A295" i="18"/>
  <c r="D296" i="18"/>
  <c r="H296" i="18"/>
  <c r="Y293" i="18"/>
  <c r="X293" i="18"/>
  <c r="W293" i="18"/>
  <c r="I293" i="18"/>
  <c r="I294" i="18" s="1"/>
  <c r="J293" i="18"/>
  <c r="L293" i="18"/>
  <c r="E294" i="18"/>
  <c r="R294" i="18"/>
  <c r="B294" i="18"/>
  <c r="M294" i="18" s="1"/>
  <c r="L294" i="18" l="1"/>
  <c r="B295" i="18"/>
  <c r="M295" i="18" s="1"/>
  <c r="R295" i="18"/>
  <c r="E295" i="18"/>
  <c r="V294" i="18"/>
  <c r="U294" i="18"/>
  <c r="T294" i="18"/>
  <c r="S294" i="18"/>
  <c r="D297" i="18"/>
  <c r="C296" i="18"/>
  <c r="A296" i="18"/>
  <c r="F296" i="18"/>
  <c r="H297" i="18"/>
  <c r="F295" i="18"/>
  <c r="Y296" i="18" l="1"/>
  <c r="X296" i="18"/>
  <c r="W296" i="18"/>
  <c r="J296" i="18"/>
  <c r="C297" i="18"/>
  <c r="A297" i="18"/>
  <c r="D298" i="18"/>
  <c r="R296" i="18"/>
  <c r="B296" i="18"/>
  <c r="L296" i="18" s="1"/>
  <c r="E296" i="18"/>
  <c r="F297" i="18" s="1"/>
  <c r="V295" i="18"/>
  <c r="U295" i="18"/>
  <c r="T295" i="18"/>
  <c r="S295" i="18"/>
  <c r="H298" i="18"/>
  <c r="Y295" i="18"/>
  <c r="X295" i="18"/>
  <c r="W295" i="18"/>
  <c r="I295" i="18"/>
  <c r="I296" i="18" s="1"/>
  <c r="J295" i="18"/>
  <c r="L295" i="18"/>
  <c r="Y297" i="18" l="1"/>
  <c r="X297" i="18"/>
  <c r="W297" i="18"/>
  <c r="I297" i="18"/>
  <c r="J297" i="18"/>
  <c r="D299" i="18"/>
  <c r="C298" i="18"/>
  <c r="F298" i="18" s="1"/>
  <c r="A298" i="18"/>
  <c r="B297" i="18"/>
  <c r="L297" i="18" s="1"/>
  <c r="R297" i="18"/>
  <c r="E297" i="18"/>
  <c r="H299" i="18"/>
  <c r="U296" i="18"/>
  <c r="T296" i="18"/>
  <c r="S296" i="18"/>
  <c r="V296" i="18"/>
  <c r="M296" i="18"/>
  <c r="I298" i="18" l="1"/>
  <c r="Y298" i="18"/>
  <c r="X298" i="18"/>
  <c r="W298" i="18"/>
  <c r="J298" i="18"/>
  <c r="H300" i="18"/>
  <c r="V297" i="18"/>
  <c r="U297" i="18"/>
  <c r="T297" i="18"/>
  <c r="S297" i="18"/>
  <c r="E298" i="18"/>
  <c r="F299" i="18" s="1"/>
  <c r="B298" i="18"/>
  <c r="L298" i="18" s="1"/>
  <c r="R298" i="18"/>
  <c r="C299" i="18"/>
  <c r="A299" i="18"/>
  <c r="D300" i="18"/>
  <c r="M297" i="18"/>
  <c r="Y299" i="18" l="1"/>
  <c r="X299" i="18"/>
  <c r="W299" i="18"/>
  <c r="I299" i="18"/>
  <c r="L299" i="18"/>
  <c r="J299" i="18"/>
  <c r="V298" i="18"/>
  <c r="U298" i="18"/>
  <c r="T298" i="18"/>
  <c r="S298" i="18"/>
  <c r="M298" i="18"/>
  <c r="D301" i="18"/>
  <c r="C300" i="18"/>
  <c r="A300" i="18"/>
  <c r="H301" i="18"/>
  <c r="B299" i="18"/>
  <c r="M299" i="18" s="1"/>
  <c r="E299" i="18"/>
  <c r="R299" i="18"/>
  <c r="D302" i="18" l="1"/>
  <c r="C301" i="18"/>
  <c r="F301" i="18" s="1"/>
  <c r="A301" i="18"/>
  <c r="R300" i="18"/>
  <c r="E300" i="18"/>
  <c r="B300" i="18"/>
  <c r="M300" i="18" s="1"/>
  <c r="F300" i="18"/>
  <c r="H302" i="18"/>
  <c r="V299" i="18"/>
  <c r="U299" i="18"/>
  <c r="T299" i="18"/>
  <c r="S299" i="18"/>
  <c r="Y301" i="18" l="1"/>
  <c r="X301" i="18"/>
  <c r="W301" i="18"/>
  <c r="J301" i="18"/>
  <c r="H303" i="18"/>
  <c r="Y300" i="18"/>
  <c r="X300" i="18"/>
  <c r="W300" i="18"/>
  <c r="I300" i="18"/>
  <c r="I301" i="18" s="1"/>
  <c r="J300" i="18"/>
  <c r="U300" i="18"/>
  <c r="T300" i="18"/>
  <c r="S300" i="18"/>
  <c r="V300" i="18"/>
  <c r="D303" i="18"/>
  <c r="C302" i="18"/>
  <c r="A302" i="18"/>
  <c r="E301" i="18"/>
  <c r="B301" i="18"/>
  <c r="R301" i="18"/>
  <c r="L301" i="18"/>
  <c r="L300" i="18"/>
  <c r="M301" i="18"/>
  <c r="V301" i="18" l="1"/>
  <c r="U301" i="18"/>
  <c r="T301" i="18"/>
  <c r="S301" i="18"/>
  <c r="H304" i="18"/>
  <c r="E302" i="18"/>
  <c r="B302" i="18"/>
  <c r="R302" i="18"/>
  <c r="F302" i="18"/>
  <c r="M302" i="18"/>
  <c r="C303" i="18"/>
  <c r="F303" i="18" s="1"/>
  <c r="A303" i="18"/>
  <c r="D304" i="18"/>
  <c r="Y303" i="18" l="1"/>
  <c r="X303" i="18"/>
  <c r="W303" i="18"/>
  <c r="J303" i="18"/>
  <c r="M303" i="18"/>
  <c r="L303" i="18"/>
  <c r="V302" i="18"/>
  <c r="U302" i="18"/>
  <c r="T302" i="18"/>
  <c r="S302" i="18"/>
  <c r="I302" i="18"/>
  <c r="I303" i="18" s="1"/>
  <c r="Y302" i="18"/>
  <c r="X302" i="18"/>
  <c r="W302" i="18"/>
  <c r="J302" i="18"/>
  <c r="L302" i="18"/>
  <c r="H305" i="18"/>
  <c r="B303" i="18"/>
  <c r="R303" i="18"/>
  <c r="E303" i="18"/>
  <c r="D305" i="18"/>
  <c r="C304" i="18"/>
  <c r="A304" i="18"/>
  <c r="R304" i="18" l="1"/>
  <c r="E304" i="18"/>
  <c r="B304" i="18"/>
  <c r="M304" i="18" s="1"/>
  <c r="D306" i="18"/>
  <c r="C305" i="18"/>
  <c r="A305" i="18"/>
  <c r="F304" i="18"/>
  <c r="V303" i="18"/>
  <c r="U303" i="18"/>
  <c r="T303" i="18"/>
  <c r="S303" i="18"/>
  <c r="H306" i="18"/>
  <c r="W304" i="18" l="1"/>
  <c r="I304" i="18"/>
  <c r="Y304" i="18"/>
  <c r="X304" i="18"/>
  <c r="J304" i="18"/>
  <c r="F305" i="18"/>
  <c r="M305" i="18"/>
  <c r="D307" i="18"/>
  <c r="C306" i="18"/>
  <c r="A306" i="18"/>
  <c r="L304" i="18"/>
  <c r="R305" i="18"/>
  <c r="E305" i="18"/>
  <c r="B305" i="18"/>
  <c r="U304" i="18"/>
  <c r="T304" i="18"/>
  <c r="S304" i="18"/>
  <c r="V304" i="18"/>
  <c r="H307" i="18"/>
  <c r="V305" i="18" l="1"/>
  <c r="U305" i="18"/>
  <c r="T305" i="18"/>
  <c r="S305" i="18"/>
  <c r="E306" i="18"/>
  <c r="R306" i="18"/>
  <c r="B306" i="18"/>
  <c r="M306" i="18"/>
  <c r="C307" i="18"/>
  <c r="A307" i="18"/>
  <c r="D308" i="18"/>
  <c r="F306" i="18"/>
  <c r="I305" i="18"/>
  <c r="W305" i="18"/>
  <c r="Y305" i="18"/>
  <c r="X305" i="18"/>
  <c r="J305" i="18"/>
  <c r="H308" i="18"/>
  <c r="L305" i="18"/>
  <c r="I306" i="18" l="1"/>
  <c r="Y306" i="18"/>
  <c r="X306" i="18"/>
  <c r="W306" i="18"/>
  <c r="J306" i="18"/>
  <c r="B307" i="18"/>
  <c r="M307" i="18" s="1"/>
  <c r="E307" i="18"/>
  <c r="R307" i="18"/>
  <c r="L306" i="18"/>
  <c r="C308" i="18"/>
  <c r="A308" i="18"/>
  <c r="F308" i="18"/>
  <c r="D309" i="18"/>
  <c r="H309" i="18"/>
  <c r="F307" i="18"/>
  <c r="V306" i="18"/>
  <c r="U306" i="18"/>
  <c r="T306" i="18"/>
  <c r="S306" i="18"/>
  <c r="B308" i="18" l="1"/>
  <c r="E308" i="18"/>
  <c r="R308" i="18"/>
  <c r="H310" i="18"/>
  <c r="C309" i="18"/>
  <c r="D310" i="18"/>
  <c r="A309" i="18"/>
  <c r="V307" i="18"/>
  <c r="U307" i="18"/>
  <c r="T307" i="18"/>
  <c r="S307" i="18"/>
  <c r="W307" i="18"/>
  <c r="Y307" i="18"/>
  <c r="X307" i="18"/>
  <c r="I307" i="18"/>
  <c r="J307" i="18"/>
  <c r="L307" i="18"/>
  <c r="Y308" i="18"/>
  <c r="X308" i="18"/>
  <c r="W308" i="18"/>
  <c r="I308" i="18"/>
  <c r="J308" i="18"/>
  <c r="R309" i="18" l="1"/>
  <c r="E309" i="18"/>
  <c r="B309" i="18"/>
  <c r="M309" i="18"/>
  <c r="S308" i="18"/>
  <c r="V308" i="18"/>
  <c r="U308" i="18"/>
  <c r="T308" i="18"/>
  <c r="C310" i="18"/>
  <c r="D311" i="18"/>
  <c r="A310" i="18"/>
  <c r="F309" i="18"/>
  <c r="H311" i="18"/>
  <c r="L308" i="18"/>
  <c r="M308" i="18"/>
  <c r="H312" i="18" l="1"/>
  <c r="I309" i="18"/>
  <c r="Y309" i="18"/>
  <c r="X309" i="18"/>
  <c r="W309" i="18"/>
  <c r="J309" i="18"/>
  <c r="R310" i="18"/>
  <c r="E310" i="18"/>
  <c r="B310" i="18"/>
  <c r="M310" i="18" s="1"/>
  <c r="F310" i="18"/>
  <c r="L310" i="18" s="1"/>
  <c r="L309" i="18"/>
  <c r="D312" i="18"/>
  <c r="C311" i="18"/>
  <c r="A311" i="18"/>
  <c r="V309" i="18"/>
  <c r="U309" i="18"/>
  <c r="T309" i="18"/>
  <c r="S309" i="18"/>
  <c r="D313" i="18" l="1"/>
  <c r="C312" i="18"/>
  <c r="A312" i="18"/>
  <c r="S310" i="18"/>
  <c r="V310" i="18"/>
  <c r="U310" i="18"/>
  <c r="T310" i="18"/>
  <c r="B311" i="18"/>
  <c r="M311" i="18" s="1"/>
  <c r="R311" i="18"/>
  <c r="E311" i="18"/>
  <c r="H313" i="18"/>
  <c r="W310" i="18"/>
  <c r="I310" i="18"/>
  <c r="Y310" i="18"/>
  <c r="X310" i="18"/>
  <c r="J310" i="18"/>
  <c r="F311" i="18"/>
  <c r="E312" i="18" l="1"/>
  <c r="B312" i="18"/>
  <c r="M312" i="18" s="1"/>
  <c r="R312" i="18"/>
  <c r="H314" i="18"/>
  <c r="V311" i="18"/>
  <c r="U311" i="18"/>
  <c r="T311" i="18"/>
  <c r="S311" i="18"/>
  <c r="W311" i="18"/>
  <c r="I311" i="18"/>
  <c r="Y311" i="18"/>
  <c r="X311" i="18"/>
  <c r="J311" i="18"/>
  <c r="L311" i="18"/>
  <c r="F312" i="18"/>
  <c r="F313" i="18" s="1"/>
  <c r="C313" i="18"/>
  <c r="A313" i="18"/>
  <c r="D314" i="18"/>
  <c r="Y313" i="18" l="1"/>
  <c r="X313" i="18"/>
  <c r="W313" i="18"/>
  <c r="J313" i="18"/>
  <c r="E313" i="18"/>
  <c r="B313" i="18"/>
  <c r="M313" i="18" s="1"/>
  <c r="R313" i="18"/>
  <c r="I312" i="18"/>
  <c r="I313" i="18" s="1"/>
  <c r="Y312" i="18"/>
  <c r="X312" i="18"/>
  <c r="W312" i="18"/>
  <c r="L312" i="18"/>
  <c r="J312" i="18"/>
  <c r="F314" i="18"/>
  <c r="A314" i="18"/>
  <c r="D315" i="18"/>
  <c r="C314" i="18"/>
  <c r="H315" i="18"/>
  <c r="S312" i="18"/>
  <c r="V312" i="18"/>
  <c r="U312" i="18"/>
  <c r="T312" i="18"/>
  <c r="L313" i="18"/>
  <c r="V313" i="18" l="1"/>
  <c r="S313" i="18"/>
  <c r="T313" i="18"/>
  <c r="U313" i="18"/>
  <c r="X314" i="18"/>
  <c r="W314" i="18"/>
  <c r="Y314" i="18"/>
  <c r="I314" i="18"/>
  <c r="H316" i="18"/>
  <c r="J314" i="18"/>
  <c r="C315" i="18"/>
  <c r="F315" i="18" s="1"/>
  <c r="A315" i="18"/>
  <c r="D316" i="18"/>
  <c r="B314" i="18"/>
  <c r="R314" i="18"/>
  <c r="E314" i="18"/>
  <c r="L314" i="18"/>
  <c r="M314" i="18"/>
  <c r="W315" i="18" l="1"/>
  <c r="I315" i="18"/>
  <c r="Y315" i="18"/>
  <c r="X315" i="18"/>
  <c r="J315" i="18"/>
  <c r="D317" i="18"/>
  <c r="C316" i="18"/>
  <c r="A316" i="18"/>
  <c r="H317" i="18"/>
  <c r="B315" i="18"/>
  <c r="M315" i="18" s="1"/>
  <c r="R315" i="18"/>
  <c r="E315" i="18"/>
  <c r="V314" i="18"/>
  <c r="U314" i="18"/>
  <c r="T314" i="18"/>
  <c r="S314" i="18"/>
  <c r="F316" i="18" l="1"/>
  <c r="D318" i="18"/>
  <c r="C317" i="18"/>
  <c r="A317" i="18"/>
  <c r="R316" i="18"/>
  <c r="E316" i="18"/>
  <c r="B316" i="18"/>
  <c r="M316" i="18" s="1"/>
  <c r="L315" i="18"/>
  <c r="U315" i="18"/>
  <c r="T315" i="18"/>
  <c r="S315" i="18"/>
  <c r="V315" i="18"/>
  <c r="H318" i="18"/>
  <c r="L316" i="18" l="1"/>
  <c r="S316" i="18"/>
  <c r="T316" i="18"/>
  <c r="V316" i="18"/>
  <c r="U316" i="18"/>
  <c r="R317" i="18"/>
  <c r="E317" i="18"/>
  <c r="B317" i="18"/>
  <c r="F317" i="18"/>
  <c r="M317" i="18"/>
  <c r="L317" i="18"/>
  <c r="I316" i="18"/>
  <c r="X316" i="18"/>
  <c r="W316" i="18"/>
  <c r="Y316" i="18"/>
  <c r="J316" i="18"/>
  <c r="D319" i="18"/>
  <c r="A318" i="18"/>
  <c r="C318" i="18"/>
  <c r="H319" i="18"/>
  <c r="H320" i="18" l="1"/>
  <c r="I317" i="18"/>
  <c r="Y317" i="18"/>
  <c r="X317" i="18"/>
  <c r="W317" i="18"/>
  <c r="J317" i="18"/>
  <c r="V317" i="18"/>
  <c r="U317" i="18"/>
  <c r="T317" i="18"/>
  <c r="S317" i="18"/>
  <c r="E318" i="18"/>
  <c r="B318" i="18"/>
  <c r="M318" i="18" s="1"/>
  <c r="R318" i="18"/>
  <c r="A319" i="18"/>
  <c r="D320" i="18"/>
  <c r="C319" i="18"/>
  <c r="F318" i="18"/>
  <c r="I318" i="18" l="1"/>
  <c r="Y318" i="18"/>
  <c r="X318" i="18"/>
  <c r="W318" i="18"/>
  <c r="J318" i="18"/>
  <c r="B319" i="18"/>
  <c r="M319" i="18" s="1"/>
  <c r="E319" i="18"/>
  <c r="R319" i="18"/>
  <c r="F319" i="18"/>
  <c r="H321" i="18"/>
  <c r="S318" i="18"/>
  <c r="V318" i="18"/>
  <c r="T318" i="18"/>
  <c r="U318" i="18"/>
  <c r="L318" i="18"/>
  <c r="D321" i="18"/>
  <c r="C320" i="18"/>
  <c r="A320" i="18"/>
  <c r="V319" i="18" l="1"/>
  <c r="U319" i="18"/>
  <c r="T319" i="18"/>
  <c r="S319" i="18"/>
  <c r="W319" i="18"/>
  <c r="I319" i="18"/>
  <c r="Y319" i="18"/>
  <c r="X319" i="18"/>
  <c r="J319" i="18"/>
  <c r="L319" i="18"/>
  <c r="H322" i="18"/>
  <c r="R320" i="18"/>
  <c r="E320" i="18"/>
  <c r="F321" i="18" s="1"/>
  <c r="B320" i="18"/>
  <c r="M320" i="18" s="1"/>
  <c r="F320" i="18"/>
  <c r="C321" i="18"/>
  <c r="A321" i="18"/>
  <c r="D322" i="18"/>
  <c r="Y321" i="18" l="1"/>
  <c r="X321" i="18"/>
  <c r="W321" i="18"/>
  <c r="J321" i="18"/>
  <c r="S320" i="18"/>
  <c r="V320" i="18"/>
  <c r="U320" i="18"/>
  <c r="T320" i="18"/>
  <c r="H323" i="18"/>
  <c r="F322" i="18"/>
  <c r="C322" i="18"/>
  <c r="A322" i="18"/>
  <c r="D323" i="18"/>
  <c r="E321" i="18"/>
  <c r="B321" i="18"/>
  <c r="M321" i="18" s="1"/>
  <c r="R321" i="18"/>
  <c r="Y320" i="18"/>
  <c r="W320" i="18"/>
  <c r="I320" i="18"/>
  <c r="I321" i="18" s="1"/>
  <c r="X320" i="18"/>
  <c r="J320" i="18"/>
  <c r="L320" i="18"/>
  <c r="Y322" i="18" l="1"/>
  <c r="X322" i="18"/>
  <c r="W322" i="18"/>
  <c r="I322" i="18"/>
  <c r="H324" i="18"/>
  <c r="E322" i="18"/>
  <c r="F323" i="18" s="1"/>
  <c r="B322" i="18"/>
  <c r="M322" i="18" s="1"/>
  <c r="R322" i="18"/>
  <c r="J322" i="18"/>
  <c r="U321" i="18"/>
  <c r="T321" i="18"/>
  <c r="V321" i="18"/>
  <c r="S321" i="18"/>
  <c r="L322" i="18"/>
  <c r="A323" i="18"/>
  <c r="C323" i="18"/>
  <c r="D324" i="18"/>
  <c r="L321" i="18"/>
  <c r="W323" i="18" l="1"/>
  <c r="Y323" i="18"/>
  <c r="X323" i="18"/>
  <c r="I323" i="18"/>
  <c r="J323" i="18"/>
  <c r="V322" i="18"/>
  <c r="U322" i="18"/>
  <c r="T322" i="18"/>
  <c r="S322" i="18"/>
  <c r="H325" i="18"/>
  <c r="A324" i="18"/>
  <c r="C324" i="18"/>
  <c r="D325" i="18"/>
  <c r="B323" i="18"/>
  <c r="M323" i="18" s="1"/>
  <c r="R323" i="18"/>
  <c r="E323" i="18"/>
  <c r="F324" i="18" s="1"/>
  <c r="X324" i="18" l="1"/>
  <c r="W324" i="18"/>
  <c r="Y324" i="18"/>
  <c r="I324" i="18"/>
  <c r="J324" i="18"/>
  <c r="L324" i="18"/>
  <c r="H326" i="18"/>
  <c r="V323" i="18"/>
  <c r="U323" i="18"/>
  <c r="T323" i="18"/>
  <c r="S323" i="18"/>
  <c r="L323" i="18"/>
  <c r="F325" i="18"/>
  <c r="J325" i="18" s="1"/>
  <c r="C325" i="18"/>
  <c r="A325" i="18"/>
  <c r="D326" i="18"/>
  <c r="R324" i="18"/>
  <c r="E324" i="18"/>
  <c r="B324" i="18"/>
  <c r="M324" i="18" s="1"/>
  <c r="I325" i="18" l="1"/>
  <c r="Y325" i="18"/>
  <c r="X325" i="18"/>
  <c r="W325" i="18"/>
  <c r="H327" i="18"/>
  <c r="S324" i="18"/>
  <c r="V324" i="18"/>
  <c r="U324" i="18"/>
  <c r="T324" i="18"/>
  <c r="F326" i="18"/>
  <c r="A326" i="18"/>
  <c r="D327" i="18"/>
  <c r="C326" i="18"/>
  <c r="R325" i="18"/>
  <c r="E325" i="18"/>
  <c r="B325" i="18"/>
  <c r="M325" i="18" s="1"/>
  <c r="A327" i="18" l="1"/>
  <c r="D328" i="18"/>
  <c r="C327" i="18"/>
  <c r="I326" i="18"/>
  <c r="Y326" i="18"/>
  <c r="X326" i="18"/>
  <c r="W326" i="18"/>
  <c r="L325" i="18"/>
  <c r="H328" i="18"/>
  <c r="V325" i="18"/>
  <c r="U325" i="18"/>
  <c r="T325" i="18"/>
  <c r="S325" i="18"/>
  <c r="J326" i="18"/>
  <c r="E326" i="18"/>
  <c r="R326" i="18"/>
  <c r="B326" i="18"/>
  <c r="D329" i="18" l="1"/>
  <c r="C328" i="18"/>
  <c r="A328" i="18"/>
  <c r="B327" i="18"/>
  <c r="M327" i="18" s="1"/>
  <c r="R327" i="18"/>
  <c r="E327" i="18"/>
  <c r="L326" i="18"/>
  <c r="M326" i="18"/>
  <c r="L327" i="18"/>
  <c r="T326" i="18"/>
  <c r="S326" i="18"/>
  <c r="V326" i="18"/>
  <c r="U326" i="18"/>
  <c r="H329" i="18"/>
  <c r="F327" i="18"/>
  <c r="V327" i="18" l="1"/>
  <c r="U327" i="18"/>
  <c r="T327" i="18"/>
  <c r="S327" i="18"/>
  <c r="D330" i="18"/>
  <c r="C329" i="18"/>
  <c r="A329" i="18"/>
  <c r="W327" i="18"/>
  <c r="I327" i="18"/>
  <c r="X327" i="18"/>
  <c r="Y327" i="18"/>
  <c r="J327" i="18"/>
  <c r="F328" i="18"/>
  <c r="L328" i="18" s="1"/>
  <c r="R328" i="18"/>
  <c r="E328" i="18"/>
  <c r="B328" i="18"/>
  <c r="H330" i="18"/>
  <c r="M328" i="18"/>
  <c r="H331" i="18" l="1"/>
  <c r="E329" i="18"/>
  <c r="B329" i="18"/>
  <c r="R329" i="18"/>
  <c r="F329" i="18"/>
  <c r="M329" i="18"/>
  <c r="L329" i="18"/>
  <c r="I328" i="18"/>
  <c r="X328" i="18"/>
  <c r="Y328" i="18"/>
  <c r="W328" i="18"/>
  <c r="J328" i="18"/>
  <c r="F330" i="18"/>
  <c r="D331" i="18"/>
  <c r="C330" i="18"/>
  <c r="A330" i="18"/>
  <c r="S328" i="18"/>
  <c r="V328" i="18"/>
  <c r="U328" i="18"/>
  <c r="T328" i="18"/>
  <c r="I330" i="18" l="1"/>
  <c r="Y330" i="18"/>
  <c r="X330" i="18"/>
  <c r="W330" i="18"/>
  <c r="E330" i="18"/>
  <c r="B330" i="18"/>
  <c r="R330" i="18"/>
  <c r="A331" i="18"/>
  <c r="D332" i="18"/>
  <c r="C331" i="18"/>
  <c r="I329" i="18"/>
  <c r="Y329" i="18"/>
  <c r="X329" i="18"/>
  <c r="W329" i="18"/>
  <c r="J329" i="18"/>
  <c r="V329" i="18"/>
  <c r="U329" i="18"/>
  <c r="T329" i="18"/>
  <c r="S329" i="18"/>
  <c r="L330" i="18"/>
  <c r="J330" i="18"/>
  <c r="M330" i="18"/>
  <c r="H332" i="18"/>
  <c r="F331" i="18" l="1"/>
  <c r="H333" i="18"/>
  <c r="V330" i="18"/>
  <c r="T330" i="18"/>
  <c r="U330" i="18"/>
  <c r="S330" i="18"/>
  <c r="B331" i="18"/>
  <c r="M331" i="18" s="1"/>
  <c r="E331" i="18"/>
  <c r="R331" i="18"/>
  <c r="C332" i="18"/>
  <c r="A332" i="18"/>
  <c r="F332" i="18"/>
  <c r="J332" i="18" s="1"/>
  <c r="D333" i="18"/>
  <c r="R332" i="18" l="1"/>
  <c r="E332" i="18"/>
  <c r="B332" i="18"/>
  <c r="M332" i="18" s="1"/>
  <c r="V331" i="18"/>
  <c r="U331" i="18"/>
  <c r="T331" i="18"/>
  <c r="S331" i="18"/>
  <c r="W331" i="18"/>
  <c r="Y331" i="18"/>
  <c r="X331" i="18"/>
  <c r="I331" i="18"/>
  <c r="I332" i="18" s="1"/>
  <c r="J331" i="18"/>
  <c r="L331" i="18"/>
  <c r="Y332" i="18"/>
  <c r="X332" i="18"/>
  <c r="W332" i="18"/>
  <c r="H334" i="18"/>
  <c r="C333" i="18"/>
  <c r="A333" i="18"/>
  <c r="D334" i="18"/>
  <c r="F333" i="18"/>
  <c r="Y333" i="18" l="1"/>
  <c r="X333" i="18"/>
  <c r="W333" i="18"/>
  <c r="I333" i="18"/>
  <c r="J333" i="18"/>
  <c r="S332" i="18"/>
  <c r="V332" i="18"/>
  <c r="U332" i="18"/>
  <c r="T332" i="18"/>
  <c r="A334" i="18"/>
  <c r="D335" i="18"/>
  <c r="C334" i="18"/>
  <c r="B333" i="18"/>
  <c r="M333" i="18" s="1"/>
  <c r="R333" i="18"/>
  <c r="E333" i="18"/>
  <c r="H335" i="18"/>
  <c r="L332" i="18"/>
  <c r="E334" i="18" l="1"/>
  <c r="R334" i="18"/>
  <c r="B334" i="18"/>
  <c r="M334" i="18" s="1"/>
  <c r="A335" i="18"/>
  <c r="C335" i="18"/>
  <c r="D336" i="18"/>
  <c r="L334" i="18"/>
  <c r="F334" i="18"/>
  <c r="H336" i="18"/>
  <c r="V333" i="18"/>
  <c r="U333" i="18"/>
  <c r="T333" i="18"/>
  <c r="S333" i="18"/>
  <c r="L333" i="18"/>
  <c r="H337" i="18" l="1"/>
  <c r="A336" i="18"/>
  <c r="D337" i="18"/>
  <c r="C336" i="18"/>
  <c r="V334" i="18"/>
  <c r="U334" i="18"/>
  <c r="T334" i="18"/>
  <c r="S334" i="18"/>
  <c r="X334" i="18"/>
  <c r="Y334" i="18"/>
  <c r="W334" i="18"/>
  <c r="I334" i="18"/>
  <c r="J334" i="18"/>
  <c r="B335" i="18"/>
  <c r="R335" i="18"/>
  <c r="E335" i="18"/>
  <c r="F335" i="18"/>
  <c r="L335" i="18"/>
  <c r="M335" i="18"/>
  <c r="R336" i="18" l="1"/>
  <c r="B336" i="18"/>
  <c r="E336" i="18"/>
  <c r="V335" i="18"/>
  <c r="T335" i="18"/>
  <c r="U335" i="18"/>
  <c r="S335" i="18"/>
  <c r="W335" i="18"/>
  <c r="Y335" i="18"/>
  <c r="X335" i="18"/>
  <c r="I335" i="18"/>
  <c r="J335" i="18"/>
  <c r="D338" i="18"/>
  <c r="C337" i="18"/>
  <c r="A337" i="18"/>
  <c r="F336" i="18"/>
  <c r="L336" i="18"/>
  <c r="M336" i="18"/>
  <c r="H338" i="18"/>
  <c r="R337" i="18" l="1"/>
  <c r="E337" i="18"/>
  <c r="B337" i="18"/>
  <c r="S336" i="18"/>
  <c r="V336" i="18"/>
  <c r="U336" i="18"/>
  <c r="T336" i="18"/>
  <c r="Y336" i="18"/>
  <c r="X336" i="18"/>
  <c r="W336" i="18"/>
  <c r="I336" i="18"/>
  <c r="J336" i="18"/>
  <c r="C338" i="18"/>
  <c r="A338" i="18"/>
  <c r="D339" i="18"/>
  <c r="F337" i="18"/>
  <c r="L337" i="18" s="1"/>
  <c r="M337" i="18"/>
  <c r="H339" i="18"/>
  <c r="E338" i="18" l="1"/>
  <c r="R338" i="18"/>
  <c r="B338" i="18"/>
  <c r="H340" i="18"/>
  <c r="M338" i="18"/>
  <c r="A339" i="18"/>
  <c r="C339" i="18"/>
  <c r="F339" i="18" s="1"/>
  <c r="D340" i="18"/>
  <c r="F338" i="18"/>
  <c r="X337" i="18"/>
  <c r="W337" i="18"/>
  <c r="I337" i="18"/>
  <c r="Y337" i="18"/>
  <c r="J337" i="18"/>
  <c r="V337" i="18"/>
  <c r="U337" i="18"/>
  <c r="T337" i="18"/>
  <c r="S337" i="18"/>
  <c r="W339" i="18" l="1"/>
  <c r="Y339" i="18"/>
  <c r="X339" i="18"/>
  <c r="J339" i="18"/>
  <c r="X338" i="18"/>
  <c r="W338" i="18"/>
  <c r="I338" i="18"/>
  <c r="I339" i="18" s="1"/>
  <c r="Y338" i="18"/>
  <c r="J338" i="18"/>
  <c r="D341" i="18"/>
  <c r="C340" i="18"/>
  <c r="A340" i="18"/>
  <c r="B339" i="18"/>
  <c r="R339" i="18"/>
  <c r="E339" i="18"/>
  <c r="L339" i="18"/>
  <c r="M339" i="18"/>
  <c r="H341" i="18"/>
  <c r="V338" i="18"/>
  <c r="U338" i="18"/>
  <c r="T338" i="18"/>
  <c r="S338" i="18"/>
  <c r="L338" i="18"/>
  <c r="F340" i="18" l="1"/>
  <c r="R340" i="18"/>
  <c r="E340" i="18"/>
  <c r="B340" i="18"/>
  <c r="D342" i="18"/>
  <c r="C341" i="18"/>
  <c r="A341" i="18"/>
  <c r="M340" i="18"/>
  <c r="V339" i="18"/>
  <c r="T339" i="18"/>
  <c r="U339" i="18"/>
  <c r="S339" i="18"/>
  <c r="H342" i="18"/>
  <c r="C342" i="18" l="1"/>
  <c r="A342" i="18"/>
  <c r="D343" i="18"/>
  <c r="S340" i="18"/>
  <c r="V340" i="18"/>
  <c r="U340" i="18"/>
  <c r="T340" i="18"/>
  <c r="B341" i="18"/>
  <c r="R341" i="18"/>
  <c r="E341" i="18"/>
  <c r="F341" i="18"/>
  <c r="M341" i="18"/>
  <c r="L341" i="18"/>
  <c r="H343" i="18"/>
  <c r="Y340" i="18"/>
  <c r="X340" i="18"/>
  <c r="W340" i="18"/>
  <c r="I340" i="18"/>
  <c r="J340" i="18"/>
  <c r="L340" i="18"/>
  <c r="A343" i="18" l="1"/>
  <c r="D344" i="18"/>
  <c r="C343" i="18"/>
  <c r="F343" i="18" s="1"/>
  <c r="I341" i="18"/>
  <c r="W341" i="18"/>
  <c r="Y341" i="18"/>
  <c r="X341" i="18"/>
  <c r="J341" i="18"/>
  <c r="E342" i="18"/>
  <c r="B342" i="18"/>
  <c r="M342" i="18" s="1"/>
  <c r="R342" i="18"/>
  <c r="V341" i="18"/>
  <c r="U341" i="18"/>
  <c r="T341" i="18"/>
  <c r="S341" i="18"/>
  <c r="H344" i="18"/>
  <c r="F342" i="18"/>
  <c r="W343" i="18" l="1"/>
  <c r="Y343" i="18"/>
  <c r="X343" i="18"/>
  <c r="I343" i="18"/>
  <c r="J343" i="18"/>
  <c r="H345" i="18"/>
  <c r="B343" i="18"/>
  <c r="M343" i="18" s="1"/>
  <c r="E343" i="18"/>
  <c r="R343" i="18"/>
  <c r="L343" i="18"/>
  <c r="S342" i="18"/>
  <c r="V342" i="18"/>
  <c r="U342" i="18"/>
  <c r="T342" i="18"/>
  <c r="Y342" i="18"/>
  <c r="X342" i="18"/>
  <c r="W342" i="18"/>
  <c r="I342" i="18"/>
  <c r="J342" i="18"/>
  <c r="L342" i="18"/>
  <c r="D345" i="18"/>
  <c r="C344" i="18"/>
  <c r="A344" i="18"/>
  <c r="V343" i="18" l="1"/>
  <c r="U343" i="18"/>
  <c r="T343" i="18"/>
  <c r="S343" i="18"/>
  <c r="R344" i="18"/>
  <c r="E344" i="18"/>
  <c r="B344" i="18"/>
  <c r="M344" i="18" s="1"/>
  <c r="H346" i="18"/>
  <c r="D346" i="18"/>
  <c r="C345" i="18"/>
  <c r="F345" i="18" s="1"/>
  <c r="A345" i="18"/>
  <c r="F344" i="18"/>
  <c r="W345" i="18" l="1"/>
  <c r="Y345" i="18"/>
  <c r="X345" i="18"/>
  <c r="J345" i="18"/>
  <c r="C346" i="18"/>
  <c r="A346" i="18"/>
  <c r="D347" i="18"/>
  <c r="L345" i="18"/>
  <c r="H347" i="18"/>
  <c r="S344" i="18"/>
  <c r="V344" i="18"/>
  <c r="U344" i="18"/>
  <c r="T344" i="18"/>
  <c r="B345" i="18"/>
  <c r="R345" i="18"/>
  <c r="E345" i="18"/>
  <c r="M345" i="18"/>
  <c r="I344" i="18"/>
  <c r="I345" i="18" s="1"/>
  <c r="Y344" i="18"/>
  <c r="X344" i="18"/>
  <c r="W344" i="18"/>
  <c r="J344" i="18"/>
  <c r="L344" i="18"/>
  <c r="V345" i="18" l="1"/>
  <c r="U345" i="18"/>
  <c r="T345" i="18"/>
  <c r="S345" i="18"/>
  <c r="E346" i="18"/>
  <c r="B346" i="18"/>
  <c r="R346" i="18"/>
  <c r="A347" i="18"/>
  <c r="D348" i="18"/>
  <c r="C347" i="18"/>
  <c r="M346" i="18"/>
  <c r="H348" i="18"/>
  <c r="F346" i="18"/>
  <c r="C348" i="18" l="1"/>
  <c r="D349" i="18"/>
  <c r="A348" i="18"/>
  <c r="B347" i="18"/>
  <c r="R347" i="18"/>
  <c r="E347" i="18"/>
  <c r="L347" i="18"/>
  <c r="H349" i="18"/>
  <c r="M347" i="18"/>
  <c r="S346" i="18"/>
  <c r="U346" i="18"/>
  <c r="T346" i="18"/>
  <c r="V346" i="18"/>
  <c r="F347" i="18"/>
  <c r="Y346" i="18"/>
  <c r="X346" i="18"/>
  <c r="W346" i="18"/>
  <c r="I346" i="18"/>
  <c r="L346" i="18"/>
  <c r="J346" i="18"/>
  <c r="V347" i="18" l="1"/>
  <c r="U347" i="18"/>
  <c r="T347" i="18"/>
  <c r="S347" i="18"/>
  <c r="R348" i="18"/>
  <c r="B348" i="18"/>
  <c r="E348" i="18"/>
  <c r="H350" i="18"/>
  <c r="F348" i="18"/>
  <c r="W347" i="18"/>
  <c r="Y347" i="18"/>
  <c r="X347" i="18"/>
  <c r="I347" i="18"/>
  <c r="J347" i="18"/>
  <c r="L348" i="18"/>
  <c r="D350" i="18"/>
  <c r="C349" i="18"/>
  <c r="F349" i="18" s="1"/>
  <c r="A349" i="18"/>
  <c r="M348" i="18"/>
  <c r="X349" i="18" l="1"/>
  <c r="W349" i="18"/>
  <c r="Y349" i="18"/>
  <c r="J349" i="18"/>
  <c r="H351" i="18"/>
  <c r="C350" i="18"/>
  <c r="A350" i="18"/>
  <c r="D351" i="18"/>
  <c r="Y348" i="18"/>
  <c r="X348" i="18"/>
  <c r="W348" i="18"/>
  <c r="I348" i="18"/>
  <c r="I349" i="18" s="1"/>
  <c r="J348" i="18"/>
  <c r="S348" i="18"/>
  <c r="V348" i="18"/>
  <c r="U348" i="18"/>
  <c r="T348" i="18"/>
  <c r="B349" i="18"/>
  <c r="M349" i="18" s="1"/>
  <c r="E349" i="18"/>
  <c r="R349" i="18"/>
  <c r="L349" i="18"/>
  <c r="V349" i="18" l="1"/>
  <c r="U349" i="18"/>
  <c r="T349" i="18"/>
  <c r="S349" i="18"/>
  <c r="A351" i="18"/>
  <c r="D352" i="18"/>
  <c r="C351" i="18"/>
  <c r="H352" i="18"/>
  <c r="E350" i="18"/>
  <c r="B350" i="18"/>
  <c r="M350" i="18" s="1"/>
  <c r="R350" i="18"/>
  <c r="F350" i="18"/>
  <c r="Y350" i="18" l="1"/>
  <c r="X350" i="18"/>
  <c r="W350" i="18"/>
  <c r="I350" i="18"/>
  <c r="J350" i="18"/>
  <c r="L350" i="18"/>
  <c r="H353" i="18"/>
  <c r="F351" i="18"/>
  <c r="L351" i="18"/>
  <c r="T350" i="18"/>
  <c r="S350" i="18"/>
  <c r="U350" i="18"/>
  <c r="V350" i="18"/>
  <c r="C352" i="18"/>
  <c r="A352" i="18"/>
  <c r="D353" i="18"/>
  <c r="B351" i="18"/>
  <c r="M351" i="18" s="1"/>
  <c r="R351" i="18"/>
  <c r="E351" i="18"/>
  <c r="W351" i="18" l="1"/>
  <c r="Y351" i="18"/>
  <c r="X351" i="18"/>
  <c r="I351" i="18"/>
  <c r="J351" i="18"/>
  <c r="V351" i="18"/>
  <c r="U351" i="18"/>
  <c r="T351" i="18"/>
  <c r="S351" i="18"/>
  <c r="R352" i="18"/>
  <c r="B352" i="18"/>
  <c r="M352" i="18" s="1"/>
  <c r="E352" i="18"/>
  <c r="H354" i="18"/>
  <c r="F352" i="18"/>
  <c r="D354" i="18"/>
  <c r="C353" i="18"/>
  <c r="A353" i="18"/>
  <c r="S352" i="18" l="1"/>
  <c r="V352" i="18"/>
  <c r="U352" i="18"/>
  <c r="T352" i="18"/>
  <c r="Y352" i="18"/>
  <c r="X352" i="18"/>
  <c r="W352" i="18"/>
  <c r="I352" i="18"/>
  <c r="J352" i="18"/>
  <c r="L352" i="18"/>
  <c r="B353" i="18"/>
  <c r="M353" i="18" s="1"/>
  <c r="E353" i="18"/>
  <c r="R353" i="18"/>
  <c r="H355" i="18"/>
  <c r="F353" i="18"/>
  <c r="C354" i="18"/>
  <c r="A354" i="18"/>
  <c r="D355" i="18"/>
  <c r="H356" i="18" l="1"/>
  <c r="I353" i="18"/>
  <c r="X353" i="18"/>
  <c r="W353" i="18"/>
  <c r="Y353" i="18"/>
  <c r="L353" i="18"/>
  <c r="J353" i="18"/>
  <c r="A355" i="18"/>
  <c r="D356" i="18"/>
  <c r="F355" i="18"/>
  <c r="C355" i="18"/>
  <c r="E354" i="18"/>
  <c r="B354" i="18"/>
  <c r="M354" i="18" s="1"/>
  <c r="R354" i="18"/>
  <c r="V353" i="18"/>
  <c r="U353" i="18"/>
  <c r="T353" i="18"/>
  <c r="S353" i="18"/>
  <c r="F354" i="18"/>
  <c r="W355" i="18" l="1"/>
  <c r="Y355" i="18"/>
  <c r="X355" i="18"/>
  <c r="B355" i="18"/>
  <c r="M355" i="18" s="1"/>
  <c r="R355" i="18"/>
  <c r="E355" i="18"/>
  <c r="C356" i="18"/>
  <c r="A356" i="18"/>
  <c r="D357" i="18"/>
  <c r="L355" i="18"/>
  <c r="J355" i="18"/>
  <c r="Y354" i="18"/>
  <c r="X354" i="18"/>
  <c r="W354" i="18"/>
  <c r="I354" i="18"/>
  <c r="I355" i="18" s="1"/>
  <c r="L354" i="18"/>
  <c r="J354" i="18"/>
  <c r="T354" i="18"/>
  <c r="S354" i="18"/>
  <c r="V354" i="18"/>
  <c r="U354" i="18"/>
  <c r="H357" i="18"/>
  <c r="F356" i="18" l="1"/>
  <c r="V355" i="18"/>
  <c r="U355" i="18"/>
  <c r="T355" i="18"/>
  <c r="S355" i="18"/>
  <c r="D358" i="18"/>
  <c r="C357" i="18"/>
  <c r="A357" i="18"/>
  <c r="H358" i="18"/>
  <c r="L356" i="18"/>
  <c r="R356" i="18"/>
  <c r="E356" i="18"/>
  <c r="B356" i="18"/>
  <c r="M356" i="18" s="1"/>
  <c r="S356" i="18" l="1"/>
  <c r="V356" i="18"/>
  <c r="U356" i="18"/>
  <c r="T356" i="18"/>
  <c r="H359" i="18"/>
  <c r="B357" i="18"/>
  <c r="M357" i="18" s="1"/>
  <c r="R357" i="18"/>
  <c r="E357" i="18"/>
  <c r="F357" i="18"/>
  <c r="C358" i="18"/>
  <c r="D359" i="18"/>
  <c r="A358" i="18"/>
  <c r="Y356" i="18"/>
  <c r="X356" i="18"/>
  <c r="W356" i="18"/>
  <c r="I356" i="18"/>
  <c r="J356" i="18"/>
  <c r="E358" i="18" l="1"/>
  <c r="B358" i="18"/>
  <c r="M358" i="18" s="1"/>
  <c r="R358" i="18"/>
  <c r="A359" i="18"/>
  <c r="C359" i="18"/>
  <c r="D360" i="18"/>
  <c r="F358" i="18"/>
  <c r="V357" i="18"/>
  <c r="S357" i="18"/>
  <c r="U357" i="18"/>
  <c r="T357" i="18"/>
  <c r="I357" i="18"/>
  <c r="X357" i="18"/>
  <c r="W357" i="18"/>
  <c r="Y357" i="18"/>
  <c r="J357" i="18"/>
  <c r="H360" i="18"/>
  <c r="L357" i="18"/>
  <c r="Y358" i="18" l="1"/>
  <c r="X358" i="18"/>
  <c r="W358" i="18"/>
  <c r="I358" i="18"/>
  <c r="J358" i="18"/>
  <c r="L358" i="18"/>
  <c r="C360" i="18"/>
  <c r="A360" i="18"/>
  <c r="D361" i="18"/>
  <c r="H361" i="18"/>
  <c r="T358" i="18"/>
  <c r="S358" i="18"/>
  <c r="V358" i="18"/>
  <c r="U358" i="18"/>
  <c r="B359" i="18"/>
  <c r="E359" i="18"/>
  <c r="R359" i="18"/>
  <c r="M359" i="18"/>
  <c r="F359" i="18"/>
  <c r="L359" i="18" s="1"/>
  <c r="F360" i="18" l="1"/>
  <c r="H362" i="18"/>
  <c r="R360" i="18"/>
  <c r="E360" i="18"/>
  <c r="B360" i="18"/>
  <c r="L360" i="18" s="1"/>
  <c r="M360" i="18"/>
  <c r="D362" i="18"/>
  <c r="C361" i="18"/>
  <c r="A361" i="18"/>
  <c r="W359" i="18"/>
  <c r="Y359" i="18"/>
  <c r="X359" i="18"/>
  <c r="I359" i="18"/>
  <c r="J359" i="18"/>
  <c r="V359" i="18"/>
  <c r="U359" i="18"/>
  <c r="T359" i="18"/>
  <c r="S359" i="18"/>
  <c r="B361" i="18" l="1"/>
  <c r="M361" i="18" s="1"/>
  <c r="R361" i="18"/>
  <c r="E361" i="18"/>
  <c r="C362" i="18"/>
  <c r="A362" i="18"/>
  <c r="D363" i="18"/>
  <c r="L361" i="18"/>
  <c r="S360" i="18"/>
  <c r="V360" i="18"/>
  <c r="U360" i="18"/>
  <c r="T360" i="18"/>
  <c r="H363" i="18"/>
  <c r="I360" i="18"/>
  <c r="Y360" i="18"/>
  <c r="X360" i="18"/>
  <c r="W360" i="18"/>
  <c r="J360" i="18"/>
  <c r="F361" i="18"/>
  <c r="I361" i="18" l="1"/>
  <c r="X361" i="18"/>
  <c r="W361" i="18"/>
  <c r="Y361" i="18"/>
  <c r="J361" i="18"/>
  <c r="H364" i="18"/>
  <c r="E362" i="18"/>
  <c r="B362" i="18"/>
  <c r="M362" i="18" s="1"/>
  <c r="R362" i="18"/>
  <c r="V361" i="18"/>
  <c r="U361" i="18"/>
  <c r="T361" i="18"/>
  <c r="S361" i="18"/>
  <c r="A363" i="18"/>
  <c r="C363" i="18"/>
  <c r="D364" i="18"/>
  <c r="F362" i="18"/>
  <c r="B363" i="18" l="1"/>
  <c r="M363" i="18" s="1"/>
  <c r="R363" i="18"/>
  <c r="E363" i="18"/>
  <c r="T362" i="18"/>
  <c r="S362" i="18"/>
  <c r="V362" i="18"/>
  <c r="U362" i="18"/>
  <c r="Y362" i="18"/>
  <c r="X362" i="18"/>
  <c r="W362" i="18"/>
  <c r="I362" i="18"/>
  <c r="L362" i="18"/>
  <c r="J362" i="18"/>
  <c r="D365" i="18"/>
  <c r="A364" i="18"/>
  <c r="C364" i="18"/>
  <c r="F363" i="18"/>
  <c r="H365" i="18"/>
  <c r="L363" i="18"/>
  <c r="D366" i="18" l="1"/>
  <c r="C365" i="18"/>
  <c r="A365" i="18"/>
  <c r="H366" i="18"/>
  <c r="W363" i="18"/>
  <c r="Y363" i="18"/>
  <c r="X363" i="18"/>
  <c r="I363" i="18"/>
  <c r="J363" i="18"/>
  <c r="R364" i="18"/>
  <c r="E364" i="18"/>
  <c r="B364" i="18"/>
  <c r="M364" i="18" s="1"/>
  <c r="V363" i="18"/>
  <c r="U363" i="18"/>
  <c r="T363" i="18"/>
  <c r="S363" i="18"/>
  <c r="F364" i="18"/>
  <c r="B365" i="18" l="1"/>
  <c r="R365" i="18"/>
  <c r="E365" i="18"/>
  <c r="S364" i="18"/>
  <c r="V364" i="18"/>
  <c r="U364" i="18"/>
  <c r="T364" i="18"/>
  <c r="M365" i="18"/>
  <c r="F365" i="18"/>
  <c r="H367" i="18"/>
  <c r="I364" i="18"/>
  <c r="Y364" i="18"/>
  <c r="X364" i="18"/>
  <c r="W364" i="18"/>
  <c r="J364" i="18"/>
  <c r="L364" i="18"/>
  <c r="C366" i="18"/>
  <c r="D367" i="18"/>
  <c r="A366" i="18"/>
  <c r="I365" i="18" l="1"/>
  <c r="Y365" i="18"/>
  <c r="X365" i="18"/>
  <c r="W365" i="18"/>
  <c r="J365" i="18"/>
  <c r="L365" i="18"/>
  <c r="A367" i="18"/>
  <c r="C367" i="18"/>
  <c r="D368" i="18"/>
  <c r="H368" i="18"/>
  <c r="V365" i="18"/>
  <c r="S365" i="18"/>
  <c r="U365" i="18"/>
  <c r="T365" i="18"/>
  <c r="E366" i="18"/>
  <c r="B366" i="18"/>
  <c r="M366" i="18" s="1"/>
  <c r="R366" i="18"/>
  <c r="F366" i="18"/>
  <c r="B367" i="18" l="1"/>
  <c r="E367" i="18"/>
  <c r="R367" i="18"/>
  <c r="D369" i="18"/>
  <c r="C368" i="18"/>
  <c r="A368" i="18"/>
  <c r="F367" i="18"/>
  <c r="Y366" i="18"/>
  <c r="X366" i="18"/>
  <c r="W366" i="18"/>
  <c r="I366" i="18"/>
  <c r="L366" i="18"/>
  <c r="J366" i="18"/>
  <c r="M367" i="18"/>
  <c r="U366" i="18"/>
  <c r="T366" i="18"/>
  <c r="S366" i="18"/>
  <c r="V366" i="18"/>
  <c r="H369" i="18"/>
  <c r="W367" i="18" l="1"/>
  <c r="I367" i="18"/>
  <c r="Y367" i="18"/>
  <c r="X367" i="18"/>
  <c r="J367" i="18"/>
  <c r="L367" i="18"/>
  <c r="H370" i="18"/>
  <c r="R368" i="18"/>
  <c r="E368" i="18"/>
  <c r="B368" i="18"/>
  <c r="M368" i="18" s="1"/>
  <c r="D370" i="18"/>
  <c r="C369" i="18"/>
  <c r="A369" i="18"/>
  <c r="V367" i="18"/>
  <c r="U367" i="18"/>
  <c r="T367" i="18"/>
  <c r="S367" i="18"/>
  <c r="F368" i="18"/>
  <c r="C370" i="18" l="1"/>
  <c r="A370" i="18"/>
  <c r="D371" i="18"/>
  <c r="B369" i="18"/>
  <c r="R369" i="18"/>
  <c r="E369" i="18"/>
  <c r="L369" i="18"/>
  <c r="H371" i="18"/>
  <c r="S368" i="18"/>
  <c r="V368" i="18"/>
  <c r="U368" i="18"/>
  <c r="T368" i="18"/>
  <c r="F369" i="18"/>
  <c r="I368" i="18"/>
  <c r="Y368" i="18"/>
  <c r="X368" i="18"/>
  <c r="W368" i="18"/>
  <c r="J368" i="18"/>
  <c r="L368" i="18"/>
  <c r="M369" i="18"/>
  <c r="V369" i="18" l="1"/>
  <c r="U369" i="18"/>
  <c r="T369" i="18"/>
  <c r="S369" i="18"/>
  <c r="H372" i="18"/>
  <c r="A371" i="18"/>
  <c r="C371" i="18"/>
  <c r="D372" i="18"/>
  <c r="E370" i="18"/>
  <c r="F371" i="18" s="1"/>
  <c r="B370" i="18"/>
  <c r="M370" i="18" s="1"/>
  <c r="R370" i="18"/>
  <c r="I369" i="18"/>
  <c r="Y369" i="18"/>
  <c r="X369" i="18"/>
  <c r="W369" i="18"/>
  <c r="J369" i="18"/>
  <c r="F370" i="18"/>
  <c r="W371" i="18" l="1"/>
  <c r="Y371" i="18"/>
  <c r="X371" i="18"/>
  <c r="J371" i="18"/>
  <c r="D373" i="18"/>
  <c r="C372" i="18"/>
  <c r="A372" i="18"/>
  <c r="B371" i="18"/>
  <c r="L371" i="18" s="1"/>
  <c r="R371" i="18"/>
  <c r="E371" i="18"/>
  <c r="M371" i="18"/>
  <c r="Y370" i="18"/>
  <c r="X370" i="18"/>
  <c r="W370" i="18"/>
  <c r="I370" i="18"/>
  <c r="I371" i="18" s="1"/>
  <c r="J370" i="18"/>
  <c r="L370" i="18"/>
  <c r="H373" i="18"/>
  <c r="U370" i="18"/>
  <c r="T370" i="18"/>
  <c r="S370" i="18"/>
  <c r="V370" i="18"/>
  <c r="V371" i="18" l="1"/>
  <c r="U371" i="18"/>
  <c r="T371" i="18"/>
  <c r="S371" i="18"/>
  <c r="C373" i="18"/>
  <c r="A373" i="18"/>
  <c r="R372" i="18"/>
  <c r="E372" i="18"/>
  <c r="B372" i="18"/>
  <c r="F372" i="18"/>
  <c r="L372" i="18"/>
  <c r="M372" i="18"/>
  <c r="S372" i="18" l="1"/>
  <c r="T372" i="18"/>
  <c r="V372" i="18"/>
  <c r="U372" i="18"/>
  <c r="B373" i="18"/>
  <c r="M373" i="18" s="1"/>
  <c r="R373" i="18"/>
  <c r="E373" i="18"/>
  <c r="I372" i="18"/>
  <c r="Y372" i="18"/>
  <c r="X372" i="18"/>
  <c r="W372" i="18"/>
  <c r="J372" i="18"/>
  <c r="F373" i="18"/>
  <c r="I373" i="18" l="1"/>
  <c r="Y373" i="18"/>
  <c r="X373" i="18"/>
  <c r="W373" i="18"/>
  <c r="J373" i="18"/>
  <c r="I5" i="18" s="1"/>
  <c r="V373" i="18"/>
  <c r="K5" i="18" s="1"/>
  <c r="U373" i="18"/>
  <c r="T373" i="18"/>
  <c r="S373" i="18"/>
  <c r="L373" i="18"/>
  <c r="E5" i="18" l="1"/>
  <c r="L5" i="18"/>
  <c r="B5" i="18"/>
  <c r="C5" i="18" s="1"/>
  <c r="M5" i="18"/>
  <c r="N5" i="18" s="1"/>
  <c r="AB16" i="13" l="1"/>
  <c r="R7" i="13"/>
  <c r="AM7" i="13" s="1"/>
  <c r="C16" i="13"/>
  <c r="B22" i="3"/>
  <c r="D4" i="3"/>
  <c r="C8" i="13"/>
  <c r="AB7" i="13" s="1"/>
  <c r="E25" i="13" l="1"/>
  <c r="AB8" i="13"/>
  <c r="AB9" i="13" s="1"/>
  <c r="AK7" i="13"/>
  <c r="AL7" i="13"/>
  <c r="W60" i="13"/>
  <c r="W61" i="13"/>
  <c r="W62" i="13"/>
  <c r="W63" i="13"/>
  <c r="W64" i="13"/>
  <c r="W65" i="13"/>
  <c r="W66" i="13"/>
  <c r="X44" i="13"/>
  <c r="X45" i="13"/>
  <c r="X46" i="13"/>
  <c r="X47" i="13"/>
  <c r="X48" i="13"/>
  <c r="X49" i="13"/>
  <c r="X50" i="13"/>
  <c r="X51" i="13"/>
  <c r="X52" i="13"/>
  <c r="X53" i="13"/>
  <c r="X54" i="13"/>
  <c r="X43" i="13"/>
  <c r="W45" i="13"/>
  <c r="W46" i="13"/>
  <c r="W47" i="13"/>
  <c r="W48" i="13"/>
  <c r="W49" i="13"/>
  <c r="W50" i="13"/>
  <c r="W51" i="13"/>
  <c r="W52" i="13"/>
  <c r="W53" i="13"/>
  <c r="W54" i="13"/>
  <c r="W44" i="13"/>
  <c r="W43" i="13"/>
  <c r="B97" i="17"/>
  <c r="B98" i="17"/>
  <c r="B99" i="17"/>
  <c r="B100" i="17"/>
  <c r="B101" i="17"/>
  <c r="B102" i="17"/>
  <c r="B103" i="17"/>
  <c r="B104" i="17"/>
  <c r="B105" i="17"/>
  <c r="B106" i="17"/>
  <c r="B107" i="17"/>
  <c r="B108" i="17"/>
  <c r="B94" i="17"/>
  <c r="B95" i="17"/>
  <c r="C95" i="17"/>
  <c r="F95" i="17"/>
  <c r="B96" i="17"/>
  <c r="B52" i="17"/>
  <c r="B66" i="17"/>
  <c r="B87" i="17" s="1"/>
  <c r="E87" i="17" s="1"/>
  <c r="B67" i="17"/>
  <c r="B88" i="17" s="1"/>
  <c r="E88" i="17" s="1"/>
  <c r="B68" i="17"/>
  <c r="B89" i="17" s="1"/>
  <c r="E89" i="17" s="1"/>
  <c r="B77" i="17"/>
  <c r="F12" i="17"/>
  <c r="F13" i="17"/>
  <c r="F14" i="17"/>
  <c r="F15" i="17"/>
  <c r="F16" i="17"/>
  <c r="F17" i="17"/>
  <c r="F18" i="17"/>
  <c r="F19" i="17"/>
  <c r="F20" i="17"/>
  <c r="F21" i="17"/>
  <c r="H21" i="17"/>
  <c r="F22" i="17"/>
  <c r="H22" i="17"/>
  <c r="F23" i="17"/>
  <c r="H23" i="17"/>
  <c r="F11" i="17"/>
  <c r="D12" i="17"/>
  <c r="I37" i="17" s="1"/>
  <c r="D13" i="17"/>
  <c r="I38" i="17" s="1"/>
  <c r="D14" i="17"/>
  <c r="H39" i="17" s="1"/>
  <c r="D15" i="17"/>
  <c r="I40" i="17" s="1"/>
  <c r="D16" i="17"/>
  <c r="E41" i="17" s="1"/>
  <c r="D17" i="17"/>
  <c r="E42" i="17" s="1"/>
  <c r="D18" i="17"/>
  <c r="E43" i="17" s="1"/>
  <c r="D19" i="17"/>
  <c r="E44" i="17" s="1"/>
  <c r="D20" i="17"/>
  <c r="E45" i="17" s="1"/>
  <c r="D21" i="17"/>
  <c r="E46" i="17" s="1"/>
  <c r="D22" i="17"/>
  <c r="F47" i="17" s="1"/>
  <c r="D23" i="17"/>
  <c r="F48" i="17" s="1"/>
  <c r="D11" i="17"/>
  <c r="E36" i="17" s="1"/>
  <c r="B12" i="17"/>
  <c r="B37" i="17" s="1"/>
  <c r="B13" i="17"/>
  <c r="B38" i="17" s="1"/>
  <c r="B14" i="17"/>
  <c r="B39" i="17" s="1"/>
  <c r="B15" i="17"/>
  <c r="B40" i="17" s="1"/>
  <c r="B16" i="17"/>
  <c r="B41" i="17" s="1"/>
  <c r="B17" i="17"/>
  <c r="B42" i="17" s="1"/>
  <c r="B18" i="17"/>
  <c r="B43" i="17" s="1"/>
  <c r="B19" i="17"/>
  <c r="B44" i="17" s="1"/>
  <c r="B20" i="17"/>
  <c r="B45" i="17" s="1"/>
  <c r="B21" i="17"/>
  <c r="B46" i="17" s="1"/>
  <c r="B22" i="17"/>
  <c r="B47" i="17" s="1"/>
  <c r="B23" i="17"/>
  <c r="B48" i="17" s="1"/>
  <c r="B11" i="17"/>
  <c r="B36" i="17" s="1"/>
  <c r="E47" i="17"/>
  <c r="H25" i="17"/>
  <c r="F26" i="17"/>
  <c r="F25" i="17"/>
  <c r="B24" i="17"/>
  <c r="B49" i="17" s="1"/>
  <c r="B10" i="17"/>
  <c r="B35" i="17" s="1"/>
  <c r="D10" i="17"/>
  <c r="F10" i="17"/>
  <c r="H10" i="17"/>
  <c r="B76" i="17"/>
  <c r="B90" i="17"/>
  <c r="H36" i="17" l="1"/>
  <c r="I36" i="17"/>
  <c r="F36" i="17"/>
  <c r="G36" i="17"/>
  <c r="I44" i="17"/>
  <c r="I43" i="17"/>
  <c r="G43" i="17"/>
  <c r="H43" i="17"/>
  <c r="H38" i="17"/>
  <c r="G38" i="17"/>
  <c r="F38" i="17"/>
  <c r="E38" i="17"/>
  <c r="H46" i="17"/>
  <c r="F43" i="17"/>
  <c r="H37" i="17"/>
  <c r="F37" i="17"/>
  <c r="G46" i="17"/>
  <c r="F46" i="17"/>
  <c r="G41" i="17"/>
  <c r="G37" i="17"/>
  <c r="H41" i="17"/>
  <c r="G40" i="17"/>
  <c r="E37" i="17"/>
  <c r="I41" i="17"/>
  <c r="H40" i="17"/>
  <c r="I46" i="17"/>
  <c r="F40" i="17"/>
  <c r="E40" i="17"/>
  <c r="G39" i="17"/>
  <c r="F39" i="17"/>
  <c r="I39" i="17"/>
  <c r="E39" i="17"/>
  <c r="I42" i="17"/>
  <c r="I48" i="17"/>
  <c r="I45" i="17"/>
  <c r="H42" i="17"/>
  <c r="H45" i="17"/>
  <c r="G42" i="17"/>
  <c r="H48" i="17"/>
  <c r="G45" i="17"/>
  <c r="F42" i="17"/>
  <c r="G48" i="17"/>
  <c r="F45" i="17"/>
  <c r="E48" i="17"/>
  <c r="I47" i="17"/>
  <c r="H44" i="17"/>
  <c r="H47" i="17"/>
  <c r="G44" i="17"/>
  <c r="F41" i="17"/>
  <c r="G47" i="17"/>
  <c r="F44" i="17"/>
  <c r="R19" i="13" l="1"/>
  <c r="S19" i="13" s="1"/>
  <c r="E68" i="17" s="1"/>
  <c r="G68" i="17" s="1"/>
  <c r="R20" i="13"/>
  <c r="S20" i="13" s="1"/>
  <c r="R12" i="13"/>
  <c r="R11" i="13"/>
  <c r="B60" i="17" s="1"/>
  <c r="B81" i="17" s="1"/>
  <c r="R10" i="13"/>
  <c r="B59" i="17" s="1"/>
  <c r="B80" i="17" s="1"/>
  <c r="R9" i="13"/>
  <c r="H12" i="13"/>
  <c r="H16" i="17" s="1"/>
  <c r="R13" i="13"/>
  <c r="R14" i="13"/>
  <c r="B63" i="17" s="1"/>
  <c r="B84" i="17" s="1"/>
  <c r="R15" i="13"/>
  <c r="R16" i="13"/>
  <c r="R17" i="13"/>
  <c r="S17" i="13" s="1"/>
  <c r="E66" i="17" s="1"/>
  <c r="G66" i="17" s="1"/>
  <c r="R18" i="13"/>
  <c r="R8" i="13"/>
  <c r="E76" i="17"/>
  <c r="AB17" i="13"/>
  <c r="F105" i="17"/>
  <c r="F106" i="17" l="1"/>
  <c r="S16" i="13"/>
  <c r="E65" i="17" s="1"/>
  <c r="G65" i="17" s="1"/>
  <c r="B65" i="17"/>
  <c r="B86" i="17" s="1"/>
  <c r="E86" i="17" s="1"/>
  <c r="S13" i="13"/>
  <c r="E62" i="17" s="1"/>
  <c r="G62" i="17" s="1"/>
  <c r="B62" i="17"/>
  <c r="B83" i="17" s="1"/>
  <c r="E83" i="17" s="1"/>
  <c r="B64" i="17"/>
  <c r="B85" i="17" s="1"/>
  <c r="B61" i="17"/>
  <c r="B82" i="17" s="1"/>
  <c r="B57" i="17"/>
  <c r="B78" i="17" s="1"/>
  <c r="B58" i="17"/>
  <c r="B79" i="17" s="1"/>
  <c r="K8" i="13"/>
  <c r="B4" i="17"/>
  <c r="B73" i="17"/>
  <c r="K7" i="13"/>
  <c r="K9" i="13" s="1"/>
  <c r="L9" i="13"/>
  <c r="S9" i="13"/>
  <c r="T20" i="13"/>
  <c r="AF20" i="13" s="1"/>
  <c r="X20" i="13"/>
  <c r="W20" i="13" s="1"/>
  <c r="X19" i="13"/>
  <c r="W19" i="13" s="1"/>
  <c r="T19" i="13"/>
  <c r="X17" i="13"/>
  <c r="W17" i="13" s="1"/>
  <c r="X16" i="13"/>
  <c r="W16" i="13" s="1"/>
  <c r="S18" i="13"/>
  <c r="K23" i="13"/>
  <c r="P23" i="13"/>
  <c r="P8" i="13"/>
  <c r="X13" i="13" l="1"/>
  <c r="W13" i="13" s="1"/>
  <c r="S15" i="13"/>
  <c r="S12" i="13"/>
  <c r="E58" i="17"/>
  <c r="G58" i="17" s="1"/>
  <c r="E79" i="17" s="1"/>
  <c r="X9" i="13"/>
  <c r="W9" i="13" s="1"/>
  <c r="B28" i="17"/>
  <c r="F96" i="17"/>
  <c r="X18" i="13"/>
  <c r="W18" i="13" s="1"/>
  <c r="E67" i="17"/>
  <c r="G67" i="17" s="1"/>
  <c r="S11" i="13"/>
  <c r="L7" i="13"/>
  <c r="L8" i="13" s="1"/>
  <c r="S14" i="13"/>
  <c r="S8" i="13"/>
  <c r="S10" i="13"/>
  <c r="U19" i="13"/>
  <c r="U20" i="13"/>
  <c r="GE8" i="13"/>
  <c r="FV8" i="13"/>
  <c r="FL8" i="13"/>
  <c r="GC24" i="13"/>
  <c r="GC23" i="13"/>
  <c r="GC22" i="13"/>
  <c r="GC21" i="13"/>
  <c r="GC20" i="13"/>
  <c r="GC19" i="13"/>
  <c r="GC18" i="13"/>
  <c r="GC17" i="13"/>
  <c r="GC16" i="13"/>
  <c r="GC15" i="13"/>
  <c r="GC14" i="13"/>
  <c r="GC13" i="13"/>
  <c r="GC12" i="13"/>
  <c r="GC11" i="13"/>
  <c r="GD10" i="13"/>
  <c r="GC10" i="13"/>
  <c r="GD9" i="13"/>
  <c r="GC9" i="13"/>
  <c r="GD8" i="13"/>
  <c r="GC8" i="13"/>
  <c r="GD7" i="13"/>
  <c r="GC7" i="13"/>
  <c r="GD6" i="13"/>
  <c r="GC6" i="13"/>
  <c r="GC5" i="13"/>
  <c r="FU7" i="13"/>
  <c r="FU8" i="13"/>
  <c r="FU9" i="13"/>
  <c r="FU10" i="13"/>
  <c r="FU6" i="13"/>
  <c r="FT7" i="13"/>
  <c r="FT8" i="13"/>
  <c r="FT9" i="13"/>
  <c r="FT10" i="13"/>
  <c r="FT6" i="13"/>
  <c r="FT24" i="13"/>
  <c r="FT23" i="13"/>
  <c r="FT22" i="13"/>
  <c r="FT21" i="13"/>
  <c r="FT20" i="13"/>
  <c r="FT19" i="13"/>
  <c r="FT18" i="13"/>
  <c r="FT17" i="13"/>
  <c r="FT16" i="13"/>
  <c r="FT15" i="13"/>
  <c r="FT14" i="13"/>
  <c r="FT13" i="13"/>
  <c r="FT12" i="13"/>
  <c r="FT11" i="13"/>
  <c r="FT5" i="13"/>
  <c r="FK7" i="13"/>
  <c r="FK8" i="13"/>
  <c r="FK9" i="13"/>
  <c r="FK10" i="13"/>
  <c r="FK6" i="13"/>
  <c r="FJ7" i="13"/>
  <c r="FJ8" i="13"/>
  <c r="FJ9" i="13"/>
  <c r="FJ10" i="13"/>
  <c r="FJ6" i="13"/>
  <c r="FJ11" i="13"/>
  <c r="FJ12" i="13"/>
  <c r="FJ13" i="13"/>
  <c r="FJ14" i="13"/>
  <c r="FJ15" i="13"/>
  <c r="FJ16" i="13"/>
  <c r="FJ17" i="13"/>
  <c r="FJ18" i="13"/>
  <c r="FJ19" i="13"/>
  <c r="FJ20" i="13"/>
  <c r="FJ21" i="13"/>
  <c r="FJ22" i="13"/>
  <c r="FJ23" i="13"/>
  <c r="FJ24" i="13"/>
  <c r="FJ5" i="13"/>
  <c r="BJ300" i="13"/>
  <c r="BJ299" i="13"/>
  <c r="BJ203" i="13"/>
  <c r="BJ202" i="13"/>
  <c r="BJ196" i="13"/>
  <c r="BJ190" i="13"/>
  <c r="BJ184" i="13"/>
  <c r="BJ178" i="13"/>
  <c r="BJ172" i="13"/>
  <c r="BJ166" i="13"/>
  <c r="BJ160" i="13"/>
  <c r="BJ154" i="13"/>
  <c r="BJ148" i="13"/>
  <c r="BJ141" i="13"/>
  <c r="BJ134" i="13"/>
  <c r="BJ127" i="13"/>
  <c r="BJ118" i="13"/>
  <c r="BJ111" i="13"/>
  <c r="BJ71" i="13"/>
  <c r="BJ69" i="13"/>
  <c r="BJ70" i="13" s="1"/>
  <c r="D23" i="3"/>
  <c r="D24" i="3"/>
  <c r="D25" i="3"/>
  <c r="D26" i="3"/>
  <c r="D27" i="3"/>
  <c r="E27" i="3" s="1"/>
  <c r="D28" i="3"/>
  <c r="D29" i="3"/>
  <c r="D30" i="3"/>
  <c r="E30" i="3" s="1"/>
  <c r="D31" i="3"/>
  <c r="E31" i="3" s="1"/>
  <c r="D32" i="3"/>
  <c r="E32" i="3" s="1"/>
  <c r="D33" i="3"/>
  <c r="E33" i="3" s="1"/>
  <c r="D34" i="3"/>
  <c r="E34" i="3" s="1"/>
  <c r="D22" i="3"/>
  <c r="B34" i="3" a="1"/>
  <c r="B34" i="3" s="1"/>
  <c r="B29" i="3" a="1"/>
  <c r="B29" i="3" s="1"/>
  <c r="B30" i="3" a="1"/>
  <c r="B30" i="3" s="1"/>
  <c r="B31" i="3" a="1"/>
  <c r="B31" i="3" s="1"/>
  <c r="B32" i="3" a="1"/>
  <c r="B32" i="3" s="1"/>
  <c r="B33" i="3" a="1"/>
  <c r="B33" i="3" s="1"/>
  <c r="B23" i="3" a="1"/>
  <c r="B23" i="3" s="1"/>
  <c r="B24" i="3" a="1"/>
  <c r="B24" i="3" s="1"/>
  <c r="B25" i="3" a="1"/>
  <c r="B25" i="3" s="1"/>
  <c r="B26" i="3" a="1"/>
  <c r="B26" i="3" s="1"/>
  <c r="B27" i="3" a="1"/>
  <c r="B27" i="3" s="1"/>
  <c r="B28" i="3" a="1"/>
  <c r="B28" i="3" s="1"/>
  <c r="E64" i="17" l="1"/>
  <c r="G64" i="17" s="1"/>
  <c r="E85" i="17" s="1"/>
  <c r="X15" i="13"/>
  <c r="W15" i="13" s="1"/>
  <c r="E61" i="17"/>
  <c r="G61" i="17" s="1"/>
  <c r="E82" i="17" s="1"/>
  <c r="X12" i="13"/>
  <c r="W12" i="13" s="1"/>
  <c r="X8" i="13"/>
  <c r="W8" i="13" s="1"/>
  <c r="E57" i="17"/>
  <c r="G57" i="17" s="1"/>
  <c r="E78" i="17" s="1"/>
  <c r="X14" i="13"/>
  <c r="W14" i="13" s="1"/>
  <c r="E63" i="17"/>
  <c r="G63" i="17" s="1"/>
  <c r="E84" i="17" s="1"/>
  <c r="X11" i="13"/>
  <c r="W11" i="13" s="1"/>
  <c r="E60" i="17"/>
  <c r="G60" i="17" s="1"/>
  <c r="E81" i="17" s="1"/>
  <c r="X10" i="13"/>
  <c r="W10" i="13" s="1"/>
  <c r="E59" i="17"/>
  <c r="G59" i="17" s="1"/>
  <c r="E80" i="17" s="1"/>
  <c r="F98" i="17"/>
  <c r="F97" i="17"/>
  <c r="BJ108" i="13"/>
  <c r="BJ273" i="13"/>
  <c r="BJ274" i="13" s="1"/>
  <c r="BJ276" i="13" s="1"/>
  <c r="CH65" i="13" s="1"/>
  <c r="BN33" i="13"/>
  <c r="BJ218" i="13"/>
  <c r="BJ219" i="13" s="1"/>
  <c r="BJ221" i="13" s="1"/>
  <c r="CH42" i="13" s="1"/>
  <c r="BJ112" i="13"/>
  <c r="BJ72" i="13"/>
  <c r="BJ73" i="13"/>
  <c r="BJ243" i="13"/>
  <c r="BJ244" i="13" s="1"/>
  <c r="BJ246" i="13" s="1"/>
  <c r="CH52" i="13" s="1"/>
  <c r="BJ268" i="13"/>
  <c r="BJ269" i="13" s="1"/>
  <c r="BJ271" i="13" s="1"/>
  <c r="BJ223" i="13"/>
  <c r="BJ224" i="13" s="1"/>
  <c r="BJ226" i="13" s="1"/>
  <c r="CH44" i="13" s="1"/>
  <c r="BJ293" i="13"/>
  <c r="BJ294" i="13" s="1"/>
  <c r="BJ296" i="13" s="1"/>
  <c r="CH73" i="13" s="1"/>
  <c r="BJ213" i="13"/>
  <c r="BJ214" i="13" s="1"/>
  <c r="BJ216" i="13" s="1"/>
  <c r="CH40" i="13" s="1"/>
  <c r="BJ119" i="13"/>
  <c r="BJ121" i="13" s="1"/>
  <c r="BJ123" i="13" s="1"/>
  <c r="K13" i="13" s="1"/>
  <c r="BJ238" i="13"/>
  <c r="BJ239" i="13" s="1"/>
  <c r="BJ241" i="13" s="1"/>
  <c r="CH50" i="13" s="1"/>
  <c r="BJ263" i="13"/>
  <c r="BJ264" i="13" s="1"/>
  <c r="BJ266" i="13" s="1"/>
  <c r="CH61" i="13" s="1"/>
  <c r="BJ288" i="13"/>
  <c r="BJ289" i="13" s="1"/>
  <c r="BJ291" i="13" s="1"/>
  <c r="CH71" i="13" s="1"/>
  <c r="BJ208" i="13"/>
  <c r="BJ209" i="13" s="1"/>
  <c r="BJ211" i="13" s="1"/>
  <c r="CH38" i="13" s="1"/>
  <c r="BJ233" i="13"/>
  <c r="BJ234" i="13" s="1"/>
  <c r="BJ236" i="13" s="1"/>
  <c r="CH48" i="13" s="1"/>
  <c r="BJ206" i="13"/>
  <c r="BJ74" i="13"/>
  <c r="BJ258" i="13"/>
  <c r="BJ259" i="13" s="1"/>
  <c r="BJ261" i="13" s="1"/>
  <c r="CH59" i="13" s="1"/>
  <c r="BJ248" i="13"/>
  <c r="BJ249" i="13" s="1"/>
  <c r="BJ251" i="13" s="1"/>
  <c r="CH54" i="13" s="1"/>
  <c r="BJ283" i="13"/>
  <c r="BJ284" i="13" s="1"/>
  <c r="BJ286" i="13" s="1"/>
  <c r="CH69" i="13" s="1"/>
  <c r="BJ113" i="13"/>
  <c r="BJ228" i="13"/>
  <c r="BJ229" i="13" s="1"/>
  <c r="BJ231" i="13" s="1"/>
  <c r="CH46" i="13" s="1"/>
  <c r="BJ120" i="13"/>
  <c r="BJ253" i="13"/>
  <c r="BJ254" i="13" s="1"/>
  <c r="BJ256" i="13" s="1"/>
  <c r="CH56" i="13" s="1"/>
  <c r="BJ278" i="13"/>
  <c r="BJ279" i="13" s="1"/>
  <c r="BJ281" i="13" s="1"/>
  <c r="BJ191" i="13"/>
  <c r="BJ192" i="13" s="1"/>
  <c r="BJ194" i="13" s="1"/>
  <c r="K21" i="13" s="1"/>
  <c r="BJ149" i="13"/>
  <c r="BJ150" i="13" s="1"/>
  <c r="BJ152" i="13" s="1"/>
  <c r="K17" i="13" s="1"/>
  <c r="BJ173" i="13"/>
  <c r="BJ174" i="13" s="1"/>
  <c r="BJ176" i="13" s="1"/>
  <c r="BJ197" i="13"/>
  <c r="BJ198" i="13" s="1"/>
  <c r="BJ200" i="13" s="1"/>
  <c r="K22" i="13" s="1"/>
  <c r="BN55" i="13"/>
  <c r="BJ155" i="13"/>
  <c r="BJ156" i="13" s="1"/>
  <c r="BJ158" i="13" s="1"/>
  <c r="K19" i="13" s="1"/>
  <c r="BJ179" i="13"/>
  <c r="BJ180" i="13" s="1"/>
  <c r="BJ182" i="13" s="1"/>
  <c r="K20" i="13" s="1"/>
  <c r="BJ135" i="13"/>
  <c r="BJ128" i="13"/>
  <c r="BJ136" i="13"/>
  <c r="BJ161" i="13"/>
  <c r="BJ162" i="13" s="1"/>
  <c r="BJ164" i="13" s="1"/>
  <c r="K18" i="13" s="1"/>
  <c r="BJ185" i="13"/>
  <c r="BJ186" i="13" s="1"/>
  <c r="BJ188" i="13" s="1"/>
  <c r="BJ129" i="13"/>
  <c r="BJ142" i="13"/>
  <c r="BJ143" i="13"/>
  <c r="BJ167" i="13"/>
  <c r="BJ168" i="13" s="1"/>
  <c r="BJ170" i="13" s="1"/>
  <c r="C48" i="16"/>
  <c r="C39" i="16"/>
  <c r="C40" i="16" s="1"/>
  <c r="C30" i="16"/>
  <c r="C32" i="16" s="1"/>
  <c r="C26" i="16"/>
  <c r="C22" i="16"/>
  <c r="C27" i="16" s="1"/>
  <c r="C21" i="16"/>
  <c r="C13" i="16"/>
  <c r="C14" i="16" s="1"/>
  <c r="C9" i="16"/>
  <c r="C11" i="16" s="1"/>
  <c r="D7" i="16"/>
  <c r="E5" i="16"/>
  <c r="CH67" i="13" l="1"/>
  <c r="CH63" i="13"/>
  <c r="L21" i="13"/>
  <c r="L13" i="13"/>
  <c r="L17" i="13"/>
  <c r="L22" i="13"/>
  <c r="L20" i="13"/>
  <c r="L18" i="13"/>
  <c r="L19" i="13"/>
  <c r="BJ75" i="13"/>
  <c r="BN56" i="13" s="1"/>
  <c r="BN57" i="13" s="1"/>
  <c r="BN58" i="13" s="1"/>
  <c r="BJ144" i="13"/>
  <c r="BJ146" i="13" s="1"/>
  <c r="K15" i="13" s="1"/>
  <c r="BJ114" i="13"/>
  <c r="BJ116" i="13" s="1"/>
  <c r="K12" i="13" s="1"/>
  <c r="BJ137" i="13"/>
  <c r="BJ139" i="13" s="1"/>
  <c r="K16" i="13" s="1"/>
  <c r="BJ130" i="13"/>
  <c r="BJ132" i="13" s="1"/>
  <c r="K14" i="13" s="1"/>
  <c r="C41" i="16"/>
  <c r="C29" i="16"/>
  <c r="C49" i="16"/>
  <c r="C28" i="16"/>
  <c r="E14" i="16"/>
  <c r="C33" i="16"/>
  <c r="C31" i="16"/>
  <c r="C16" i="16"/>
  <c r="E16" i="16" s="1"/>
  <c r="C25" i="16"/>
  <c r="O9" i="15"/>
  <c r="O8" i="15" s="1"/>
  <c r="G6" i="15"/>
  <c r="G12" i="15" s="1"/>
  <c r="O6" i="15"/>
  <c r="N17" i="15" s="1"/>
  <c r="O17" i="15" s="1"/>
  <c r="G7" i="15"/>
  <c r="F18" i="15" s="1"/>
  <c r="G18" i="15" s="1"/>
  <c r="O7" i="15"/>
  <c r="N18" i="15" s="1"/>
  <c r="O18" i="15" s="1"/>
  <c r="G8" i="15"/>
  <c r="F20" i="15" s="1"/>
  <c r="G9" i="15"/>
  <c r="F21" i="15" s="1"/>
  <c r="G21" i="15" s="1"/>
  <c r="G10" i="15"/>
  <c r="F19" i="15" s="1"/>
  <c r="G19" i="15" s="1"/>
  <c r="G11" i="15"/>
  <c r="G13" i="15" s="1"/>
  <c r="F25" i="15" s="1"/>
  <c r="G25" i="15" s="1"/>
  <c r="W17" i="15"/>
  <c r="W18" i="15"/>
  <c r="W19" i="15"/>
  <c r="W20" i="15"/>
  <c r="N21" i="15"/>
  <c r="O21" i="15" s="1"/>
  <c r="W21" i="15"/>
  <c r="O22" i="15"/>
  <c r="W22" i="15"/>
  <c r="O23" i="15"/>
  <c r="W23" i="15"/>
  <c r="G24" i="15"/>
  <c r="O24" i="15"/>
  <c r="W24" i="15"/>
  <c r="O25" i="15"/>
  <c r="W25" i="15"/>
  <c r="O26" i="15"/>
  <c r="W26" i="15"/>
  <c r="F27" i="15"/>
  <c r="G27" i="15" s="1"/>
  <c r="O27" i="15"/>
  <c r="W27" i="15"/>
  <c r="G28" i="15"/>
  <c r="O28" i="15"/>
  <c r="W28" i="15"/>
  <c r="G29" i="15"/>
  <c r="O29" i="15"/>
  <c r="W29" i="15"/>
  <c r="BJ125" i="13" l="1"/>
  <c r="L15" i="13"/>
  <c r="L14" i="13"/>
  <c r="L16" i="13"/>
  <c r="L12" i="13"/>
  <c r="BJ79" i="13"/>
  <c r="BJ78" i="13"/>
  <c r="N19" i="15"/>
  <c r="O19" i="15" s="1"/>
  <c r="F22" i="15"/>
  <c r="G22" i="15" s="1"/>
  <c r="G20" i="15"/>
  <c r="F17" i="15"/>
  <c r="C36" i="16"/>
  <c r="C35" i="16"/>
  <c r="C52" i="16" s="1"/>
  <c r="C51" i="16"/>
  <c r="C34" i="16"/>
  <c r="C15" i="16"/>
  <c r="E15" i="16" s="1"/>
  <c r="W30" i="15"/>
  <c r="D24" i="15"/>
  <c r="N20" i="15"/>
  <c r="O20" i="15" s="1"/>
  <c r="O30" i="15" s="1"/>
  <c r="F26" i="15"/>
  <c r="G26" i="15" s="1"/>
  <c r="C21" i="5"/>
  <c r="C39" i="5"/>
  <c r="C41" i="5" s="1"/>
  <c r="C30" i="5"/>
  <c r="C26" i="5"/>
  <c r="C25" i="5"/>
  <c r="C9" i="5"/>
  <c r="C11" i="5" s="1"/>
  <c r="C13" i="5"/>
  <c r="C16" i="5" s="1"/>
  <c r="E16" i="5" s="1"/>
  <c r="H7" i="13"/>
  <c r="H11" i="17" s="1"/>
  <c r="AH7" i="13"/>
  <c r="H8" i="13"/>
  <c r="H12" i="17" s="1"/>
  <c r="AH8" i="13"/>
  <c r="H9" i="13"/>
  <c r="H13" i="17" s="1"/>
  <c r="AH9" i="13"/>
  <c r="H10" i="13"/>
  <c r="H14" i="17" s="1"/>
  <c r="AH10" i="13"/>
  <c r="H11" i="13"/>
  <c r="H15" i="17" s="1"/>
  <c r="AH11" i="13"/>
  <c r="H13" i="13"/>
  <c r="H17" i="17" s="1"/>
  <c r="AH12" i="13"/>
  <c r="H14" i="13"/>
  <c r="H18" i="17" s="1"/>
  <c r="AH13" i="13"/>
  <c r="H15" i="13"/>
  <c r="H19" i="17" s="1"/>
  <c r="AH14" i="13"/>
  <c r="H16" i="13"/>
  <c r="H20" i="17" s="1"/>
  <c r="AH15" i="13"/>
  <c r="H17" i="13"/>
  <c r="AH16" i="13"/>
  <c r="H18" i="13"/>
  <c r="AH17" i="13"/>
  <c r="H19" i="13"/>
  <c r="AH18" i="13"/>
  <c r="H20" i="13"/>
  <c r="AH19" i="13"/>
  <c r="F21" i="13"/>
  <c r="D24" i="17" s="1"/>
  <c r="AW7" i="13"/>
  <c r="AX7" i="13" s="1"/>
  <c r="AY7" i="13" s="1"/>
  <c r="AZ7" i="13" s="1"/>
  <c r="BA7" i="13" s="1"/>
  <c r="BB7" i="13" s="1"/>
  <c r="W57" i="13"/>
  <c r="W58" i="13"/>
  <c r="W59" i="13"/>
  <c r="W67" i="13"/>
  <c r="W68" i="13"/>
  <c r="T15" i="13" l="1"/>
  <c r="AF15" i="13" s="1"/>
  <c r="T18" i="13"/>
  <c r="BC22" i="13" s="1"/>
  <c r="AF19" i="13"/>
  <c r="T17" i="13"/>
  <c r="BL21" i="13" s="1"/>
  <c r="BC7" i="13"/>
  <c r="BD7" i="13" s="1"/>
  <c r="BE7" i="13" s="1"/>
  <c r="BF7" i="13" s="1"/>
  <c r="BG7" i="13" s="1"/>
  <c r="BH7" i="13" s="1"/>
  <c r="BI7" i="13" s="1"/>
  <c r="BJ7" i="13" s="1"/>
  <c r="BK7" i="13" s="1"/>
  <c r="BL7" i="13" s="1"/>
  <c r="BM7" i="13" s="1"/>
  <c r="BN34" i="13"/>
  <c r="BJ82" i="13" s="1"/>
  <c r="AH20" i="13"/>
  <c r="S7" i="13" s="1"/>
  <c r="T7" i="13" s="1"/>
  <c r="H21" i="13"/>
  <c r="F23" i="15"/>
  <c r="G23" i="15" s="1"/>
  <c r="G17" i="15"/>
  <c r="G30" i="15" s="1"/>
  <c r="C40" i="5"/>
  <c r="C31" i="5"/>
  <c r="C32" i="5"/>
  <c r="C14" i="5"/>
  <c r="T11" i="13"/>
  <c r="T10" i="13"/>
  <c r="T9" i="13"/>
  <c r="T14" i="13"/>
  <c r="T12" i="13"/>
  <c r="T8" i="13"/>
  <c r="AW19" i="13"/>
  <c r="BM19" i="13"/>
  <c r="BA19" i="13"/>
  <c r="BC23" i="13"/>
  <c r="BI23" i="13"/>
  <c r="T16" i="13"/>
  <c r="AF16" i="13" s="1"/>
  <c r="T13" i="13"/>
  <c r="BG22" i="13" l="1"/>
  <c r="BL19" i="13"/>
  <c r="AV19" i="13"/>
  <c r="BI19" i="13"/>
  <c r="BH19" i="13"/>
  <c r="BG19" i="13"/>
  <c r="BD19" i="13"/>
  <c r="H23" i="13"/>
  <c r="H24" i="17"/>
  <c r="X7" i="13"/>
  <c r="E56" i="17"/>
  <c r="BM22" i="13"/>
  <c r="AF8" i="13"/>
  <c r="AV11" i="13"/>
  <c r="BF19" i="13"/>
  <c r="AZ19" i="13"/>
  <c r="BE19" i="13"/>
  <c r="AY19" i="13"/>
  <c r="BJ19" i="13"/>
  <c r="BB19" i="13"/>
  <c r="BC19" i="13"/>
  <c r="AX19" i="13"/>
  <c r="BJ83" i="13"/>
  <c r="BN37" i="13" s="1"/>
  <c r="AF12" i="13"/>
  <c r="BE15" i="13"/>
  <c r="AV21" i="13"/>
  <c r="AF17" i="13"/>
  <c r="U14" i="13"/>
  <c r="AF14" i="13"/>
  <c r="M23" i="13" s="1"/>
  <c r="BE14" i="13"/>
  <c r="AF11" i="13"/>
  <c r="AF13" i="13"/>
  <c r="BE16" i="13"/>
  <c r="BE12" i="13"/>
  <c r="AF9" i="13"/>
  <c r="BD22" i="13"/>
  <c r="AF18" i="13"/>
  <c r="BE13" i="13"/>
  <c r="AF10" i="13"/>
  <c r="BL22" i="13"/>
  <c r="BB22" i="13"/>
  <c r="AY22" i="13"/>
  <c r="BA22" i="13"/>
  <c r="AZ22" i="13"/>
  <c r="BH22" i="13"/>
  <c r="AX22" i="13"/>
  <c r="BJ22" i="13"/>
  <c r="AW22" i="13"/>
  <c r="BE22" i="13"/>
  <c r="AV22" i="13"/>
  <c r="BF22" i="13"/>
  <c r="BI22" i="13"/>
  <c r="BK22" i="13"/>
  <c r="U12" i="13"/>
  <c r="U13" i="13"/>
  <c r="U11" i="13"/>
  <c r="U10" i="13"/>
  <c r="U17" i="13"/>
  <c r="U16" i="13"/>
  <c r="U15" i="13"/>
  <c r="U18" i="13"/>
  <c r="BK19" i="13"/>
  <c r="BF21" i="13"/>
  <c r="BK23" i="13"/>
  <c r="AY23" i="13"/>
  <c r="AZ23" i="13"/>
  <c r="BD23" i="13"/>
  <c r="BB23" i="13"/>
  <c r="BA23" i="13"/>
  <c r="AX23" i="13"/>
  <c r="BL23" i="13"/>
  <c r="BG21" i="13"/>
  <c r="AV23" i="13"/>
  <c r="BN35" i="13"/>
  <c r="AX21" i="13"/>
  <c r="BH21" i="13"/>
  <c r="BC21" i="13"/>
  <c r="AY21" i="13"/>
  <c r="AW21" i="13"/>
  <c r="BD21" i="13"/>
  <c r="AZ21" i="13"/>
  <c r="BF23" i="13"/>
  <c r="AW23" i="13"/>
  <c r="BA21" i="13"/>
  <c r="BM21" i="13"/>
  <c r="BG23" i="13"/>
  <c r="BH23" i="13"/>
  <c r="BB21" i="13"/>
  <c r="BJ23" i="13"/>
  <c r="BM23" i="13"/>
  <c r="BI21" i="13"/>
  <c r="BJ21" i="13"/>
  <c r="BK21" i="13"/>
  <c r="BE23" i="13"/>
  <c r="BE21" i="13"/>
  <c r="U8" i="13"/>
  <c r="BC11" i="13"/>
  <c r="BD11" i="13"/>
  <c r="BE11" i="13"/>
  <c r="BC12" i="13"/>
  <c r="BD12" i="13"/>
  <c r="BG18" i="13"/>
  <c r="BD13" i="13"/>
  <c r="BI12" i="13"/>
  <c r="U9" i="13"/>
  <c r="AW15" i="13"/>
  <c r="BL15" i="13"/>
  <c r="BJ14" i="13"/>
  <c r="BI14" i="13"/>
  <c r="BH15" i="13"/>
  <c r="BG14" i="13"/>
  <c r="AZ12" i="13"/>
  <c r="BB12" i="13"/>
  <c r="BI15" i="13"/>
  <c r="AZ15" i="13"/>
  <c r="AV15" i="13"/>
  <c r="BF15" i="13"/>
  <c r="BB15" i="13"/>
  <c r="BF14" i="13"/>
  <c r="BK14" i="13"/>
  <c r="BH14" i="13"/>
  <c r="BG15" i="13"/>
  <c r="BC14" i="13"/>
  <c r="BB14" i="13"/>
  <c r="BD15" i="13"/>
  <c r="BM14" i="13"/>
  <c r="BD14" i="13"/>
  <c r="BA15" i="13"/>
  <c r="AW14" i="13"/>
  <c r="AY14" i="13"/>
  <c r="BC15" i="13"/>
  <c r="AV14" i="13"/>
  <c r="AY15" i="13"/>
  <c r="BL14" i="13"/>
  <c r="BM15" i="13"/>
  <c r="AX14" i="13"/>
  <c r="C15" i="5"/>
  <c r="E15" i="5" s="1"/>
  <c r="E14" i="5"/>
  <c r="BJ12" i="13"/>
  <c r="D3" i="3"/>
  <c r="BA14" i="13"/>
  <c r="AZ14" i="13"/>
  <c r="AX13" i="13"/>
  <c r="BM13" i="13"/>
  <c r="BL13" i="13"/>
  <c r="AV13" i="13"/>
  <c r="BJ13" i="13"/>
  <c r="BA12" i="13"/>
  <c r="AZ18" i="13"/>
  <c r="BL18" i="13"/>
  <c r="BK18" i="13"/>
  <c r="AV18" i="13"/>
  <c r="BD18" i="13"/>
  <c r="BC18" i="13"/>
  <c r="BJ18" i="13"/>
  <c r="BC13" i="13"/>
  <c r="AZ13" i="13"/>
  <c r="AV12" i="13"/>
  <c r="BL12" i="13"/>
  <c r="BM12" i="13"/>
  <c r="BK12" i="13"/>
  <c r="AX12" i="13"/>
  <c r="AY12" i="13"/>
  <c r="BK15" i="13"/>
  <c r="BI18" i="13"/>
  <c r="BJ15" i="13"/>
  <c r="BB18" i="13"/>
  <c r="BA18" i="13"/>
  <c r="AW12" i="13"/>
  <c r="BF12" i="13"/>
  <c r="AY13" i="13"/>
  <c r="BK13" i="13"/>
  <c r="BA13" i="13"/>
  <c r="BB13" i="13"/>
  <c r="BI13" i="13"/>
  <c r="BH13" i="13"/>
  <c r="BG13" i="13"/>
  <c r="BF13" i="13"/>
  <c r="AW13" i="13"/>
  <c r="BF18" i="13"/>
  <c r="AY18" i="13"/>
  <c r="AX18" i="13"/>
  <c r="BH18" i="13"/>
  <c r="BM18" i="13"/>
  <c r="BE18" i="13"/>
  <c r="AW18" i="13"/>
  <c r="BG12" i="13"/>
  <c r="BH12" i="13"/>
  <c r="AX15" i="13"/>
  <c r="BA16" i="13"/>
  <c r="BM16" i="13"/>
  <c r="BB16" i="13"/>
  <c r="BC16" i="13"/>
  <c r="AW16" i="13"/>
  <c r="BD16" i="13"/>
  <c r="AY16" i="13"/>
  <c r="BF16" i="13"/>
  <c r="BG16" i="13"/>
  <c r="BH16" i="13"/>
  <c r="BI16" i="13"/>
  <c r="BJ16" i="13"/>
  <c r="BK16" i="13"/>
  <c r="BL16" i="13"/>
  <c r="AV16" i="13"/>
  <c r="AZ16" i="13"/>
  <c r="AX16" i="13"/>
  <c r="AY11" i="13"/>
  <c r="BJ11" i="13"/>
  <c r="AZ11" i="13"/>
  <c r="BK11" i="13"/>
  <c r="BA11" i="13"/>
  <c r="BM11" i="13"/>
  <c r="BB11" i="13"/>
  <c r="BF11" i="13"/>
  <c r="BG11" i="13"/>
  <c r="AX11" i="13"/>
  <c r="BH11" i="13"/>
  <c r="BI11" i="13"/>
  <c r="BL11" i="13"/>
  <c r="AW11" i="13"/>
  <c r="AX20" i="13"/>
  <c r="AY20" i="13"/>
  <c r="AZ20" i="13"/>
  <c r="BJ20" i="13"/>
  <c r="BA20" i="13"/>
  <c r="AW20" i="13"/>
  <c r="BB20" i="13"/>
  <c r="BC20" i="13"/>
  <c r="BD20" i="13"/>
  <c r="BL20" i="13"/>
  <c r="BE20" i="13"/>
  <c r="BF20" i="13"/>
  <c r="BM20" i="13"/>
  <c r="BG20" i="13"/>
  <c r="BH20" i="13"/>
  <c r="BI20" i="13"/>
  <c r="BK20" i="13"/>
  <c r="AV20" i="13"/>
  <c r="H26" i="17" l="1"/>
  <c r="AB10" i="13"/>
  <c r="AB11" i="13" s="1"/>
  <c r="W7" i="13"/>
  <c r="W21" i="13" s="1"/>
  <c r="X21" i="13"/>
  <c r="BJ84" i="13"/>
  <c r="E69" i="17"/>
  <c r="G56" i="17"/>
  <c r="BJ85" i="13"/>
  <c r="BJ86" i="13" s="1"/>
  <c r="BN36" i="13" s="1"/>
  <c r="BN38" i="13" s="1"/>
  <c r="BJ90" i="13" s="1"/>
  <c r="K10" i="13" s="1"/>
  <c r="F99" i="17" l="1"/>
  <c r="AB13" i="13"/>
  <c r="AB12" i="13"/>
  <c r="F101" i="17" s="1"/>
  <c r="AB18" i="13"/>
  <c r="AB19" i="13" s="1"/>
  <c r="F108" i="17" s="1"/>
  <c r="F100" i="17"/>
  <c r="F102" i="17"/>
  <c r="E77" i="17"/>
  <c r="E90" i="17" s="1"/>
  <c r="G69" i="17"/>
  <c r="CL33" i="13"/>
  <c r="CM33" i="13" s="1"/>
  <c r="CL34" i="13" s="1"/>
  <c r="CM34" i="13" s="1"/>
  <c r="CL35" i="13" s="1"/>
  <c r="CM35" i="13" s="1"/>
  <c r="CL36" i="13" s="1"/>
  <c r="CM36" i="13" s="1"/>
  <c r="CL37" i="13" s="1"/>
  <c r="CM37" i="13" s="1"/>
  <c r="CL38" i="13" s="1"/>
  <c r="CM38" i="13" s="1"/>
  <c r="CL39" i="13" s="1"/>
  <c r="CM39" i="13" s="1"/>
  <c r="CL40" i="13" s="1"/>
  <c r="CM40" i="13" s="1"/>
  <c r="CL41" i="13" s="1"/>
  <c r="CM41" i="13" s="1"/>
  <c r="CL42" i="13" s="1"/>
  <c r="CM42" i="13" s="1"/>
  <c r="CL43" i="13" s="1"/>
  <c r="CM43" i="13" s="1"/>
  <c r="CL44" i="13" s="1"/>
  <c r="CM44" i="13" s="1"/>
  <c r="CL45" i="13" s="1"/>
  <c r="CM45" i="13" s="1"/>
  <c r="CL46" i="13" s="1"/>
  <c r="CM46" i="13" s="1"/>
  <c r="CL47" i="13" s="1"/>
  <c r="CM47" i="13" s="1"/>
  <c r="CL48" i="13" s="1"/>
  <c r="CM48" i="13" s="1"/>
  <c r="CL49" i="13" s="1"/>
  <c r="CM49" i="13" s="1"/>
  <c r="CL50" i="13" s="1"/>
  <c r="CM50" i="13" s="1"/>
  <c r="CL51" i="13" s="1"/>
  <c r="CM51" i="13" s="1"/>
  <c r="CL52" i="13" s="1"/>
  <c r="CM52" i="13" s="1"/>
  <c r="CL53" i="13" s="1"/>
  <c r="CM53" i="13" s="1"/>
  <c r="CL54" i="13" s="1"/>
  <c r="CM54" i="13" s="1"/>
  <c r="CL55" i="13" s="1"/>
  <c r="CM55" i="13" s="1"/>
  <c r="CL56" i="13" s="1"/>
  <c r="CM56" i="13" s="1"/>
  <c r="CL57" i="13" s="1"/>
  <c r="CM57" i="13" s="1"/>
  <c r="CL58" i="13" s="1"/>
  <c r="CM58" i="13" s="1"/>
  <c r="CL59" i="13" s="1"/>
  <c r="CM59" i="13" s="1"/>
  <c r="CL60" i="13" s="1"/>
  <c r="CM60" i="13" s="1"/>
  <c r="CL61" i="13" s="1"/>
  <c r="CM61" i="13" s="1"/>
  <c r="CL62" i="13" s="1"/>
  <c r="CM62" i="13" s="1"/>
  <c r="CL63" i="13" s="1"/>
  <c r="CM63" i="13" s="1"/>
  <c r="CL64" i="13" s="1"/>
  <c r="CM64" i="13" s="1"/>
  <c r="CL65" i="13" s="1"/>
  <c r="CM65" i="13" s="1"/>
  <c r="CL66" i="13" s="1"/>
  <c r="CM66" i="13" s="1"/>
  <c r="CL67" i="13" s="1"/>
  <c r="CM67" i="13" s="1"/>
  <c r="CL68" i="13" s="1"/>
  <c r="CM68" i="13" s="1"/>
  <c r="CL69" i="13" s="1"/>
  <c r="CM69" i="13" s="1"/>
  <c r="CL70" i="13" s="1"/>
  <c r="CM70" i="13" s="1"/>
  <c r="CL71" i="13" s="1"/>
  <c r="CM71" i="13" s="1"/>
  <c r="CL72" i="13" s="1"/>
  <c r="CM72" i="13" s="1"/>
  <c r="CL73" i="13" s="1"/>
  <c r="CM73" i="13" s="1"/>
  <c r="CL74" i="13" s="1"/>
  <c r="CM74" i="13" s="1"/>
  <c r="CL75" i="13" s="1"/>
  <c r="CM75" i="13" s="1"/>
  <c r="CL76" i="13" s="1"/>
  <c r="CM76" i="13" s="1"/>
  <c r="CL77" i="13" s="1"/>
  <c r="CM77" i="13" s="1"/>
  <c r="CL78" i="13" s="1"/>
  <c r="CM78" i="13" s="1"/>
  <c r="CL79" i="13" s="1"/>
  <c r="CM79" i="13" s="1"/>
  <c r="CL80" i="13" s="1"/>
  <c r="CM80" i="13" s="1"/>
  <c r="CL81" i="13" s="1"/>
  <c r="CM81" i="13" s="1"/>
  <c r="CL82" i="13" s="1"/>
  <c r="CM82" i="13" s="1"/>
  <c r="CL83" i="13" s="1"/>
  <c r="CM83" i="13" s="1"/>
  <c r="CL84" i="13" s="1"/>
  <c r="CM84" i="13" s="1"/>
  <c r="CL85" i="13" s="1"/>
  <c r="CM85" i="13" s="1"/>
  <c r="CL86" i="13" s="1"/>
  <c r="CM86" i="13" s="1"/>
  <c r="CL87" i="13" s="1"/>
  <c r="CM87" i="13" s="1"/>
  <c r="CL88" i="13" s="1"/>
  <c r="CM88" i="13" s="1"/>
  <c r="CL89" i="13" s="1"/>
  <c r="CM89" i="13" s="1"/>
  <c r="CL90" i="13" s="1"/>
  <c r="CM90" i="13" s="1"/>
  <c r="CL91" i="13" s="1"/>
  <c r="CM91" i="13" s="1"/>
  <c r="CL92" i="13" s="1"/>
  <c r="CM92" i="13" s="1"/>
  <c r="CL93" i="13" s="1"/>
  <c r="CM93" i="13" s="1"/>
  <c r="CL94" i="13" s="1"/>
  <c r="CM94" i="13" s="1"/>
  <c r="CL95" i="13" s="1"/>
  <c r="CM95" i="13" s="1"/>
  <c r="CL96" i="13" s="1"/>
  <c r="CM96" i="13" s="1"/>
  <c r="CL97" i="13" s="1"/>
  <c r="CM97" i="13" s="1"/>
  <c r="CL98" i="13" s="1"/>
  <c r="CM98" i="13" s="1"/>
  <c r="CL99" i="13" s="1"/>
  <c r="CM99" i="13" s="1"/>
  <c r="CL100" i="13" s="1"/>
  <c r="CM100" i="13" s="1"/>
  <c r="CL101" i="13" s="1"/>
  <c r="CM101" i="13" s="1"/>
  <c r="CL102" i="13" s="1"/>
  <c r="CM102" i="13" s="1"/>
  <c r="CL103" i="13" s="1"/>
  <c r="CM103" i="13" s="1"/>
  <c r="CL104" i="13" s="1"/>
  <c r="CM104" i="13" s="1"/>
  <c r="CL105" i="13" s="1"/>
  <c r="CM105" i="13" s="1"/>
  <c r="CL106" i="13" s="1"/>
  <c r="CM106" i="13" s="1"/>
  <c r="CL107" i="13" s="1"/>
  <c r="CM107" i="13" s="1"/>
  <c r="CL108" i="13" s="1"/>
  <c r="CM108" i="13" s="1"/>
  <c r="CL109" i="13" s="1"/>
  <c r="CM109" i="13" s="1"/>
  <c r="CL110" i="13" s="1"/>
  <c r="CM110" i="13" s="1"/>
  <c r="CL111" i="13" s="1"/>
  <c r="CM111" i="13" s="1"/>
  <c r="CL112" i="13" s="1"/>
  <c r="CM112" i="13" s="1"/>
  <c r="CL113" i="13" s="1"/>
  <c r="CM113" i="13" s="1"/>
  <c r="CL114" i="13" s="1"/>
  <c r="CM114" i="13" s="1"/>
  <c r="CL115" i="13" s="1"/>
  <c r="CM115" i="13" s="1"/>
  <c r="CL116" i="13" s="1"/>
  <c r="CM116" i="13" s="1"/>
  <c r="CL117" i="13" s="1"/>
  <c r="CM117" i="13" s="1"/>
  <c r="CL118" i="13" s="1"/>
  <c r="CM118" i="13" s="1"/>
  <c r="CL119" i="13" s="1"/>
  <c r="CM119" i="13" s="1"/>
  <c r="CL120" i="13" s="1"/>
  <c r="CM120" i="13" s="1"/>
  <c r="CL121" i="13" s="1"/>
  <c r="CM121" i="13" s="1"/>
  <c r="CL122" i="13" s="1"/>
  <c r="CM122" i="13" s="1"/>
  <c r="CL123" i="13" s="1"/>
  <c r="CM123" i="13" s="1"/>
  <c r="CL124" i="13" s="1"/>
  <c r="CM124" i="13" s="1"/>
  <c r="CL125" i="13" s="1"/>
  <c r="CM125" i="13" s="1"/>
  <c r="CL126" i="13" s="1"/>
  <c r="CM126" i="13" s="1"/>
  <c r="CL127" i="13" s="1"/>
  <c r="CM127" i="13" s="1"/>
  <c r="CL128" i="13" s="1"/>
  <c r="CM128" i="13" s="1"/>
  <c r="CL129" i="13" s="1"/>
  <c r="CM129" i="13" s="1"/>
  <c r="CL130" i="13" s="1"/>
  <c r="CM130" i="13" s="1"/>
  <c r="CL131" i="13" s="1"/>
  <c r="CM131" i="13" s="1"/>
  <c r="CL132" i="13" s="1"/>
  <c r="CM132" i="13" s="1"/>
  <c r="BN59" i="13" s="1"/>
  <c r="AB15" i="13" l="1"/>
  <c r="AB14" i="13"/>
  <c r="F103" i="17" s="1"/>
  <c r="F107" i="17"/>
  <c r="F104" i="17"/>
  <c r="BN61" i="13"/>
  <c r="L10" i="13"/>
  <c r="BJ99" i="13"/>
  <c r="BN60" i="13"/>
  <c r="K11" i="13" l="1"/>
  <c r="B65" i="8"/>
  <c r="C9" i="1"/>
  <c r="AD7" i="11"/>
  <c r="C8" i="11"/>
  <c r="C13" i="11"/>
  <c r="AD6" i="11" s="1"/>
  <c r="C16" i="11"/>
  <c r="AC19" i="11"/>
  <c r="AC20" i="11" s="1"/>
  <c r="C21" i="11"/>
  <c r="C23" i="11" s="1"/>
  <c r="AC21" i="11"/>
  <c r="AD14" i="11" s="1"/>
  <c r="C26" i="11"/>
  <c r="C31" i="11"/>
  <c r="C32" i="11" s="1"/>
  <c r="L11" i="13" l="1"/>
  <c r="C27" i="11"/>
  <c r="C28" i="11" s="1"/>
  <c r="AC22" i="11"/>
  <c r="AC29" i="11" s="1"/>
  <c r="AC28" i="11" s="1"/>
  <c r="AC30" i="11" s="1"/>
  <c r="AC31" i="11" s="1"/>
  <c r="AD10" i="11"/>
  <c r="AC32" i="11"/>
  <c r="AD13" i="11"/>
  <c r="AD12" i="11"/>
  <c r="AD16" i="11"/>
  <c r="AD17" i="11"/>
  <c r="AD15" i="11"/>
  <c r="C17" i="11"/>
  <c r="C18" i="11" s="1"/>
  <c r="D21" i="11"/>
  <c r="AC33" i="11" l="1"/>
  <c r="AC34" i="11" s="1"/>
  <c r="AC35" i="11" s="1"/>
  <c r="AC36" i="11" s="1"/>
  <c r="D11" i="11"/>
  <c r="D50" i="8"/>
  <c r="D40" i="8"/>
  <c r="F37" i="8" s="1"/>
  <c r="C13" i="1"/>
  <c r="C14" i="1" s="1"/>
  <c r="E14" i="1" s="1"/>
  <c r="E5" i="5"/>
  <c r="E5" i="1"/>
  <c r="C9" i="3"/>
  <c r="C7" i="3"/>
  <c r="C10" i="3"/>
  <c r="AC38" i="11" l="1"/>
  <c r="AC39" i="11" s="1"/>
  <c r="C7" i="11" s="1"/>
  <c r="C48" i="5" l="1"/>
  <c r="C22" i="5" l="1"/>
  <c r="C23" i="5" s="1"/>
  <c r="C27" i="5" l="1"/>
  <c r="C28" i="5" s="1"/>
  <c r="C33" i="5"/>
  <c r="C51" i="5" s="1"/>
  <c r="C29" i="5"/>
  <c r="C49" i="5"/>
  <c r="D15" i="8"/>
  <c r="F15" i="8" s="1"/>
  <c r="E15" i="8"/>
  <c r="D25" i="8"/>
  <c r="F12" i="8" l="1"/>
  <c r="H15" i="8"/>
  <c r="I30" i="8"/>
  <c r="J30" i="8" s="1"/>
  <c r="J25" i="8" s="1"/>
  <c r="F22" i="8"/>
  <c r="C35" i="5"/>
  <c r="C52" i="5" s="1"/>
  <c r="C34" i="5"/>
  <c r="J15" i="8"/>
  <c r="H12" i="8" l="1"/>
  <c r="I15" i="8"/>
  <c r="C71" i="8"/>
  <c r="Q9" i="7"/>
  <c r="F9" i="7" s="1"/>
  <c r="R9" i="7"/>
  <c r="S9" i="7" s="1"/>
  <c r="Q10" i="7"/>
  <c r="F10" i="7" s="1"/>
  <c r="R10" i="7"/>
  <c r="S10" i="7" s="1"/>
  <c r="Q11" i="7"/>
  <c r="F11" i="7" s="1"/>
  <c r="R11" i="7"/>
  <c r="S11" i="7" s="1"/>
  <c r="Q12" i="7"/>
  <c r="F12" i="7" s="1"/>
  <c r="R12" i="7"/>
  <c r="S12" i="7" s="1"/>
  <c r="Q13" i="7"/>
  <c r="F13" i="7" s="1"/>
  <c r="R13" i="7"/>
  <c r="S13" i="7" s="1"/>
  <c r="Q14" i="7"/>
  <c r="F14" i="7" s="1"/>
  <c r="R14" i="7"/>
  <c r="S14" i="7" s="1"/>
  <c r="Q15" i="7"/>
  <c r="F15" i="7" s="1"/>
  <c r="R15" i="7"/>
  <c r="S15" i="7" s="1"/>
  <c r="Q16" i="7"/>
  <c r="F16" i="7" s="1"/>
  <c r="R16" i="7"/>
  <c r="S16" i="7" s="1"/>
  <c r="Q17" i="7"/>
  <c r="F17" i="7" s="1"/>
  <c r="R17" i="7"/>
  <c r="S17" i="7" s="1"/>
  <c r="Q18" i="7"/>
  <c r="F18" i="7" s="1"/>
  <c r="R18" i="7"/>
  <c r="S18" i="7" s="1"/>
  <c r="Q19" i="7"/>
  <c r="F19" i="7" s="1"/>
  <c r="R19" i="7"/>
  <c r="S19" i="7" s="1"/>
  <c r="R8" i="7"/>
  <c r="S8" i="7" s="1"/>
  <c r="G8" i="7" s="1"/>
  <c r="Q8" i="7"/>
  <c r="B20" i="7"/>
  <c r="C20" i="7"/>
  <c r="D20" i="7"/>
  <c r="T8" i="7" l="1"/>
  <c r="F8" i="7"/>
  <c r="H8" i="7" s="1"/>
  <c r="T17" i="7"/>
  <c r="T15" i="7"/>
  <c r="T13" i="7"/>
  <c r="T12" i="7"/>
  <c r="T11" i="7"/>
  <c r="T10" i="7"/>
  <c r="T9" i="7"/>
  <c r="T19" i="7"/>
  <c r="G19" i="7"/>
  <c r="H19" i="7" s="1"/>
  <c r="T14" i="7"/>
  <c r="G14" i="7"/>
  <c r="H14" i="7" s="1"/>
  <c r="T16" i="7"/>
  <c r="G16" i="7"/>
  <c r="H16" i="7" s="1"/>
  <c r="T18" i="7"/>
  <c r="G18" i="7"/>
  <c r="G13" i="7"/>
  <c r="H13" i="7" s="1"/>
  <c r="G15" i="7"/>
  <c r="H15" i="7" s="1"/>
  <c r="G12" i="7"/>
  <c r="H12" i="7" s="1"/>
  <c r="G11" i="7"/>
  <c r="H11" i="7" s="1"/>
  <c r="G10" i="7"/>
  <c r="H10" i="7" s="1"/>
  <c r="G17" i="7"/>
  <c r="H17" i="7" s="1"/>
  <c r="G9" i="7"/>
  <c r="H9" i="7" s="1"/>
  <c r="H18" i="7"/>
  <c r="D7" i="5"/>
  <c r="C36" i="5" s="1"/>
  <c r="D7" i="1"/>
  <c r="C24" i="1"/>
  <c r="C22" i="1"/>
  <c r="C23" i="1" s="1"/>
  <c r="C26" i="1" l="1"/>
  <c r="C25" i="1"/>
  <c r="E40" i="7"/>
  <c r="E39" i="7"/>
  <c r="C27" i="1"/>
  <c r="C29" i="1" l="1"/>
  <c r="C28" i="1"/>
  <c r="C16" i="1" l="1"/>
  <c r="C11" i="1"/>
  <c r="C30" i="1"/>
  <c r="C39" i="1"/>
  <c r="E16" i="1" l="1"/>
  <c r="C15" i="1"/>
  <c r="E15" i="1" s="1"/>
  <c r="C40" i="1"/>
  <c r="C41" i="1"/>
  <c r="C33" i="1"/>
  <c r="C32" i="1"/>
  <c r="C31" i="1"/>
  <c r="F44" i="1"/>
  <c r="F43" i="1"/>
  <c r="C36" i="1" l="1"/>
  <c r="C35" i="1"/>
  <c r="C34" i="1"/>
  <c r="G43" i="1"/>
  <c r="H43" i="1" s="1"/>
  <c r="I43" i="1" s="1"/>
  <c r="J43" i="1" s="1"/>
  <c r="K43" i="1" s="1"/>
  <c r="L43" i="1" s="1"/>
  <c r="M43" i="1" s="1"/>
  <c r="N43" i="1" s="1"/>
  <c r="O43" i="1" s="1"/>
  <c r="F45" i="1"/>
  <c r="P43" i="1" l="1"/>
  <c r="G44" i="1"/>
  <c r="G45" i="1" s="1"/>
  <c r="Q43" i="1" l="1"/>
  <c r="H44" i="1"/>
  <c r="H46" i="1" s="1"/>
  <c r="G46" i="1"/>
  <c r="G47" i="1" s="1"/>
  <c r="H47" i="1" l="1"/>
  <c r="I44" i="1"/>
  <c r="I45" i="1" s="1"/>
  <c r="H45" i="1"/>
  <c r="J44" i="1" l="1"/>
  <c r="J46" i="1" s="1"/>
  <c r="I46" i="1"/>
  <c r="I47" i="1" s="1"/>
  <c r="J47" i="1" l="1"/>
  <c r="J45" i="1"/>
  <c r="K44" i="1"/>
  <c r="K45" i="1" s="1"/>
  <c r="L44" i="1" l="1"/>
  <c r="L46" i="1" s="1"/>
  <c r="K46" i="1"/>
  <c r="K47" i="1" s="1"/>
  <c r="M44" i="1" l="1"/>
  <c r="N44" i="1" s="1"/>
  <c r="O44" i="1" s="1"/>
  <c r="L45" i="1"/>
  <c r="L47" i="1"/>
  <c r="O45" i="1" l="1"/>
  <c r="O46" i="1"/>
  <c r="P44" i="1"/>
  <c r="N45" i="1"/>
  <c r="N46" i="1"/>
  <c r="M45" i="1"/>
  <c r="M46" i="1"/>
  <c r="M47" i="1" s="1"/>
  <c r="P45" i="1" l="1"/>
  <c r="P46" i="1"/>
  <c r="Q44" i="1"/>
  <c r="N47" i="1"/>
  <c r="O47" i="1" s="1"/>
  <c r="Q45" i="1" l="1"/>
  <c r="Q46" i="1"/>
  <c r="P47" i="1"/>
  <c r="Q47" i="1" l="1"/>
  <c r="C8" i="3" l="1"/>
  <c r="C14" i="3" s="1"/>
  <c r="E26" i="3" l="1"/>
  <c r="E29" i="3"/>
  <c r="C15" i="3"/>
  <c r="E25" i="3"/>
  <c r="E24" i="3"/>
  <c r="E23" i="3"/>
  <c r="E28" i="3"/>
  <c r="E22" i="3"/>
  <c r="C16" i="3"/>
  <c r="C17" i="3" s="1"/>
  <c r="C18" i="3" s="1"/>
  <c r="S21" i="13"/>
  <c r="AF7" i="13"/>
  <c r="AZ9" i="13" l="1"/>
  <c r="AZ24" i="13" s="1"/>
  <c r="BA9" i="13"/>
  <c r="BA24" i="13" s="1"/>
  <c r="M9" i="13" s="1"/>
  <c r="N9" i="13" s="1"/>
  <c r="U7" i="13"/>
  <c r="AW9" i="13"/>
  <c r="AW24" i="13" s="1"/>
  <c r="M11" i="13" s="1"/>
  <c r="BK9" i="13"/>
  <c r="BK24" i="13" s="1"/>
  <c r="BE9" i="13"/>
  <c r="BE24" i="13" s="1"/>
  <c r="M15" i="13" s="1"/>
  <c r="N15" i="13" s="1"/>
  <c r="BF9" i="13"/>
  <c r="BF24" i="13" s="1"/>
  <c r="M17" i="13" s="1"/>
  <c r="N17" i="13" s="1"/>
  <c r="AV9" i="13"/>
  <c r="AV24" i="13" s="1"/>
  <c r="AY9" i="13"/>
  <c r="AY24" i="13" s="1"/>
  <c r="M13" i="13" s="1"/>
  <c r="N13" i="13" s="1"/>
  <c r="BI9" i="13"/>
  <c r="BI24" i="13" s="1"/>
  <c r="AX9" i="13"/>
  <c r="AX24" i="13" s="1"/>
  <c r="M12" i="13" s="1"/>
  <c r="N12" i="13" s="1"/>
  <c r="BD9" i="13"/>
  <c r="BD24" i="13" s="1"/>
  <c r="M16" i="13" s="1"/>
  <c r="N16" i="13" s="1"/>
  <c r="BC9" i="13"/>
  <c r="BC24" i="13" s="1"/>
  <c r="M14" i="13" s="1"/>
  <c r="N14" i="13" s="1"/>
  <c r="BL9" i="13"/>
  <c r="BL24" i="13" s="1"/>
  <c r="M18" i="13" s="1"/>
  <c r="N18" i="13" s="1"/>
  <c r="BB9" i="13"/>
  <c r="BB24" i="13" s="1"/>
  <c r="M8" i="13" s="1"/>
  <c r="T21" i="13"/>
  <c r="M7" i="13" s="1"/>
  <c r="BJ9" i="13"/>
  <c r="BJ24" i="13" s="1"/>
  <c r="M20" i="13" s="1"/>
  <c r="N20" i="13" s="1"/>
  <c r="BG9" i="13"/>
  <c r="BG24" i="13" s="1"/>
  <c r="M19" i="13" s="1"/>
  <c r="N19" i="13" s="1"/>
  <c r="BH9" i="13"/>
  <c r="BH24" i="13" s="1"/>
  <c r="M22" i="13" s="1"/>
  <c r="N22" i="13" s="1"/>
  <c r="BM9" i="13"/>
  <c r="BM24" i="13" s="1"/>
  <c r="M21" i="13" s="1"/>
  <c r="N21" i="13" s="1"/>
  <c r="O8" i="13" l="1"/>
  <c r="V19" i="13"/>
  <c r="V20" i="13"/>
  <c r="N8" i="13"/>
  <c r="P14" i="13"/>
  <c r="O14" i="13"/>
  <c r="M10" i="13"/>
  <c r="AW27" i="13"/>
  <c r="P17" i="13"/>
  <c r="O17" i="13"/>
  <c r="P15" i="13"/>
  <c r="O15" i="13"/>
  <c r="AX27" i="13"/>
  <c r="E24" i="13" s="1"/>
  <c r="N11" i="13"/>
  <c r="O12" i="13"/>
  <c r="P12" i="13"/>
  <c r="O13" i="13"/>
  <c r="P13" i="13"/>
  <c r="O21" i="13"/>
  <c r="P21" i="13"/>
  <c r="O19" i="13"/>
  <c r="P19" i="13"/>
  <c r="P20" i="13"/>
  <c r="O20" i="13"/>
  <c r="V10" i="13"/>
  <c r="V11" i="13"/>
  <c r="V14" i="13"/>
  <c r="O23" i="13"/>
  <c r="V13" i="13"/>
  <c r="V9" i="13"/>
  <c r="V17" i="13"/>
  <c r="V15" i="13"/>
  <c r="V8" i="13"/>
  <c r="V12" i="13"/>
  <c r="V18" i="13"/>
  <c r="V16" i="13"/>
  <c r="P16" i="13"/>
  <c r="O16" i="13"/>
  <c r="P9" i="13"/>
  <c r="O9" i="13"/>
  <c r="P22" i="13"/>
  <c r="O22" i="13"/>
  <c r="P18" i="13"/>
  <c r="O18" i="13"/>
  <c r="V7" i="13"/>
  <c r="N7" i="13" l="1"/>
  <c r="L23" i="13"/>
  <c r="N23" i="13" s="1"/>
  <c r="N10" i="13"/>
  <c r="P10" i="13"/>
  <c r="R22" i="13"/>
  <c r="U21" i="13"/>
  <c r="V21" i="13"/>
  <c r="O10" i="13"/>
  <c r="P7" i="13"/>
  <c r="O7" i="13"/>
  <c r="O11" i="13"/>
  <c r="P11" i="13"/>
  <c r="E49" i="17"/>
  <c r="H49" i="17"/>
  <c r="F49" i="17"/>
  <c r="I49" i="17"/>
  <c r="G49"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João Sauvesuk</author>
  </authors>
  <commentList>
    <comment ref="D5" authorId="0" shapeId="0" xr:uid="{E317C4E2-A9DC-4796-B0BD-BBC0D3551CE0}">
      <text>
        <r>
          <rPr>
            <b/>
            <sz val="9"/>
            <color indexed="81"/>
            <rFont val="Segoe UI"/>
            <family val="2"/>
          </rPr>
          <t xml:space="preserve">Lotação média no período que você vai adubar, sempre em unidade animal por hectare (U.A/ha).
Caso não lembre, assisa novamente a aula de definição de meta/objetivo.
</t>
        </r>
        <r>
          <rPr>
            <sz val="9"/>
            <color indexed="81"/>
            <rFont val="Segoe UI"/>
            <family val="2"/>
          </rPr>
          <t xml:space="preserve">
</t>
        </r>
      </text>
    </comment>
    <comment ref="E5" authorId="0" shapeId="0" xr:uid="{C83C776E-5A5A-4E87-BB34-11EF583FCF5C}">
      <text>
        <r>
          <rPr>
            <b/>
            <sz val="9"/>
            <color indexed="81"/>
            <rFont val="Segoe UI"/>
            <family val="2"/>
          </rPr>
          <t>O Pecuário: também pode estar como Saturação por bases, SB, Sat base.
Tem que ser sempre em %</t>
        </r>
        <r>
          <rPr>
            <sz val="9"/>
            <color indexed="81"/>
            <rFont val="Segoe UI"/>
            <family val="2"/>
          </rPr>
          <t xml:space="preserve">
</t>
        </r>
      </text>
    </comment>
    <comment ref="F5" authorId="0" shapeId="0" xr:uid="{ED753860-63B4-43F8-913A-33AE502EBD1D}">
      <text>
        <r>
          <rPr>
            <b/>
            <sz val="9"/>
            <color indexed="81"/>
            <rFont val="Segoe UI"/>
            <family val="2"/>
          </rPr>
          <t>O Pecuário: também pode estar como Sat. Al, Saturação por al, %alumínio</t>
        </r>
      </text>
    </comment>
    <comment ref="G5" authorId="0" shapeId="0" xr:uid="{C81890F6-018B-4F0F-997F-F37E5D907834}">
      <text>
        <r>
          <rPr>
            <b/>
            <sz val="9"/>
            <color indexed="81"/>
            <rFont val="Segoe UI"/>
            <family val="2"/>
          </rPr>
          <t xml:space="preserve">Também pode estar como "CTC potencial", ou como "T" (maiúsculo).
Se só tiver uma CTC no laudo, é o valor a ser utilizado aqui. </t>
        </r>
        <r>
          <rPr>
            <sz val="9"/>
            <color indexed="81"/>
            <rFont val="Segoe UI"/>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João Sauvesuk</author>
  </authors>
  <commentList>
    <comment ref="W6" authorId="0" shapeId="0" xr:uid="{430FC851-D8D7-41EB-94DD-B8F688F06E50}">
      <text>
        <r>
          <rPr>
            <b/>
            <sz val="9"/>
            <color indexed="81"/>
            <rFont val="Segoe UI"/>
            <family val="2"/>
          </rPr>
          <t>Quanto cada cabeça vai consumir no período todo determinado.</t>
        </r>
        <r>
          <rPr>
            <sz val="9"/>
            <color indexed="81"/>
            <rFont val="Segoe UI"/>
            <family val="2"/>
          </rPr>
          <t xml:space="preserve">
</t>
        </r>
      </text>
    </comment>
    <comment ref="X6" authorId="0" shapeId="0" xr:uid="{ED7DBFA1-6372-4286-B376-989773D276DD}">
      <text>
        <r>
          <rPr>
            <b/>
            <sz val="9"/>
            <color indexed="81"/>
            <rFont val="Segoe UI"/>
            <family val="2"/>
          </rPr>
          <t>Quanto todo o lote vai consumir no período determinado. Lembrando que foi realizado em cima do peso médio.</t>
        </r>
        <r>
          <rPr>
            <sz val="9"/>
            <color indexed="81"/>
            <rFont val="Segoe UI"/>
            <family val="2"/>
          </rPr>
          <t xml:space="preserve">
</t>
        </r>
      </text>
    </comment>
    <comment ref="J7" authorId="0" shapeId="0" xr:uid="{E26D63F1-B55C-4206-B75B-305B0193A19C}">
      <text>
        <r>
          <rPr>
            <sz val="9"/>
            <color indexed="81"/>
            <rFont val="Segoe UI"/>
            <family val="2"/>
          </rPr>
          <t>A matéria seca representa tudo que sobra do alimento após a retirada da água. Ela é importante porque permite comparar alimentos de forma justa e calcular quanto o animal realmente está consumindo de nutrientes. Dietas com baixa matéria seca limitam o consumo de nutrientes, enquanto níveis muito altos geralmente indicam alimentos muito fibrosos, o que reduz a digestibilidade e a eficiência da dieta.
 A planilha está configurada para sempre suprir a necessidade de MS, por isso, é importante garantir que o pasto tenha oferta suficiente para a necessidade do animal.</t>
        </r>
        <r>
          <rPr>
            <sz val="9"/>
            <color indexed="81"/>
            <rFont val="Segoe UI"/>
            <charset val="1"/>
          </rPr>
          <t xml:space="preserve">
</t>
        </r>
      </text>
    </comment>
    <comment ref="B8" authorId="0" shapeId="0" xr:uid="{F7327C9D-DD96-434F-AC83-616075346F89}">
      <text>
        <r>
          <rPr>
            <b/>
            <sz val="9"/>
            <color indexed="81"/>
            <rFont val="Segoe UI"/>
            <family val="2"/>
          </rPr>
          <t>As exigências estão sendo calculadas em cima do peso médio. Mas atenção para que isso não comprometa os resultados fazendo uma formulação muito "ampla".</t>
        </r>
      </text>
    </comment>
    <comment ref="J8" authorId="0" shapeId="0" xr:uid="{2B4C3BD6-9DE5-4D82-8760-DCE4975C21E4}">
      <text>
        <r>
          <rPr>
            <sz val="9"/>
            <color indexed="81"/>
            <rFont val="Segoe UI"/>
            <family val="2"/>
          </rPr>
          <t>O extrato etéreo corresponde à fração de gordura do alimento, sendo uma fonte concentrada de energia. Ele é importante principalmente em dietas de alto desempenho, onde a demanda energética é elevada. Dietas com pouca gordura podem limitar o ganho de peso, enquanto o excesso pode inibir a atividade microbiana no rúmen, reduzindo a digestão da fibra e o consumo total de matéria seca resultando em baixo consumo e desempenho.</t>
        </r>
      </text>
    </comment>
    <comment ref="J9" authorId="0" shapeId="0" xr:uid="{78B24C5E-89CA-413C-9727-94F08DE832BD}">
      <text>
        <r>
          <rPr>
            <sz val="9"/>
            <color indexed="81"/>
            <rFont val="Segoe UI"/>
            <family val="2"/>
          </rPr>
          <t xml:space="preserve">FDN significa FIBRA EM DETERGENTE NEUTRO. 
A FDN representa a fração fibrosa do alimento, composta por celulose, hemicelulose e lignina. Ela é essencial para o bom funcionamento do rúmen e a própria ruminação. Caso venha a faltar na dieta, pode causar acidose nos animais, reduzindo o consumo, afetando a saúde ruminal e comprometendo o desempenho. Por outro lado, FDN em excesso limita o consumo e reduz a digestibilidade, fazendo com que o animal não consuma energia e proteína suficientes para atender suas exigências.
</t>
        </r>
      </text>
    </comment>
    <comment ref="J10" authorId="0" shapeId="0" xr:uid="{136F6685-D95D-4958-8C39-46A7D54181DE}">
      <text>
        <r>
          <rPr>
            <sz val="9"/>
            <color indexed="81"/>
            <rFont val="Segoe UI"/>
            <family val="2"/>
          </rPr>
          <t xml:space="preserve">O NDT expressa a quantidade total de energia digestível do alimento, somando a energia vinda da fibra, da proteína, dos açúcares e das gorduras. É um indicador chave para avaliar o potencial energético da dieta. Quando o NDT está abaixo do necessário, o animal não consegue manter o desempenho esperado, reduzindo ganho de peso, produção de leite ou taxa de prenhez. Já o excesso pode provocar distúrbios metabólicos, como acidose e desequilíbrios ruminais.
</t>
        </r>
      </text>
    </comment>
    <comment ref="C11" authorId="0" shapeId="0" xr:uid="{83032689-3466-404C-91BA-D4CC4AB3F965}">
      <text>
        <r>
          <rPr>
            <b/>
            <sz val="9"/>
            <color indexed="81"/>
            <rFont val="Segoe UI"/>
            <family val="2"/>
          </rPr>
          <t>Corte ou leite só terá influencia se a raça escolhida for "cruzado"</t>
        </r>
        <r>
          <rPr>
            <sz val="9"/>
            <color indexed="81"/>
            <rFont val="Segoe UI"/>
            <family val="2"/>
          </rPr>
          <t xml:space="preserve">
</t>
        </r>
      </text>
    </comment>
    <comment ref="J11" authorId="0" shapeId="0" xr:uid="{583C9442-DDF4-4190-937A-822A9BA8F581}">
      <text>
        <r>
          <rPr>
            <sz val="9"/>
            <color indexed="81"/>
            <rFont val="Segoe UI"/>
            <family val="2"/>
          </rPr>
          <t>A proteína bruta é uma estimativa do teor total de nitrogênio do alimento, convertida para proteína. Ela é fundamental para o crescimento, ganho de peso, produção de leite e fertilidade. A deficiência de proteína compromete o desenvolvimento e o funcionamento do rúmen. Em excesso, pode levar ao desperdício de nitrogênio na urina, aumentando o custo da dieta e exigindo mais do metabolismo hepático.</t>
        </r>
      </text>
    </comment>
    <comment ref="J12" authorId="0" shapeId="0" xr:uid="{4EE2B5F3-40EF-4F34-B8AD-CBFC529A0F6F}">
      <text>
        <r>
          <rPr>
            <sz val="9"/>
            <color indexed="81"/>
            <rFont val="Segoe UI"/>
            <family val="2"/>
          </rPr>
          <t>O cálcio é um mineral essencial para a formação óssea, contração muscular e diversos processos metabólicos. Sua presença adequada na dieta garante crescimento, reprodução e funcionamento neuromuscular. A deficiência pode causar raquitismo, tetania e febre do leite. Já o excesso interfere na absorção de outros minerais, como fósforo e zinco, podendo desequilibrar a dieta.</t>
        </r>
      </text>
    </comment>
    <comment ref="J13" authorId="0" shapeId="0" xr:uid="{458AE3C4-20FA-4BC8-967F-A5F8A1B3D7DB}">
      <text>
        <r>
          <rPr>
            <sz val="9"/>
            <color indexed="81"/>
            <rFont val="Segoe UI"/>
            <family val="2"/>
          </rPr>
          <t xml:space="preserve">O fósforo participa da formação de ossos e dentes, da produção de energia celular e da função reprodutiva. É um dos minerais mais importantes da dieta de bovinos. A carência de fósforo pode causar perda de apetite, atraso no crescimento, problemas reprodutivos e até mastigação de ossos. Em excesso, pode prejudicar o equilíbrio com o cálcio, afetando a saúde óssea e a performance animal.
</t>
        </r>
      </text>
    </comment>
    <comment ref="J14" authorId="0" shapeId="0" xr:uid="{9045D00A-B314-4504-8B9B-37793ACF083F}">
      <text>
        <r>
          <rPr>
            <sz val="9"/>
            <color indexed="81"/>
            <rFont val="Segoe UI"/>
            <family val="2"/>
          </rPr>
          <t xml:space="preserve">O magnésio está envolvido na função muscular e nervosa, além de atuar em diversas enzimas do metabolismo. Sua deficiência é associada à tetania das pastagens, um distúrbio grave que pode levar à morte do animal. Por outro lado, o excesso é pouco comum, mas pode interferir na absorção de outros minerais se desbalanceado.
</t>
        </r>
      </text>
    </comment>
    <comment ref="J15" authorId="0" shapeId="0" xr:uid="{8467D9C1-DB73-4BBF-80CD-2BBCD4DD3FB4}">
      <text>
        <r>
          <rPr>
            <sz val="9"/>
            <color indexed="81"/>
            <rFont val="Segoe UI"/>
            <family val="2"/>
          </rPr>
          <t>O potássio regula o equilíbrio hídrico, a função muscular e o metabolismo energético. Ele é essencial para o funcionamento adequado das células e do sistema nervoso. A deficiência reduz o apetite, causa fraqueza muscular e afeta o desempenho. Em excesso, pode dificultar a absorção de magnésio e aumentar o risco de tetania.</t>
        </r>
      </text>
    </comment>
    <comment ref="B16" authorId="0" shapeId="0" xr:uid="{CA325432-FDC3-4FB0-8CE7-E5E2FC46C51E}">
      <text>
        <r>
          <rPr>
            <b/>
            <sz val="9"/>
            <color indexed="81"/>
            <rFont val="Segoe UI"/>
            <family val="2"/>
          </rPr>
          <t>Dias em que os animais irão ficar nessa suplementação, de acordo com o peso inicial, peso final e GMD desejado.</t>
        </r>
      </text>
    </comment>
    <comment ref="J16" authorId="0" shapeId="0" xr:uid="{4490A7D9-1665-4412-A239-67F6DD9ECF7C}">
      <text>
        <r>
          <rPr>
            <sz val="9"/>
            <color indexed="81"/>
            <rFont val="Segoe UI"/>
            <family val="2"/>
          </rPr>
          <t xml:space="preserve">O sódio participa do equilíbrio osmótico, da condução nervosa e da regulação do apetite. É um dos principais responsáveis por estimular o consumo de alimento e água. A falta de sódio reduz a ingestão de matéria seca e compromete a hidratação. O excesso, quando há pouca disponibilidade de água, pode causar intoxicação por sal.
</t>
        </r>
      </text>
    </comment>
    <comment ref="J17" authorId="0" shapeId="0" xr:uid="{AD586E60-871A-4F45-A262-23CCC7366E0F}">
      <text>
        <r>
          <rPr>
            <sz val="9"/>
            <color indexed="81"/>
            <rFont val="Segoe UI"/>
            <family val="2"/>
          </rPr>
          <t xml:space="preserve">O enxofre faz parte de aminoácidos essenciais como metionina e cisteína, além de atuar na síntese de proteínas microbianas no rúmen. Sua ausência compromete o crescimento dos microrganismos ruminais, reduz a digestibilidade da fibra e afeta o desempenho animal. Em excesso, pode causar polioencefalomalácia, uma doença neurológica grave.
</t>
        </r>
      </text>
    </comment>
    <comment ref="J18" authorId="0" shapeId="0" xr:uid="{6D6765F3-1E97-464B-BCBA-3DAADE75C4A0}">
      <text>
        <r>
          <rPr>
            <sz val="9"/>
            <color indexed="81"/>
            <rFont val="Segoe UI"/>
            <family val="2"/>
          </rPr>
          <t xml:space="preserve">O cobalto é essencial para que os microrganismos do rúmen produzam a vitamina B12, fundamental no metabolismo energético. Quando em falta, os animais apresentam queda de apetite, perda de peso e anemia. O excesso é raro, mas em doses muito altas pode ser tóxico.
</t>
        </r>
      </text>
    </comment>
    <comment ref="J19" authorId="0" shapeId="0" xr:uid="{2F3D45EE-1FC1-4ADB-B6BB-3205848DA3A4}">
      <text>
        <r>
          <rPr>
            <sz val="9"/>
            <color indexed="81"/>
            <rFont val="Segoe UI"/>
            <family val="2"/>
          </rPr>
          <t xml:space="preserve">O cobre está ligado à imunidade, à produção de enzimas antioxidantes e à coloração do pelo. Sua deficiência causa anemia, perda de pelo, queda de imunidade e infertilidade. O excesso, embora mais comum em ovinos, também pode ser tóxico para bovinos, causando lesões hepáticas.
</t>
        </r>
      </text>
    </comment>
    <comment ref="J20" authorId="0" shapeId="0" xr:uid="{940E9979-0DBC-4453-B0A6-F5ADE3EE5D8B}">
      <text>
        <r>
          <rPr>
            <sz val="9"/>
            <color indexed="81"/>
            <rFont val="Segoe UI"/>
            <family val="2"/>
          </rPr>
          <t xml:space="preserve">O manganês atua na formação dos ossos, no metabolismo de carboidratos e na reprodução. Sua carência afeta o crescimento, a fertilidade e a saúde óssea. Em excesso, pode interferir na absorção de ferro e causar anemia.
</t>
        </r>
      </text>
    </comment>
    <comment ref="J21" authorId="0" shapeId="0" xr:uid="{9ED7224D-4830-45C5-A2B5-80EFF489641F}">
      <text>
        <r>
          <rPr>
            <sz val="9"/>
            <color indexed="81"/>
            <rFont val="Segoe UI"/>
            <family val="2"/>
          </rPr>
          <t>O selênio é um potente antioxidante que atua em conjunto com a vitamina E, protegendo as células contra danos. Também é importante para a imunidade e a saúde muscular. Sua deficiência leva à doença do músculo branco, fraqueza e mortalidade neonatal. O excesso é altamente tóxico, podendo causar lesões nos cascos, queda de pelos e até morte.</t>
        </r>
      </text>
    </comment>
    <comment ref="J22" authorId="0" shapeId="0" xr:uid="{9238A197-ECCC-461F-A9A4-40038449653E}">
      <text>
        <r>
          <rPr>
            <sz val="9"/>
            <color indexed="81"/>
            <rFont val="Segoe UI"/>
            <family val="2"/>
          </rPr>
          <t xml:space="preserve">O zinco está envolvido na saúde da pele, na formação de cascos, na imunidade e no crescimento. A deficiência reduz o ganho de peso, prejudica a cicatrização e provoca lesões cutâneas. Em excesso, pode interferir na absorção de cobre e causar desequilíbrios minerais.
</t>
        </r>
      </text>
    </comment>
    <comment ref="J23" authorId="0" shapeId="0" xr:uid="{DBD314B9-617E-4ED4-A9EB-FAE8B3E8B4BB}">
      <text>
        <r>
          <rPr>
            <sz val="9"/>
            <color indexed="81"/>
            <rFont val="Segoe UI"/>
            <family val="2"/>
          </rPr>
          <t>A ureia é uma fonte de nitrogênio não proteico utilizada em dietas de bovinos ruminantes. No rúmen, ela é transformada em amônia, que os microrganismos utilizam para sintetizar proteína microbiana, que é altamente aproveitada pelo animal no intestino delgado. Seu uso é especialmente útil para complementar dietas pobres em proteína verdadeira, como em pastagens secas ou dietas ricas em energia e pobres em nitrogênio. O excesso pode ser extremamente tóxico, levando a um quadro de intoxicação por amônia, que é potencialmente fatal se não tratado imediatamente. Por isso, seu uso deve sempre ser acompanhado de um bom balanceamento energético na dieta e adaptação gradual dos animais.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<sst xmlns="http://schemas.openxmlformats.org/spreadsheetml/2006/main" count="1381" uniqueCount="777">
  <si>
    <t>Dias de capim verde</t>
  </si>
  <si>
    <t>Cabeças/ha</t>
  </si>
  <si>
    <t>Data de entrada</t>
  </si>
  <si>
    <t>Data de saída</t>
  </si>
  <si>
    <t>Lotação saída</t>
  </si>
  <si>
    <t>Lotação média</t>
  </si>
  <si>
    <t>Data</t>
  </si>
  <si>
    <t>Cabeças</t>
  </si>
  <si>
    <t>Peso médio</t>
  </si>
  <si>
    <t>@ produzidas</t>
  </si>
  <si>
    <t>Saldo de @ produzidas</t>
  </si>
  <si>
    <t xml:space="preserve">Essa informação foi levantada no diagnóstico. Se não se lembra, volte as aulas. </t>
  </si>
  <si>
    <t>Ao lado você tem uma simulação de como seu rotacionado irá se comportar. Isso não é garantia de resultado, mas sim o objetivo que você precisa alcançar.</t>
  </si>
  <si>
    <t>AVISOS</t>
  </si>
  <si>
    <t>Peso de entrada (kg)</t>
  </si>
  <si>
    <t>Peso de saída (kg)</t>
  </si>
  <si>
    <t>GMD (kg/dia)</t>
  </si>
  <si>
    <t>Lotação entrada (U.A/ha)</t>
  </si>
  <si>
    <t>Lotação média (U.A/ha)</t>
  </si>
  <si>
    <t>Lotação saída (U.A/ha)</t>
  </si>
  <si>
    <t>Tente aproveitar o máximo possível do período de chuva. Para isso, tenha certeza que essa data está próximo ao início da estação de capim verde. Pode iniciar no final da seca se tiver massa.</t>
  </si>
  <si>
    <t>Área (ha)</t>
  </si>
  <si>
    <t>Peso (kg)</t>
  </si>
  <si>
    <t>Consumo (%P.V)</t>
  </si>
  <si>
    <t>Consumo (kg)</t>
  </si>
  <si>
    <t>Lotação (U.A/ha)</t>
  </si>
  <si>
    <t>Lotação (Cab/ha)</t>
  </si>
  <si>
    <t>Saída</t>
  </si>
  <si>
    <t>Entrada</t>
  </si>
  <si>
    <t>Realizado (kg)</t>
  </si>
  <si>
    <t>Data inicial</t>
  </si>
  <si>
    <t>Data final</t>
  </si>
  <si>
    <t>Peso incial</t>
  </si>
  <si>
    <t>Peso final</t>
  </si>
  <si>
    <t>Consumo médio</t>
  </si>
  <si>
    <t>Previsto total</t>
  </si>
  <si>
    <t>Realizado total</t>
  </si>
  <si>
    <t>Dias corridos</t>
  </si>
  <si>
    <t>@ produzidas/ha</t>
  </si>
  <si>
    <t>PLANILHA PARA ACOMPANHAMENTO</t>
  </si>
  <si>
    <t>Lançamento e acompanhamento</t>
  </si>
  <si>
    <t>Movimentação</t>
  </si>
  <si>
    <t>Total</t>
  </si>
  <si>
    <t>Peso de entrada</t>
  </si>
  <si>
    <t>Peso de saída</t>
  </si>
  <si>
    <t>Qnt. Cabeças</t>
  </si>
  <si>
    <t>Dias de utilização</t>
  </si>
  <si>
    <t>Resultados</t>
  </si>
  <si>
    <t>R$ estimado</t>
  </si>
  <si>
    <t>Consumo estimado</t>
  </si>
  <si>
    <t>Variação</t>
  </si>
  <si>
    <t>R$ por cabeça</t>
  </si>
  <si>
    <t>Inicial</t>
  </si>
  <si>
    <t>Consumo diário</t>
  </si>
  <si>
    <t>Diária</t>
  </si>
  <si>
    <t>%P.V real</t>
  </si>
  <si>
    <t>Outros</t>
  </si>
  <si>
    <t>Calcário</t>
  </si>
  <si>
    <t>Faturamento/ha</t>
  </si>
  <si>
    <t>Custo operacional/ha</t>
  </si>
  <si>
    <t>Potássio</t>
  </si>
  <si>
    <t>Fósforo</t>
  </si>
  <si>
    <t>Nitrogênio</t>
  </si>
  <si>
    <t>Quanto maior esse peso, maior vai ser a lotação média e mais vai gastar com adubação. Porém, um animal que entra leve pode não ter peso de saída adequado no final do período.</t>
  </si>
  <si>
    <t>Preço do kg do seu suplemento</t>
  </si>
  <si>
    <t>Informações dos animais</t>
  </si>
  <si>
    <t>Consumo em %P.V do suplmento</t>
  </si>
  <si>
    <t>&gt; valor que você vai gastar com suplementos</t>
  </si>
  <si>
    <t>&gt; total em kg que o lote irá consumir na recria</t>
  </si>
  <si>
    <t>&gt; na média, o lote irá consumir isso por dia</t>
  </si>
  <si>
    <t>Área disponível (ha)</t>
  </si>
  <si>
    <t>PLANILHA PARA PLANEJAMENTO DE METAS</t>
  </si>
  <si>
    <t>SISTEMA</t>
  </si>
  <si>
    <t>FINANCEIRO</t>
  </si>
  <si>
    <t>R$/@ compra</t>
  </si>
  <si>
    <t>R$/@ venda</t>
  </si>
  <si>
    <t>R$ compra por cabeça</t>
  </si>
  <si>
    <t>R$ compra do lote</t>
  </si>
  <si>
    <t>Faturamento total</t>
  </si>
  <si>
    <t>Custo operacional total</t>
  </si>
  <si>
    <t>Margem total</t>
  </si>
  <si>
    <t>Custo total total</t>
  </si>
  <si>
    <t>Custo total/cab</t>
  </si>
  <si>
    <t>Custo total/ha</t>
  </si>
  <si>
    <t>Rentabilidade a.m</t>
  </si>
  <si>
    <t>O GMD tem que ser suficiente para que o animal tenha peso de saída no final do periodo. Não recomendo ultrapassar demais 1 kg/dia.</t>
  </si>
  <si>
    <t>Garanta que com esse peso seu animal tenha mercado para venda, entrada no confinamento ou qualquer outra ação para aliviar pasto. Isso pode ser ajustado com o GMD ou peso de entrada.</t>
  </si>
  <si>
    <t>A sua região tem que ter chuva suficiente para ter capim verde (ou em transição para a seca) ainda nessa data. Caso não tenha, diminua o período ou aumente o GMD para garantir que o animal saia antes.</t>
  </si>
  <si>
    <t>Quantos hectares quer disponibilizar para esse sistema? Caso não saiba, vá ajustando o tamanho da área e o tamanho do lote de acordo com a lotação.</t>
  </si>
  <si>
    <t>Quanto está pagando na @ dos animais que rodarão no sistema</t>
  </si>
  <si>
    <t>Quanto receberá pela @ desse animal na hora da venda? Caso não saiba, use o preço de hoje. Você também pode usar esse campo para simular uma possível queda.</t>
  </si>
  <si>
    <t>Custo operacional/cab</t>
  </si>
  <si>
    <t>Faturamento/cab</t>
  </si>
  <si>
    <t>Quanto você PODE gastar por cabeça/mês durante esse período? Vá simulando até chegar no máximo possível, analisando o custo operacional e total logo abaixo.</t>
  </si>
  <si>
    <t>Esse valor significa quanto você gastará por cabeça para desenvolver ela nesse sistema. Esse valor varia de acordo com o "Desembolso R$/cab/mês"</t>
  </si>
  <si>
    <t>Desembolso (R$/cab/mês)</t>
  </si>
  <si>
    <t>Esse valor significa quanto você gastará por hectare para desenvolver ela nesse sistema. Esse valor varia de acordo com o "Desembolso R$/cab/mês".</t>
  </si>
  <si>
    <t>Esse valor significa quanto você irá investir por hectare (compra de animais + operacional)</t>
  </si>
  <si>
    <t>Esse valor significa quanto custará seu animal no final do sistema (compra de animais + operacional)</t>
  </si>
  <si>
    <t>Valor que irá receber por cada animal</t>
  </si>
  <si>
    <t>Valor que irá receber por hectare</t>
  </si>
  <si>
    <t>Esse valor sobrará no seu bolso no final do período, após a venda dos animais, caso tudo ocorra como planejado.</t>
  </si>
  <si>
    <t>Esse valor significa quanto cada cabeça deu de lucro no período.</t>
  </si>
  <si>
    <t>Margem/cab</t>
  </si>
  <si>
    <t xml:space="preserve">Margem/ha </t>
  </si>
  <si>
    <t>Essa é a rentabilidade AO MÊS do seu sistema. Sempre compare com a taxa de juros atual do Brasil. Se estiver acima da taxa de juros, é porque está sendo um bom negócio.</t>
  </si>
  <si>
    <t>ZOOTÉCNICO</t>
  </si>
  <si>
    <t>Custo da @ produzida</t>
  </si>
  <si>
    <t>@ produzidas/hectare</t>
  </si>
  <si>
    <t xml:space="preserve">A média brasileira é de 6 @/ha por ano. </t>
  </si>
  <si>
    <t>Dias disponíveis para intensificação:</t>
  </si>
  <si>
    <t>de plantas de inverno, seu período de uso poderá ser maior. No entanto, o foco ainda é no verão.</t>
  </si>
  <si>
    <t>de inverno como um período disponível para acúmulo de forragem. Caso você faça sobresemeadura</t>
  </si>
  <si>
    <t>Para propriedades que possuem inverno mais rigoroso, a planilha não está considerando o período</t>
  </si>
  <si>
    <t>&gt;</t>
  </si>
  <si>
    <t>Dez</t>
  </si>
  <si>
    <t>Nov</t>
  </si>
  <si>
    <t>Out</t>
  </si>
  <si>
    <t>Set</t>
  </si>
  <si>
    <t>Ago</t>
  </si>
  <si>
    <t>Jul</t>
  </si>
  <si>
    <t>Jun</t>
  </si>
  <si>
    <t>Mai</t>
  </si>
  <si>
    <t>Abr</t>
  </si>
  <si>
    <t>Mar</t>
  </si>
  <si>
    <t>Fev</t>
  </si>
  <si>
    <t>Jan</t>
  </si>
  <si>
    <t>Resultado</t>
  </si>
  <si>
    <t>mm</t>
  </si>
  <si>
    <t>C° Máx</t>
  </si>
  <si>
    <t>C° min</t>
  </si>
  <si>
    <t>Mês</t>
  </si>
  <si>
    <t>para intensificar, mais vocêterá que produzir, para garantir alta produção em curto espaço de tempo.</t>
  </si>
  <si>
    <t>do verão/chuvas, essa etapa vai direcionar todo o potencial do seu projeto. Quanto menos tempo disponível</t>
  </si>
  <si>
    <t>intensiva. Como a proposta desse treinamento é para que você aproveite o máximo possível o período</t>
  </si>
  <si>
    <t>Analisar o clima é fundamental para entender por quanto tempo seu sistema poderá ser utilizado de forma</t>
  </si>
  <si>
    <t>ENTENDENDO O CLIMA</t>
  </si>
  <si>
    <t>*pode acontecer de pedir muito potássio, caso a CTC do seu solo seja alta. Não precisa necessariamente corrigir todo o potássio em um ano só, pode trabalhar com um "limite" de 200 kg de K por ano.</t>
  </si>
  <si>
    <t>Recomendação</t>
  </si>
  <si>
    <t>R$/ha</t>
  </si>
  <si>
    <t>R$ Total</t>
  </si>
  <si>
    <t>R$/kg</t>
  </si>
  <si>
    <t>Kg/ha</t>
  </si>
  <si>
    <t>Nome da fonte</t>
  </si>
  <si>
    <t>%K fonte</t>
  </si>
  <si>
    <t>Rec. Kg/ha</t>
  </si>
  <si>
    <t>%P fonte</t>
  </si>
  <si>
    <t>*se você usar um formulado que tem potássio na sua composição, precisa ser descontado na hora da adubação de potássio.</t>
  </si>
  <si>
    <t>% N na fonte</t>
  </si>
  <si>
    <t>*se não encontrar o calcário correto que foi recomendado pela planilha, a segunda opção é calcário dolomítico, terceira magnesiano e quarta calcítico.</t>
  </si>
  <si>
    <t>R$/ton</t>
  </si>
  <si>
    <t>Total (ton)</t>
  </si>
  <si>
    <t>N.C. (ton/ha)</t>
  </si>
  <si>
    <t xml:space="preserve">V% desejado </t>
  </si>
  <si>
    <t>Calagem</t>
  </si>
  <si>
    <t>Argila (g/kg)</t>
  </si>
  <si>
    <t>P (mg/dm³)</t>
  </si>
  <si>
    <t>Mg (cmol/dm³)</t>
  </si>
  <si>
    <t>Ca (cmol/dm³)</t>
  </si>
  <si>
    <t>% K/CTC (K/T)</t>
  </si>
  <si>
    <t>M%</t>
  </si>
  <si>
    <t>V%</t>
  </si>
  <si>
    <t>Identificação</t>
  </si>
  <si>
    <t>Cadastro de áreas para utilizar</t>
  </si>
  <si>
    <t>CORREÇÃO E ADUBAÇÃO</t>
  </si>
  <si>
    <t>Ureia</t>
  </si>
  <si>
    <t>Lotação aproximada LIMITE:</t>
  </si>
  <si>
    <t>A HORA DO VAMOS VER</t>
  </si>
  <si>
    <t>INVESTIMENTOS</t>
  </si>
  <si>
    <t>Cercas</t>
  </si>
  <si>
    <t>Água</t>
  </si>
  <si>
    <t>Cochos</t>
  </si>
  <si>
    <t>Anos p/ pagar</t>
  </si>
  <si>
    <t>PLANILHA PARA FORMULAÇÃO DE SUPLEMENTOS PARA BOVINOS A PASTO</t>
  </si>
  <si>
    <t>Peso médio (kg)</t>
  </si>
  <si>
    <t>Cons. Supl. (%P.V)</t>
  </si>
  <si>
    <t>Forragem</t>
  </si>
  <si>
    <t>Descrição</t>
  </si>
  <si>
    <t>Mínimo</t>
  </si>
  <si>
    <t>Ideal</t>
  </si>
  <si>
    <t>Máximo</t>
  </si>
  <si>
    <t>Dieta</t>
  </si>
  <si>
    <t>% na dieta</t>
  </si>
  <si>
    <t>Alimentos</t>
  </si>
  <si>
    <t>M.O. (Kg)</t>
  </si>
  <si>
    <t>M.S. (Kg)</t>
  </si>
  <si>
    <t>% P.V</t>
  </si>
  <si>
    <t>% da dieta</t>
  </si>
  <si>
    <t>EM</t>
  </si>
  <si>
    <t>FDN</t>
  </si>
  <si>
    <t>NDT</t>
  </si>
  <si>
    <t>Ingrediente</t>
  </si>
  <si>
    <t>%</t>
  </si>
  <si>
    <t>R$</t>
  </si>
  <si>
    <t>Milho</t>
  </si>
  <si>
    <t>Cálcio (Ca)</t>
  </si>
  <si>
    <t>Fósforo (P)</t>
  </si>
  <si>
    <t>Raça</t>
  </si>
  <si>
    <t>Soja Farelo</t>
  </si>
  <si>
    <t>Magnésio (mg)</t>
  </si>
  <si>
    <t>Potássio (K)</t>
  </si>
  <si>
    <t>Sódio (Na)</t>
  </si>
  <si>
    <t>Enxofre (S)</t>
  </si>
  <si>
    <t>Fosbovi boi verde</t>
  </si>
  <si>
    <t>Cobalto (Co)</t>
  </si>
  <si>
    <t>Cobre (Cu)</t>
  </si>
  <si>
    <t>Manganês (Mn)</t>
  </si>
  <si>
    <t>Selênio (Se)</t>
  </si>
  <si>
    <t>Zinco (Zn)</t>
  </si>
  <si>
    <t>Unidade</t>
  </si>
  <si>
    <t>R$/kg mão de obra</t>
  </si>
  <si>
    <t>g</t>
  </si>
  <si>
    <t>R$/kg final</t>
  </si>
  <si>
    <t>kg</t>
  </si>
  <si>
    <t>BIBLIOTECA DE ALIMENTOS</t>
  </si>
  <si>
    <t>M.S (%)</t>
  </si>
  <si>
    <t>NDT (% M.S)</t>
  </si>
  <si>
    <t>PB (% M.S)</t>
  </si>
  <si>
    <t>Ca (% M.S)</t>
  </si>
  <si>
    <t>P (% M.S)</t>
  </si>
  <si>
    <t>PDR (%M.S)</t>
  </si>
  <si>
    <t>FDN (%M.S)</t>
  </si>
  <si>
    <t>EE (%M.S)</t>
  </si>
  <si>
    <t>Mg (%M.S)</t>
  </si>
  <si>
    <t>Na (%M.S)</t>
  </si>
  <si>
    <t>K (%M.S)</t>
  </si>
  <si>
    <t>S (%M.S)</t>
  </si>
  <si>
    <t>Cu (mg/kg)</t>
  </si>
  <si>
    <t>Zn (mg/kg)</t>
  </si>
  <si>
    <t>Fe (mg/kg)</t>
  </si>
  <si>
    <t>Mn (mg/kg)</t>
  </si>
  <si>
    <t>I (mg/kg)</t>
  </si>
  <si>
    <t>Co (mg/kg)</t>
  </si>
  <si>
    <t>Se (mg/kg)</t>
  </si>
  <si>
    <t>NDT (Kg)</t>
  </si>
  <si>
    <t>P.B (Kg)</t>
  </si>
  <si>
    <t>Ca (g)</t>
  </si>
  <si>
    <t>P (g)</t>
  </si>
  <si>
    <t>PDR (kg)</t>
  </si>
  <si>
    <t>FDN (kg)</t>
  </si>
  <si>
    <t>EE (g)</t>
  </si>
  <si>
    <t>Mg (g)</t>
  </si>
  <si>
    <t>Na (g)</t>
  </si>
  <si>
    <t>K (g)</t>
  </si>
  <si>
    <t>S (g)</t>
  </si>
  <si>
    <t>Cu (mg)</t>
  </si>
  <si>
    <t>Zn (mg)</t>
  </si>
  <si>
    <t>Fe (mg)</t>
  </si>
  <si>
    <t>Mn (mg)</t>
  </si>
  <si>
    <t>I (mg)</t>
  </si>
  <si>
    <t>Co (mg)</t>
  </si>
  <si>
    <t>Se (mg)</t>
  </si>
  <si>
    <t>Concentrados</t>
  </si>
  <si>
    <t>M.S (% M.S)</t>
  </si>
  <si>
    <t>PDR (% M.S)</t>
  </si>
  <si>
    <t>FDN (% M.S)</t>
  </si>
  <si>
    <t>EE (% M.S)</t>
  </si>
  <si>
    <t>Mg (% M.S)</t>
  </si>
  <si>
    <t>Na (% M.S)</t>
  </si>
  <si>
    <t>K(% M.S)</t>
  </si>
  <si>
    <t>S (% M.S)</t>
  </si>
  <si>
    <t>Mineral/núcleo</t>
  </si>
  <si>
    <t>M.S (g/kg)</t>
  </si>
  <si>
    <t>NDT (g/kg)</t>
  </si>
  <si>
    <t>PB (g/kg)</t>
  </si>
  <si>
    <t>Ca (g/kg)</t>
  </si>
  <si>
    <t>P (g/kg)</t>
  </si>
  <si>
    <t>PDR (g/kg)</t>
  </si>
  <si>
    <t>FDN (g/kg)</t>
  </si>
  <si>
    <t>EE (g/kg)</t>
  </si>
  <si>
    <t>Mg (g/kg)</t>
  </si>
  <si>
    <t>Na (g/kg)</t>
  </si>
  <si>
    <t>K (g/kg)</t>
  </si>
  <si>
    <t>S (g/kg)</t>
  </si>
  <si>
    <t>Fe (g/kg)</t>
  </si>
  <si>
    <t>NNP (g/kg)</t>
  </si>
  <si>
    <t>% ureia</t>
  </si>
  <si>
    <t>Atenção:</t>
  </si>
  <si>
    <t>- Os alimentos inseridos na biblioteca não representam a realidade de todos os locais. Sempre faça análise bromatológica e peça os níveis de garantia.</t>
  </si>
  <si>
    <t xml:space="preserve">- Essa planilha é para formulações simples, que tem capim em pastejo como base da dieta. </t>
  </si>
  <si>
    <t>ESTIMATIVA SUPLEMENTAÇÃO</t>
  </si>
  <si>
    <t>Dias de uso</t>
  </si>
  <si>
    <t>&gt; informação já puxada da formulação</t>
  </si>
  <si>
    <t>&gt; informação já puxada do "VAMOS VER"</t>
  </si>
  <si>
    <t>&gt; na média, cada cabeça irá gastar isso com supl.</t>
  </si>
  <si>
    <t>&gt; na média, essa será a diária gasta com supl.</t>
  </si>
  <si>
    <t xml:space="preserve">Quanto você vai gastar de operacional, somando adubação e suplementação. </t>
  </si>
  <si>
    <t>Esse valor significa quanto você gastará por cabeça para desenvolver ela nesse sistema.</t>
  </si>
  <si>
    <t>Esse valor significa quanto você gastará por hectare para desenvolver ela nesse sistema.</t>
  </si>
  <si>
    <t>É a quantidade de anos que você precisa para que seu investimento seja "retornado".</t>
  </si>
  <si>
    <t>Se for próximo ou menor que 1, é porque seu módulo já foi "pago" dentro de 01 ano, o que é ótimo, já que já te permite criar outro módulo com o lucro, ou quitar um financiamento. Entre 1 e 2 é bom. Acima de 2, revise seus custos e produção.</t>
  </si>
  <si>
    <t>Esse valor significa quanto você terá de lucro por hectare. A pecuária média tem apenas R$500-600. Como saber o que é bom pra você? Custo de oportunidade: arrendamento? Juros?</t>
  </si>
  <si>
    <t>PRNT Calcário (%)</t>
  </si>
  <si>
    <t>Ajustado (kg/ha)</t>
  </si>
  <si>
    <t>Micro nutrientes</t>
  </si>
  <si>
    <t>Caso trabalhe com lotação acima de 5 U.A/ha, utilizar 50 kg/ha de FTE-BR12 a cada 2 anos.</t>
  </si>
  <si>
    <t>Gesso</t>
  </si>
  <si>
    <t>w</t>
  </si>
  <si>
    <t>POTÊNCIA DE ACIONAMENTO (W)</t>
  </si>
  <si>
    <t>POTÊNCIA TEÓRICA DA BOMBA (W)</t>
  </si>
  <si>
    <t>EFICIÊNCIA DA BOMBA</t>
  </si>
  <si>
    <t>m</t>
  </si>
  <si>
    <t>ALTURA MANOMÉTRICA (m)</t>
  </si>
  <si>
    <t>m²/s²</t>
  </si>
  <si>
    <t>VARIAÇÃO DE ENERGIA (DELTA E)</t>
  </si>
  <si>
    <t>COMPRIMENTO TOTAL DE TUBULAÇÃO</t>
  </si>
  <si>
    <t>COMPRIMENTO EQUIVALENTE DE TUBO</t>
  </si>
  <si>
    <t>COMPRIMENTO DE TRECHO RETO DE TUBO</t>
  </si>
  <si>
    <t>Se beber dos dois lados</t>
  </si>
  <si>
    <t>FATOR DE ATRITO (D.MOODY)</t>
  </si>
  <si>
    <t>Tamanho bebedouro (m)</t>
  </si>
  <si>
    <t>NÚMERO DE REYNOLDS</t>
  </si>
  <si>
    <t>m²</t>
  </si>
  <si>
    <t>ÁREA INTERNA DA TUBULAÇÃO</t>
  </si>
  <si>
    <t>m/s</t>
  </si>
  <si>
    <t>VELOCIDADE DO ESCOAMENTO</t>
  </si>
  <si>
    <t>PN (mínimo)</t>
  </si>
  <si>
    <t>CÁLCULOS GERAIS</t>
  </si>
  <si>
    <t>Pressão final (MCA)</t>
  </si>
  <si>
    <r>
      <rPr>
        <vertAlign val="superscript"/>
        <sz val="10"/>
        <rFont val="Arial"/>
        <family val="2"/>
      </rPr>
      <t>o</t>
    </r>
    <r>
      <rPr>
        <sz val="11"/>
        <color theme="1"/>
        <rFont val="Calibri"/>
        <family val="2"/>
        <scheme val="minor"/>
      </rPr>
      <t>C</t>
    </r>
  </si>
  <si>
    <t>TEMPERATURA</t>
  </si>
  <si>
    <t>Perda (m)</t>
  </si>
  <si>
    <t>kg/m³</t>
  </si>
  <si>
    <t>DENSIDADE</t>
  </si>
  <si>
    <t>Diâmetro (mm)</t>
  </si>
  <si>
    <t>m²/s</t>
  </si>
  <si>
    <t>VISCOSIDADE</t>
  </si>
  <si>
    <t>Comprimento (m)</t>
  </si>
  <si>
    <t xml:space="preserve">PROPRIEDADES DA ÁGUA </t>
  </si>
  <si>
    <t>Dif. Nível (m)</t>
  </si>
  <si>
    <t xml:space="preserve">m </t>
  </si>
  <si>
    <t>DIÂMETRO DA CANALIZAÇÃO EM METROS</t>
  </si>
  <si>
    <t>Altitude Final (m)</t>
  </si>
  <si>
    <t>DIÂMETRO DA CANALIZAÇÃO</t>
  </si>
  <si>
    <t>Altitude Inicial (m)</t>
  </si>
  <si>
    <t>m³/s</t>
  </si>
  <si>
    <t xml:space="preserve">VAZÃO DA BOMBA </t>
  </si>
  <si>
    <t>LINHA DE DISTRIBUIÇÃO</t>
  </si>
  <si>
    <t>LITROS/SEG</t>
  </si>
  <si>
    <t>VAZÃO DA BOMBA</t>
  </si>
  <si>
    <t>DADOS DO ESCOAMENTO</t>
  </si>
  <si>
    <t>REGISTRO DE GAVETA</t>
  </si>
  <si>
    <t>REGISTRO DE GLOBO</t>
  </si>
  <si>
    <t>SAÍDA DA TUBULAÇÃO</t>
  </si>
  <si>
    <t>VÁLVULA DE PÉ OU CRIVO</t>
  </si>
  <si>
    <t>VÁLVULA DE RETENÇÃO</t>
  </si>
  <si>
    <t>CURVA DE 90 graus</t>
  </si>
  <si>
    <t>L EQ (m)</t>
  </si>
  <si>
    <t>QUANT.</t>
  </si>
  <si>
    <t>ACESSÓRIOS</t>
  </si>
  <si>
    <t>H</t>
  </si>
  <si>
    <t>LINHA DE CAPTAÇÃO</t>
  </si>
  <si>
    <t>F</t>
  </si>
  <si>
    <t>E</t>
  </si>
  <si>
    <t>Tamanho reservatório (L)</t>
  </si>
  <si>
    <t>D</t>
  </si>
  <si>
    <t>Potência bomba (cv)</t>
  </si>
  <si>
    <t>C</t>
  </si>
  <si>
    <t>Dias p/ manutenção</t>
  </si>
  <si>
    <t>B</t>
  </si>
  <si>
    <t>A</t>
  </si>
  <si>
    <t>L (m)</t>
  </si>
  <si>
    <t>DADOS GEOMÉTRICOS DA INSTALAÇÃO</t>
  </si>
  <si>
    <t>L/H</t>
  </si>
  <si>
    <t>INFORMAÇÕES DO SISTEMA</t>
  </si>
  <si>
    <t>PLANILHA PARA DIMENSIONAMENTO DO SISTEMA DE ÁGUA</t>
  </si>
  <si>
    <t>Tempo de bombeamento (horas)</t>
  </si>
  <si>
    <t>Altitude reservatório (m)</t>
  </si>
  <si>
    <t>Quanto está pagando na @ dos animais que rodarão no sistema (coloque mesmo que você já tenha os animais).</t>
  </si>
  <si>
    <t>Esse valor engloba o custo operacional, exceto compra de animais. Ele varia de acordo com o "Desembolso R$/cab/mês"</t>
  </si>
  <si>
    <t>Esse é o valor gasto total, considerando compra de animais + operacional. Varia de acordo com o "Desembolso R$/cab/mês", e a compra de animais, que depende de: quantidade de cabeças, peso e R$/@.</t>
  </si>
  <si>
    <t>Valor que irá receber por cada animal.</t>
  </si>
  <si>
    <t>Valor que irá receber por hectare.</t>
  </si>
  <si>
    <t>Esse é o valor que irá receber depois que vender os animais no final do sistema.</t>
  </si>
  <si>
    <t>Dias capim verde</t>
  </si>
  <si>
    <t>Garanta que com esse peso seu animal tenha mercado para venda, entrada no confinamento ou qualquer outra ação para aliviar pasto.</t>
  </si>
  <si>
    <t>Esse valor significa quanto você terá de lucro por hectare. O pecuarista médio brasileiro tem em torno de R$650/ha/ano</t>
  </si>
  <si>
    <t>CTC (cmol/dm³)</t>
  </si>
  <si>
    <t>*se for usar um adubo de rápida liberação, como por exemplo o MAP, é recomendável parcelar quando a recomendação for acima de 300kg/ha. Em 2x é suficiente, sendo uma no início e outra no meio da chuva.</t>
  </si>
  <si>
    <t>- Essa planilha não se responsabiliza por falhas na nutrição, visto que a mesam depende de diversos outros fatores para falhar ou alcançar o sucesso, como ensinado nas aulas.</t>
  </si>
  <si>
    <t>- Os dados gerados e coletados aqui não garantem resultado, visto que o mesmo depende de diversos outros fatores, como ensinado nas aulas.</t>
  </si>
  <si>
    <t>- Essa planilha é de uso exclusivo dos alunos do Programa Acelerador de Arrobas, não podendo ser compartilhada ou vendida separadamente.</t>
  </si>
  <si>
    <t>% ideal</t>
  </si>
  <si>
    <t>Proteína Bruta (PB)</t>
  </si>
  <si>
    <t>Extrato etéreo (EE)</t>
  </si>
  <si>
    <t>Margem/ha nesse ano</t>
  </si>
  <si>
    <t>Margem/há próx. ano</t>
  </si>
  <si>
    <t>Mão de obra (km)</t>
  </si>
  <si>
    <t>Fio encapado</t>
  </si>
  <si>
    <t>Mão de obra</t>
  </si>
  <si>
    <t>Hastes aterramento</t>
  </si>
  <si>
    <t>Abertura de valetas</t>
  </si>
  <si>
    <t>Cola para canos</t>
  </si>
  <si>
    <t>Isolador W</t>
  </si>
  <si>
    <t>Registros</t>
  </si>
  <si>
    <t>Castanha</t>
  </si>
  <si>
    <t>Cotovelo</t>
  </si>
  <si>
    <t>Porteira de choque</t>
  </si>
  <si>
    <t>Tê 50mm</t>
  </si>
  <si>
    <t>Palanque</t>
  </si>
  <si>
    <t>Boia p/ bebedouros (vazão total)</t>
  </si>
  <si>
    <t>Porteira convencional</t>
  </si>
  <si>
    <t>Bebedouros</t>
  </si>
  <si>
    <t>Arame liso</t>
  </si>
  <si>
    <t>Cano 50mm PN60</t>
  </si>
  <si>
    <t>Lasca</t>
  </si>
  <si>
    <t>Qnt. Necessária</t>
  </si>
  <si>
    <t>Preço un.</t>
  </si>
  <si>
    <t>Item</t>
  </si>
  <si>
    <t>Foto</t>
  </si>
  <si>
    <t>LISTA DE MATERIAIS</t>
  </si>
  <si>
    <t>Hastes de aterramento</t>
  </si>
  <si>
    <t>Isolador W (un.)</t>
  </si>
  <si>
    <t>Potência eletrificador (J)</t>
  </si>
  <si>
    <t>Quantas praças de alimentação</t>
  </si>
  <si>
    <t>Tem praça de alimentação?</t>
  </si>
  <si>
    <t>Estimativa de porteiras convencional</t>
  </si>
  <si>
    <t>Estimativa de porteiras</t>
  </si>
  <si>
    <t>Número de piquetes</t>
  </si>
  <si>
    <t>Estimativa de porteiras de choque</t>
  </si>
  <si>
    <t>Estimativa de palanques</t>
  </si>
  <si>
    <t>Quantidade de fios</t>
  </si>
  <si>
    <t>Total de arame (m)</t>
  </si>
  <si>
    <t>Espaçamento entre lasca</t>
  </si>
  <si>
    <t>Total de lascas (un.)</t>
  </si>
  <si>
    <t>Comprimento total da cerca (m)</t>
  </si>
  <si>
    <t>Estimativa de materiais</t>
  </si>
  <si>
    <t>ÁGUA ENCANADA</t>
  </si>
  <si>
    <t>CERCA CONVENCIONAL</t>
  </si>
  <si>
    <t>CERCA ELÉTRICA</t>
  </si>
  <si>
    <t>ESTIMATIVA MATERIAIS</t>
  </si>
  <si>
    <t>Reservatório</t>
  </si>
  <si>
    <t>% batida</t>
  </si>
  <si>
    <t>Qnt. total</t>
  </si>
  <si>
    <t>Zebuíno</t>
  </si>
  <si>
    <t>Sistema</t>
  </si>
  <si>
    <t>Pasto</t>
  </si>
  <si>
    <t>CMS</t>
  </si>
  <si>
    <t>Ca</t>
  </si>
  <si>
    <t>Coef. Ret.</t>
  </si>
  <si>
    <t>Essenciais</t>
  </si>
  <si>
    <t>Arg</t>
  </si>
  <si>
    <t>Efi. Util.</t>
  </si>
  <si>
    <t>P</t>
  </si>
  <si>
    <t>His</t>
  </si>
  <si>
    <t>Energia</t>
  </si>
  <si>
    <t>ELm</t>
  </si>
  <si>
    <t>Mcal</t>
  </si>
  <si>
    <t>Ile</t>
  </si>
  <si>
    <t>Elg</t>
  </si>
  <si>
    <t>Mg</t>
  </si>
  <si>
    <t>EL</t>
  </si>
  <si>
    <t>Leu</t>
  </si>
  <si>
    <t>EMm</t>
  </si>
  <si>
    <t>Na</t>
  </si>
  <si>
    <t>EMg</t>
  </si>
  <si>
    <t>Lys</t>
  </si>
  <si>
    <t>K</t>
  </si>
  <si>
    <t>Met</t>
  </si>
  <si>
    <t>S</t>
  </si>
  <si>
    <t>PC médio, kg</t>
  </si>
  <si>
    <t>Phe</t>
  </si>
  <si>
    <t>Proteína</t>
  </si>
  <si>
    <t>PMm</t>
  </si>
  <si>
    <t>Cu</t>
  </si>
  <si>
    <t>Thr</t>
  </si>
  <si>
    <t>PLg</t>
  </si>
  <si>
    <t>PMg</t>
  </si>
  <si>
    <t>Co</t>
  </si>
  <si>
    <t>Trp</t>
  </si>
  <si>
    <t>PM</t>
  </si>
  <si>
    <t>PBmic</t>
  </si>
  <si>
    <t>Cr</t>
  </si>
  <si>
    <t>Val</t>
  </si>
  <si>
    <t>PDR</t>
  </si>
  <si>
    <t>Fe</t>
  </si>
  <si>
    <t>PNDR</t>
  </si>
  <si>
    <t>Não Essenciais</t>
  </si>
  <si>
    <t>Ala</t>
  </si>
  <si>
    <t>Mn</t>
  </si>
  <si>
    <t>PB</t>
  </si>
  <si>
    <t>Asp</t>
  </si>
  <si>
    <t>Mo</t>
  </si>
  <si>
    <t>Cys</t>
  </si>
  <si>
    <t>Se</t>
  </si>
  <si>
    <t>Glu</t>
  </si>
  <si>
    <t>Zn</t>
  </si>
  <si>
    <t>Gly</t>
  </si>
  <si>
    <t>Peso vivo</t>
  </si>
  <si>
    <t>Pro</t>
  </si>
  <si>
    <t>PCVZ</t>
  </si>
  <si>
    <t>GPCVZ</t>
  </si>
  <si>
    <t>Ser</t>
  </si>
  <si>
    <t>PCVZequivalente</t>
  </si>
  <si>
    <t>CruzCorte</t>
  </si>
  <si>
    <t>Tyr</t>
  </si>
  <si>
    <t>CruzLeite</t>
  </si>
  <si>
    <t>PCVZeq</t>
  </si>
  <si>
    <t>ELg conf</t>
  </si>
  <si>
    <t>ELg past</t>
  </si>
  <si>
    <t>ERp</t>
  </si>
  <si>
    <t>km conf</t>
  </si>
  <si>
    <t>km pasto</t>
  </si>
  <si>
    <t>km</t>
  </si>
  <si>
    <t>ED</t>
  </si>
  <si>
    <t>NDT, %</t>
  </si>
  <si>
    <t>Ef.Mic.</t>
  </si>
  <si>
    <t>PDR, %pb</t>
  </si>
  <si>
    <t>PNDR, %pb</t>
  </si>
  <si>
    <t>PB, %</t>
  </si>
  <si>
    <t>Cons água</t>
  </si>
  <si>
    <t>Verao, L/dia</t>
  </si>
  <si>
    <t>Inverno, L/dia</t>
  </si>
  <si>
    <t>Cálcio</t>
  </si>
  <si>
    <t>Ca m</t>
  </si>
  <si>
    <t>Ca Zebu g</t>
  </si>
  <si>
    <t>Ca Cruz g</t>
  </si>
  <si>
    <t>Ca tot</t>
  </si>
  <si>
    <t>Coef retenc</t>
  </si>
  <si>
    <t>Ca, g</t>
  </si>
  <si>
    <t>Fóforo</t>
  </si>
  <si>
    <t>P m</t>
  </si>
  <si>
    <t xml:space="preserve">P Zebu g </t>
  </si>
  <si>
    <t>P Crz g</t>
  </si>
  <si>
    <t>P tot</t>
  </si>
  <si>
    <t>P, g</t>
  </si>
  <si>
    <t>Relação Ca/P</t>
  </si>
  <si>
    <t>Magnésio</t>
  </si>
  <si>
    <t>Mg m</t>
  </si>
  <si>
    <t xml:space="preserve">Mg Zebu g </t>
  </si>
  <si>
    <t>Mg Crz g</t>
  </si>
  <si>
    <t>Mg tot</t>
  </si>
  <si>
    <t>Mg, g</t>
  </si>
  <si>
    <t>Sódio</t>
  </si>
  <si>
    <t>Na m</t>
  </si>
  <si>
    <t xml:space="preserve">Na Zebu g </t>
  </si>
  <si>
    <t>Na Crz g</t>
  </si>
  <si>
    <t>Na tot</t>
  </si>
  <si>
    <t>Na, g</t>
  </si>
  <si>
    <t>K m</t>
  </si>
  <si>
    <t xml:space="preserve">K Zebu g </t>
  </si>
  <si>
    <t>K Crz g</t>
  </si>
  <si>
    <t>K tot</t>
  </si>
  <si>
    <t>K, g</t>
  </si>
  <si>
    <t>Enxofre</t>
  </si>
  <si>
    <t>S m</t>
  </si>
  <si>
    <t xml:space="preserve">S g </t>
  </si>
  <si>
    <t>S tot</t>
  </si>
  <si>
    <t>S, g</t>
  </si>
  <si>
    <t>Cobre</t>
  </si>
  <si>
    <t>Cu m</t>
  </si>
  <si>
    <t xml:space="preserve">Cu g </t>
  </si>
  <si>
    <t>Cu tot</t>
  </si>
  <si>
    <t>Cu, mg</t>
  </si>
  <si>
    <t>Cobalto</t>
  </si>
  <si>
    <t>Co m</t>
  </si>
  <si>
    <t xml:space="preserve">Co g </t>
  </si>
  <si>
    <t>Co tot</t>
  </si>
  <si>
    <t>Co, mg</t>
  </si>
  <si>
    <t>Cromo</t>
  </si>
  <si>
    <t>Cr m</t>
  </si>
  <si>
    <t xml:space="preserve">Cr g </t>
  </si>
  <si>
    <t>Cr tot</t>
  </si>
  <si>
    <t>Cr, mg</t>
  </si>
  <si>
    <t>Ferro</t>
  </si>
  <si>
    <t>Fe m</t>
  </si>
  <si>
    <t xml:space="preserve">Fe g </t>
  </si>
  <si>
    <t>Fe tot</t>
  </si>
  <si>
    <t>Fe, mg</t>
  </si>
  <si>
    <t>Manganês</t>
  </si>
  <si>
    <t>Mn m</t>
  </si>
  <si>
    <t xml:space="preserve">Mn g </t>
  </si>
  <si>
    <t>Mn tot</t>
  </si>
  <si>
    <t>Mn, mg</t>
  </si>
  <si>
    <t>Molibdênio</t>
  </si>
  <si>
    <t>Mo m</t>
  </si>
  <si>
    <t xml:space="preserve">Mo g </t>
  </si>
  <si>
    <t>Mo tot</t>
  </si>
  <si>
    <t>Mo, mg</t>
  </si>
  <si>
    <t>Selênio</t>
  </si>
  <si>
    <t>Se m</t>
  </si>
  <si>
    <t xml:space="preserve">Se g </t>
  </si>
  <si>
    <t>Se tot</t>
  </si>
  <si>
    <t>Se, mg</t>
  </si>
  <si>
    <t>Zinco</t>
  </si>
  <si>
    <t>Zn m</t>
  </si>
  <si>
    <t xml:space="preserve">Zn g </t>
  </si>
  <si>
    <t>Zn tot</t>
  </si>
  <si>
    <t>Zn, mg</t>
  </si>
  <si>
    <t>GMD, kg</t>
  </si>
  <si>
    <t>g/kg GPCVZ</t>
  </si>
  <si>
    <t>Arginina</t>
  </si>
  <si>
    <t>Ef. Util., %</t>
  </si>
  <si>
    <t>Arg. g/dia</t>
  </si>
  <si>
    <t>Histidina</t>
  </si>
  <si>
    <t>Hist. g/dia</t>
  </si>
  <si>
    <t>Isoleucina</t>
  </si>
  <si>
    <t>Isole. g/dia</t>
  </si>
  <si>
    <t>Leucina</t>
  </si>
  <si>
    <t>Leuc. g/dia</t>
  </si>
  <si>
    <t>Lisina</t>
  </si>
  <si>
    <t>Lis. g/dia</t>
  </si>
  <si>
    <t>Metionina</t>
  </si>
  <si>
    <t>Met. g/dia</t>
  </si>
  <si>
    <t>Fenilalanina</t>
  </si>
  <si>
    <t>Fenila. g/dia</t>
  </si>
  <si>
    <t>Treonina</t>
  </si>
  <si>
    <t>Treo. g/dia</t>
  </si>
  <si>
    <t>Triptofano</t>
  </si>
  <si>
    <t>Tript. g/dia</t>
  </si>
  <si>
    <t>Valina</t>
  </si>
  <si>
    <t>Val. g/dia</t>
  </si>
  <si>
    <t>Alanina</t>
  </si>
  <si>
    <t>Alan. g/dia</t>
  </si>
  <si>
    <t>Ácido Aspártico</t>
  </si>
  <si>
    <t>Ac asp. g/dia</t>
  </si>
  <si>
    <t>Cistina</t>
  </si>
  <si>
    <t>Cist. g/dia</t>
  </si>
  <si>
    <t>Ácido glutâmico</t>
  </si>
  <si>
    <t>Ac glut. g/dia</t>
  </si>
  <si>
    <t>Glicina</t>
  </si>
  <si>
    <t>Glic. g/dia</t>
  </si>
  <si>
    <t>Prolina</t>
  </si>
  <si>
    <t>Prol. g/dia</t>
  </si>
  <si>
    <t>Serina</t>
  </si>
  <si>
    <t>Serin. g/dia</t>
  </si>
  <si>
    <t>Tirosina</t>
  </si>
  <si>
    <t>Tiros. g/dia</t>
  </si>
  <si>
    <t>AMINOÁCIDOS*</t>
  </si>
  <si>
    <t>Sexo</t>
  </si>
  <si>
    <t>Exigência</t>
  </si>
  <si>
    <t>Código</t>
  </si>
  <si>
    <t>Matéria Seca</t>
  </si>
  <si>
    <t>MS</t>
  </si>
  <si>
    <t>kg/dia</t>
  </si>
  <si>
    <t>Extrato Etéreo</t>
  </si>
  <si>
    <t>EE</t>
  </si>
  <si>
    <t>Carboidratos Não Fibrosos</t>
  </si>
  <si>
    <t>CNF</t>
  </si>
  <si>
    <t>Fibra em Detergente Neutro</t>
  </si>
  <si>
    <t>FDN Fisicamente Efetiva</t>
  </si>
  <si>
    <t>FDNfe</t>
  </si>
  <si>
    <t>Teor de Amido</t>
  </si>
  <si>
    <t>AMIDO</t>
  </si>
  <si>
    <t>Nutrientes Digestíveis Totais</t>
  </si>
  <si>
    <t>g/dia</t>
  </si>
  <si>
    <t>Proteína Bruta</t>
  </si>
  <si>
    <t>mg/dia</t>
  </si>
  <si>
    <t>Iodo</t>
  </si>
  <si>
    <t>I</t>
  </si>
  <si>
    <t>EXIGÊNCIA x DIETA</t>
  </si>
  <si>
    <t>RESUMO DA DIETA GERAL</t>
  </si>
  <si>
    <t>Diária s/ supl. (R$/cab)</t>
  </si>
  <si>
    <t>FORMULAÇÃO DO SUPLEMENTO</t>
  </si>
  <si>
    <t>OUTRAS INFORMAÇÕES</t>
  </si>
  <si>
    <t>INFORMAÇÕES P/ EXIGÊNCIA</t>
  </si>
  <si>
    <t>Diária do suplemento (R$/cab)</t>
  </si>
  <si>
    <t>Diária total (R$/cab)</t>
  </si>
  <si>
    <t>GMD de equilíbrio</t>
  </si>
  <si>
    <t>GMC de equilíbrio</t>
  </si>
  <si>
    <t>Custo da @ produzia (R$)</t>
  </si>
  <si>
    <t>Dias para produzir 1@</t>
  </si>
  <si>
    <t>**Para que o GMD seja alcançado, você tem que garantir que seu animal tenha acesso a essa quantidade de forragem e suplemento diariamente.</t>
  </si>
  <si>
    <t>R$ produzidos/cab/dia</t>
  </si>
  <si>
    <t>Margem de produção/cab/dia</t>
  </si>
  <si>
    <t>Margem R$/cab/mês</t>
  </si>
  <si>
    <t>Acréscimo de consumo de MS</t>
  </si>
  <si>
    <t>*Esses resultados serão alcançados somente se todos os números preenchidos na planilha acontecerem na vida real.</t>
  </si>
  <si>
    <t>GMD (kg/cab/dia)</t>
  </si>
  <si>
    <t>Peso inicial (kg)</t>
  </si>
  <si>
    <t>Peso final (kg)</t>
  </si>
  <si>
    <t>Consumo total</t>
  </si>
  <si>
    <t>n° de animais (cab)</t>
  </si>
  <si>
    <t>Ureia pelo NNP</t>
  </si>
  <si>
    <t>Consumo total/cab</t>
  </si>
  <si>
    <t>***As estimativas de consumo foram feitas em cima do peso médio, podendo ter variação de acordo com o desempenho.</t>
  </si>
  <si>
    <t>Consumo de supl. diário no lote</t>
  </si>
  <si>
    <t>Consumo de supl. diário/cab</t>
  </si>
  <si>
    <t>Consumo de supl. total no período</t>
  </si>
  <si>
    <t>Matéria seca (MS)</t>
  </si>
  <si>
    <t>Categoria</t>
  </si>
  <si>
    <t>MS (%)</t>
  </si>
  <si>
    <t>EE (%MS)</t>
  </si>
  <si>
    <t>PB (%MS)</t>
  </si>
  <si>
    <t>NDT (%MS)</t>
  </si>
  <si>
    <t>FDN (%MS)</t>
  </si>
  <si>
    <t>Ca (%MS)</t>
  </si>
  <si>
    <t>P (%MS)</t>
  </si>
  <si>
    <t>Mg (%MS)</t>
  </si>
  <si>
    <t>K (%MS)</t>
  </si>
  <si>
    <t>Na (%MS)</t>
  </si>
  <si>
    <t>S (%MS)</t>
  </si>
  <si>
    <t>Forragens Verdes</t>
  </si>
  <si>
    <t>Cana-de-açúcar</t>
  </si>
  <si>
    <t>Capim Andropogon</t>
  </si>
  <si>
    <t>Capim Braquiária Brizantha</t>
  </si>
  <si>
    <t>Capim Braquiária Brizantha Marandu</t>
  </si>
  <si>
    <t>Capim Braquiária Decumbens</t>
  </si>
  <si>
    <t>Capim Braquiária Humidícola</t>
  </si>
  <si>
    <t>Capim Gordura</t>
  </si>
  <si>
    <t>Capim Massai</t>
  </si>
  <si>
    <t>Capim Mombaça</t>
  </si>
  <si>
    <t>Capim Tifton 85</t>
  </si>
  <si>
    <t>Milheto</t>
  </si>
  <si>
    <t>Sorgo Forrageiro</t>
  </si>
  <si>
    <t>Forragens Secas</t>
  </si>
  <si>
    <t>Capim Braquiária Brizantha Feno</t>
  </si>
  <si>
    <t>Silagens</t>
  </si>
  <si>
    <t>Cana-de-açúcar Silagem</t>
  </si>
  <si>
    <t>Capim Elefante Silagem</t>
  </si>
  <si>
    <t>Capim Mombaça Silagem</t>
  </si>
  <si>
    <t>Milho Silagem</t>
  </si>
  <si>
    <t>Milho Silagem Sem Espiga</t>
  </si>
  <si>
    <t>Sorgo Silagem</t>
  </si>
  <si>
    <t>Concentrados Energéticos</t>
  </si>
  <si>
    <t>Milho Fubá</t>
  </si>
  <si>
    <t>Soja Casca</t>
  </si>
  <si>
    <t>Sorgo Grão</t>
  </si>
  <si>
    <t>Concentrados Proteicos</t>
  </si>
  <si>
    <t>Algodão Caroço</t>
  </si>
  <si>
    <t>Algodão Farelo 28%PB</t>
  </si>
  <si>
    <t>Algodão Farelo 38%PB</t>
  </si>
  <si>
    <t>Algodão Torta</t>
  </si>
  <si>
    <t>Grão de Destilaria Seco (DDG 18%)</t>
  </si>
  <si>
    <t>Grão de Destilaria Seco (DDG 30%)</t>
  </si>
  <si>
    <t>Soja Farelo Extrusado</t>
  </si>
  <si>
    <t>Fontes Minerais</t>
  </si>
  <si>
    <t>Fosfato Supersimples</t>
  </si>
  <si>
    <t>Fosfato Supertriplo</t>
  </si>
  <si>
    <t>Sal Comum</t>
  </si>
  <si>
    <t>Braquiária Brizantha</t>
  </si>
  <si>
    <t>Marandu</t>
  </si>
  <si>
    <t>Decumbens</t>
  </si>
  <si>
    <t>Humidícola</t>
  </si>
  <si>
    <t>DDG 18%</t>
  </si>
  <si>
    <t>DDG 30%</t>
  </si>
  <si>
    <t>Sal comum</t>
  </si>
  <si>
    <t>01 - Informações gerais</t>
  </si>
  <si>
    <t>02 - Informações gerais do suplemento</t>
  </si>
  <si>
    <t>A tabela abaixo apresenta a % de cada ingrediente que tem que constar na suplementação diária do seu animal, ou seja, essa será a batida realizada.</t>
  </si>
  <si>
    <t>TABELA DO SUPLEMENTO FORMULADO</t>
  </si>
  <si>
    <t>*o consumo acima deve ir aumentando proporcionalmente conforme os animais ganham peso.</t>
  </si>
  <si>
    <t>03 - informações da batida/mistura</t>
  </si>
  <si>
    <t>A tabela abaixo apresenta a quantidade em quilos de cada ingrediente devem ser colocados na batida/mistura, de acordo com o tamanho da sua batida/mistura.</t>
  </si>
  <si>
    <t>TABELA DE BATIDA</t>
  </si>
  <si>
    <t>04 - Informações da dieta total</t>
  </si>
  <si>
    <t xml:space="preserve">TABELA DA DIETA TOTAL </t>
  </si>
  <si>
    <t>Qnt./cab/dia</t>
  </si>
  <si>
    <t>Qnt./lote/dia</t>
  </si>
  <si>
    <t>*na prática, sabemos que mensurar o consumo de pasto para animais em pastejo é praticamente impossível. Portanto, a quantidade de capim acima serve como baliza. Caso não tenha essa oferta de pasto na qualidade informada, o GMD alvo não será atingido.</t>
  </si>
  <si>
    <t>*como o peso dos animais deve ser corrigido conforme o ganho de peso, essa quantidade pode mudar, servindo apenas com um parâmetro inicial.</t>
  </si>
  <si>
    <t>R$/kg ingredientes</t>
  </si>
  <si>
    <t>TABELA DE CONSUMO TOTAL</t>
  </si>
  <si>
    <t>R$/NDT</t>
  </si>
  <si>
    <t>R$/PB</t>
  </si>
  <si>
    <t>Fortumix +engorda SP</t>
  </si>
  <si>
    <t>Ultra-denso</t>
  </si>
  <si>
    <t>Rotacionado</t>
  </si>
  <si>
    <t>%MS</t>
  </si>
  <si>
    <t>Ingr</t>
  </si>
  <si>
    <t>Capim</t>
  </si>
  <si>
    <t>%EF colheita</t>
  </si>
  <si>
    <t>Contínuo</t>
  </si>
  <si>
    <t>Alternado</t>
  </si>
  <si>
    <t>Ponta 7X</t>
  </si>
  <si>
    <t>Datas</t>
  </si>
  <si>
    <t>Peso médio por animal</t>
  </si>
  <si>
    <t>Consumo de suplemento</t>
  </si>
  <si>
    <t>Lotação no pasto</t>
  </si>
  <si>
    <t>Produção total</t>
  </si>
  <si>
    <t>Leitura</t>
  </si>
  <si>
    <t>Validação dia</t>
  </si>
  <si>
    <t>Dia</t>
  </si>
  <si>
    <t>Peso</t>
  </si>
  <si>
    <t>lotação</t>
  </si>
  <si>
    <t>Saldo @</t>
  </si>
  <si>
    <t>*para lotações acima de 5 U.A/ha, para cada 10 Kg de nitrogênio aplicado, distribuir 1 kg de Enxofre.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</si>
</sst>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8">
    <numFmt numFmtId="164" formatCode="_-&quot;R$&quot;\ * #,##0.00_-;\-&quot;R$&quot;\ * #,##0.00_-;_-&quot;R$&quot;\ * &quot;-&quot;??_-;_-@_-"/>
    <numFmt numFmtId="165" formatCode="0.000"/>
    <numFmt numFmtId="166" formatCode="0.0"/>
    <numFmt numFmtId="167" formatCode="0\ &quot;kg&quot;"/>
    <numFmt numFmtId="168" formatCode="0.0\ &quot;U.A/ha&quot;"/>
    <numFmt numFmtId="169" formatCode="_-&quot;R$&quot;\ * #,##0.00_-;\-&quot;R$&quot;\ * #,##0.00_-;_-&quot;R$&quot;\ * &quot;-&quot;??_-;_-@"/>
    <numFmt numFmtId="170" formatCode="0.0%"/>
    <numFmt numFmtId="171" formatCode="0.000000"/>
    <numFmt numFmtId="172" formatCode="0.00000"/>
    <numFmt numFmtId="173" formatCode="_(&quot;R$&quot;* #,##0.00_);_(&quot;R$&quot;* \(#,##0.00\);_(&quot;R$&quot;* &quot;-&quot;??_);_(@_)"/>
    <numFmt numFmtId="174" formatCode="0.000%"/>
    <numFmt numFmtId="175" formatCode="0.000\ &quot;kg&quot;"/>
    <numFmt numFmtId="176" formatCode="0.0\ &quot;g&quot;"/>
    <numFmt numFmtId="177" formatCode="General\ &quot;kg&quot;"/>
    <numFmt numFmtId="178" formatCode="0.0\ &quot;toneladas por hectare, 60 a 90 dias depois do calcário, e antes da adubação de fósforo.&quot;"/>
    <numFmt numFmtId="179" formatCode="0.0000"/>
    <numFmt numFmtId="180" formatCode="General\ &quot;litros&quot;"/>
    <numFmt numFmtId="181" formatCode="0.0\ &quot;@/ha&quot;"/>
    <numFmt numFmtId="182" formatCode="0.000\ &quot;kg/dia&quot;"/>
    <numFmt numFmtId="183" formatCode="&quot;R$&quot;\ #,##0.00"/>
    <numFmt numFmtId="184" formatCode="0.00\ &quot;kg&quot;"/>
    <numFmt numFmtId="185" formatCode="0\ &quot;mg&quot;"/>
    <numFmt numFmtId="186" formatCode="0.0\ &quot;kg&quot;"/>
    <numFmt numFmtId="187" formatCode="0\ &quot;dias&quot;"/>
    <numFmt numFmtId="188" formatCode="#,#00\ &quot;kg&quot;"/>
    <numFmt numFmtId="189" formatCode="0\ &quot;g&quot;"/>
    <numFmt numFmtId="190" formatCode="0.0\ &quot;kg/dia&quot;"/>
    <numFmt numFmtId="191" formatCode="0\ &quot;kg/dia&quot;"/>
    <numFmt numFmtId="192" formatCode="#,#00.0\ &quot;kg&quot;"/>
    <numFmt numFmtId="193" formatCode="0.00%\ &quot;P.V&quot;"/>
    <numFmt numFmtId="194" formatCode="0\ &quot;@&quot;"/>
    <numFmt numFmtId="195" formatCode="&quot;Total&quot;\ 0.0\ &quot;ton&quot;"/>
    <numFmt numFmtId="196" formatCode="&quot;Total&quot;\ 0\ &quot;ton&quot;"/>
    <numFmt numFmtId="197" formatCode="0\ &quot;kg/ha&quot;"/>
    <numFmt numFmtId="198" formatCode="0.0\ &quot;ton/ha&quot;"/>
    <numFmt numFmtId="199" formatCode="0\ &quot;ton&quot;"/>
    <numFmt numFmtId="200" formatCode="0.0\ &quot;ton&quot;"/>
    <numFmt numFmtId="201" formatCode="&quot;Total &quot;_-&quot;R$&quot;\ * #,##0.00_-;\-&quot;R$&quot;\ * #,##0.00_-;_-&quot;R$&quot;\ * &quot;-&quot;??_-;_-@_-"/>
  </numFmts>
  <fonts count="44"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24"/>
      <color theme="0"/>
      <name val="Calibri"/>
      <family val="2"/>
      <scheme val="minor"/>
    </font>
    <font>
      <b/>
      <sz val="20"/>
      <color theme="0"/>
      <name val="Calibri"/>
      <family val="2"/>
      <scheme val="minor"/>
    </font>
    <font>
      <b/>
      <sz val="11"/>
      <color rgb="FFFF0000"/>
      <name val="Calibri"/>
      <family val="2"/>
      <scheme val="minor"/>
    </font>
    <font>
      <b/>
      <sz val="16"/>
      <color theme="0"/>
      <name val="Calibri"/>
      <family val="2"/>
      <scheme val="minor"/>
    </font>
    <font>
      <sz val="11"/>
      <color theme="1"/>
      <name val="Calibri"/>
      <family val="2"/>
    </font>
    <font>
      <sz val="11"/>
      <color theme="0"/>
      <name val="Calibri"/>
      <family val="2"/>
    </font>
    <font>
      <b/>
      <sz val="18"/>
      <color theme="0"/>
      <name val="Calibri"/>
      <family val="2"/>
      <scheme val="minor"/>
    </font>
    <font>
      <sz val="11"/>
      <color theme="0" tint="-4.9989318521683403E-2"/>
      <name val="Calibri"/>
      <family val="2"/>
      <scheme val="minor"/>
    </font>
    <font>
      <sz val="11"/>
      <color rgb="FFFF0000"/>
      <name val="Calibri"/>
      <family val="2"/>
      <scheme val="minor"/>
    </font>
    <font>
      <b/>
      <sz val="11"/>
      <color rgb="FF1F4B31"/>
      <name val="Calibri"/>
      <family val="2"/>
      <scheme val="minor"/>
    </font>
    <font>
      <sz val="9"/>
      <color rgb="FF1F4B31"/>
      <name val="Calibri"/>
      <family val="2"/>
      <scheme val="minor"/>
    </font>
    <font>
      <sz val="11"/>
      <color rgb="FF1F4B31"/>
      <name val="Calibri"/>
      <family val="2"/>
      <scheme val="minor"/>
    </font>
    <font>
      <b/>
      <sz val="14"/>
      <color rgb="FF1F4B31"/>
      <name val="Calibri"/>
      <family val="2"/>
      <scheme val="minor"/>
    </font>
    <font>
      <b/>
      <sz val="9"/>
      <color indexed="81"/>
      <name val="Segoe UI"/>
      <family val="2"/>
    </font>
    <font>
      <sz val="9"/>
      <color indexed="81"/>
      <name val="Segoe UI"/>
      <family val="2"/>
    </font>
    <font>
      <sz val="11"/>
      <color theme="2"/>
      <name val="Calibri"/>
      <family val="2"/>
      <scheme val="minor"/>
    </font>
    <font>
      <sz val="11"/>
      <color rgb="FF000000"/>
      <name val="Calibri"/>
      <family val="2"/>
      <scheme val="minor"/>
    </font>
    <font>
      <sz val="11"/>
      <color indexed="8"/>
      <name val="Calibri"/>
      <family val="2"/>
      <scheme val="minor"/>
    </font>
    <font>
      <b/>
      <sz val="11"/>
      <color indexed="8"/>
      <name val="Calibri"/>
      <family val="2"/>
      <scheme val="minor"/>
    </font>
    <font>
      <b/>
      <sz val="11"/>
      <color rgb="FF000000"/>
      <name val="Calibri"/>
      <family val="2"/>
      <scheme val="minor"/>
    </font>
    <font>
      <b/>
      <sz val="12"/>
      <color rgb="FF1F4B31"/>
      <name val="Calibri"/>
      <family val="2"/>
      <scheme val="minor"/>
    </font>
    <font>
      <b/>
      <sz val="10"/>
      <name val="Arial"/>
      <family val="2"/>
    </font>
    <font>
      <vertAlign val="superscript"/>
      <sz val="10"/>
      <name val="Arial"/>
      <family val="2"/>
    </font>
    <font>
      <sz val="10"/>
      <name val="Arial"/>
      <family val="2"/>
    </font>
    <font>
      <sz val="10.5"/>
      <color indexed="8"/>
      <name val="Segoe UI"/>
      <family val="2"/>
    </font>
    <font>
      <b/>
      <sz val="11"/>
      <name val="Arial"/>
      <family val="2"/>
    </font>
    <font>
      <sz val="9"/>
      <color indexed="81"/>
      <name val="Segoe UI"/>
      <charset val="1"/>
    </font>
    <font>
      <b/>
      <sz val="10"/>
      <color theme="0"/>
      <name val="Calibri"/>
      <family val="2"/>
      <scheme val="minor"/>
    </font>
    <font>
      <sz val="16"/>
      <color theme="0"/>
      <name val="Calibri"/>
      <family val="2"/>
      <scheme val="minor"/>
    </font>
    <font>
      <b/>
      <sz val="11"/>
      <name val="Calibri"/>
      <family val="2"/>
      <scheme val="minor"/>
    </font>
    <font>
      <i/>
      <sz val="11"/>
      <color rgb="FF000000"/>
      <name val="Calibri"/>
      <family val="2"/>
      <scheme val="minor"/>
    </font>
    <font>
      <b/>
      <sz val="14"/>
      <name val="Calibri"/>
      <family val="2"/>
      <scheme val="minor"/>
    </font>
    <font>
      <b/>
      <sz val="14"/>
      <color theme="1"/>
      <name val="Calibri"/>
      <family val="2"/>
      <scheme val="minor"/>
    </font>
    <font>
      <i/>
      <sz val="11"/>
      <color theme="1"/>
      <name val="Calibri"/>
      <family val="2"/>
      <scheme val="minor"/>
    </font>
    <font>
      <i/>
      <sz val="11"/>
      <name val="Calibri"/>
      <family val="2"/>
      <scheme val="minor"/>
    </font>
    <font>
      <b/>
      <sz val="18"/>
      <color rgb="FF000000"/>
      <name val="Calibri"/>
      <family val="2"/>
      <scheme val="minor"/>
    </font>
    <font>
      <b/>
      <sz val="12"/>
      <color theme="1"/>
      <name val="Calibri"/>
      <family val="2"/>
      <scheme val="minor"/>
    </font>
    <font>
      <i/>
      <sz val="9"/>
      <color rgb="FFFF0000"/>
      <name val="Calibri"/>
      <family val="2"/>
      <scheme val="minor"/>
    </font>
  </fonts>
  <fills count="28">
    <fill>
      <patternFill patternType="none"/>
    </fill>
    <fill>
      <patternFill patternType="gray125"/>
    </fill>
    <fill>
      <patternFill patternType="solid">
        <fgColor rgb="FF1F4B31"/>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FFF2CC"/>
        <bgColor indexed="64"/>
      </patternFill>
    </fill>
    <fill>
      <patternFill patternType="solid">
        <fgColor theme="0"/>
        <bgColor indexed="64"/>
      </patternFill>
    </fill>
    <fill>
      <patternFill patternType="solid">
        <fgColor rgb="FF25593A"/>
        <bgColor indexed="64"/>
      </patternFill>
    </fill>
    <fill>
      <patternFill patternType="solid">
        <fgColor rgb="FF30724B"/>
        <bgColor indexed="64"/>
      </patternFill>
    </fill>
    <fill>
      <patternFill patternType="solid">
        <fgColor rgb="FFFFC000"/>
        <bgColor indexed="64"/>
      </patternFill>
    </fill>
    <fill>
      <patternFill patternType="solid">
        <fgColor rgb="FF162E23"/>
        <bgColor indexed="64"/>
      </patternFill>
    </fill>
    <fill>
      <patternFill patternType="solid">
        <fgColor rgb="FF2C5C46"/>
        <bgColor indexed="64"/>
      </patternFill>
    </fill>
    <fill>
      <patternFill patternType="solid">
        <fgColor rgb="FFFF0000"/>
        <bgColor indexed="64"/>
      </patternFill>
    </fill>
    <fill>
      <patternFill patternType="solid">
        <fgColor rgb="FF00B050"/>
        <bgColor indexed="64"/>
      </patternFill>
    </fill>
    <fill>
      <patternFill patternType="solid">
        <fgColor rgb="FF408666"/>
        <bgColor rgb="FF408666"/>
      </patternFill>
    </fill>
    <fill>
      <patternFill patternType="solid">
        <fgColor rgb="FFFEF2CB"/>
        <bgColor rgb="FFFEF2CB"/>
      </patternFill>
    </fill>
    <fill>
      <patternFill patternType="solid">
        <fgColor theme="0"/>
        <bgColor rgb="FFFEF2CB"/>
      </patternFill>
    </fill>
    <fill>
      <patternFill patternType="solid">
        <fgColor theme="2"/>
        <bgColor indexed="64"/>
      </patternFill>
    </fill>
    <fill>
      <patternFill patternType="solid">
        <fgColor rgb="FF1F4B31"/>
        <bgColor rgb="FF408666"/>
      </patternFill>
    </fill>
    <fill>
      <patternFill patternType="solid">
        <fgColor theme="7" tint="0.79998168889431442"/>
        <bgColor rgb="FFFEF2CB"/>
      </patternFill>
    </fill>
    <fill>
      <patternFill patternType="solid">
        <fgColor theme="4" tint="-0.249977111117893"/>
        <bgColor indexed="64"/>
      </patternFill>
    </fill>
    <fill>
      <patternFill patternType="solid">
        <fgColor indexed="13"/>
        <bgColor indexed="34"/>
      </patternFill>
    </fill>
    <fill>
      <patternFill patternType="solid">
        <fgColor indexed="57"/>
        <bgColor indexed="17"/>
      </patternFill>
    </fill>
    <fill>
      <patternFill patternType="solid">
        <fgColor indexed="35"/>
        <bgColor indexed="21"/>
      </patternFill>
    </fill>
    <fill>
      <patternFill patternType="solid">
        <fgColor indexed="15"/>
        <bgColor indexed="40"/>
      </patternFill>
    </fill>
    <fill>
      <patternFill patternType="solid">
        <fgColor rgb="FF28623F"/>
        <bgColor indexed="64"/>
      </patternFill>
    </fill>
    <fill>
      <patternFill patternType="solid">
        <fgColor rgb="FFFFF2CC"/>
        <bgColor rgb="FFFFFF99"/>
      </patternFill>
    </fill>
    <fill>
      <patternFill patternType="solid">
        <fgColor theme="0"/>
        <bgColor rgb="FFFFFF99"/>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double">
        <color rgb="FF1F4B31"/>
      </bottom>
      <diagonal/>
    </border>
    <border>
      <left/>
      <right/>
      <top/>
      <bottom style="thin">
        <color rgb="FF1F4B31"/>
      </bottom>
      <diagonal/>
    </border>
    <border>
      <left/>
      <right/>
      <top/>
      <bottom style="double">
        <color indexed="64"/>
      </bottom>
      <diagonal/>
    </border>
    <border>
      <left/>
      <right/>
      <top style="thin">
        <color rgb="FF1F4B31"/>
      </top>
      <bottom style="thin">
        <color rgb="FF1F4B31"/>
      </bottom>
      <diagonal/>
    </border>
    <border>
      <left/>
      <right/>
      <top style="double">
        <color rgb="FF1F4B31"/>
      </top>
      <bottom style="thin">
        <color rgb="FF1F4B31"/>
      </bottom>
      <diagonal/>
    </border>
    <border>
      <left style="thin">
        <color rgb="FF1F4B31"/>
      </left>
      <right/>
      <top/>
      <bottom/>
      <diagonal/>
    </border>
    <border>
      <left/>
      <right/>
      <top style="medium">
        <color indexed="64"/>
      </top>
      <bottom style="medium">
        <color indexed="64"/>
      </bottom>
      <diagonal/>
    </border>
    <border>
      <left/>
      <right/>
      <top/>
      <bottom style="medium">
        <color indexed="64"/>
      </bottom>
      <diagonal/>
    </border>
    <border>
      <left style="hair">
        <color indexed="8"/>
      </left>
      <right style="hair">
        <color indexed="8"/>
      </right>
      <top style="hair">
        <color indexed="8"/>
      </top>
      <bottom style="hair">
        <color indexed="8"/>
      </bottom>
      <diagonal/>
    </border>
    <border>
      <left/>
      <right/>
      <top style="medium">
        <color indexed="64"/>
      </top>
      <bottom/>
      <diagonal/>
    </border>
    <border>
      <left/>
      <right/>
      <top style="medium">
        <color indexed="64"/>
      </top>
      <bottom style="medium">
        <color theme="1"/>
      </bottom>
      <diagonal/>
    </border>
    <border>
      <left/>
      <right/>
      <top/>
      <bottom style="medium">
        <color theme="1"/>
      </bottom>
      <diagonal/>
    </border>
    <border>
      <left/>
      <right/>
      <top/>
      <bottom style="hair">
        <color theme="1"/>
      </bottom>
      <diagonal/>
    </border>
    <border>
      <left/>
      <right/>
      <top style="medium">
        <color theme="1"/>
      </top>
      <bottom style="medium">
        <color theme="1"/>
      </bottom>
      <diagonal/>
    </border>
    <border>
      <left/>
      <right/>
      <top/>
      <bottom style="double">
        <color theme="1"/>
      </bottom>
      <diagonal/>
    </border>
    <border>
      <left/>
      <right/>
      <top style="double">
        <color theme="1"/>
      </top>
      <bottom style="double">
        <color theme="1"/>
      </bottom>
      <diagonal/>
    </border>
    <border>
      <left/>
      <right/>
      <top style="double">
        <color theme="1"/>
      </top>
      <bottom/>
      <diagonal/>
    </border>
    <border>
      <left style="hair">
        <color theme="1"/>
      </left>
      <right/>
      <top style="medium">
        <color theme="1"/>
      </top>
      <bottom style="medium">
        <color theme="1"/>
      </bottom>
      <diagonal/>
    </border>
    <border>
      <left style="hair">
        <color theme="1"/>
      </left>
      <right/>
      <top/>
      <bottom/>
      <diagonal/>
    </border>
    <border>
      <left/>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theme="1"/>
      </left>
      <right/>
      <top/>
      <bottom style="medium">
        <color indexed="64"/>
      </bottom>
      <diagonal/>
    </border>
  </borders>
  <cellStyleXfs count="5">
    <xf numFmtId="0" fontId="0" fillId="0" borderId="0"/>
    <xf numFmtId="164" fontId="1" fillId="0" borderId="0" applyFont="0" applyFill="0" applyBorder="0" applyAlignment="0" applyProtection="0"/>
    <xf numFmtId="9" fontId="1" fillId="0" borderId="0" applyFont="0" applyFill="0" applyBorder="0" applyAlignment="0" applyProtection="0"/>
    <xf numFmtId="0" fontId="29" fillId="0" borderId="0"/>
    <xf numFmtId="0" fontId="29" fillId="0" borderId="0"/>
  </cellStyleXfs>
  <cellXfs count="648">
    <xf numFmtId="0" fontId="0" fillId="0" borderId="0" xfId="0"/>
    <xf numFmtId="0" fontId="0" fillId="0" borderId="0" xfId="0" applyAlignment="1">
      <alignment horizontal="center" vertical="center"/>
    </xf>
    <xf numFmtId="0" fontId="0" fillId="0" borderId="0" xfId="0" applyAlignment="1">
      <alignment horizontal="center"/>
    </xf>
    <xf numFmtId="0" fontId="0" fillId="4" borderId="0" xfId="0" applyFill="1"/>
    <xf numFmtId="0" fontId="0" fillId="4" borderId="0" xfId="0" applyFill="1" applyAlignment="1">
      <alignment horizontal="center" vertical="center"/>
    </xf>
    <xf numFmtId="0" fontId="0" fillId="4" borderId="0" xfId="0" applyFill="1" applyAlignment="1">
      <alignment horizontal="center"/>
    </xf>
    <xf numFmtId="14" fontId="0" fillId="4" borderId="0" xfId="0" applyNumberFormat="1" applyFill="1" applyAlignment="1">
      <alignment horizontal="center" vertical="center"/>
    </xf>
    <xf numFmtId="0" fontId="0" fillId="6" borderId="0" xfId="0" applyFill="1" applyAlignment="1">
      <alignment horizontal="center" vertical="center"/>
    </xf>
    <xf numFmtId="166" fontId="0" fillId="6" borderId="0" xfId="0" applyNumberFormat="1" applyFill="1" applyAlignment="1">
      <alignment horizontal="center" vertical="center"/>
    </xf>
    <xf numFmtId="0" fontId="0" fillId="2" borderId="0" xfId="0" applyFill="1"/>
    <xf numFmtId="0" fontId="0" fillId="0" borderId="1" xfId="0" applyBorder="1" applyAlignment="1">
      <alignment horizontal="center"/>
    </xf>
    <xf numFmtId="0" fontId="0" fillId="5" borderId="0" xfId="0" applyFill="1" applyAlignment="1" applyProtection="1">
      <alignment horizontal="center" vertical="center"/>
      <protection locked="0"/>
    </xf>
    <xf numFmtId="165" fontId="0" fillId="5" borderId="0" xfId="0" applyNumberFormat="1" applyFill="1" applyAlignment="1" applyProtection="1">
      <alignment horizontal="center" vertical="center"/>
      <protection locked="0"/>
    </xf>
    <xf numFmtId="10" fontId="0" fillId="5" borderId="0" xfId="2" applyNumberFormat="1" applyFont="1" applyFill="1" applyAlignment="1" applyProtection="1">
      <alignment horizontal="center" vertical="center"/>
      <protection locked="0"/>
    </xf>
    <xf numFmtId="10" fontId="0" fillId="5" borderId="0" xfId="0" applyNumberFormat="1" applyFill="1" applyAlignment="1" applyProtection="1">
      <alignment horizontal="center" vertical="center"/>
      <protection locked="0"/>
    </xf>
    <xf numFmtId="166" fontId="0" fillId="5" borderId="0" xfId="0" applyNumberFormat="1" applyFill="1" applyAlignment="1" applyProtection="1">
      <alignment horizontal="center" vertical="center"/>
      <protection locked="0"/>
    </xf>
    <xf numFmtId="0" fontId="0" fillId="6" borderId="0" xfId="0" applyFill="1" applyAlignment="1">
      <alignment horizontal="center"/>
    </xf>
    <xf numFmtId="0" fontId="0" fillId="6" borderId="0" xfId="0" applyFill="1"/>
    <xf numFmtId="164" fontId="0" fillId="0" borderId="1" xfId="0" applyNumberFormat="1" applyBorder="1" applyAlignment="1">
      <alignment horizontal="center"/>
    </xf>
    <xf numFmtId="0" fontId="4" fillId="11" borderId="1" xfId="0" applyFont="1" applyFill="1" applyBorder="1" applyAlignment="1">
      <alignment horizontal="left"/>
    </xf>
    <xf numFmtId="0" fontId="4" fillId="11" borderId="13" xfId="0" applyFont="1" applyFill="1" applyBorder="1" applyAlignment="1">
      <alignment vertical="center"/>
    </xf>
    <xf numFmtId="0" fontId="4" fillId="11" borderId="15" xfId="0" applyFont="1" applyFill="1" applyBorder="1" applyAlignment="1">
      <alignment wrapText="1"/>
    </xf>
    <xf numFmtId="0" fontId="4" fillId="10" borderId="10" xfId="0" applyFont="1" applyFill="1" applyBorder="1" applyAlignment="1">
      <alignment horizontal="center"/>
    </xf>
    <xf numFmtId="0" fontId="4" fillId="10" borderId="11" xfId="0" applyFont="1" applyFill="1" applyBorder="1" applyAlignment="1">
      <alignment horizontal="center"/>
    </xf>
    <xf numFmtId="0" fontId="4" fillId="11" borderId="1" xfId="0" applyFont="1" applyFill="1" applyBorder="1" applyAlignment="1">
      <alignment wrapText="1"/>
    </xf>
    <xf numFmtId="167" fontId="0" fillId="0" borderId="14" xfId="0" applyNumberFormat="1" applyBorder="1" applyAlignment="1">
      <alignment horizontal="center"/>
    </xf>
    <xf numFmtId="0" fontId="0" fillId="6" borderId="0" xfId="0" applyFill="1" applyAlignment="1">
      <alignment horizontal="left"/>
    </xf>
    <xf numFmtId="0" fontId="10" fillId="15" borderId="13" xfId="0" applyFont="1" applyFill="1" applyBorder="1" applyAlignment="1" applyProtection="1">
      <alignment horizontal="center" vertical="center"/>
      <protection locked="0"/>
    </xf>
    <xf numFmtId="164" fontId="10" fillId="15" borderId="4" xfId="1" applyFont="1" applyFill="1" applyBorder="1" applyAlignment="1" applyProtection="1">
      <alignment horizontal="center" vertical="center"/>
      <protection locked="0"/>
    </xf>
    <xf numFmtId="164" fontId="10" fillId="15" borderId="6" xfId="1" applyFont="1" applyFill="1" applyBorder="1" applyAlignment="1" applyProtection="1">
      <alignment horizontal="center" vertical="center"/>
      <protection locked="0"/>
    </xf>
    <xf numFmtId="169" fontId="10" fillId="15" borderId="9" xfId="0" applyNumberFormat="1" applyFont="1" applyFill="1" applyBorder="1" applyAlignment="1" applyProtection="1">
      <alignment horizontal="center" vertical="center"/>
      <protection locked="0"/>
    </xf>
    <xf numFmtId="0" fontId="0" fillId="3" borderId="15" xfId="0" applyFill="1" applyBorder="1" applyAlignment="1" applyProtection="1">
      <alignment horizontal="center" vertical="center"/>
      <protection locked="0"/>
    </xf>
    <xf numFmtId="0" fontId="0" fillId="3" borderId="15" xfId="1" applyNumberFormat="1" applyFont="1" applyFill="1" applyBorder="1" applyAlignment="1" applyProtection="1">
      <alignment horizontal="center" vertical="center"/>
      <protection locked="0"/>
    </xf>
    <xf numFmtId="0" fontId="12" fillId="4" borderId="0" xfId="0" applyFont="1" applyFill="1" applyAlignment="1">
      <alignment horizontal="center" vertical="center"/>
    </xf>
    <xf numFmtId="0" fontId="0" fillId="17" borderId="0" xfId="0" applyFill="1"/>
    <xf numFmtId="0" fontId="0" fillId="17" borderId="0" xfId="0" applyFill="1" applyAlignment="1">
      <alignment horizontal="center" vertical="center"/>
    </xf>
    <xf numFmtId="0" fontId="0" fillId="17" borderId="0" xfId="2" applyNumberFormat="1" applyFont="1" applyFill="1" applyAlignment="1">
      <alignment horizontal="center" vertical="center"/>
    </xf>
    <xf numFmtId="0" fontId="14" fillId="17" borderId="0" xfId="0" applyFont="1" applyFill="1" applyAlignment="1">
      <alignment horizontal="left" vertical="center"/>
    </xf>
    <xf numFmtId="0" fontId="18" fillId="17" borderId="21" xfId="0" applyFont="1" applyFill="1" applyBorder="1" applyAlignment="1">
      <alignment horizontal="left" vertical="center"/>
    </xf>
    <xf numFmtId="164" fontId="0" fillId="0" borderId="8" xfId="1" applyFont="1" applyBorder="1" applyAlignment="1">
      <alignment horizontal="center" vertical="center"/>
    </xf>
    <xf numFmtId="0" fontId="2" fillId="2" borderId="11" xfId="0" applyFont="1" applyFill="1" applyBorder="1" applyAlignment="1">
      <alignment horizontal="center" vertical="center"/>
    </xf>
    <xf numFmtId="0" fontId="2" fillId="2" borderId="10" xfId="0" applyFont="1" applyFill="1" applyBorder="1" applyAlignment="1">
      <alignment horizontal="center" vertical="center"/>
    </xf>
    <xf numFmtId="164" fontId="5" fillId="17" borderId="0" xfId="1" applyFont="1" applyFill="1" applyAlignment="1">
      <alignment horizontal="center" vertical="center"/>
    </xf>
    <xf numFmtId="164" fontId="0" fillId="17" borderId="0" xfId="1" applyFont="1" applyFill="1" applyAlignment="1">
      <alignment horizontal="center" vertical="center"/>
    </xf>
    <xf numFmtId="9" fontId="0" fillId="17" borderId="0" xfId="2" applyFont="1" applyFill="1" applyAlignment="1">
      <alignment horizontal="center" vertical="center"/>
    </xf>
    <xf numFmtId="164" fontId="2" fillId="2" borderId="11" xfId="1" applyFont="1" applyFill="1" applyBorder="1" applyAlignment="1">
      <alignment horizontal="center" vertical="center"/>
    </xf>
    <xf numFmtId="9" fontId="2" fillId="2" borderId="10" xfId="2" applyFont="1" applyFill="1" applyBorder="1" applyAlignment="1">
      <alignment horizontal="center" vertical="center"/>
    </xf>
    <xf numFmtId="0" fontId="0" fillId="17" borderId="0" xfId="0" applyFill="1" applyAlignment="1">
      <alignment horizontal="left"/>
    </xf>
    <xf numFmtId="9" fontId="14" fillId="17" borderId="0" xfId="2" applyFont="1" applyFill="1" applyAlignment="1">
      <alignment horizontal="left" vertical="center"/>
    </xf>
    <xf numFmtId="0" fontId="5" fillId="0" borderId="8" xfId="0" applyFont="1" applyBorder="1" applyAlignment="1">
      <alignment horizontal="center" vertical="center"/>
    </xf>
    <xf numFmtId="0" fontId="0" fillId="17" borderId="0" xfId="2" applyNumberFormat="1" applyFont="1" applyFill="1" applyBorder="1" applyAlignment="1">
      <alignment horizontal="center" vertical="center"/>
    </xf>
    <xf numFmtId="9" fontId="2" fillId="2" borderId="12" xfId="2" applyFont="1" applyFill="1" applyBorder="1" applyAlignment="1">
      <alignment horizontal="center" vertical="center"/>
    </xf>
    <xf numFmtId="9" fontId="2" fillId="2" borderId="11" xfId="2" applyFont="1" applyFill="1" applyBorder="1" applyAlignment="1">
      <alignment horizontal="center" vertical="center"/>
    </xf>
    <xf numFmtId="0" fontId="0" fillId="2" borderId="0" xfId="0" applyFill="1" applyAlignment="1">
      <alignment horizontal="center" vertical="center"/>
    </xf>
    <xf numFmtId="0" fontId="0" fillId="2" borderId="0" xfId="2" applyNumberFormat="1" applyFont="1" applyFill="1" applyAlignment="1">
      <alignment horizontal="center" vertical="center"/>
    </xf>
    <xf numFmtId="0" fontId="9" fillId="2" borderId="0" xfId="0" applyFont="1" applyFill="1" applyAlignment="1">
      <alignment horizontal="left" vertical="center"/>
    </xf>
    <xf numFmtId="164" fontId="21" fillId="17" borderId="0" xfId="1" applyFont="1" applyFill="1" applyAlignment="1">
      <alignment horizontal="center" vertical="center"/>
    </xf>
    <xf numFmtId="0" fontId="21" fillId="17" borderId="0" xfId="0" applyFont="1" applyFill="1"/>
    <xf numFmtId="1" fontId="0" fillId="17" borderId="0" xfId="0" applyNumberFormat="1" applyFill="1" applyAlignment="1">
      <alignment horizontal="center" vertical="center"/>
    </xf>
    <xf numFmtId="164" fontId="10" fillId="19" borderId="6" xfId="1" applyFont="1" applyFill="1" applyBorder="1" applyAlignment="1" applyProtection="1">
      <alignment horizontal="center" vertical="center"/>
      <protection locked="0"/>
    </xf>
    <xf numFmtId="10" fontId="22" fillId="0" borderId="0" xfId="2" applyNumberFormat="1" applyFont="1" applyProtection="1"/>
    <xf numFmtId="164" fontId="3" fillId="6" borderId="1" xfId="0" applyNumberFormat="1" applyFont="1" applyFill="1" applyBorder="1" applyProtection="1">
      <protection locked="0"/>
    </xf>
    <xf numFmtId="10" fontId="3" fillId="6" borderId="1" xfId="2" applyNumberFormat="1" applyFont="1" applyFill="1" applyBorder="1" applyAlignment="1" applyProtection="1">
      <protection locked="0"/>
    </xf>
    <xf numFmtId="0" fontId="0" fillId="6" borderId="1" xfId="1" applyNumberFormat="1" applyFont="1" applyFill="1" applyBorder="1" applyAlignment="1" applyProtection="1">
      <alignment horizontal="center" vertical="center"/>
      <protection locked="0"/>
    </xf>
    <xf numFmtId="0" fontId="0" fillId="3" borderId="17" xfId="0" quotePrefix="1" applyFill="1" applyBorder="1" applyAlignment="1" applyProtection="1">
      <alignment horizontal="center" vertical="center"/>
      <protection locked="0"/>
    </xf>
    <xf numFmtId="0" fontId="0" fillId="3" borderId="18" xfId="0" quotePrefix="1" applyFill="1" applyBorder="1" applyAlignment="1" applyProtection="1">
      <alignment horizontal="center" vertical="center"/>
      <protection locked="0"/>
    </xf>
    <xf numFmtId="0" fontId="26" fillId="17" borderId="0" xfId="0" applyFont="1" applyFill="1" applyAlignment="1">
      <alignment horizontal="left" vertical="center"/>
    </xf>
    <xf numFmtId="0" fontId="18" fillId="17" borderId="0" xfId="0" applyFont="1" applyFill="1" applyAlignment="1">
      <alignment horizontal="left" vertical="center"/>
    </xf>
    <xf numFmtId="0" fontId="0" fillId="21" borderId="24" xfId="0" applyFill="1" applyBorder="1" applyAlignment="1">
      <alignment horizontal="center"/>
    </xf>
    <xf numFmtId="1" fontId="0" fillId="21" borderId="24" xfId="0" applyNumberFormat="1" applyFill="1" applyBorder="1" applyAlignment="1">
      <alignment horizontal="center"/>
    </xf>
    <xf numFmtId="0" fontId="0" fillId="0" borderId="24" xfId="0" applyBorder="1" applyAlignment="1">
      <alignment horizontal="center"/>
    </xf>
    <xf numFmtId="1" fontId="0" fillId="0" borderId="24" xfId="0" applyNumberFormat="1" applyBorder="1" applyAlignment="1">
      <alignment horizontal="center"/>
    </xf>
    <xf numFmtId="1" fontId="0" fillId="0" borderId="0" xfId="0" applyNumberFormat="1" applyAlignment="1">
      <alignment horizontal="center"/>
    </xf>
    <xf numFmtId="165" fontId="0" fillId="0" borderId="24" xfId="0" applyNumberFormat="1" applyBorder="1" applyAlignment="1">
      <alignment horizontal="center"/>
    </xf>
    <xf numFmtId="1" fontId="0" fillId="0" borderId="1" xfId="0" applyNumberFormat="1" applyBorder="1" applyAlignment="1">
      <alignment horizontal="center" vertical="center"/>
    </xf>
    <xf numFmtId="179" fontId="0" fillId="0" borderId="24" xfId="0" applyNumberFormat="1" applyBorder="1" applyAlignment="1">
      <alignment horizontal="center"/>
    </xf>
    <xf numFmtId="2" fontId="0" fillId="0" borderId="24" xfId="0" applyNumberFormat="1" applyBorder="1" applyAlignment="1">
      <alignment horizontal="center"/>
    </xf>
    <xf numFmtId="0" fontId="28" fillId="22" borderId="24" xfId="0" applyFont="1" applyFill="1" applyBorder="1" applyAlignment="1">
      <alignment horizontal="center"/>
    </xf>
    <xf numFmtId="0" fontId="0" fillId="22" borderId="24" xfId="0" applyFill="1" applyBorder="1" applyAlignment="1">
      <alignment horizontal="center"/>
    </xf>
    <xf numFmtId="2" fontId="29" fillId="0" borderId="24" xfId="3" applyNumberFormat="1" applyBorder="1" applyAlignment="1">
      <alignment horizontal="center"/>
    </xf>
    <xf numFmtId="0" fontId="0" fillId="23" borderId="24" xfId="0" applyFill="1" applyBorder="1" applyAlignment="1">
      <alignment horizontal="center"/>
    </xf>
    <xf numFmtId="0" fontId="29" fillId="23" borderId="24" xfId="3" applyFill="1" applyBorder="1" applyAlignment="1">
      <alignment horizontal="center"/>
    </xf>
    <xf numFmtId="166" fontId="29" fillId="0" borderId="24" xfId="3" applyNumberFormat="1" applyBorder="1" applyAlignment="1">
      <alignment horizontal="center"/>
    </xf>
    <xf numFmtId="2" fontId="30" fillId="0" borderId="24" xfId="3" applyNumberFormat="1" applyFont="1" applyBorder="1" applyAlignment="1">
      <alignment horizontal="center"/>
    </xf>
    <xf numFmtId="0" fontId="27" fillId="23" borderId="24" xfId="0" applyFont="1" applyFill="1" applyBorder="1" applyAlignment="1">
      <alignment horizontal="center"/>
    </xf>
    <xf numFmtId="0" fontId="31" fillId="23" borderId="24" xfId="0" applyFont="1" applyFill="1" applyBorder="1" applyAlignment="1">
      <alignment horizontal="center"/>
    </xf>
    <xf numFmtId="0" fontId="0" fillId="24" borderId="24" xfId="0" applyFill="1" applyBorder="1" applyAlignment="1">
      <alignment horizontal="center"/>
    </xf>
    <xf numFmtId="0" fontId="0" fillId="24" borderId="0" xfId="0" applyFill="1" applyAlignment="1">
      <alignment horizontal="center"/>
    </xf>
    <xf numFmtId="0" fontId="0" fillId="3" borderId="12" xfId="0" applyFill="1" applyBorder="1" applyAlignment="1" applyProtection="1">
      <alignment horizontal="center" vertical="center"/>
      <protection locked="0"/>
    </xf>
    <xf numFmtId="14" fontId="0" fillId="5" borderId="15" xfId="0" applyNumberFormat="1" applyFill="1" applyBorder="1" applyAlignment="1" applyProtection="1">
      <alignment horizontal="center" vertical="center"/>
      <protection locked="0"/>
    </xf>
    <xf numFmtId="0" fontId="4" fillId="2" borderId="1" xfId="0" applyFont="1" applyFill="1" applyBorder="1" applyAlignment="1">
      <alignment horizontal="center" vertical="center"/>
    </xf>
    <xf numFmtId="0" fontId="10" fillId="15" borderId="4" xfId="0" applyFont="1" applyFill="1" applyBorder="1" applyAlignment="1" applyProtection="1">
      <alignment horizontal="center" vertical="center"/>
      <protection locked="0"/>
    </xf>
    <xf numFmtId="0" fontId="0" fillId="3" borderId="6" xfId="0" applyFill="1" applyBorder="1" applyAlignment="1" applyProtection="1">
      <alignment horizontal="center" vertical="center"/>
      <protection locked="0"/>
    </xf>
    <xf numFmtId="0" fontId="0" fillId="3" borderId="6" xfId="1" applyNumberFormat="1" applyFont="1" applyFill="1" applyBorder="1" applyAlignment="1" applyProtection="1">
      <alignment horizontal="center" vertical="center"/>
      <protection locked="0"/>
    </xf>
    <xf numFmtId="164" fontId="0" fillId="17" borderId="0" xfId="0" applyNumberFormat="1" applyFill="1" applyAlignment="1">
      <alignment horizontal="center" vertical="center"/>
    </xf>
    <xf numFmtId="164" fontId="3" fillId="0" borderId="1" xfId="0" applyNumberFormat="1" applyFont="1" applyBorder="1" applyAlignment="1">
      <alignment horizontal="center" vertical="center"/>
    </xf>
    <xf numFmtId="164" fontId="0" fillId="0" borderId="1" xfId="1" applyFont="1" applyBorder="1" applyAlignment="1">
      <alignment horizontal="center" vertical="center"/>
    </xf>
    <xf numFmtId="0" fontId="0" fillId="6" borderId="1" xfId="0" applyFill="1" applyBorder="1" applyAlignment="1">
      <alignment horizontal="center" vertical="center"/>
    </xf>
    <xf numFmtId="0" fontId="0" fillId="0" borderId="1" xfId="0" applyBorder="1" applyAlignment="1">
      <alignment horizontal="center" vertical="center" wrapText="1"/>
    </xf>
    <xf numFmtId="0" fontId="0" fillId="0" borderId="1" xfId="0" applyBorder="1"/>
    <xf numFmtId="164" fontId="0" fillId="17" borderId="0" xfId="0" applyNumberFormat="1" applyFill="1"/>
    <xf numFmtId="164" fontId="0" fillId="0" borderId="0" xfId="0" applyNumberFormat="1"/>
    <xf numFmtId="0" fontId="0" fillId="0" borderId="1" xfId="0" applyBorder="1" applyAlignment="1">
      <alignment horizontal="center" vertical="center"/>
    </xf>
    <xf numFmtId="0" fontId="33" fillId="2" borderId="1"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0" xfId="0" applyFont="1" applyFill="1" applyBorder="1" applyAlignment="1">
      <alignment horizontal="center" vertical="center"/>
    </xf>
    <xf numFmtId="0" fontId="4" fillId="25" borderId="1" xfId="0" applyFont="1" applyFill="1" applyBorder="1" applyAlignment="1">
      <alignment horizontal="left" vertical="center"/>
    </xf>
    <xf numFmtId="0" fontId="4" fillId="25" borderId="1" xfId="0" applyFont="1" applyFill="1" applyBorder="1" applyAlignment="1">
      <alignment horizontal="left" vertical="center" wrapText="1"/>
    </xf>
    <xf numFmtId="164" fontId="0" fillId="3" borderId="1" xfId="1" applyFont="1" applyFill="1" applyBorder="1" applyAlignment="1" applyProtection="1">
      <alignment horizontal="center" vertical="center"/>
      <protection locked="0"/>
    </xf>
    <xf numFmtId="0" fontId="0" fillId="3" borderId="1" xfId="0" applyFill="1" applyBorder="1" applyProtection="1">
      <protection locked="0"/>
    </xf>
    <xf numFmtId="0" fontId="0" fillId="3" borderId="1" xfId="0" applyFill="1" applyBorder="1" applyAlignment="1" applyProtection="1">
      <alignment horizontal="center" vertical="center" wrapText="1"/>
      <protection locked="0"/>
    </xf>
    <xf numFmtId="0" fontId="0" fillId="3" borderId="1" xfId="0" applyFill="1" applyBorder="1" applyAlignment="1" applyProtection="1">
      <alignment horizontal="center" vertical="center"/>
      <protection locked="0"/>
    </xf>
    <xf numFmtId="0" fontId="0" fillId="3" borderId="0" xfId="0" applyFill="1" applyProtection="1">
      <protection locked="0"/>
    </xf>
    <xf numFmtId="0" fontId="0" fillId="6" borderId="1" xfId="0" applyFill="1" applyBorder="1" applyAlignment="1" applyProtection="1">
      <alignment horizontal="center" vertical="center"/>
      <protection locked="0"/>
    </xf>
    <xf numFmtId="164" fontId="0" fillId="5" borderId="1" xfId="1" applyFont="1" applyFill="1" applyBorder="1" applyAlignment="1" applyProtection="1">
      <alignment horizontal="center" vertical="center"/>
      <protection locked="0"/>
    </xf>
    <xf numFmtId="0" fontId="0" fillId="5" borderId="1" xfId="0" applyFill="1" applyBorder="1" applyAlignment="1" applyProtection="1">
      <alignment horizontal="center" vertical="center"/>
      <protection locked="0"/>
    </xf>
    <xf numFmtId="0" fontId="0" fillId="5" borderId="1" xfId="0" applyFill="1" applyBorder="1" applyAlignment="1" applyProtection="1">
      <alignment horizontal="center" vertical="center" wrapText="1"/>
      <protection locked="0"/>
    </xf>
    <xf numFmtId="14" fontId="0" fillId="3" borderId="0" xfId="0" applyNumberFormat="1" applyFill="1" applyAlignment="1" applyProtection="1">
      <alignment horizontal="center" vertical="center"/>
      <protection locked="0"/>
    </xf>
    <xf numFmtId="0" fontId="0" fillId="3" borderId="0" xfId="0" applyFill="1" applyAlignment="1" applyProtection="1">
      <alignment horizontal="center" vertical="center"/>
      <protection locked="0"/>
    </xf>
    <xf numFmtId="0" fontId="11" fillId="14" borderId="2" xfId="0" applyFont="1" applyFill="1" applyBorder="1"/>
    <xf numFmtId="0" fontId="0" fillId="6" borderId="3" xfId="0" applyFill="1" applyBorder="1" applyAlignment="1">
      <alignment horizontal="left"/>
    </xf>
    <xf numFmtId="0" fontId="0" fillId="6" borderId="4" xfId="0" applyFill="1" applyBorder="1" applyAlignment="1">
      <alignment horizontal="left"/>
    </xf>
    <xf numFmtId="0" fontId="11" fillId="14" borderId="5" xfId="0" applyFont="1" applyFill="1" applyBorder="1"/>
    <xf numFmtId="0" fontId="0" fillId="6" borderId="6" xfId="0" applyFill="1" applyBorder="1" applyAlignment="1">
      <alignment horizontal="left"/>
    </xf>
    <xf numFmtId="0" fontId="13" fillId="4" borderId="0" xfId="0" applyFont="1" applyFill="1" applyAlignment="1">
      <alignment horizontal="center" vertical="center"/>
    </xf>
    <xf numFmtId="0" fontId="0" fillId="6" borderId="5" xfId="0" applyFill="1" applyBorder="1"/>
    <xf numFmtId="0" fontId="11" fillId="14" borderId="7" xfId="0" applyFont="1" applyFill="1" applyBorder="1"/>
    <xf numFmtId="165" fontId="0" fillId="6" borderId="9" xfId="0" applyNumberFormat="1" applyFill="1" applyBorder="1" applyAlignment="1">
      <alignment horizontal="center" vertical="center"/>
    </xf>
    <xf numFmtId="0" fontId="0" fillId="6" borderId="7" xfId="0" applyFill="1" applyBorder="1"/>
    <xf numFmtId="0" fontId="0" fillId="6" borderId="8" xfId="0" applyFill="1" applyBorder="1"/>
    <xf numFmtId="0" fontId="0" fillId="6" borderId="8" xfId="0" applyFill="1" applyBorder="1" applyAlignment="1">
      <alignment horizontal="left"/>
    </xf>
    <xf numFmtId="0" fontId="0" fillId="6" borderId="9" xfId="0" applyFill="1" applyBorder="1" applyAlignment="1">
      <alignment horizontal="left"/>
    </xf>
    <xf numFmtId="14" fontId="0" fillId="6" borderId="14" xfId="0" applyNumberFormat="1" applyFill="1" applyBorder="1" applyAlignment="1">
      <alignment horizontal="center" vertical="center"/>
    </xf>
    <xf numFmtId="166" fontId="0" fillId="0" borderId="15" xfId="0" applyNumberFormat="1" applyBorder="1" applyAlignment="1">
      <alignment horizontal="center" vertical="center"/>
    </xf>
    <xf numFmtId="0" fontId="0" fillId="6" borderId="6" xfId="0" applyFill="1" applyBorder="1"/>
    <xf numFmtId="168" fontId="0" fillId="0" borderId="15" xfId="0" applyNumberFormat="1" applyBorder="1" applyAlignment="1">
      <alignment horizontal="center" vertical="center"/>
    </xf>
    <xf numFmtId="166" fontId="0" fillId="4" borderId="0" xfId="0" applyNumberFormat="1" applyFill="1" applyAlignment="1">
      <alignment horizontal="center" vertical="center"/>
    </xf>
    <xf numFmtId="168" fontId="0" fillId="0" borderId="14" xfId="0" applyNumberFormat="1" applyBorder="1" applyAlignment="1">
      <alignment horizontal="center" vertical="center"/>
    </xf>
    <xf numFmtId="0" fontId="11" fillId="14" borderId="13" xfId="0" applyFont="1" applyFill="1" applyBorder="1"/>
    <xf numFmtId="0" fontId="11" fillId="14" borderId="15" xfId="0" applyFont="1" applyFill="1" applyBorder="1"/>
    <xf numFmtId="0" fontId="11" fillId="14" borderId="14" xfId="0" applyFont="1" applyFill="1" applyBorder="1"/>
    <xf numFmtId="169" fontId="10" fillId="16" borderId="9" xfId="0" applyNumberFormat="1" applyFont="1" applyFill="1" applyBorder="1" applyAlignment="1">
      <alignment horizontal="center" vertical="center"/>
    </xf>
    <xf numFmtId="169" fontId="10" fillId="0" borderId="4" xfId="0" applyNumberFormat="1" applyFont="1" applyBorder="1" applyAlignment="1">
      <alignment horizontal="center" vertical="center"/>
    </xf>
    <xf numFmtId="169" fontId="10" fillId="0" borderId="6" xfId="0" applyNumberFormat="1" applyFont="1" applyBorder="1" applyAlignment="1">
      <alignment horizontal="center" vertical="center"/>
    </xf>
    <xf numFmtId="164" fontId="0" fillId="0" borderId="6" xfId="0" applyNumberFormat="1" applyBorder="1"/>
    <xf numFmtId="169" fontId="10" fillId="0" borderId="9" xfId="0" applyNumberFormat="1" applyFont="1" applyBorder="1" applyAlignment="1">
      <alignment horizontal="center" vertical="center"/>
    </xf>
    <xf numFmtId="164" fontId="0" fillId="0" borderId="4" xfId="0" applyNumberFormat="1" applyBorder="1"/>
    <xf numFmtId="164" fontId="0" fillId="0" borderId="9" xfId="0" applyNumberFormat="1" applyBorder="1"/>
    <xf numFmtId="170" fontId="0" fillId="0" borderId="9" xfId="2" applyNumberFormat="1" applyFont="1" applyFill="1" applyBorder="1" applyAlignment="1" applyProtection="1">
      <alignment horizontal="center" vertical="center"/>
    </xf>
    <xf numFmtId="0" fontId="11" fillId="14" borderId="13" xfId="0" quotePrefix="1" applyFont="1" applyFill="1" applyBorder="1"/>
    <xf numFmtId="1" fontId="10" fillId="16" borderId="4" xfId="1" applyNumberFormat="1" applyFont="1" applyFill="1" applyBorder="1" applyAlignment="1" applyProtection="1">
      <alignment horizontal="center" vertical="center"/>
    </xf>
    <xf numFmtId="0" fontId="11" fillId="14" borderId="15" xfId="0" quotePrefix="1" applyFont="1" applyFill="1" applyBorder="1"/>
    <xf numFmtId="181" fontId="10" fillId="16" borderId="6" xfId="1" applyNumberFormat="1" applyFont="1" applyFill="1" applyBorder="1" applyAlignment="1" applyProtection="1">
      <alignment horizontal="center" vertical="center"/>
    </xf>
    <xf numFmtId="0" fontId="5" fillId="4" borderId="0" xfId="0" applyFont="1" applyFill="1" applyAlignment="1">
      <alignment horizontal="center" vertical="center" wrapText="1"/>
    </xf>
    <xf numFmtId="0" fontId="4" fillId="4" borderId="0" xfId="0" applyFont="1" applyFill="1" applyAlignment="1">
      <alignment horizontal="left" vertical="center"/>
    </xf>
    <xf numFmtId="14" fontId="0" fillId="4" borderId="0" xfId="0" applyNumberFormat="1" applyFill="1" applyAlignment="1">
      <alignment horizontal="center"/>
    </xf>
    <xf numFmtId="0" fontId="11" fillId="14" borderId="5" xfId="0" quotePrefix="1" applyFont="1" applyFill="1" applyBorder="1"/>
    <xf numFmtId="164" fontId="4" fillId="4" borderId="0" xfId="0" applyNumberFormat="1" applyFont="1" applyFill="1" applyAlignment="1">
      <alignment horizontal="left" vertical="center"/>
    </xf>
    <xf numFmtId="164" fontId="14" fillId="4" borderId="0" xfId="0" applyNumberFormat="1" applyFont="1" applyFill="1" applyAlignment="1">
      <alignment horizontal="left" vertical="center"/>
    </xf>
    <xf numFmtId="0" fontId="4" fillId="4" borderId="0" xfId="0" quotePrefix="1" applyFont="1" applyFill="1" applyAlignment="1">
      <alignment horizontal="left" vertical="center"/>
    </xf>
    <xf numFmtId="0" fontId="11" fillId="18" borderId="10" xfId="0" quotePrefix="1" applyFont="1" applyFill="1" applyBorder="1" applyAlignment="1">
      <alignment horizontal="center" vertical="center"/>
    </xf>
    <xf numFmtId="164" fontId="10" fillId="16" borderId="12" xfId="1" applyFont="1" applyFill="1" applyBorder="1" applyAlignment="1" applyProtection="1">
      <alignment horizontal="center" vertical="center"/>
    </xf>
    <xf numFmtId="166" fontId="10" fillId="16" borderId="12" xfId="1" applyNumberFormat="1" applyFont="1" applyFill="1" applyBorder="1" applyAlignment="1" applyProtection="1">
      <alignment horizontal="center" vertical="center"/>
    </xf>
    <xf numFmtId="169" fontId="10" fillId="3" borderId="4" xfId="0" applyNumberFormat="1" applyFont="1" applyFill="1" applyBorder="1" applyAlignment="1" applyProtection="1">
      <alignment horizontal="center" vertical="center"/>
      <protection locked="0"/>
    </xf>
    <xf numFmtId="0" fontId="11" fillId="14" borderId="10" xfId="0" applyFont="1" applyFill="1" applyBorder="1" applyAlignment="1">
      <alignment horizontal="left" vertical="center"/>
    </xf>
    <xf numFmtId="0" fontId="0" fillId="0" borderId="12" xfId="0" applyBorder="1" applyAlignment="1">
      <alignment horizontal="center" vertical="center"/>
    </xf>
    <xf numFmtId="180" fontId="0" fillId="6" borderId="12" xfId="0" applyNumberFormat="1" applyFill="1" applyBorder="1" applyAlignment="1">
      <alignment horizontal="center" vertical="center"/>
    </xf>
    <xf numFmtId="0" fontId="0" fillId="6" borderId="12" xfId="0" applyFill="1" applyBorder="1" applyAlignment="1">
      <alignment horizontal="center" vertical="center"/>
    </xf>
    <xf numFmtId="0" fontId="4" fillId="7" borderId="1" xfId="0" applyFont="1" applyFill="1" applyBorder="1" applyAlignment="1">
      <alignment horizontal="center" vertical="center"/>
    </xf>
    <xf numFmtId="166" fontId="0" fillId="0" borderId="1" xfId="0" applyNumberFormat="1" applyBorder="1" applyAlignment="1">
      <alignment horizontal="center" vertical="center"/>
    </xf>
    <xf numFmtId="2" fontId="0" fillId="6" borderId="0" xfId="0" applyNumberFormat="1" applyFill="1" applyAlignment="1">
      <alignment horizontal="center" vertical="center"/>
    </xf>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9" fontId="0" fillId="3" borderId="8" xfId="2" applyFont="1" applyFill="1" applyBorder="1" applyAlignment="1" applyProtection="1">
      <alignment horizontal="center" vertical="center"/>
      <protection locked="0"/>
    </xf>
    <xf numFmtId="0" fontId="0" fillId="3" borderId="8" xfId="2" applyNumberFormat="1" applyFont="1" applyFill="1" applyBorder="1" applyAlignment="1" applyProtection="1">
      <alignment horizontal="center" vertical="center"/>
      <protection locked="0"/>
    </xf>
    <xf numFmtId="0" fontId="0" fillId="3" borderId="9" xfId="0" applyFill="1" applyBorder="1" applyAlignment="1" applyProtection="1">
      <alignment horizontal="center" vertical="center"/>
      <protection locked="0"/>
    </xf>
    <xf numFmtId="9" fontId="5" fillId="3" borderId="7" xfId="2" applyFont="1" applyFill="1" applyBorder="1" applyAlignment="1" applyProtection="1">
      <alignment horizontal="center" vertical="center"/>
      <protection locked="0"/>
    </xf>
    <xf numFmtId="9" fontId="5" fillId="3" borderId="8" xfId="0" applyNumberFormat="1" applyFont="1" applyFill="1" applyBorder="1" applyAlignment="1" applyProtection="1">
      <alignment horizontal="center" vertical="center"/>
      <protection locked="0"/>
    </xf>
    <xf numFmtId="169" fontId="5" fillId="3" borderId="8" xfId="0" applyNumberFormat="1" applyFont="1" applyFill="1" applyBorder="1" applyAlignment="1" applyProtection="1">
      <alignment horizontal="center" vertical="center"/>
      <protection locked="0"/>
    </xf>
    <xf numFmtId="9" fontId="0" fillId="3" borderId="7" xfId="2" applyFont="1" applyFill="1" applyBorder="1" applyAlignment="1" applyProtection="1">
      <alignment horizontal="center" vertical="center"/>
      <protection locked="0"/>
    </xf>
    <xf numFmtId="1" fontId="0" fillId="3" borderId="8" xfId="0" applyNumberFormat="1" applyFill="1" applyBorder="1" applyAlignment="1" applyProtection="1">
      <alignment horizontal="center" vertical="center"/>
      <protection locked="0"/>
    </xf>
    <xf numFmtId="164" fontId="0" fillId="3" borderId="8" xfId="1" applyFont="1" applyFill="1" applyBorder="1" applyAlignment="1" applyProtection="1">
      <alignment horizontal="center" vertical="center"/>
      <protection locked="0"/>
    </xf>
    <xf numFmtId="9" fontId="0" fillId="3" borderId="8" xfId="0" applyNumberFormat="1" applyFill="1" applyBorder="1" applyAlignment="1" applyProtection="1">
      <alignment horizontal="center" vertical="center"/>
      <protection locked="0"/>
    </xf>
    <xf numFmtId="165" fontId="0" fillId="0" borderId="14" xfId="0" applyNumberFormat="1" applyBorder="1" applyAlignment="1">
      <alignment horizontal="center" vertical="center"/>
    </xf>
    <xf numFmtId="0" fontId="0" fillId="6" borderId="2" xfId="0" applyFill="1" applyBorder="1"/>
    <xf numFmtId="0" fontId="4" fillId="2" borderId="3" xfId="0" applyFont="1" applyFill="1" applyBorder="1" applyAlignment="1">
      <alignment horizontal="left" vertical="center"/>
    </xf>
    <xf numFmtId="14" fontId="0" fillId="6" borderId="2" xfId="0" applyNumberFormat="1" applyFill="1" applyBorder="1" applyAlignment="1">
      <alignment horizontal="center" vertical="center"/>
    </xf>
    <xf numFmtId="14" fontId="0" fillId="6" borderId="3" xfId="0" applyNumberFormat="1" applyFill="1" applyBorder="1" applyAlignment="1">
      <alignment horizontal="center" vertical="center"/>
    </xf>
    <xf numFmtId="14" fontId="0" fillId="6" borderId="3" xfId="0" applyNumberFormat="1" applyFill="1" applyBorder="1" applyAlignment="1">
      <alignment horizontal="center"/>
    </xf>
    <xf numFmtId="14" fontId="0" fillId="6" borderId="4" xfId="0" applyNumberFormat="1" applyFill="1" applyBorder="1" applyAlignment="1">
      <alignment horizontal="center"/>
    </xf>
    <xf numFmtId="0" fontId="4" fillId="2" borderId="0" xfId="0" applyFont="1" applyFill="1" applyAlignment="1">
      <alignment horizontal="left" vertical="center"/>
    </xf>
    <xf numFmtId="177" fontId="0" fillId="6" borderId="5" xfId="0" applyNumberFormat="1" applyFill="1" applyBorder="1" applyAlignment="1">
      <alignment horizontal="center" vertical="center"/>
    </xf>
    <xf numFmtId="177" fontId="0" fillId="6" borderId="0" xfId="0" applyNumberFormat="1" applyFill="1" applyAlignment="1">
      <alignment horizontal="center" vertical="center"/>
    </xf>
    <xf numFmtId="177" fontId="0" fillId="6" borderId="0" xfId="0" applyNumberFormat="1" applyFill="1" applyAlignment="1">
      <alignment horizontal="center"/>
    </xf>
    <xf numFmtId="177" fontId="0" fillId="6" borderId="6" xfId="0" applyNumberFormat="1" applyFill="1" applyBorder="1" applyAlignment="1">
      <alignment horizontal="center"/>
    </xf>
    <xf numFmtId="168" fontId="0" fillId="6" borderId="5" xfId="0" applyNumberFormat="1" applyFill="1" applyBorder="1" applyAlignment="1">
      <alignment horizontal="center" vertical="center"/>
    </xf>
    <xf numFmtId="168" fontId="0" fillId="6" borderId="0" xfId="0" applyNumberFormat="1" applyFill="1" applyAlignment="1">
      <alignment horizontal="center" vertical="center"/>
    </xf>
    <xf numFmtId="168" fontId="0" fillId="6" borderId="6" xfId="0" applyNumberFormat="1" applyFill="1" applyBorder="1" applyAlignment="1">
      <alignment horizontal="center" vertical="center"/>
    </xf>
    <xf numFmtId="0" fontId="4" fillId="2" borderId="0" xfId="0" quotePrefix="1" applyFont="1" applyFill="1" applyAlignment="1">
      <alignment horizontal="left" vertical="center"/>
    </xf>
    <xf numFmtId="0" fontId="0" fillId="6" borderId="5" xfId="0" applyFill="1" applyBorder="1" applyAlignment="1">
      <alignment horizontal="center" vertical="center"/>
    </xf>
    <xf numFmtId="166" fontId="0" fillId="6" borderId="6" xfId="0" applyNumberFormat="1" applyFill="1" applyBorder="1" applyAlignment="1">
      <alignment horizontal="center" vertical="center"/>
    </xf>
    <xf numFmtId="0" fontId="4" fillId="2" borderId="8" xfId="0" applyFont="1" applyFill="1" applyBorder="1" applyAlignment="1">
      <alignment horizontal="left" vertical="center"/>
    </xf>
    <xf numFmtId="0" fontId="0" fillId="6" borderId="7" xfId="0" applyFill="1" applyBorder="1" applyAlignment="1">
      <alignment horizontal="center" vertical="center"/>
    </xf>
    <xf numFmtId="166" fontId="0" fillId="6" borderId="8" xfId="0" applyNumberFormat="1" applyFill="1" applyBorder="1" applyAlignment="1">
      <alignment horizontal="center" vertical="center"/>
    </xf>
    <xf numFmtId="166" fontId="0" fillId="6" borderId="9" xfId="0" applyNumberFormat="1" applyFill="1" applyBorder="1" applyAlignment="1">
      <alignment horizontal="center" vertical="center"/>
    </xf>
    <xf numFmtId="0" fontId="0" fillId="5" borderId="15" xfId="0" applyFill="1" applyBorder="1" applyAlignment="1" applyProtection="1">
      <alignment horizontal="center" vertical="center"/>
      <protection locked="0"/>
    </xf>
    <xf numFmtId="0" fontId="16" fillId="0" borderId="0" xfId="0" applyFont="1"/>
    <xf numFmtId="0" fontId="16" fillId="0" borderId="0" xfId="0" applyFont="1" applyAlignment="1">
      <alignment horizontal="center" vertical="center"/>
    </xf>
    <xf numFmtId="0" fontId="15" fillId="0" borderId="16" xfId="0" applyFont="1" applyBorder="1" applyAlignment="1">
      <alignment horizontal="center" vertical="center"/>
    </xf>
    <xf numFmtId="0" fontId="0" fillId="0" borderId="0" xfId="0" applyAlignment="1">
      <alignment horizontal="left" vertical="top" wrapText="1"/>
    </xf>
    <xf numFmtId="0" fontId="17" fillId="0" borderId="0" xfId="0" applyFont="1" applyAlignment="1">
      <alignment horizontal="center" vertical="top" wrapText="1"/>
    </xf>
    <xf numFmtId="0" fontId="3" fillId="0" borderId="0" xfId="0" applyFont="1" applyAlignment="1">
      <alignment horizontal="center" vertical="center"/>
    </xf>
    <xf numFmtId="0" fontId="0" fillId="0" borderId="20" xfId="0" applyBorder="1" applyAlignment="1">
      <alignment horizontal="center" vertical="center" wrapText="1"/>
    </xf>
    <xf numFmtId="0" fontId="0" fillId="0" borderId="20" xfId="0" applyBorder="1" applyAlignment="1">
      <alignment horizontal="center" vertical="top" wrapText="1"/>
    </xf>
    <xf numFmtId="0" fontId="0" fillId="0" borderId="20" xfId="0" applyBorder="1" applyAlignment="1">
      <alignment horizontal="center" vertical="center"/>
    </xf>
    <xf numFmtId="0" fontId="0" fillId="17" borderId="17" xfId="0" quotePrefix="1" applyFill="1" applyBorder="1" applyAlignment="1">
      <alignment horizontal="center" vertical="center"/>
    </xf>
    <xf numFmtId="0" fontId="0" fillId="0" borderId="19" xfId="0" applyBorder="1" applyAlignment="1">
      <alignment horizontal="center" vertical="center" wrapText="1"/>
    </xf>
    <xf numFmtId="0" fontId="0" fillId="0" borderId="19" xfId="0" applyBorder="1" applyAlignment="1">
      <alignment horizontal="center" vertical="top" wrapText="1"/>
    </xf>
    <xf numFmtId="0" fontId="0" fillId="0" borderId="19" xfId="0" applyBorder="1" applyAlignment="1">
      <alignment horizontal="center" vertical="center"/>
    </xf>
    <xf numFmtId="0" fontId="17" fillId="0" borderId="18" xfId="0" applyFont="1" applyBorder="1" applyAlignment="1">
      <alignment horizontal="center" vertical="top" wrapText="1"/>
    </xf>
    <xf numFmtId="0" fontId="0" fillId="0" borderId="16" xfId="0" applyBorder="1" applyAlignment="1">
      <alignment horizontal="center" vertical="center" wrapText="1"/>
    </xf>
    <xf numFmtId="0" fontId="0" fillId="0" borderId="16" xfId="0" applyBorder="1" applyAlignment="1">
      <alignment horizontal="center" vertical="top" wrapText="1"/>
    </xf>
    <xf numFmtId="0" fontId="0" fillId="0" borderId="16" xfId="0" applyBorder="1" applyAlignment="1">
      <alignment horizontal="center" vertical="center"/>
    </xf>
    <xf numFmtId="166" fontId="15" fillId="0" borderId="16" xfId="0" applyNumberFormat="1" applyFont="1" applyBorder="1" applyAlignment="1">
      <alignment horizontal="center" vertical="center"/>
    </xf>
    <xf numFmtId="0" fontId="15" fillId="0" borderId="0" xfId="0" applyFont="1" applyAlignment="1">
      <alignment horizontal="center" vertical="center"/>
    </xf>
    <xf numFmtId="166" fontId="15" fillId="0" borderId="0" xfId="0" applyNumberFormat="1" applyFont="1" applyAlignment="1">
      <alignment horizontal="center" vertical="center"/>
    </xf>
    <xf numFmtId="0" fontId="16" fillId="0" borderId="0" xfId="0" applyFont="1" applyAlignment="1">
      <alignment horizontal="left" vertical="center"/>
    </xf>
    <xf numFmtId="0" fontId="0" fillId="0" borderId="0" xfId="0" applyAlignment="1">
      <alignment vertical="center" wrapText="1"/>
    </xf>
    <xf numFmtId="0" fontId="0" fillId="6" borderId="8" xfId="0" applyFill="1" applyBorder="1" applyAlignment="1">
      <alignment horizontal="center"/>
    </xf>
    <xf numFmtId="0" fontId="3" fillId="6" borderId="8" xfId="0" applyFont="1" applyFill="1" applyBorder="1" applyAlignment="1">
      <alignment horizontal="center" vertical="center"/>
    </xf>
    <xf numFmtId="9" fontId="0" fillId="6" borderId="0" xfId="2" applyFont="1" applyFill="1" applyAlignment="1">
      <alignment horizontal="center" vertical="center"/>
    </xf>
    <xf numFmtId="9" fontId="0" fillId="6" borderId="8" xfId="2" applyFont="1" applyFill="1" applyBorder="1" applyAlignment="1">
      <alignment horizontal="center" vertical="center"/>
    </xf>
    <xf numFmtId="177" fontId="0" fillId="6" borderId="3" xfId="0" applyNumberFormat="1" applyFill="1" applyBorder="1" applyAlignment="1">
      <alignment horizontal="center" vertical="center"/>
    </xf>
    <xf numFmtId="177" fontId="0" fillId="6" borderId="8" xfId="0" applyNumberFormat="1" applyFill="1" applyBorder="1" applyAlignment="1">
      <alignment horizontal="center" vertical="center"/>
    </xf>
    <xf numFmtId="164" fontId="22" fillId="3" borderId="0" xfId="1" applyFont="1" applyFill="1" applyBorder="1" applyAlignment="1" applyProtection="1">
      <alignment horizontal="center" vertical="center"/>
      <protection locked="0"/>
    </xf>
    <xf numFmtId="165" fontId="22" fillId="3" borderId="0" xfId="0" applyNumberFormat="1" applyFont="1" applyFill="1" applyAlignment="1" applyProtection="1">
      <alignment horizontal="center" vertical="center"/>
      <protection locked="0"/>
    </xf>
    <xf numFmtId="164" fontId="22" fillId="3" borderId="23" xfId="1" applyFont="1" applyFill="1" applyBorder="1" applyAlignment="1" applyProtection="1">
      <alignment horizontal="center" vertical="center"/>
      <protection locked="0"/>
    </xf>
    <xf numFmtId="10" fontId="5" fillId="0" borderId="0" xfId="2" applyNumberFormat="1" applyFont="1" applyFill="1" applyBorder="1" applyAlignment="1" applyProtection="1">
      <alignment horizontal="center" vertical="center"/>
    </xf>
    <xf numFmtId="164" fontId="5" fillId="26" borderId="23" xfId="1" applyFont="1" applyFill="1" applyBorder="1" applyAlignment="1" applyProtection="1">
      <alignment horizontal="center" vertical="center"/>
      <protection locked="0"/>
    </xf>
    <xf numFmtId="165" fontId="5" fillId="26" borderId="0" xfId="0" applyNumberFormat="1" applyFont="1" applyFill="1" applyAlignment="1" applyProtection="1">
      <alignment horizontal="center" vertical="center"/>
      <protection locked="0"/>
    </xf>
    <xf numFmtId="2" fontId="5" fillId="26" borderId="0" xfId="0" applyNumberFormat="1" applyFont="1" applyFill="1" applyAlignment="1" applyProtection="1">
      <alignment horizontal="center" vertical="center"/>
      <protection locked="0"/>
    </xf>
    <xf numFmtId="2" fontId="0" fillId="26" borderId="0" xfId="0" applyNumberFormat="1" applyFill="1" applyAlignment="1" applyProtection="1">
      <alignment horizontal="center" vertical="center"/>
      <protection locked="0"/>
    </xf>
    <xf numFmtId="165" fontId="22" fillId="3" borderId="23" xfId="0" applyNumberFormat="1" applyFont="1" applyFill="1" applyBorder="1" applyAlignment="1" applyProtection="1">
      <alignment horizontal="center" vertical="center"/>
      <protection locked="0"/>
    </xf>
    <xf numFmtId="9" fontId="5" fillId="17" borderId="0" xfId="2" applyFont="1" applyFill="1" applyBorder="1" applyAlignment="1" applyProtection="1">
      <alignment horizontal="center" vertical="center"/>
    </xf>
    <xf numFmtId="9" fontId="5" fillId="17" borderId="0" xfId="2" applyFont="1" applyFill="1" applyAlignment="1" applyProtection="1">
      <alignment horizontal="center" vertical="center"/>
    </xf>
    <xf numFmtId="174" fontId="22" fillId="17" borderId="0" xfId="2" applyNumberFormat="1" applyFont="1" applyFill="1" applyAlignment="1" applyProtection="1">
      <alignment horizontal="center" vertical="center"/>
    </xf>
    <xf numFmtId="164" fontId="22" fillId="17" borderId="0" xfId="1" applyFont="1" applyFill="1" applyAlignment="1" applyProtection="1">
      <alignment horizontal="center" vertical="center"/>
    </xf>
    <xf numFmtId="0" fontId="3" fillId="0" borderId="0" xfId="0" applyFont="1" applyAlignment="1" applyProtection="1">
      <alignment horizontal="center" vertical="center" wrapText="1"/>
      <protection hidden="1"/>
    </xf>
    <xf numFmtId="0" fontId="3" fillId="0" borderId="0" xfId="0" applyFont="1" applyAlignment="1" applyProtection="1">
      <alignment vertical="center" wrapText="1"/>
      <protection hidden="1"/>
    </xf>
    <xf numFmtId="0" fontId="0" fillId="0" borderId="0" xfId="0" applyAlignment="1">
      <alignment horizontal="left" vertical="center" wrapText="1"/>
    </xf>
    <xf numFmtId="1" fontId="22" fillId="3" borderId="0" xfId="0" applyNumberFormat="1" applyFont="1" applyFill="1" applyAlignment="1" applyProtection="1">
      <alignment horizontal="center" vertical="center"/>
      <protection locked="0"/>
    </xf>
    <xf numFmtId="10" fontId="5" fillId="0" borderId="27" xfId="2" applyNumberFormat="1" applyFont="1" applyFill="1" applyBorder="1" applyAlignment="1" applyProtection="1">
      <alignment horizontal="center" vertical="center"/>
    </xf>
    <xf numFmtId="10" fontId="3" fillId="0" borderId="29" xfId="2" applyNumberFormat="1" applyFont="1" applyFill="1" applyBorder="1" applyAlignment="1" applyProtection="1">
      <alignment horizontal="center" vertical="center"/>
    </xf>
    <xf numFmtId="9" fontId="3" fillId="0" borderId="29" xfId="2" applyFont="1" applyFill="1" applyBorder="1" applyAlignment="1" applyProtection="1">
      <alignment horizontal="center" vertical="center"/>
    </xf>
    <xf numFmtId="10" fontId="5" fillId="0" borderId="28" xfId="2" applyNumberFormat="1" applyFont="1" applyFill="1" applyBorder="1" applyAlignment="1" applyProtection="1">
      <alignment horizontal="center" vertical="center"/>
    </xf>
    <xf numFmtId="184" fontId="22" fillId="6" borderId="0" xfId="0" applyNumberFormat="1" applyFont="1" applyFill="1" applyAlignment="1">
      <alignment horizontal="center" vertical="center"/>
    </xf>
    <xf numFmtId="189" fontId="22" fillId="6" borderId="0" xfId="0" applyNumberFormat="1" applyFont="1" applyFill="1" applyAlignment="1">
      <alignment horizontal="center" vertical="center"/>
    </xf>
    <xf numFmtId="185" fontId="22" fillId="6" borderId="0" xfId="0" applyNumberFormat="1" applyFont="1" applyFill="1" applyAlignment="1">
      <alignment horizontal="center" vertical="center"/>
    </xf>
    <xf numFmtId="176" fontId="14" fillId="6" borderId="27" xfId="0" applyNumberFormat="1" applyFont="1" applyFill="1" applyBorder="1" applyAlignment="1">
      <alignment horizontal="center" vertical="center"/>
    </xf>
    <xf numFmtId="0" fontId="22" fillId="2" borderId="0" xfId="0" applyFont="1" applyFill="1" applyAlignment="1">
      <alignment horizontal="center" vertical="center"/>
    </xf>
    <xf numFmtId="0" fontId="2" fillId="2" borderId="0" xfId="0" applyFont="1" applyFill="1" applyAlignment="1">
      <alignment horizontal="left" vertical="center"/>
    </xf>
    <xf numFmtId="0" fontId="22" fillId="2" borderId="0" xfId="0" applyFont="1" applyFill="1"/>
    <xf numFmtId="0" fontId="22" fillId="0" borderId="0" xfId="0" applyFont="1"/>
    <xf numFmtId="0" fontId="22" fillId="17" borderId="0" xfId="0" applyFont="1" applyFill="1" applyAlignment="1">
      <alignment horizontal="center" vertical="center"/>
    </xf>
    <xf numFmtId="0" fontId="22" fillId="0" borderId="0" xfId="0" applyFont="1" applyAlignment="1">
      <alignment horizontal="center" vertical="center"/>
    </xf>
    <xf numFmtId="0" fontId="5" fillId="17" borderId="0" xfId="0" applyFont="1" applyFill="1" applyAlignment="1">
      <alignment horizontal="center" vertical="center"/>
    </xf>
    <xf numFmtId="165" fontId="22" fillId="0" borderId="0" xfId="0" applyNumberFormat="1" applyFont="1" applyAlignment="1">
      <alignment horizontal="center" vertical="center"/>
    </xf>
    <xf numFmtId="0" fontId="22" fillId="17" borderId="0" xfId="0" applyFont="1" applyFill="1"/>
    <xf numFmtId="0" fontId="4" fillId="2" borderId="26" xfId="0" applyFont="1" applyFill="1" applyBorder="1" applyAlignment="1">
      <alignment horizontal="center" vertical="center"/>
    </xf>
    <xf numFmtId="0" fontId="4" fillId="2" borderId="27" xfId="0" applyFont="1" applyFill="1" applyBorder="1" applyAlignment="1">
      <alignment horizontal="center" vertical="center"/>
    </xf>
    <xf numFmtId="0" fontId="4" fillId="2" borderId="22" xfId="0" applyFont="1" applyFill="1" applyBorder="1" applyAlignment="1">
      <alignment horizontal="center" vertical="center"/>
    </xf>
    <xf numFmtId="165" fontId="22" fillId="17" borderId="0" xfId="0" applyNumberFormat="1" applyFont="1" applyFill="1" applyAlignment="1">
      <alignment horizontal="center" vertical="center"/>
    </xf>
    <xf numFmtId="0" fontId="22" fillId="17" borderId="0" xfId="0" applyFont="1" applyFill="1" applyAlignment="1">
      <alignment horizontal="left" vertical="top"/>
    </xf>
    <xf numFmtId="165" fontId="22" fillId="0" borderId="0" xfId="0" applyNumberFormat="1" applyFont="1"/>
    <xf numFmtId="0" fontId="22" fillId="0" borderId="0" xfId="0" applyFont="1" applyAlignment="1">
      <alignment horizontal="left" vertical="center"/>
    </xf>
    <xf numFmtId="184" fontId="22" fillId="0" borderId="0" xfId="0" applyNumberFormat="1" applyFont="1" applyAlignment="1">
      <alignment horizontal="center" vertical="center"/>
    </xf>
    <xf numFmtId="9" fontId="22" fillId="0" borderId="0" xfId="2" applyFont="1" applyBorder="1" applyAlignment="1" applyProtection="1">
      <alignment horizontal="center" vertical="center"/>
    </xf>
    <xf numFmtId="165" fontId="5" fillId="0" borderId="0" xfId="0" applyNumberFormat="1" applyFont="1" applyAlignment="1">
      <alignment horizontal="left" vertical="center"/>
    </xf>
    <xf numFmtId="186" fontId="5" fillId="0" borderId="0" xfId="0" applyNumberFormat="1" applyFont="1" applyAlignment="1">
      <alignment horizontal="center" vertical="center"/>
    </xf>
    <xf numFmtId="0" fontId="22" fillId="0" borderId="0" xfId="0" applyFont="1" applyAlignment="1">
      <alignment vertical="top"/>
    </xf>
    <xf numFmtId="175" fontId="5" fillId="0" borderId="0" xfId="0" applyNumberFormat="1" applyFont="1" applyAlignment="1">
      <alignment horizontal="center" vertical="center"/>
    </xf>
    <xf numFmtId="0" fontId="22" fillId="17" borderId="0" xfId="0" applyFont="1" applyFill="1" applyAlignment="1">
      <alignment horizontal="left"/>
    </xf>
    <xf numFmtId="167" fontId="5" fillId="27" borderId="0" xfId="0" applyNumberFormat="1" applyFont="1" applyFill="1" applyAlignment="1">
      <alignment horizontal="center" vertical="center"/>
    </xf>
    <xf numFmtId="164" fontId="5" fillId="17" borderId="0" xfId="1" applyFont="1" applyFill="1" applyBorder="1" applyAlignment="1" applyProtection="1">
      <alignment horizontal="center" vertical="center"/>
    </xf>
    <xf numFmtId="170" fontId="22" fillId="0" borderId="0" xfId="2" applyNumberFormat="1" applyFont="1" applyBorder="1" applyAlignment="1" applyProtection="1">
      <alignment horizontal="center" vertical="center"/>
    </xf>
    <xf numFmtId="0" fontId="24" fillId="0" borderId="13" xfId="0" applyFont="1" applyBorder="1" applyAlignment="1">
      <alignment horizontal="center" vertical="center"/>
    </xf>
    <xf numFmtId="165" fontId="23" fillId="0" borderId="1" xfId="0" applyNumberFormat="1" applyFont="1" applyBorder="1" applyAlignment="1">
      <alignment horizontal="center" vertical="center"/>
    </xf>
    <xf numFmtId="183" fontId="5" fillId="0" borderId="0" xfId="1" applyNumberFormat="1" applyFont="1" applyFill="1" applyBorder="1" applyAlignment="1" applyProtection="1">
      <alignment horizontal="center" vertical="center"/>
    </xf>
    <xf numFmtId="189" fontId="22" fillId="0" borderId="0" xfId="0" applyNumberFormat="1" applyFont="1" applyAlignment="1">
      <alignment horizontal="center" vertical="center"/>
    </xf>
    <xf numFmtId="166" fontId="22" fillId="0" borderId="0" xfId="0" applyNumberFormat="1" applyFont="1" applyAlignment="1">
      <alignment horizontal="center" vertical="center"/>
    </xf>
    <xf numFmtId="0" fontId="4" fillId="2" borderId="23" xfId="0" applyFont="1" applyFill="1" applyBorder="1" applyAlignment="1">
      <alignment horizontal="left" vertical="center"/>
    </xf>
    <xf numFmtId="165" fontId="5" fillId="0" borderId="28" xfId="0" applyNumberFormat="1" applyFont="1" applyBorder="1" applyAlignment="1">
      <alignment horizontal="left" vertical="center"/>
    </xf>
    <xf numFmtId="175" fontId="5" fillId="0" borderId="28" xfId="0" applyNumberFormat="1" applyFont="1" applyBorder="1" applyAlignment="1">
      <alignment horizontal="center" vertical="center"/>
    </xf>
    <xf numFmtId="0" fontId="22" fillId="17" borderId="0" xfId="0" applyFont="1" applyFill="1" applyAlignment="1">
      <alignment horizontal="left" vertical="center"/>
    </xf>
    <xf numFmtId="187" fontId="22" fillId="6" borderId="0" xfId="0" applyNumberFormat="1" applyFont="1" applyFill="1" applyAlignment="1">
      <alignment horizontal="center" vertical="center"/>
    </xf>
    <xf numFmtId="0" fontId="5" fillId="17" borderId="0" xfId="0" applyFont="1" applyFill="1" applyAlignment="1">
      <alignment horizontal="left" vertical="center"/>
    </xf>
    <xf numFmtId="185" fontId="22" fillId="0" borderId="0" xfId="0" applyNumberFormat="1" applyFont="1" applyAlignment="1">
      <alignment horizontal="center" vertical="center"/>
    </xf>
    <xf numFmtId="174" fontId="22" fillId="0" borderId="0" xfId="2" applyNumberFormat="1" applyFont="1" applyBorder="1" applyAlignment="1" applyProtection="1">
      <alignment horizontal="center" vertical="center"/>
    </xf>
    <xf numFmtId="164" fontId="22" fillId="0" borderId="23" xfId="1" applyFont="1" applyBorder="1" applyAlignment="1" applyProtection="1">
      <alignment horizontal="center" vertical="center"/>
    </xf>
    <xf numFmtId="165" fontId="5" fillId="0" borderId="27" xfId="0" applyNumberFormat="1" applyFont="1" applyBorder="1" applyAlignment="1">
      <alignment horizontal="left" vertical="center"/>
    </xf>
    <xf numFmtId="175" fontId="5" fillId="0" borderId="27" xfId="0" applyNumberFormat="1" applyFont="1" applyBorder="1" applyAlignment="1">
      <alignment horizontal="center" vertical="center"/>
    </xf>
    <xf numFmtId="0" fontId="2" fillId="2" borderId="29" xfId="0" applyFont="1" applyFill="1" applyBorder="1" applyAlignment="1">
      <alignment horizontal="center" vertical="center"/>
    </xf>
    <xf numFmtId="186" fontId="3" fillId="0" borderId="29" xfId="0" applyNumberFormat="1" applyFont="1" applyBorder="1" applyAlignment="1">
      <alignment horizontal="center" vertical="center"/>
    </xf>
    <xf numFmtId="188" fontId="3" fillId="0" borderId="29" xfId="0" applyNumberFormat="1" applyFont="1" applyBorder="1" applyAlignment="1">
      <alignment horizontal="center" vertical="center"/>
    </xf>
    <xf numFmtId="0" fontId="0" fillId="17" borderId="22" xfId="0" applyFill="1" applyBorder="1"/>
    <xf numFmtId="0" fontId="36" fillId="17" borderId="0" xfId="0" applyFont="1" applyFill="1" applyAlignment="1">
      <alignment vertical="top" wrapText="1"/>
    </xf>
    <xf numFmtId="0" fontId="14" fillId="0" borderId="27" xfId="0" applyFont="1" applyBorder="1" applyAlignment="1">
      <alignment horizontal="left" vertical="center"/>
    </xf>
    <xf numFmtId="176" fontId="14" fillId="0" borderId="27" xfId="0" applyNumberFormat="1" applyFont="1" applyBorder="1" applyAlignment="1">
      <alignment horizontal="center" vertical="center"/>
    </xf>
    <xf numFmtId="170" fontId="14" fillId="0" borderId="27" xfId="2" applyNumberFormat="1" applyFont="1" applyBorder="1" applyAlignment="1" applyProtection="1">
      <alignment horizontal="center" vertical="center"/>
    </xf>
    <xf numFmtId="0" fontId="39" fillId="17" borderId="0" xfId="0" applyFont="1" applyFill="1"/>
    <xf numFmtId="0" fontId="5" fillId="17" borderId="0" xfId="0" applyFont="1" applyFill="1"/>
    <xf numFmtId="0" fontId="22" fillId="17" borderId="23" xfId="0" applyFont="1" applyFill="1" applyBorder="1" applyAlignment="1">
      <alignment horizontal="center" vertical="center"/>
    </xf>
    <xf numFmtId="165" fontId="24" fillId="0" borderId="1" xfId="0" applyNumberFormat="1" applyFont="1" applyBorder="1" applyAlignment="1">
      <alignment horizontal="center" vertical="center"/>
    </xf>
    <xf numFmtId="0" fontId="5" fillId="17" borderId="0" xfId="0" applyFont="1" applyFill="1" applyAlignment="1">
      <alignment vertical="top"/>
    </xf>
    <xf numFmtId="0" fontId="25" fillId="17" borderId="0" xfId="0" applyFont="1" applyFill="1" applyAlignment="1">
      <alignment vertical="center"/>
    </xf>
    <xf numFmtId="0" fontId="25" fillId="17" borderId="0" xfId="0" applyFont="1" applyFill="1" applyAlignment="1">
      <alignment horizontal="center" vertical="center"/>
    </xf>
    <xf numFmtId="0" fontId="2" fillId="13" borderId="29" xfId="0" applyFont="1" applyFill="1" applyBorder="1" applyAlignment="1">
      <alignment horizontal="center" vertical="center"/>
    </xf>
    <xf numFmtId="0" fontId="22" fillId="17" borderId="0" xfId="0" applyFont="1" applyFill="1" applyAlignment="1">
      <alignment vertical="top"/>
    </xf>
    <xf numFmtId="0" fontId="5" fillId="6" borderId="0" xfId="0" applyFont="1" applyFill="1" applyAlignment="1">
      <alignment vertical="center"/>
    </xf>
    <xf numFmtId="0" fontId="5" fillId="6" borderId="0" xfId="0" applyFont="1" applyFill="1" applyAlignment="1">
      <alignment horizontal="right" vertical="center"/>
    </xf>
    <xf numFmtId="0" fontId="35" fillId="6" borderId="0" xfId="0" applyFont="1" applyFill="1" applyAlignment="1">
      <alignment horizontal="right" vertical="center"/>
    </xf>
    <xf numFmtId="0" fontId="5" fillId="6" borderId="0" xfId="0" applyFont="1" applyFill="1" applyAlignment="1">
      <alignment horizontal="center" vertical="center"/>
    </xf>
    <xf numFmtId="0" fontId="5" fillId="0" borderId="0" xfId="0" applyFont="1" applyAlignment="1">
      <alignment horizontal="center" vertical="center"/>
    </xf>
    <xf numFmtId="0" fontId="22" fillId="0" borderId="0" xfId="0" applyFont="1" applyAlignment="1">
      <alignment vertical="center"/>
    </xf>
    <xf numFmtId="166" fontId="22" fillId="17" borderId="0" xfId="0" applyNumberFormat="1" applyFont="1" applyFill="1" applyAlignment="1">
      <alignment horizontal="center" vertical="center"/>
    </xf>
    <xf numFmtId="0" fontId="25" fillId="0" borderId="0" xfId="0" applyFont="1" applyAlignment="1">
      <alignment horizontal="left" vertical="center"/>
    </xf>
    <xf numFmtId="0" fontId="25" fillId="0" borderId="0" xfId="0" applyFont="1" applyAlignment="1">
      <alignment horizontal="left" vertical="center" wrapText="1"/>
    </xf>
    <xf numFmtId="2" fontId="22" fillId="0" borderId="0" xfId="0" applyNumberFormat="1" applyFont="1" applyAlignment="1">
      <alignment horizontal="right" vertical="center"/>
    </xf>
    <xf numFmtId="0" fontId="35" fillId="0" borderId="0" xfId="0" applyFont="1" applyAlignment="1">
      <alignment horizontal="right" vertical="center"/>
    </xf>
    <xf numFmtId="165" fontId="5" fillId="0" borderId="0" xfId="0" applyNumberFormat="1" applyFont="1" applyAlignment="1">
      <alignment horizontal="center" vertical="center"/>
    </xf>
    <xf numFmtId="1" fontId="5" fillId="0" borderId="0" xfId="0" applyNumberFormat="1" applyFont="1" applyAlignment="1">
      <alignment horizontal="center" vertical="center"/>
    </xf>
    <xf numFmtId="0" fontId="35" fillId="6" borderId="0" xfId="0" applyFont="1" applyFill="1" applyAlignment="1">
      <alignment horizontal="center" vertical="center"/>
    </xf>
    <xf numFmtId="165" fontId="0" fillId="0" borderId="0" xfId="0" applyNumberFormat="1" applyAlignment="1">
      <alignment horizontal="center" vertical="center"/>
    </xf>
    <xf numFmtId="166" fontId="22" fillId="0" borderId="0" xfId="0" applyNumberFormat="1" applyFont="1" applyAlignment="1">
      <alignment horizontal="right" vertical="center"/>
    </xf>
    <xf numFmtId="0" fontId="22" fillId="17" borderId="29" xfId="0" applyFont="1" applyFill="1" applyBorder="1" applyAlignment="1">
      <alignment horizontal="center" vertical="center"/>
    </xf>
    <xf numFmtId="0" fontId="25" fillId="0" borderId="0" xfId="0" applyFont="1" applyAlignment="1">
      <alignment horizontal="center"/>
    </xf>
    <xf numFmtId="0" fontId="2" fillId="20" borderId="27" xfId="0" applyFont="1" applyFill="1" applyBorder="1" applyAlignment="1">
      <alignment horizontal="center" vertical="center"/>
    </xf>
    <xf numFmtId="0" fontId="25" fillId="0" borderId="0" xfId="0" applyFont="1" applyAlignment="1">
      <alignment horizontal="center" vertical="center"/>
    </xf>
    <xf numFmtId="0" fontId="22" fillId="0" borderId="0" xfId="0" applyFont="1" applyAlignment="1">
      <alignment horizontal="center"/>
    </xf>
    <xf numFmtId="166" fontId="0" fillId="0" borderId="0" xfId="0" applyNumberFormat="1" applyAlignment="1">
      <alignment horizontal="right" vertical="center"/>
    </xf>
    <xf numFmtId="0" fontId="5" fillId="0" borderId="0" xfId="0" applyFont="1" applyAlignment="1">
      <alignment vertical="center"/>
    </xf>
    <xf numFmtId="0" fontId="5" fillId="0" borderId="0" xfId="0" applyFont="1" applyAlignment="1">
      <alignment horizontal="right" vertical="center"/>
    </xf>
    <xf numFmtId="166" fontId="0" fillId="0" borderId="0" xfId="2" applyNumberFormat="1" applyFont="1" applyFill="1" applyBorder="1" applyAlignment="1" applyProtection="1">
      <alignment horizontal="center" vertical="center"/>
    </xf>
    <xf numFmtId="2" fontId="5" fillId="0" borderId="0" xfId="0" applyNumberFormat="1" applyFont="1" applyAlignment="1">
      <alignment horizontal="center" vertical="center"/>
    </xf>
    <xf numFmtId="0" fontId="25" fillId="0" borderId="0" xfId="0" applyFont="1" applyAlignment="1">
      <alignment horizontal="center" vertical="center" wrapText="1"/>
    </xf>
    <xf numFmtId="2" fontId="0" fillId="0" borderId="0" xfId="0" applyNumberFormat="1" applyAlignment="1">
      <alignment horizontal="center" vertical="center"/>
    </xf>
    <xf numFmtId="0" fontId="21" fillId="17" borderId="27" xfId="0" applyFont="1" applyFill="1" applyBorder="1" applyAlignment="1">
      <alignment horizontal="center" vertical="center"/>
    </xf>
    <xf numFmtId="0" fontId="22" fillId="17" borderId="27" xfId="0" applyFont="1" applyFill="1" applyBorder="1" applyAlignment="1">
      <alignment horizontal="center" vertical="center"/>
    </xf>
    <xf numFmtId="171" fontId="22" fillId="0" borderId="0" xfId="0" applyNumberFormat="1" applyFont="1"/>
    <xf numFmtId="0" fontId="2" fillId="12" borderId="27" xfId="0" applyFont="1" applyFill="1" applyBorder="1" applyAlignment="1">
      <alignment horizontal="center" vertical="center"/>
    </xf>
    <xf numFmtId="0" fontId="0" fillId="0" borderId="0" xfId="0" applyAlignment="1">
      <alignment vertical="center"/>
    </xf>
    <xf numFmtId="0" fontId="35" fillId="6" borderId="0" xfId="0" applyFont="1" applyFill="1" applyAlignment="1">
      <alignment horizontal="center" vertical="center" wrapText="1"/>
    </xf>
    <xf numFmtId="1" fontId="5" fillId="6" borderId="0" xfId="0" applyNumberFormat="1" applyFont="1" applyFill="1" applyAlignment="1">
      <alignment horizontal="center" vertical="center"/>
    </xf>
    <xf numFmtId="1" fontId="22" fillId="0" borderId="0" xfId="0" applyNumberFormat="1" applyFont="1" applyAlignment="1">
      <alignment horizontal="right" vertical="center"/>
    </xf>
    <xf numFmtId="0" fontId="22" fillId="6" borderId="0" xfId="0" applyFont="1" applyFill="1" applyAlignment="1">
      <alignment horizontal="center" vertical="center"/>
    </xf>
    <xf numFmtId="0" fontId="8" fillId="17" borderId="0" xfId="0" applyFont="1" applyFill="1" applyAlignment="1">
      <alignment horizontal="left" vertical="center"/>
    </xf>
    <xf numFmtId="0" fontId="22" fillId="6" borderId="0" xfId="0" applyFont="1" applyFill="1" applyAlignment="1">
      <alignment horizontal="right" vertical="center"/>
    </xf>
    <xf numFmtId="0" fontId="22" fillId="0" borderId="0" xfId="0" applyFont="1" applyAlignment="1">
      <alignment horizontal="right" vertical="center"/>
    </xf>
    <xf numFmtId="0" fontId="22" fillId="17" borderId="0" xfId="0" quotePrefix="1" applyFont="1" applyFill="1" applyAlignment="1">
      <alignment vertical="top"/>
    </xf>
    <xf numFmtId="0" fontId="25" fillId="6" borderId="0" xfId="0" applyFont="1" applyFill="1" applyAlignment="1">
      <alignment horizontal="right" vertical="center"/>
    </xf>
    <xf numFmtId="0" fontId="25" fillId="0" borderId="0" xfId="0" applyFont="1" applyAlignment="1">
      <alignment horizontal="right" vertical="center"/>
    </xf>
    <xf numFmtId="1" fontId="0" fillId="0" borderId="0" xfId="0" applyNumberFormat="1" applyAlignment="1">
      <alignment horizontal="right" vertical="center"/>
    </xf>
    <xf numFmtId="172" fontId="23" fillId="0" borderId="15" xfId="0" applyNumberFormat="1" applyFont="1" applyBorder="1" applyAlignment="1">
      <alignment horizontal="center" vertical="center"/>
    </xf>
    <xf numFmtId="0" fontId="22" fillId="6" borderId="0" xfId="0" applyFont="1" applyFill="1" applyAlignment="1">
      <alignment vertical="center"/>
    </xf>
    <xf numFmtId="165" fontId="5" fillId="6" borderId="0" xfId="0" applyNumberFormat="1" applyFont="1" applyFill="1" applyAlignment="1">
      <alignment horizontal="center" vertical="center"/>
    </xf>
    <xf numFmtId="1" fontId="35" fillId="6" borderId="0" xfId="0" applyNumberFormat="1" applyFont="1" applyFill="1" applyAlignment="1">
      <alignment horizontal="center" vertical="center"/>
    </xf>
    <xf numFmtId="2" fontId="35" fillId="6" borderId="0" xfId="0" applyNumberFormat="1" applyFont="1" applyFill="1" applyAlignment="1">
      <alignment horizontal="center" vertical="center"/>
    </xf>
    <xf numFmtId="2" fontId="5" fillId="6" borderId="0" xfId="0" applyNumberFormat="1" applyFont="1" applyFill="1" applyAlignment="1">
      <alignment horizontal="center" vertical="center"/>
    </xf>
    <xf numFmtId="166" fontId="5" fillId="6" borderId="0" xfId="0" applyNumberFormat="1" applyFont="1" applyFill="1" applyAlignment="1">
      <alignment horizontal="center" vertical="center"/>
    </xf>
    <xf numFmtId="166" fontId="35" fillId="6" borderId="0" xfId="0" applyNumberFormat="1" applyFont="1" applyFill="1" applyAlignment="1">
      <alignment horizontal="center" vertical="center"/>
    </xf>
    <xf numFmtId="2" fontId="35" fillId="6" borderId="0" xfId="0" applyNumberFormat="1" applyFont="1" applyFill="1" applyAlignment="1">
      <alignment horizontal="left" vertical="center"/>
    </xf>
    <xf numFmtId="1" fontId="5" fillId="26" borderId="0" xfId="0" applyNumberFormat="1" applyFont="1" applyFill="1" applyAlignment="1" applyProtection="1">
      <alignment horizontal="center" vertical="center"/>
      <protection locked="0"/>
    </xf>
    <xf numFmtId="10" fontId="23" fillId="3" borderId="0" xfId="2" applyNumberFormat="1" applyFont="1" applyFill="1" applyBorder="1" applyAlignment="1" applyProtection="1">
      <alignment horizontal="center" vertical="center"/>
      <protection locked="0"/>
    </xf>
    <xf numFmtId="2" fontId="23" fillId="3" borderId="0" xfId="2" applyNumberFormat="1" applyFont="1" applyFill="1" applyBorder="1" applyAlignment="1" applyProtection="1">
      <alignment horizontal="center" vertical="center"/>
      <protection locked="0"/>
    </xf>
    <xf numFmtId="10" fontId="23" fillId="3" borderId="27" xfId="2" applyNumberFormat="1" applyFont="1" applyFill="1" applyBorder="1" applyAlignment="1" applyProtection="1">
      <alignment horizontal="center" vertical="center"/>
      <protection locked="0"/>
    </xf>
    <xf numFmtId="2" fontId="23" fillId="3" borderId="27" xfId="2" applyNumberFormat="1" applyFont="1" applyFill="1" applyBorder="1" applyAlignment="1" applyProtection="1">
      <alignment horizontal="center" vertical="center"/>
      <protection locked="0"/>
    </xf>
    <xf numFmtId="10" fontId="0" fillId="3" borderId="0" xfId="2" applyNumberFormat="1" applyFont="1" applyFill="1" applyBorder="1" applyAlignment="1" applyProtection="1">
      <alignment horizontal="center" vertical="center"/>
      <protection locked="0"/>
    </xf>
    <xf numFmtId="2" fontId="0" fillId="3" borderId="0" xfId="2" applyNumberFormat="1" applyFont="1" applyFill="1" applyBorder="1" applyAlignment="1" applyProtection="1">
      <alignment horizontal="center" vertical="center"/>
      <protection locked="0"/>
    </xf>
    <xf numFmtId="0" fontId="23" fillId="3" borderId="0" xfId="0" applyFont="1" applyFill="1" applyAlignment="1" applyProtection="1">
      <alignment horizontal="center" vertical="center"/>
      <protection locked="0"/>
    </xf>
    <xf numFmtId="170" fontId="23" fillId="3" borderId="0" xfId="2" applyNumberFormat="1" applyFont="1" applyFill="1" applyBorder="1" applyAlignment="1" applyProtection="1">
      <alignment horizontal="center" vertical="center"/>
      <protection locked="0"/>
    </xf>
    <xf numFmtId="165" fontId="23" fillId="3" borderId="0" xfId="0" applyNumberFormat="1" applyFont="1" applyFill="1" applyAlignment="1" applyProtection="1">
      <alignment horizontal="center" vertical="center"/>
      <protection locked="0"/>
    </xf>
    <xf numFmtId="2" fontId="23" fillId="3" borderId="0" xfId="0" applyNumberFormat="1" applyFont="1" applyFill="1" applyAlignment="1" applyProtection="1">
      <alignment horizontal="center" vertical="center"/>
      <protection locked="0"/>
    </xf>
    <xf numFmtId="170" fontId="0" fillId="3" borderId="0" xfId="2" applyNumberFormat="1" applyFont="1" applyFill="1" applyBorder="1" applyAlignment="1" applyProtection="1">
      <alignment horizontal="center" vertical="center"/>
      <protection locked="0"/>
    </xf>
    <xf numFmtId="165" fontId="0" fillId="3" borderId="0" xfId="0" applyNumberFormat="1" applyFill="1" applyAlignment="1" applyProtection="1">
      <alignment horizontal="center" vertical="center"/>
      <protection locked="0"/>
    </xf>
    <xf numFmtId="2" fontId="0" fillId="3" borderId="0" xfId="0" applyNumberFormat="1" applyFill="1" applyAlignment="1" applyProtection="1">
      <alignment horizontal="center" vertical="center"/>
      <protection locked="0"/>
    </xf>
    <xf numFmtId="0" fontId="23" fillId="3" borderId="27" xfId="0" applyFont="1" applyFill="1" applyBorder="1" applyAlignment="1" applyProtection="1">
      <alignment horizontal="center" vertical="center"/>
      <protection locked="0"/>
    </xf>
    <xf numFmtId="170" fontId="23" fillId="3" borderId="27" xfId="2" applyNumberFormat="1" applyFont="1" applyFill="1" applyBorder="1" applyAlignment="1" applyProtection="1">
      <alignment horizontal="center" vertical="center"/>
      <protection locked="0"/>
    </xf>
    <xf numFmtId="165" fontId="23" fillId="3" borderId="27" xfId="0" applyNumberFormat="1" applyFont="1" applyFill="1" applyBorder="1" applyAlignment="1" applyProtection="1">
      <alignment horizontal="center" vertical="center"/>
      <protection locked="0"/>
    </xf>
    <xf numFmtId="2" fontId="23" fillId="3" borderId="27" xfId="0" applyNumberFormat="1" applyFont="1" applyFill="1" applyBorder="1" applyAlignment="1" applyProtection="1">
      <alignment horizontal="center" vertical="center"/>
      <protection locked="0"/>
    </xf>
    <xf numFmtId="10" fontId="23" fillId="3" borderId="0" xfId="2" applyNumberFormat="1" applyFont="1" applyFill="1" applyBorder="1" applyAlignment="1" applyProtection="1">
      <alignment horizontal="left" vertical="center"/>
      <protection locked="0"/>
    </xf>
    <xf numFmtId="10" fontId="23" fillId="3" borderId="27" xfId="2" applyNumberFormat="1" applyFont="1" applyFill="1" applyBorder="1" applyAlignment="1" applyProtection="1">
      <alignment horizontal="left" vertical="center"/>
      <protection locked="0"/>
    </xf>
    <xf numFmtId="10" fontId="0" fillId="3" borderId="0" xfId="2" applyNumberFormat="1" applyFont="1" applyFill="1" applyBorder="1" applyAlignment="1" applyProtection="1">
      <alignment horizontal="left" vertical="center"/>
      <protection locked="0"/>
    </xf>
    <xf numFmtId="170" fontId="0" fillId="0" borderId="0" xfId="2" applyNumberFormat="1" applyFont="1" applyFill="1" applyBorder="1" applyAlignment="1">
      <alignment horizontal="center" vertical="center"/>
    </xf>
    <xf numFmtId="0" fontId="3" fillId="0" borderId="0" xfId="0" applyFont="1" applyAlignment="1">
      <alignment horizontal="right" vertical="center"/>
    </xf>
    <xf numFmtId="173" fontId="3" fillId="0" borderId="0" xfId="0" applyNumberFormat="1" applyFont="1" applyAlignment="1">
      <alignment horizontal="center" vertical="center"/>
    </xf>
    <xf numFmtId="0" fontId="43" fillId="0" borderId="0" xfId="0" applyFont="1" applyAlignment="1">
      <alignment horizontal="left" vertical="top"/>
    </xf>
    <xf numFmtId="0" fontId="0" fillId="0" borderId="0" xfId="0" applyAlignment="1">
      <alignment horizontal="left"/>
    </xf>
    <xf numFmtId="0" fontId="43" fillId="0" borderId="0" xfId="0" applyFont="1"/>
    <xf numFmtId="0" fontId="0" fillId="0" borderId="0" xfId="0" quotePrefix="1" applyAlignment="1">
      <alignment horizontal="left" vertical="center" wrapText="1"/>
    </xf>
    <xf numFmtId="177" fontId="3" fillId="0" borderId="30" xfId="0" applyNumberFormat="1" applyFont="1" applyBorder="1" applyAlignment="1">
      <alignment horizontal="center" wrapText="1"/>
    </xf>
    <xf numFmtId="177" fontId="0" fillId="0" borderId="0" xfId="0" applyNumberFormat="1" applyAlignment="1">
      <alignment horizontal="center" wrapText="1"/>
    </xf>
    <xf numFmtId="177" fontId="3" fillId="0" borderId="31" xfId="0" applyNumberFormat="1" applyFont="1" applyBorder="1" applyAlignment="1">
      <alignment horizontal="center" vertical="center" wrapText="1"/>
    </xf>
    <xf numFmtId="0" fontId="3" fillId="0" borderId="0" xfId="0" quotePrefix="1" applyFont="1" applyAlignment="1">
      <alignment horizontal="left" vertical="center" wrapText="1"/>
    </xf>
    <xf numFmtId="0" fontId="3" fillId="0" borderId="0" xfId="0" applyFont="1" applyAlignment="1">
      <alignment horizontal="left" vertical="center" wrapText="1"/>
    </xf>
    <xf numFmtId="0" fontId="43" fillId="0" borderId="0" xfId="0" applyFont="1" applyAlignment="1">
      <alignment horizontal="left" vertical="top" wrapText="1"/>
    </xf>
    <xf numFmtId="0" fontId="0" fillId="0" borderId="0" xfId="0" quotePrefix="1" applyAlignment="1">
      <alignment horizontal="left" vertical="top" wrapText="1"/>
    </xf>
    <xf numFmtId="0" fontId="42" fillId="0" borderId="0" xfId="0" applyFont="1" applyAlignment="1">
      <alignment vertical="center"/>
    </xf>
    <xf numFmtId="0" fontId="3" fillId="0" borderId="0" xfId="0" quotePrefix="1" applyFont="1" applyAlignment="1">
      <alignment horizontal="left" vertical="center"/>
    </xf>
    <xf numFmtId="0" fontId="0" fillId="0" borderId="0" xfId="0" quotePrefix="1" applyAlignment="1">
      <alignment horizontal="left" vertical="center"/>
    </xf>
    <xf numFmtId="0" fontId="0" fillId="0" borderId="0" xfId="0" applyAlignment="1">
      <alignment horizontal="left" vertical="center"/>
    </xf>
    <xf numFmtId="0" fontId="0" fillId="0" borderId="0" xfId="0" quotePrefix="1" applyAlignment="1">
      <alignment vertical="top" wrapText="1"/>
    </xf>
    <xf numFmtId="0" fontId="0" fillId="0" borderId="30" xfId="0" applyBorder="1"/>
    <xf numFmtId="9" fontId="0" fillId="5" borderId="23" xfId="0" applyNumberFormat="1" applyFill="1" applyBorder="1" applyAlignment="1" applyProtection="1">
      <alignment horizontal="center" vertical="center"/>
      <protection locked="0"/>
    </xf>
    <xf numFmtId="9" fontId="0" fillId="0" borderId="0" xfId="2" applyFont="1" applyProtection="1"/>
    <xf numFmtId="10" fontId="0" fillId="0" borderId="0" xfId="2" applyNumberFormat="1" applyFont="1" applyProtection="1"/>
    <xf numFmtId="4" fontId="0" fillId="0" borderId="0" xfId="0" applyNumberFormat="1"/>
    <xf numFmtId="0" fontId="2" fillId="20" borderId="33" xfId="0" applyFont="1" applyFill="1" applyBorder="1" applyAlignment="1">
      <alignment horizontal="center" vertical="center"/>
    </xf>
    <xf numFmtId="164" fontId="23" fillId="3" borderId="34" xfId="1" applyFont="1" applyFill="1" applyBorder="1" applyAlignment="1" applyProtection="1">
      <alignment horizontal="center" vertical="center"/>
      <protection locked="0"/>
    </xf>
    <xf numFmtId="164" fontId="0" fillId="3" borderId="34" xfId="1" applyFont="1" applyFill="1" applyBorder="1" applyAlignment="1" applyProtection="1">
      <alignment horizontal="center" vertical="center"/>
      <protection locked="0"/>
    </xf>
    <xf numFmtId="164" fontId="23" fillId="6" borderId="0" xfId="1" applyFont="1" applyFill="1" applyBorder="1" applyAlignment="1" applyProtection="1">
      <alignment horizontal="center" vertical="center"/>
    </xf>
    <xf numFmtId="9" fontId="23" fillId="6" borderId="0" xfId="2" applyFont="1" applyFill="1" applyBorder="1" applyAlignment="1" applyProtection="1">
      <alignment horizontal="center" vertical="center"/>
    </xf>
    <xf numFmtId="170" fontId="23" fillId="6" borderId="0" xfId="2" applyNumberFormat="1" applyFont="1" applyFill="1" applyBorder="1" applyAlignment="1" applyProtection="1">
      <alignment horizontal="center" vertical="center"/>
    </xf>
    <xf numFmtId="9" fontId="23" fillId="6" borderId="27" xfId="2" applyFont="1" applyFill="1" applyBorder="1" applyAlignment="1" applyProtection="1">
      <alignment horizontal="center" vertical="center"/>
    </xf>
    <xf numFmtId="170" fontId="22" fillId="3" borderId="0" xfId="0" applyNumberFormat="1" applyFont="1" applyFill="1" applyAlignment="1" applyProtection="1">
      <alignment horizontal="center" vertical="center"/>
      <protection locked="0"/>
    </xf>
    <xf numFmtId="0" fontId="5" fillId="0" borderId="0" xfId="0" applyFont="1" applyAlignment="1">
      <alignment horizontal="left" vertical="center"/>
    </xf>
    <xf numFmtId="182" fontId="22" fillId="0" borderId="0" xfId="0" applyNumberFormat="1" applyFont="1" applyAlignment="1">
      <alignment horizontal="center" vertical="center"/>
    </xf>
    <xf numFmtId="1" fontId="22" fillId="0" borderId="0" xfId="0" applyNumberFormat="1" applyFont="1" applyAlignment="1">
      <alignment horizontal="center" vertical="center"/>
    </xf>
    <xf numFmtId="167" fontId="5" fillId="0" borderId="0" xfId="0" applyNumberFormat="1" applyFont="1" applyAlignment="1">
      <alignment horizontal="center" vertical="center"/>
    </xf>
    <xf numFmtId="188" fontId="5" fillId="0" borderId="0" xfId="0" applyNumberFormat="1" applyFont="1" applyAlignment="1">
      <alignment horizontal="center" vertical="center"/>
    </xf>
    <xf numFmtId="183" fontId="22" fillId="0" borderId="0" xfId="0" applyNumberFormat="1" applyFont="1" applyAlignment="1">
      <alignment horizontal="center" vertical="center"/>
    </xf>
    <xf numFmtId="0" fontId="23" fillId="5" borderId="0" xfId="0" applyFont="1" applyFill="1" applyAlignment="1" applyProtection="1">
      <alignment horizontal="center" vertical="center"/>
      <protection locked="0"/>
    </xf>
    <xf numFmtId="170" fontId="22" fillId="5" borderId="0" xfId="0" quotePrefix="1" applyNumberFormat="1" applyFont="1" applyFill="1" applyAlignment="1" applyProtection="1">
      <alignment horizontal="center" vertical="center"/>
      <protection locked="0"/>
    </xf>
    <xf numFmtId="164" fontId="22" fillId="5" borderId="0" xfId="1" applyFont="1" applyFill="1" applyBorder="1" applyAlignment="1" applyProtection="1">
      <alignment horizontal="center" vertical="center"/>
      <protection locked="0"/>
    </xf>
    <xf numFmtId="173" fontId="22" fillId="0" borderId="0" xfId="0" applyNumberFormat="1" applyFont="1" applyAlignment="1">
      <alignment horizontal="center" vertical="center"/>
    </xf>
    <xf numFmtId="170" fontId="22" fillId="5" borderId="0" xfId="0" applyNumberFormat="1" applyFont="1" applyFill="1" applyAlignment="1" applyProtection="1">
      <alignment horizontal="center" vertical="center"/>
      <protection locked="0"/>
    </xf>
    <xf numFmtId="0" fontId="2" fillId="2" borderId="23" xfId="0" applyFont="1" applyFill="1" applyBorder="1" applyAlignment="1">
      <alignment horizontal="center" vertical="center"/>
    </xf>
    <xf numFmtId="173" fontId="25" fillId="0" borderId="23" xfId="0" applyNumberFormat="1" applyFont="1" applyBorder="1" applyAlignment="1">
      <alignment horizontal="center" vertical="center"/>
    </xf>
    <xf numFmtId="0" fontId="23" fillId="5" borderId="35" xfId="0" applyFont="1" applyFill="1" applyBorder="1" applyAlignment="1" applyProtection="1">
      <alignment horizontal="center" vertical="center"/>
      <protection locked="0"/>
    </xf>
    <xf numFmtId="170" fontId="22" fillId="5" borderId="35" xfId="0" applyNumberFormat="1" applyFont="1" applyFill="1" applyBorder="1" applyAlignment="1" applyProtection="1">
      <alignment horizontal="center" vertical="center"/>
      <protection locked="0"/>
    </xf>
    <xf numFmtId="164" fontId="22" fillId="5" borderId="35" xfId="1" applyFont="1" applyFill="1" applyBorder="1" applyAlignment="1" applyProtection="1">
      <alignment horizontal="center" vertical="center"/>
      <protection locked="0"/>
    </xf>
    <xf numFmtId="173" fontId="22" fillId="0" borderId="35" xfId="0" applyNumberFormat="1" applyFont="1" applyBorder="1" applyAlignment="1">
      <alignment horizontal="center" vertical="center"/>
    </xf>
    <xf numFmtId="192" fontId="5" fillId="0" borderId="0" xfId="0" applyNumberFormat="1" applyFont="1" applyAlignment="1">
      <alignment horizontal="center" vertical="center"/>
    </xf>
    <xf numFmtId="192" fontId="5" fillId="0" borderId="28" xfId="0" applyNumberFormat="1" applyFont="1" applyBorder="1" applyAlignment="1">
      <alignment horizontal="center" vertical="center"/>
    </xf>
    <xf numFmtId="192" fontId="5" fillId="0" borderId="27" xfId="0" applyNumberFormat="1" applyFont="1" applyBorder="1" applyAlignment="1">
      <alignment horizontal="center" vertical="center"/>
    </xf>
    <xf numFmtId="0" fontId="23" fillId="5" borderId="23" xfId="0" applyFont="1" applyFill="1" applyBorder="1" applyAlignment="1" applyProtection="1">
      <alignment horizontal="center" vertical="center"/>
      <protection locked="0"/>
    </xf>
    <xf numFmtId="170" fontId="22" fillId="5" borderId="23" xfId="0" applyNumberFormat="1" applyFont="1" applyFill="1" applyBorder="1" applyAlignment="1" applyProtection="1">
      <alignment horizontal="center" vertical="center"/>
      <protection locked="0"/>
    </xf>
    <xf numFmtId="164" fontId="22" fillId="5" borderId="23" xfId="1" applyFont="1" applyFill="1" applyBorder="1" applyAlignment="1" applyProtection="1">
      <alignment horizontal="center" vertical="center"/>
      <protection locked="0"/>
    </xf>
    <xf numFmtId="173" fontId="22" fillId="0" borderId="23" xfId="0" applyNumberFormat="1" applyFont="1" applyBorder="1" applyAlignment="1">
      <alignment horizontal="center" vertical="center"/>
    </xf>
    <xf numFmtId="165" fontId="22" fillId="17" borderId="0" xfId="0" applyNumberFormat="1" applyFont="1" applyFill="1"/>
    <xf numFmtId="2" fontId="22" fillId="17" borderId="0" xfId="0" applyNumberFormat="1" applyFont="1" applyFill="1" applyAlignment="1">
      <alignment horizontal="center" vertical="center"/>
    </xf>
    <xf numFmtId="170" fontId="22" fillId="17" borderId="0" xfId="2" applyNumberFormat="1" applyFont="1" applyFill="1" applyBorder="1" applyAlignment="1" applyProtection="1">
      <alignment horizontal="center" vertical="center"/>
    </xf>
    <xf numFmtId="0" fontId="3" fillId="17" borderId="37" xfId="0" applyFont="1" applyFill="1" applyBorder="1" applyAlignment="1">
      <alignment horizontal="center" vertical="center"/>
    </xf>
    <xf numFmtId="165" fontId="3" fillId="17" borderId="37" xfId="0" applyNumberFormat="1" applyFont="1" applyFill="1" applyBorder="1" applyAlignment="1">
      <alignment horizontal="center" vertical="center"/>
    </xf>
    <xf numFmtId="0" fontId="3" fillId="17" borderId="38" xfId="0" applyFont="1" applyFill="1" applyBorder="1" applyAlignment="1">
      <alignment horizontal="center" vertical="center"/>
    </xf>
    <xf numFmtId="9" fontId="1" fillId="17" borderId="37" xfId="2" applyFont="1" applyFill="1" applyBorder="1" applyAlignment="1" applyProtection="1">
      <alignment horizontal="center" vertical="center"/>
    </xf>
    <xf numFmtId="170" fontId="1" fillId="17" borderId="38" xfId="2" applyNumberFormat="1" applyFont="1" applyFill="1" applyBorder="1" applyAlignment="1" applyProtection="1">
      <alignment horizontal="center" vertical="center"/>
    </xf>
    <xf numFmtId="0" fontId="22" fillId="17" borderId="39" xfId="0" applyFont="1" applyFill="1" applyBorder="1" applyAlignment="1">
      <alignment horizontal="center" vertical="center"/>
    </xf>
    <xf numFmtId="0" fontId="22" fillId="17" borderId="35" xfId="0" applyFont="1" applyFill="1" applyBorder="1" applyAlignment="1">
      <alignment horizontal="center" vertical="center"/>
    </xf>
    <xf numFmtId="0" fontId="22" fillId="17" borderId="40" xfId="0" applyFont="1" applyFill="1" applyBorder="1" applyAlignment="1">
      <alignment horizontal="center" vertical="center"/>
    </xf>
    <xf numFmtId="0" fontId="22" fillId="17" borderId="36" xfId="0" applyFont="1" applyFill="1" applyBorder="1" applyAlignment="1">
      <alignment horizontal="center" vertical="center"/>
    </xf>
    <xf numFmtId="0" fontId="22" fillId="17" borderId="41" xfId="0" applyFont="1" applyFill="1" applyBorder="1" applyAlignment="1">
      <alignment horizontal="center" vertical="center"/>
    </xf>
    <xf numFmtId="0" fontId="22" fillId="17" borderId="42" xfId="0" applyFont="1" applyFill="1" applyBorder="1" applyAlignment="1">
      <alignment horizontal="center" vertical="center"/>
    </xf>
    <xf numFmtId="0" fontId="22" fillId="17" borderId="43" xfId="0" applyFont="1" applyFill="1" applyBorder="1" applyAlignment="1">
      <alignment horizontal="center" vertical="center"/>
    </xf>
    <xf numFmtId="9" fontId="22" fillId="17" borderId="0" xfId="0" applyNumberFormat="1" applyFont="1" applyFill="1" applyAlignment="1">
      <alignment horizontal="center" vertical="center"/>
    </xf>
    <xf numFmtId="0" fontId="4" fillId="2" borderId="25" xfId="0" applyFont="1" applyFill="1" applyBorder="1" applyAlignment="1">
      <alignment horizontal="center" vertical="center"/>
    </xf>
    <xf numFmtId="0" fontId="5" fillId="0" borderId="0" xfId="0" applyFont="1" applyAlignment="1">
      <alignment vertical="top"/>
    </xf>
    <xf numFmtId="164" fontId="22" fillId="0" borderId="0" xfId="1" applyFont="1" applyBorder="1" applyAlignment="1" applyProtection="1">
      <alignment horizontal="center" vertical="center"/>
    </xf>
    <xf numFmtId="10" fontId="23" fillId="3" borderId="23" xfId="2" applyNumberFormat="1" applyFont="1" applyFill="1" applyBorder="1" applyAlignment="1" applyProtection="1">
      <alignment horizontal="left" vertical="center"/>
      <protection locked="0"/>
    </xf>
    <xf numFmtId="10" fontId="23" fillId="3" borderId="23" xfId="2" applyNumberFormat="1" applyFont="1" applyFill="1" applyBorder="1" applyAlignment="1" applyProtection="1">
      <alignment horizontal="center" vertical="center"/>
      <protection locked="0"/>
    </xf>
    <xf numFmtId="2" fontId="23" fillId="3" borderId="23" xfId="2" applyNumberFormat="1" applyFont="1" applyFill="1" applyBorder="1" applyAlignment="1" applyProtection="1">
      <alignment horizontal="center" vertical="center"/>
      <protection locked="0"/>
    </xf>
    <xf numFmtId="164" fontId="23" fillId="3" borderId="44" xfId="1" applyFont="1" applyFill="1" applyBorder="1" applyAlignment="1" applyProtection="1">
      <alignment horizontal="center" vertical="center"/>
      <protection locked="0"/>
    </xf>
    <xf numFmtId="164" fontId="23" fillId="6" borderId="23" xfId="1" applyFont="1" applyFill="1" applyBorder="1" applyAlignment="1" applyProtection="1">
      <alignment horizontal="center" vertical="center"/>
    </xf>
    <xf numFmtId="174" fontId="0" fillId="5" borderId="0" xfId="2" applyNumberFormat="1" applyFont="1" applyFill="1" applyAlignment="1" applyProtection="1">
      <alignment horizontal="center" vertical="center"/>
      <protection locked="0"/>
    </xf>
    <xf numFmtId="1" fontId="0" fillId="5" borderId="0" xfId="0" applyNumberFormat="1" applyFill="1" applyAlignment="1" applyProtection="1">
      <alignment horizontal="center" vertical="center"/>
      <protection locked="0"/>
    </xf>
    <xf numFmtId="0" fontId="6" fillId="2" borderId="0" xfId="0" applyFont="1" applyFill="1" applyAlignment="1">
      <alignment horizontal="center" vertical="center"/>
    </xf>
    <xf numFmtId="14" fontId="6" fillId="2" borderId="0" xfId="0" applyNumberFormat="1" applyFont="1" applyFill="1" applyAlignment="1">
      <alignment horizontal="center" vertical="center"/>
    </xf>
    <xf numFmtId="0" fontId="4" fillId="8" borderId="5" xfId="0" applyFont="1" applyFill="1" applyBorder="1" applyAlignment="1">
      <alignment horizontal="center"/>
    </xf>
    <xf numFmtId="0" fontId="4" fillId="8" borderId="0" xfId="0" applyFont="1" applyFill="1" applyAlignment="1">
      <alignment horizontal="center"/>
    </xf>
    <xf numFmtId="0" fontId="4" fillId="8" borderId="6" xfId="0" applyFont="1" applyFill="1" applyBorder="1" applyAlignment="1">
      <alignment horizontal="center"/>
    </xf>
    <xf numFmtId="0" fontId="0" fillId="8" borderId="0" xfId="0" applyFill="1" applyAlignment="1">
      <alignment horizontal="center" vertical="center"/>
    </xf>
    <xf numFmtId="0" fontId="4" fillId="8" borderId="5" xfId="0" quotePrefix="1" applyFont="1" applyFill="1" applyBorder="1" applyAlignment="1">
      <alignment horizontal="center"/>
    </xf>
    <xf numFmtId="0" fontId="4" fillId="8" borderId="6" xfId="0" quotePrefix="1" applyFont="1" applyFill="1" applyBorder="1" applyAlignment="1">
      <alignment horizontal="center"/>
    </xf>
    <xf numFmtId="14" fontId="0" fillId="6" borderId="7" xfId="0" applyNumberFormat="1" applyFill="1" applyBorder="1" applyAlignment="1">
      <alignment horizontal="center"/>
    </xf>
    <xf numFmtId="14" fontId="0" fillId="6" borderId="8" xfId="0" applyNumberFormat="1" applyFill="1" applyBorder="1" applyAlignment="1">
      <alignment horizontal="center"/>
    </xf>
    <xf numFmtId="0" fontId="0" fillId="6" borderId="9" xfId="0" applyFill="1" applyBorder="1" applyAlignment="1">
      <alignment horizontal="center"/>
    </xf>
    <xf numFmtId="177" fontId="0" fillId="6" borderId="8" xfId="0" applyNumberFormat="1" applyFill="1" applyBorder="1" applyAlignment="1">
      <alignment horizontal="center"/>
    </xf>
    <xf numFmtId="177" fontId="0" fillId="6" borderId="9" xfId="0" applyNumberFormat="1" applyFill="1" applyBorder="1" applyAlignment="1">
      <alignment horizontal="center"/>
    </xf>
    <xf numFmtId="193" fontId="0" fillId="6" borderId="7" xfId="0" applyNumberFormat="1" applyFill="1" applyBorder="1" applyAlignment="1">
      <alignment horizontal="center"/>
    </xf>
    <xf numFmtId="0" fontId="0" fillId="6" borderId="8" xfId="0" applyFill="1" applyBorder="1" applyAlignment="1">
      <alignment horizontal="center" vertical="center"/>
    </xf>
    <xf numFmtId="188" fontId="0" fillId="6" borderId="8" xfId="0" applyNumberFormat="1" applyFill="1" applyBorder="1" applyAlignment="1">
      <alignment horizontal="center"/>
    </xf>
    <xf numFmtId="188" fontId="0" fillId="6" borderId="9" xfId="0" applyNumberFormat="1" applyFill="1" applyBorder="1" applyAlignment="1">
      <alignment horizontal="center"/>
    </xf>
    <xf numFmtId="168" fontId="0" fillId="6" borderId="7" xfId="0" applyNumberFormat="1" applyFill="1" applyBorder="1" applyAlignment="1">
      <alignment horizontal="center"/>
    </xf>
    <xf numFmtId="168" fontId="0" fillId="6" borderId="9" xfId="0" applyNumberFormat="1" applyFill="1" applyBorder="1" applyAlignment="1">
      <alignment horizontal="center"/>
    </xf>
    <xf numFmtId="194" fontId="0" fillId="6" borderId="7" xfId="0" applyNumberFormat="1" applyFill="1" applyBorder="1" applyAlignment="1">
      <alignment horizontal="center"/>
    </xf>
    <xf numFmtId="181" fontId="0" fillId="6" borderId="9" xfId="0" applyNumberFormat="1" applyFill="1" applyBorder="1" applyAlignment="1">
      <alignment horizontal="center"/>
    </xf>
    <xf numFmtId="0" fontId="4" fillId="8" borderId="0" xfId="0" applyFont="1" applyFill="1" applyAlignment="1">
      <alignment horizontal="center" vertical="center"/>
    </xf>
    <xf numFmtId="0" fontId="0" fillId="4" borderId="0" xfId="0" quotePrefix="1" applyFill="1" applyAlignment="1">
      <alignment horizontal="center" vertical="center"/>
    </xf>
    <xf numFmtId="0" fontId="0" fillId="5" borderId="0" xfId="0" applyFill="1" applyAlignment="1">
      <alignment horizontal="center" vertical="center"/>
    </xf>
    <xf numFmtId="167" fontId="0" fillId="6" borderId="0" xfId="0" applyNumberFormat="1" applyFill="1" applyAlignment="1">
      <alignment horizontal="center" vertical="center"/>
    </xf>
    <xf numFmtId="10" fontId="0" fillId="6" borderId="0" xfId="2" applyNumberFormat="1" applyFont="1" applyFill="1" applyAlignment="1" applyProtection="1">
      <alignment horizontal="center" vertical="center"/>
    </xf>
    <xf numFmtId="0" fontId="0" fillId="3" borderId="0" xfId="0" applyFill="1" applyAlignment="1">
      <alignment horizontal="center" vertical="center"/>
    </xf>
    <xf numFmtId="1" fontId="0" fillId="4" borderId="0" xfId="0" applyNumberFormat="1" applyFill="1" applyAlignment="1">
      <alignment horizontal="center" vertical="center"/>
    </xf>
    <xf numFmtId="14" fontId="0" fillId="6" borderId="0" xfId="0" applyNumberFormat="1" applyFill="1" applyAlignment="1">
      <alignment horizontal="center" vertical="center"/>
    </xf>
    <xf numFmtId="1" fontId="0" fillId="0" borderId="0" xfId="0" applyNumberFormat="1"/>
    <xf numFmtId="174" fontId="0" fillId="6" borderId="0" xfId="2" applyNumberFormat="1" applyFont="1" applyFill="1" applyAlignment="1" applyProtection="1">
      <alignment horizontal="center" vertical="center"/>
      <protection locked="0"/>
    </xf>
    <xf numFmtId="0" fontId="0" fillId="3" borderId="10" xfId="0" applyFill="1" applyBorder="1" applyAlignment="1" applyProtection="1">
      <alignment horizontal="center" vertical="center"/>
      <protection locked="0"/>
    </xf>
    <xf numFmtId="0" fontId="0" fillId="3" borderId="11" xfId="0" applyFill="1" applyBorder="1" applyAlignment="1" applyProtection="1">
      <alignment horizontal="center" vertical="center"/>
      <protection locked="0"/>
    </xf>
    <xf numFmtId="9" fontId="0" fillId="3" borderId="11" xfId="2" applyFont="1" applyFill="1" applyBorder="1" applyAlignment="1" applyProtection="1">
      <alignment horizontal="center" vertical="center"/>
      <protection locked="0"/>
    </xf>
    <xf numFmtId="0" fontId="0" fillId="3" borderId="11" xfId="2" applyNumberFormat="1" applyFont="1" applyFill="1" applyBorder="1" applyAlignment="1" applyProtection="1">
      <alignment horizontal="center" vertical="center"/>
      <protection locked="0"/>
    </xf>
    <xf numFmtId="169" fontId="35" fillId="0" borderId="8" xfId="0" applyNumberFormat="1" applyFont="1" applyBorder="1" applyAlignment="1">
      <alignment horizontal="center" vertical="center"/>
    </xf>
    <xf numFmtId="0" fontId="22" fillId="0" borderId="23" xfId="0" applyFont="1" applyBorder="1" applyAlignment="1">
      <alignment horizontal="center" vertical="center"/>
    </xf>
    <xf numFmtId="195" fontId="0" fillId="17" borderId="0" xfId="0" applyNumberFormat="1" applyFill="1"/>
    <xf numFmtId="196" fontId="0" fillId="17" borderId="0" xfId="0" applyNumberFormat="1" applyFill="1"/>
    <xf numFmtId="197" fontId="0" fillId="0" borderId="8" xfId="0" applyNumberFormat="1" applyBorder="1" applyAlignment="1">
      <alignment horizontal="center" vertical="center"/>
    </xf>
    <xf numFmtId="198" fontId="5" fillId="0" borderId="8" xfId="0" applyNumberFormat="1" applyFont="1" applyBorder="1" applyAlignment="1">
      <alignment horizontal="center" vertical="center"/>
    </xf>
    <xf numFmtId="199" fontId="5" fillId="0" borderId="8" xfId="0" applyNumberFormat="1" applyFont="1" applyBorder="1" applyAlignment="1">
      <alignment horizontal="center" vertical="center"/>
    </xf>
    <xf numFmtId="200" fontId="5" fillId="0" borderId="8" xfId="0" applyNumberFormat="1" applyFont="1" applyBorder="1" applyAlignment="1">
      <alignment horizontal="center" vertical="center"/>
    </xf>
    <xf numFmtId="201" fontId="0" fillId="17" borderId="0" xfId="1" applyNumberFormat="1" applyFont="1" applyFill="1"/>
    <xf numFmtId="0" fontId="2" fillId="2" borderId="0" xfId="0" applyFont="1" applyFill="1" applyAlignment="1">
      <alignment horizontal="center" vertical="center"/>
    </xf>
    <xf numFmtId="0" fontId="15" fillId="0" borderId="0" xfId="0" applyFont="1" applyAlignment="1">
      <alignment horizontal="right" vertical="center"/>
    </xf>
    <xf numFmtId="0" fontId="15" fillId="0" borderId="16" xfId="0" applyFont="1" applyBorder="1" applyAlignment="1">
      <alignment horizontal="center" vertical="center"/>
    </xf>
    <xf numFmtId="0" fontId="0" fillId="0" borderId="0" xfId="0" applyAlignment="1">
      <alignment horizontal="left" vertical="center" wrapText="1"/>
    </xf>
    <xf numFmtId="0" fontId="0" fillId="6" borderId="5" xfId="0" applyFill="1" applyBorder="1" applyAlignment="1">
      <alignment horizontal="left"/>
    </xf>
    <xf numFmtId="0" fontId="0" fillId="6" borderId="0" xfId="0" applyFill="1" applyAlignment="1">
      <alignment horizontal="left"/>
    </xf>
    <xf numFmtId="0" fontId="0" fillId="6" borderId="6" xfId="0" applyFill="1" applyBorder="1" applyAlignment="1">
      <alignment horizontal="left"/>
    </xf>
    <xf numFmtId="0" fontId="0" fillId="6" borderId="7" xfId="0" applyFill="1" applyBorder="1" applyAlignment="1">
      <alignment horizontal="left"/>
    </xf>
    <xf numFmtId="0" fontId="0" fillId="6" borderId="8" xfId="0" applyFill="1" applyBorder="1" applyAlignment="1">
      <alignment horizontal="left"/>
    </xf>
    <xf numFmtId="0" fontId="0" fillId="6" borderId="9" xfId="0" applyFill="1" applyBorder="1" applyAlignment="1">
      <alignment horizontal="left"/>
    </xf>
    <xf numFmtId="0" fontId="12" fillId="2" borderId="0" xfId="0" applyFont="1" applyFill="1" applyAlignment="1">
      <alignment horizontal="center" vertical="center"/>
    </xf>
    <xf numFmtId="0" fontId="0" fillId="6" borderId="2" xfId="0" applyFill="1" applyBorder="1" applyAlignment="1">
      <alignment horizontal="left"/>
    </xf>
    <xf numFmtId="0" fontId="0" fillId="6" borderId="3" xfId="0" applyFill="1" applyBorder="1" applyAlignment="1">
      <alignment horizontal="left"/>
    </xf>
    <xf numFmtId="0" fontId="0" fillId="6" borderId="4" xfId="0" applyFill="1" applyBorder="1" applyAlignment="1">
      <alignment horizontal="left"/>
    </xf>
    <xf numFmtId="0" fontId="7" fillId="12" borderId="0" xfId="0" applyFont="1" applyFill="1" applyAlignment="1">
      <alignment horizontal="center" vertical="center"/>
    </xf>
    <xf numFmtId="0" fontId="7" fillId="12" borderId="8" xfId="0" applyFont="1" applyFill="1" applyBorder="1" applyAlignment="1">
      <alignment horizontal="center" vertical="center"/>
    </xf>
    <xf numFmtId="0" fontId="5" fillId="9" borderId="2" xfId="0" applyFont="1" applyFill="1" applyBorder="1" applyAlignment="1">
      <alignment horizontal="center" vertical="center" wrapText="1"/>
    </xf>
    <xf numFmtId="0" fontId="5" fillId="9" borderId="3" xfId="0" applyFont="1" applyFill="1" applyBorder="1" applyAlignment="1">
      <alignment horizontal="center" vertical="center" wrapText="1"/>
    </xf>
    <xf numFmtId="0" fontId="5" fillId="9" borderId="4" xfId="0" applyFont="1" applyFill="1" applyBorder="1" applyAlignment="1">
      <alignment horizontal="center" vertical="center" wrapText="1"/>
    </xf>
    <xf numFmtId="0" fontId="5" fillId="9" borderId="5" xfId="0" applyFont="1" applyFill="1" applyBorder="1" applyAlignment="1">
      <alignment horizontal="center" vertical="center" wrapText="1"/>
    </xf>
    <xf numFmtId="0" fontId="5" fillId="9" borderId="0" xfId="0" applyFont="1" applyFill="1" applyAlignment="1">
      <alignment horizontal="center" vertical="center" wrapText="1"/>
    </xf>
    <xf numFmtId="0" fontId="5" fillId="9" borderId="6" xfId="0" applyFont="1" applyFill="1" applyBorder="1" applyAlignment="1">
      <alignment horizontal="center" vertical="center" wrapText="1"/>
    </xf>
    <xf numFmtId="0" fontId="5" fillId="9" borderId="7" xfId="0" applyFont="1" applyFill="1" applyBorder="1" applyAlignment="1">
      <alignment horizontal="center" vertical="center" wrapText="1"/>
    </xf>
    <xf numFmtId="0" fontId="5" fillId="9" borderId="8" xfId="0" applyFont="1" applyFill="1" applyBorder="1" applyAlignment="1">
      <alignment horizontal="center" vertical="center" wrapText="1"/>
    </xf>
    <xf numFmtId="0" fontId="5" fillId="9" borderId="9" xfId="0" applyFont="1" applyFill="1" applyBorder="1" applyAlignment="1">
      <alignment horizontal="center" vertical="center" wrapText="1"/>
    </xf>
    <xf numFmtId="0" fontId="2" fillId="2" borderId="2" xfId="0" applyFont="1" applyFill="1" applyBorder="1" applyAlignment="1">
      <alignment horizontal="center"/>
    </xf>
    <xf numFmtId="0" fontId="2" fillId="2" borderId="4" xfId="0" applyFont="1" applyFill="1" applyBorder="1" applyAlignment="1">
      <alignment horizontal="center"/>
    </xf>
    <xf numFmtId="0" fontId="0" fillId="6" borderId="10" xfId="0" applyFill="1" applyBorder="1" applyAlignment="1">
      <alignment horizontal="left"/>
    </xf>
    <xf numFmtId="0" fontId="0" fillId="6" borderId="11" xfId="0" applyFill="1" applyBorder="1" applyAlignment="1">
      <alignment horizontal="left"/>
    </xf>
    <xf numFmtId="0" fontId="0" fillId="6" borderId="12" xfId="0" applyFill="1" applyBorder="1" applyAlignment="1">
      <alignment horizontal="left"/>
    </xf>
    <xf numFmtId="178" fontId="5" fillId="6" borderId="10" xfId="0" applyNumberFormat="1" applyFont="1" applyFill="1" applyBorder="1" applyAlignment="1">
      <alignment horizontal="left" vertical="center"/>
    </xf>
    <xf numFmtId="178" fontId="5" fillId="6" borderId="11" xfId="0" applyNumberFormat="1" applyFont="1" applyFill="1" applyBorder="1" applyAlignment="1">
      <alignment horizontal="left" vertical="center"/>
    </xf>
    <xf numFmtId="178" fontId="5" fillId="6" borderId="12" xfId="0" applyNumberFormat="1" applyFont="1" applyFill="1"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169" fontId="5" fillId="0" borderId="8" xfId="0" applyNumberFormat="1" applyFont="1" applyBorder="1" applyAlignment="1">
      <alignment horizontal="left" vertical="center"/>
    </xf>
    <xf numFmtId="169" fontId="5" fillId="0" borderId="9" xfId="0" applyNumberFormat="1" applyFont="1" applyBorder="1" applyAlignment="1">
      <alignment horizontal="left" vertical="center"/>
    </xf>
    <xf numFmtId="164" fontId="0" fillId="0" borderId="8" xfId="1" applyFont="1" applyBorder="1" applyAlignment="1">
      <alignment horizontal="left" vertical="center"/>
    </xf>
    <xf numFmtId="164" fontId="0" fillId="0" borderId="9" xfId="1" applyFont="1" applyBorder="1" applyAlignment="1">
      <alignment horizontal="left" vertical="center"/>
    </xf>
    <xf numFmtId="0" fontId="14" fillId="17" borderId="0" xfId="2" applyNumberFormat="1" applyFont="1" applyFill="1" applyAlignment="1">
      <alignment horizontal="left" vertical="center"/>
    </xf>
    <xf numFmtId="0" fontId="2" fillId="2" borderId="11" xfId="0" applyFont="1" applyFill="1" applyBorder="1" applyAlignment="1">
      <alignment horizontal="left" vertical="center"/>
    </xf>
    <xf numFmtId="0" fontId="2" fillId="2" borderId="12" xfId="0" applyFont="1" applyFill="1" applyBorder="1" applyAlignment="1">
      <alignment horizontal="left" vertical="center"/>
    </xf>
    <xf numFmtId="164" fontId="26" fillId="17" borderId="0" xfId="1" applyFont="1" applyFill="1" applyBorder="1" applyAlignment="1">
      <alignment horizontal="center" vertical="center"/>
    </xf>
    <xf numFmtId="0" fontId="5" fillId="6" borderId="10" xfId="0" applyFont="1" applyFill="1" applyBorder="1" applyAlignment="1">
      <alignment horizontal="left" vertical="center"/>
    </xf>
    <xf numFmtId="0" fontId="5" fillId="6" borderId="11" xfId="0" applyFont="1" applyFill="1" applyBorder="1" applyAlignment="1">
      <alignment horizontal="left" vertical="center"/>
    </xf>
    <xf numFmtId="0" fontId="5" fillId="6" borderId="12" xfId="0" applyFont="1" applyFill="1" applyBorder="1" applyAlignment="1">
      <alignment horizontal="left" vertical="center"/>
    </xf>
    <xf numFmtId="0" fontId="2" fillId="2" borderId="10"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xf>
    <xf numFmtId="0" fontId="27" fillId="0" borderId="0" xfId="0" applyFont="1" applyAlignment="1">
      <alignment horizontal="center" vertical="center"/>
    </xf>
    <xf numFmtId="0" fontId="27" fillId="24" borderId="24" xfId="0" applyFont="1" applyFill="1" applyBorder="1" applyAlignment="1">
      <alignment horizontal="center" vertical="center"/>
    </xf>
    <xf numFmtId="0" fontId="31" fillId="24" borderId="24" xfId="0" applyFont="1" applyFill="1" applyBorder="1" applyAlignment="1">
      <alignment horizontal="center" vertical="center"/>
    </xf>
    <xf numFmtId="0" fontId="27" fillId="21" borderId="0" xfId="0" applyFont="1" applyFill="1" applyAlignment="1">
      <alignment horizontal="center" vertical="center"/>
    </xf>
    <xf numFmtId="0" fontId="27" fillId="22" borderId="24" xfId="0" applyFont="1" applyFill="1" applyBorder="1" applyAlignment="1">
      <alignment horizontal="center" vertical="center"/>
    </xf>
    <xf numFmtId="0" fontId="0" fillId="0" borderId="13" xfId="0" applyBorder="1" applyAlignment="1">
      <alignment horizontal="center" vertical="center" wrapText="1"/>
    </xf>
    <xf numFmtId="0" fontId="0" fillId="0" borderId="15" xfId="0" applyBorder="1" applyAlignment="1">
      <alignment horizontal="center" vertical="center" wrapText="1"/>
    </xf>
    <xf numFmtId="0" fontId="0" fillId="0" borderId="14" xfId="0" applyBorder="1" applyAlignment="1">
      <alignment horizontal="center" vertical="center" wrapText="1"/>
    </xf>
    <xf numFmtId="0" fontId="4" fillId="2" borderId="1" xfId="0" applyFont="1" applyFill="1" applyBorder="1" applyAlignment="1">
      <alignment horizontal="center" vertical="center"/>
    </xf>
    <xf numFmtId="0" fontId="4" fillId="2" borderId="13" xfId="0" applyFont="1" applyFill="1" applyBorder="1" applyAlignment="1">
      <alignment horizontal="center" vertical="center"/>
    </xf>
    <xf numFmtId="0" fontId="40" fillId="17" borderId="25" xfId="0" applyFont="1" applyFill="1" applyBorder="1" applyAlignment="1">
      <alignment horizontal="left" vertical="top" wrapText="1"/>
    </xf>
    <xf numFmtId="0" fontId="40" fillId="17" borderId="0" xfId="0" applyFont="1" applyFill="1" applyAlignment="1">
      <alignment horizontal="left" vertical="top" wrapText="1"/>
    </xf>
    <xf numFmtId="0" fontId="37" fillId="17" borderId="23" xfId="0" applyFont="1" applyFill="1" applyBorder="1" applyAlignment="1">
      <alignment horizontal="center" vertical="center"/>
    </xf>
    <xf numFmtId="0" fontId="4" fillId="2" borderId="25" xfId="0" applyFont="1" applyFill="1" applyBorder="1" applyAlignment="1">
      <alignment horizontal="center" vertical="center"/>
    </xf>
    <xf numFmtId="0" fontId="0" fillId="0" borderId="0" xfId="0" applyAlignment="1">
      <alignment horizontal="center" vertical="center"/>
    </xf>
    <xf numFmtId="0" fontId="22" fillId="0" borderId="22" xfId="0" applyFont="1" applyBorder="1" applyAlignment="1">
      <alignment horizontal="center" vertical="center"/>
    </xf>
    <xf numFmtId="0" fontId="4" fillId="2" borderId="0" xfId="0" applyFont="1" applyFill="1" applyAlignment="1">
      <alignment horizontal="left" vertical="center"/>
    </xf>
    <xf numFmtId="0" fontId="37" fillId="17" borderId="27" xfId="0" applyFont="1" applyFill="1" applyBorder="1" applyAlignment="1">
      <alignment horizontal="center" vertical="center"/>
    </xf>
    <xf numFmtId="0" fontId="41" fillId="17" borderId="27" xfId="0" applyFont="1" applyFill="1" applyBorder="1" applyAlignment="1">
      <alignment horizontal="center" vertical="center"/>
    </xf>
    <xf numFmtId="0" fontId="36" fillId="17" borderId="0" xfId="0" applyFont="1" applyFill="1" applyAlignment="1">
      <alignment horizontal="left" vertical="top"/>
    </xf>
    <xf numFmtId="0" fontId="38" fillId="17" borderId="23" xfId="0" applyFont="1" applyFill="1" applyBorder="1" applyAlignment="1">
      <alignment horizontal="center" vertical="center"/>
    </xf>
    <xf numFmtId="170" fontId="25" fillId="0" borderId="22" xfId="0" applyNumberFormat="1" applyFont="1" applyBorder="1" applyAlignment="1">
      <alignment horizontal="center" vertical="center"/>
    </xf>
    <xf numFmtId="164" fontId="22" fillId="0" borderId="30" xfId="1" applyFont="1" applyBorder="1" applyAlignment="1" applyProtection="1">
      <alignment horizontal="center" vertical="center"/>
    </xf>
    <xf numFmtId="0" fontId="3" fillId="0" borderId="31" xfId="0" applyFont="1" applyBorder="1" applyAlignment="1">
      <alignment horizontal="center"/>
    </xf>
    <xf numFmtId="0" fontId="42" fillId="0" borderId="30" xfId="0" applyFont="1" applyBorder="1" applyAlignment="1">
      <alignment horizontal="center" vertical="center"/>
    </xf>
    <xf numFmtId="182" fontId="22" fillId="0" borderId="0" xfId="0" applyNumberFormat="1" applyFont="1" applyAlignment="1">
      <alignment horizontal="center" vertical="center"/>
    </xf>
    <xf numFmtId="183" fontId="5" fillId="0" borderId="0" xfId="1" applyNumberFormat="1" applyFont="1" applyFill="1" applyBorder="1" applyAlignment="1" applyProtection="1">
      <alignment horizontal="center" vertical="center"/>
    </xf>
    <xf numFmtId="1" fontId="22" fillId="0" borderId="0" xfId="0" applyNumberFormat="1" applyFont="1" applyAlignment="1">
      <alignment horizontal="center" vertical="center"/>
    </xf>
    <xf numFmtId="0" fontId="5" fillId="0" borderId="0" xfId="0" applyFont="1" applyAlignment="1">
      <alignment horizontal="left" vertical="center"/>
    </xf>
    <xf numFmtId="0" fontId="5" fillId="0" borderId="30" xfId="0" applyFont="1" applyBorder="1" applyAlignment="1">
      <alignment horizontal="left" vertical="center"/>
    </xf>
    <xf numFmtId="0" fontId="3" fillId="0" borderId="31" xfId="0" applyFont="1" applyBorder="1" applyAlignment="1">
      <alignment horizontal="center" vertical="center"/>
    </xf>
    <xf numFmtId="175" fontId="5" fillId="0" borderId="0" xfId="0" applyNumberFormat="1" applyFont="1" applyAlignment="1">
      <alignment horizontal="center" vertical="center"/>
    </xf>
    <xf numFmtId="167" fontId="5" fillId="0" borderId="0" xfId="0" applyNumberFormat="1" applyFont="1" applyAlignment="1">
      <alignment horizontal="center" vertical="center"/>
    </xf>
    <xf numFmtId="188" fontId="5" fillId="0" borderId="0" xfId="0" applyNumberFormat="1" applyFont="1" applyAlignment="1">
      <alignment horizontal="center" vertical="center"/>
    </xf>
    <xf numFmtId="183" fontId="22" fillId="0" borderId="0" xfId="0" applyNumberFormat="1" applyFont="1" applyAlignment="1">
      <alignment horizontal="center" vertical="center"/>
    </xf>
    <xf numFmtId="0" fontId="0" fillId="0" borderId="0" xfId="0" quotePrefix="1" applyAlignment="1">
      <alignment horizontal="left" vertical="top" wrapText="1"/>
    </xf>
    <xf numFmtId="188" fontId="3" fillId="0" borderId="31" xfId="0" applyNumberFormat="1" applyFont="1" applyBorder="1" applyAlignment="1">
      <alignment horizontal="center"/>
    </xf>
    <xf numFmtId="0" fontId="43" fillId="0" borderId="0" xfId="0" applyFont="1" applyAlignment="1">
      <alignment horizontal="left" vertical="top" wrapText="1"/>
    </xf>
    <xf numFmtId="0" fontId="0" fillId="0" borderId="0" xfId="0" applyAlignment="1">
      <alignment horizontal="center"/>
    </xf>
    <xf numFmtId="188" fontId="0" fillId="0" borderId="0" xfId="0" applyNumberFormat="1" applyAlignment="1">
      <alignment horizontal="center" vertical="center"/>
    </xf>
    <xf numFmtId="0" fontId="0" fillId="0" borderId="30" xfId="0" applyBorder="1" applyAlignment="1">
      <alignment horizontal="center"/>
    </xf>
    <xf numFmtId="188" fontId="0" fillId="0" borderId="30" xfId="0" applyNumberFormat="1" applyBorder="1" applyAlignment="1">
      <alignment horizontal="center" vertical="center"/>
    </xf>
    <xf numFmtId="188" fontId="0" fillId="0" borderId="32" xfId="0" applyNumberFormat="1" applyBorder="1" applyAlignment="1">
      <alignment horizontal="center" vertical="center"/>
    </xf>
    <xf numFmtId="0" fontId="3" fillId="0" borderId="30" xfId="0" applyFont="1" applyBorder="1" applyAlignment="1">
      <alignment horizontal="center"/>
    </xf>
    <xf numFmtId="191" fontId="3" fillId="0" borderId="31" xfId="0" applyNumberFormat="1" applyFont="1" applyBorder="1" applyAlignment="1">
      <alignment horizontal="center" vertical="center"/>
    </xf>
    <xf numFmtId="182" fontId="0" fillId="0" borderId="0" xfId="0" applyNumberFormat="1" applyAlignment="1">
      <alignment horizontal="center" vertical="center"/>
    </xf>
    <xf numFmtId="190" fontId="0" fillId="0" borderId="0" xfId="0" applyNumberFormat="1" applyAlignment="1">
      <alignment horizontal="center" vertical="center"/>
    </xf>
    <xf numFmtId="182" fontId="0" fillId="0" borderId="30" xfId="0" applyNumberFormat="1" applyBorder="1" applyAlignment="1">
      <alignment horizontal="center" vertical="center"/>
    </xf>
    <xf numFmtId="190" fontId="0" fillId="0" borderId="30" xfId="0" applyNumberFormat="1" applyBorder="1" applyAlignment="1">
      <alignment horizontal="center" vertical="center"/>
    </xf>
    <xf numFmtId="182" fontId="0" fillId="0" borderId="32" xfId="0" applyNumberFormat="1" applyBorder="1" applyAlignment="1">
      <alignment horizontal="center" vertical="center"/>
    </xf>
    <xf numFmtId="190" fontId="0" fillId="0" borderId="32" xfId="0" applyNumberFormat="1" applyBorder="1" applyAlignment="1">
      <alignment horizontal="center" vertical="center"/>
    </xf>
    <xf numFmtId="0" fontId="0" fillId="0" borderId="0" xfId="0" applyAlignment="1" applyProtection="1">
      <alignment horizontal="center"/>
      <protection locked="0"/>
    </xf>
    <xf numFmtId="0" fontId="0" fillId="0" borderId="30" xfId="0" applyBorder="1" applyAlignment="1" applyProtection="1">
      <alignment horizontal="center"/>
      <protection locked="0"/>
    </xf>
    <xf numFmtId="0" fontId="3" fillId="0" borderId="30" xfId="0" applyFont="1" applyBorder="1" applyAlignment="1">
      <alignment horizontal="center" vertical="center"/>
    </xf>
    <xf numFmtId="0" fontId="3" fillId="0" borderId="31" xfId="0" applyFont="1" applyBorder="1" applyAlignment="1">
      <alignment horizontal="right" vertical="center"/>
    </xf>
    <xf numFmtId="173" fontId="3" fillId="0" borderId="31" xfId="0" applyNumberFormat="1" applyFont="1" applyBorder="1" applyAlignment="1" applyProtection="1">
      <alignment horizontal="center" vertical="center"/>
      <protection locked="0"/>
    </xf>
    <xf numFmtId="173" fontId="3" fillId="0" borderId="31" xfId="0" applyNumberFormat="1" applyFont="1" applyBorder="1" applyAlignment="1">
      <alignment horizontal="center" vertical="center"/>
    </xf>
    <xf numFmtId="164" fontId="0" fillId="0" borderId="0" xfId="1" applyFont="1" applyAlignment="1" applyProtection="1">
      <alignment horizontal="center" vertical="center"/>
      <protection locked="0"/>
    </xf>
    <xf numFmtId="164" fontId="0" fillId="0" borderId="0" xfId="1" quotePrefix="1" applyFont="1" applyAlignment="1" applyProtection="1">
      <alignment horizontal="center" vertical="center"/>
      <protection locked="0"/>
    </xf>
    <xf numFmtId="9" fontId="0" fillId="0" borderId="0" xfId="2" applyFont="1" applyAlignment="1" applyProtection="1">
      <alignment horizontal="center" vertical="center"/>
      <protection locked="0"/>
    </xf>
    <xf numFmtId="0" fontId="0" fillId="0" borderId="0" xfId="0" applyAlignment="1" applyProtection="1">
      <alignment horizontal="center" vertical="center"/>
      <protection locked="0"/>
    </xf>
    <xf numFmtId="0" fontId="9" fillId="2" borderId="0" xfId="0" applyFont="1" applyFill="1" applyAlignment="1">
      <alignment horizontal="center" vertical="center"/>
    </xf>
    <xf numFmtId="0" fontId="0" fillId="0" borderId="0" xfId="0" applyAlignment="1">
      <alignment horizontal="left" vertical="top" wrapText="1"/>
    </xf>
    <xf numFmtId="0" fontId="3" fillId="6" borderId="8" xfId="0" applyFont="1" applyFill="1" applyBorder="1" applyAlignment="1">
      <alignment horizontal="center" vertical="center"/>
    </xf>
    <xf numFmtId="0" fontId="4" fillId="10" borderId="7" xfId="0" applyFont="1" applyFill="1" applyBorder="1" applyAlignment="1">
      <alignment horizontal="center"/>
    </xf>
    <xf numFmtId="0" fontId="4" fillId="10" borderId="8" xfId="0" applyFont="1" applyFill="1" applyBorder="1" applyAlignment="1">
      <alignment horizontal="center"/>
    </xf>
    <xf numFmtId="0" fontId="4" fillId="10" borderId="1" xfId="0" applyFont="1" applyFill="1" applyBorder="1" applyAlignment="1">
      <alignment horizontal="center"/>
    </xf>
    <xf numFmtId="0" fontId="2" fillId="11" borderId="1" xfId="0" applyFont="1" applyFill="1" applyBorder="1" applyAlignment="1">
      <alignment horizontal="center"/>
    </xf>
    <xf numFmtId="0" fontId="4" fillId="2" borderId="10"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34" fillId="2" borderId="10" xfId="0" applyFont="1" applyFill="1" applyBorder="1" applyAlignment="1">
      <alignment horizontal="center" vertical="center"/>
    </xf>
    <xf numFmtId="0" fontId="34" fillId="2" borderId="11" xfId="0" applyFont="1" applyFill="1" applyBorder="1" applyAlignment="1">
      <alignment horizontal="center" vertical="center"/>
    </xf>
    <xf numFmtId="0" fontId="34" fillId="2" borderId="12" xfId="0" applyFont="1" applyFill="1" applyBorder="1" applyAlignment="1">
      <alignment horizontal="center" vertical="center"/>
    </xf>
    <xf numFmtId="0" fontId="7" fillId="2" borderId="0" xfId="0" applyFont="1" applyFill="1" applyAlignment="1">
      <alignment horizontal="center" vertical="center"/>
    </xf>
    <xf numFmtId="0" fontId="2" fillId="25" borderId="1" xfId="0" applyFont="1" applyFill="1" applyBorder="1" applyAlignment="1">
      <alignment horizontal="center" vertical="center"/>
    </xf>
    <xf numFmtId="14" fontId="4" fillId="2" borderId="0" xfId="0" applyNumberFormat="1" applyFont="1" applyFill="1" applyAlignment="1">
      <alignment horizontal="center" vertical="center"/>
    </xf>
    <xf numFmtId="0" fontId="4" fillId="2" borderId="0" xfId="0" applyFont="1" applyFill="1" applyAlignment="1">
      <alignment horizontal="center" vertical="center"/>
    </xf>
    <xf numFmtId="0" fontId="6" fillId="2" borderId="0" xfId="0" applyFont="1" applyFill="1" applyAlignment="1">
      <alignment horizontal="center"/>
    </xf>
    <xf numFmtId="0" fontId="4" fillId="2" borderId="2" xfId="0" applyFont="1" applyFill="1" applyBorder="1" applyAlignment="1">
      <alignment horizontal="center" vertical="center"/>
    </xf>
  </cellXfs>
  <cellStyles count="5">
    <cellStyle name="Currency" xfId="1" builtinId="4"/>
    <cellStyle name="Excel Built-in Normal" xfId="3" xr:uid="{C2ACE7A4-63DB-4AE2-9749-E78185B32C7F}"/>
    <cellStyle name="Normal" xfId="0" builtinId="0"/>
    <cellStyle name="Normal 5" xfId="4" xr:uid="{56CDC331-D0EA-405D-B4ED-F97573F5889A}"/>
    <cellStyle name="Percent" xfId="2" builtinId="5"/>
  </cellStyles>
  <dxfs count="76">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theme="0"/>
        </patternFill>
      </fill>
    </dxf>
    <dxf>
      <font>
        <color theme="0"/>
      </font>
      <fill>
        <patternFill>
          <bgColor rgb="FFFF0000"/>
        </patternFill>
      </fill>
    </dxf>
    <dxf>
      <font>
        <b/>
        <i val="0"/>
        <color rgb="FFFF0000"/>
      </font>
    </dxf>
    <dxf>
      <font>
        <b/>
        <i val="0"/>
        <u val="none"/>
        <color theme="4"/>
      </font>
    </dxf>
    <dxf>
      <font>
        <b/>
        <i val="0"/>
        <color rgb="FF00B050"/>
      </font>
      <border>
        <left/>
        <right/>
        <top/>
        <bottom/>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006100"/>
      </font>
      <fill>
        <patternFill>
          <bgColor rgb="FFC6EFCE"/>
        </patternFill>
      </fill>
    </dxf>
    <dxf>
      <font>
        <color rgb="FF9C0006"/>
      </font>
      <fill>
        <patternFill>
          <bgColor rgb="FFFFC7CE"/>
        </patternFill>
      </fill>
    </dxf>
    <dxf>
      <fill>
        <patternFill>
          <bgColor theme="4"/>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4"/>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4"/>
        </patternFill>
      </fill>
    </dxf>
    <dxf>
      <font>
        <color rgb="FF9C5700"/>
      </font>
      <fill>
        <patternFill>
          <bgColor rgb="FFFFEB9C"/>
        </patternFill>
      </fill>
    </dxf>
    <dxf>
      <font>
        <color rgb="FF9C0006"/>
      </font>
      <fill>
        <patternFill>
          <bgColor rgb="FFFFC7CE"/>
        </patternFill>
      </fill>
    </dxf>
    <dxf>
      <font>
        <color theme="0"/>
      </font>
      <fill>
        <patternFill>
          <bgColor theme="0"/>
        </patternFill>
      </fill>
    </dxf>
    <dxf>
      <font>
        <color rgb="FF006100"/>
      </font>
      <fill>
        <patternFill>
          <bgColor rgb="FFC6EFCE"/>
        </patternFill>
      </fill>
    </dxf>
    <dxf>
      <font>
        <color rgb="FF9C0006"/>
      </font>
      <fill>
        <patternFill>
          <bgColor rgb="FFFFC7CE"/>
        </patternFill>
      </fill>
    </dxf>
    <dxf>
      <fill>
        <patternFill>
          <bgColor theme="4"/>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F4B31"/>
      <color rgb="FF30724B"/>
      <color rgb="FFFFFAEB"/>
      <color rgb="FFFFF2CC"/>
      <color rgb="FF25593A"/>
      <color rgb="FFFFE3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F4B31"/>
                </a:solidFill>
                <a:latin typeface="+mn-lt"/>
                <a:ea typeface="+mn-ea"/>
                <a:cs typeface="+mn-cs"/>
              </a:defRPr>
            </a:pPr>
            <a:r>
              <a:rPr lang="pt-BR" b="1">
                <a:solidFill>
                  <a:srgbClr val="1F4B31"/>
                </a:solidFill>
              </a:rPr>
              <a:t>Período</a:t>
            </a:r>
            <a:r>
              <a:rPr lang="pt-BR" b="1" baseline="0">
                <a:solidFill>
                  <a:srgbClr val="1F4B31"/>
                </a:solidFill>
              </a:rPr>
              <a:t> de acúmulo de forragem</a:t>
            </a:r>
            <a:endParaRPr lang="pt-BR" b="1">
              <a:solidFill>
                <a:srgbClr val="1F4B31"/>
              </a:solidFill>
            </a:endParaRPr>
          </a:p>
        </c:rich>
      </c:tx>
      <c:layout>
        <c:manualLayout>
          <c:xMode val="edge"/>
          <c:yMode val="edge"/>
          <c:x val="0.24943529814490123"/>
          <c:y val="3.256349652035480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1F4B31"/>
              </a:solidFill>
              <a:latin typeface="+mn-lt"/>
              <a:ea typeface="+mn-ea"/>
              <a:cs typeface="+mn-cs"/>
            </a:defRPr>
          </a:pPr>
          <a:endParaRPr lang="en-US"/>
        </a:p>
      </c:txPr>
    </c:title>
    <c:autoTitleDeleted val="0"/>
    <c:plotArea>
      <c:layout/>
      <c:areaChart>
        <c:grouping val="stacked"/>
        <c:varyColors val="0"/>
        <c:ser>
          <c:idx val="0"/>
          <c:order val="0"/>
          <c:spPr>
            <a:solidFill>
              <a:srgbClr val="1F4B31"/>
            </a:solidFill>
            <a:ln>
              <a:noFill/>
            </a:ln>
            <a:effectLst/>
          </c:spPr>
          <c:cat>
            <c:strRef>
              <c:f>CHUVAS!$A$8:$A$19</c:f>
              <c:strCache>
                <c:ptCount val="12"/>
                <c:pt idx="0">
                  <c:v>Jan</c:v>
                </c:pt>
                <c:pt idx="1">
                  <c:v>Fev</c:v>
                </c:pt>
                <c:pt idx="2">
                  <c:v>Mar</c:v>
                </c:pt>
                <c:pt idx="3">
                  <c:v>Abr</c:v>
                </c:pt>
                <c:pt idx="4">
                  <c:v>Mai</c:v>
                </c:pt>
                <c:pt idx="5">
                  <c:v>Jun</c:v>
                </c:pt>
                <c:pt idx="6">
                  <c:v>Jul</c:v>
                </c:pt>
                <c:pt idx="7">
                  <c:v>Ago</c:v>
                </c:pt>
                <c:pt idx="8">
                  <c:v>Set</c:v>
                </c:pt>
                <c:pt idx="9">
                  <c:v>Out</c:v>
                </c:pt>
                <c:pt idx="10">
                  <c:v>Nov</c:v>
                </c:pt>
                <c:pt idx="11">
                  <c:v>Dez</c:v>
                </c:pt>
              </c:strCache>
            </c:strRef>
          </c:cat>
          <c:val>
            <c:numRef>
              <c:f>CHUVAS!$D$8:$D$19</c:f>
              <c:numCache>
                <c:formatCode>General</c:formatCode>
                <c:ptCount val="12"/>
              </c:numCache>
            </c:numRef>
          </c:val>
          <c:extLst>
            <c:ext xmlns:c16="http://schemas.microsoft.com/office/drawing/2014/chart" uri="{C3380CC4-5D6E-409C-BE32-E72D297353CC}">
              <c16:uniqueId val="{00000000-D87D-4E83-8225-6B623E649BE1}"/>
            </c:ext>
          </c:extLst>
        </c:ser>
        <c:dLbls>
          <c:showLegendKey val="0"/>
          <c:showVal val="0"/>
          <c:showCatName val="0"/>
          <c:showSerName val="0"/>
          <c:showPercent val="0"/>
          <c:showBubbleSize val="0"/>
        </c:dLbls>
        <c:axId val="30940704"/>
        <c:axId val="30954016"/>
      </c:areaChart>
      <c:catAx>
        <c:axId val="30940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0954016"/>
        <c:crosses val="autoZero"/>
        <c:auto val="1"/>
        <c:lblAlgn val="ctr"/>
        <c:lblOffset val="100"/>
        <c:noMultiLvlLbl val="0"/>
      </c:catAx>
      <c:valAx>
        <c:axId val="30954016"/>
        <c:scaling>
          <c:orientation val="minMax"/>
        </c:scaling>
        <c:delete val="1"/>
        <c:axPos val="l"/>
        <c:numFmt formatCode="General" sourceLinked="1"/>
        <c:majorTickMark val="none"/>
        <c:minorTickMark val="none"/>
        <c:tickLblPos val="nextTo"/>
        <c:crossAx val="30940704"/>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microsoft.com/office/2007/relationships/hdphoto" Target="../media/hdphoto2.wdp"/><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5" Type="http://schemas.microsoft.com/office/2007/relationships/hdphoto" Target="../media/hdphoto2.wdp"/><Relationship Id="rId4"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microsoft.com/office/2007/relationships/hdphoto" Target="../media/hdphoto3.wdp"/><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microsoft.com/office/2007/relationships/hdphoto" Target="../media/hdphoto4.wdp"/><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microsoft.com/office/2007/relationships/hdphoto" Target="../media/hdphoto2.wdp"/><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image" Target="../media/image20.jpeg"/><Relationship Id="rId18" Type="http://schemas.openxmlformats.org/officeDocument/2006/relationships/image" Target="../media/image24.png"/><Relationship Id="rId3" Type="http://schemas.openxmlformats.org/officeDocument/2006/relationships/image" Target="../media/image11.jpeg"/><Relationship Id="rId21" Type="http://schemas.openxmlformats.org/officeDocument/2006/relationships/image" Target="../media/image27.png"/><Relationship Id="rId7" Type="http://schemas.openxmlformats.org/officeDocument/2006/relationships/image" Target="../media/image14.png"/><Relationship Id="rId12" Type="http://schemas.openxmlformats.org/officeDocument/2006/relationships/image" Target="../media/image19.png"/><Relationship Id="rId17" Type="http://schemas.openxmlformats.org/officeDocument/2006/relationships/image" Target="../media/image23.png"/><Relationship Id="rId25" Type="http://schemas.openxmlformats.org/officeDocument/2006/relationships/image" Target="../media/image3.png"/><Relationship Id="rId2" Type="http://schemas.openxmlformats.org/officeDocument/2006/relationships/image" Target="../media/image10.jpeg"/><Relationship Id="rId16" Type="http://schemas.microsoft.com/office/2007/relationships/hdphoto" Target="../media/hdphoto6.wdp"/><Relationship Id="rId20" Type="http://schemas.openxmlformats.org/officeDocument/2006/relationships/image" Target="../media/image26.png"/><Relationship Id="rId1" Type="http://schemas.openxmlformats.org/officeDocument/2006/relationships/image" Target="../media/image9.jpeg"/><Relationship Id="rId6" Type="http://schemas.microsoft.com/office/2007/relationships/hdphoto" Target="../media/hdphoto5.wdp"/><Relationship Id="rId11" Type="http://schemas.openxmlformats.org/officeDocument/2006/relationships/image" Target="../media/image18.png"/><Relationship Id="rId24" Type="http://schemas.microsoft.com/office/2007/relationships/hdphoto" Target="../media/hdphoto7.wdp"/><Relationship Id="rId5" Type="http://schemas.openxmlformats.org/officeDocument/2006/relationships/image" Target="../media/image13.png"/><Relationship Id="rId15" Type="http://schemas.openxmlformats.org/officeDocument/2006/relationships/image" Target="../media/image22.png"/><Relationship Id="rId23" Type="http://schemas.openxmlformats.org/officeDocument/2006/relationships/image" Target="../media/image29.png"/><Relationship Id="rId10" Type="http://schemas.openxmlformats.org/officeDocument/2006/relationships/image" Target="../media/image17.png"/><Relationship Id="rId19" Type="http://schemas.openxmlformats.org/officeDocument/2006/relationships/image" Target="../media/image25.png"/><Relationship Id="rId4" Type="http://schemas.openxmlformats.org/officeDocument/2006/relationships/image" Target="../media/image12.jpeg"/><Relationship Id="rId9" Type="http://schemas.openxmlformats.org/officeDocument/2006/relationships/image" Target="../media/image16.png"/><Relationship Id="rId14" Type="http://schemas.openxmlformats.org/officeDocument/2006/relationships/image" Target="../media/image21.png"/><Relationship Id="rId22" Type="http://schemas.openxmlformats.org/officeDocument/2006/relationships/image" Target="../media/image28.png"/></Relationships>
</file>

<file path=xl/drawings/_rels/drawing9.xml.rels><?xml version="1.0" encoding="UTF-8" standalone="yes"?>
<Relationships xmlns="http://schemas.openxmlformats.org/package/2006/relationships"><Relationship Id="rId2" Type="http://schemas.microsoft.com/office/2007/relationships/hdphoto" Target="../media/hdphoto8.wdp"/><Relationship Id="rId1"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2" Type="http://schemas.microsoft.com/office/2007/relationships/hdphoto" Target="../media/hdphoto9.wdp"/><Relationship Id="rId1" Type="http://schemas.openxmlformats.org/officeDocument/2006/relationships/image" Target="../media/image30.png"/></Relationships>
</file>

<file path=xl/drawings/_rels/drawing11.xml.rels><?xml version="1.0" encoding="UTF-8" standalone="yes"?>
<Relationships xmlns="http://schemas.openxmlformats.org/package/2006/relationships"><Relationship Id="rId2" Type="http://schemas.microsoft.com/office/2007/relationships/hdphoto" Target="../media/hdphoto8.wdp"/><Relationship Id="rId1" Type="http://schemas.openxmlformats.org/officeDocument/2006/relationships/image" Target="../media/image30.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0</xdr:colOff>
      <xdr:row>24</xdr:row>
      <xdr:rowOff>74543</xdr:rowOff>
    </xdr:from>
    <xdr:to>
      <xdr:col>7</xdr:col>
      <xdr:colOff>612913</xdr:colOff>
      <xdr:row>37</xdr:row>
      <xdr:rowOff>95177</xdr:rowOff>
    </xdr:to>
    <xdr:graphicFrame macro="">
      <xdr:nvGraphicFramePr>
        <xdr:cNvPr id="2" name="Gráfico 1">
          <a:extLst>
            <a:ext uri="{FF2B5EF4-FFF2-40B4-BE49-F238E27FC236}">
              <a16:creationId xmlns:a16="http://schemas.microsoft.com/office/drawing/2014/main" id="{4BFB980E-4CF5-42B4-8C87-D071296B48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78828</xdr:colOff>
      <xdr:row>0</xdr:row>
      <xdr:rowOff>98534</xdr:rowOff>
    </xdr:from>
    <xdr:to>
      <xdr:col>1</xdr:col>
      <xdr:colOff>164224</xdr:colOff>
      <xdr:row>0</xdr:row>
      <xdr:rowOff>211662</xdr:rowOff>
    </xdr:to>
    <xdr:pic>
      <xdr:nvPicPr>
        <xdr:cNvPr id="3" name="Imagem 2">
          <a:extLst>
            <a:ext uri="{FF2B5EF4-FFF2-40B4-BE49-F238E27FC236}">
              <a16:creationId xmlns:a16="http://schemas.microsoft.com/office/drawing/2014/main" id="{2D278534-0AA0-43A6-B607-80CC288C178A}"/>
            </a:ext>
          </a:extLst>
        </xdr:cNvPr>
        <xdr:cNvPicPr>
          <a:picLocks noChangeAspect="1"/>
        </xdr:cNvPicPr>
      </xdr:nvPicPr>
      <xdr:blipFill>
        <a:blip xmlns:r="http://schemas.openxmlformats.org/officeDocument/2006/relationships" r:embed="rId2" cstate="print">
          <a:duotone>
            <a:schemeClr val="bg2">
              <a:shade val="45000"/>
              <a:satMod val="135000"/>
            </a:schemeClr>
            <a:prstClr val="white"/>
          </a:duotone>
          <a:extLst>
            <a:ext uri="{BEBA8EAE-BF5A-486C-A8C5-ECC9F3942E4B}">
              <a14:imgProps xmlns:a14="http://schemas.microsoft.com/office/drawing/2010/main">
                <a14:imgLayer r:embed="rId3">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78828" y="98534"/>
          <a:ext cx="801413" cy="1131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21981</xdr:colOff>
      <xdr:row>15</xdr:row>
      <xdr:rowOff>80596</xdr:rowOff>
    </xdr:from>
    <xdr:to>
      <xdr:col>3</xdr:col>
      <xdr:colOff>603425</xdr:colOff>
      <xdr:row>15</xdr:row>
      <xdr:rowOff>83819</xdr:rowOff>
    </xdr:to>
    <xdr:cxnSp macro="">
      <xdr:nvCxnSpPr>
        <xdr:cNvPr id="27" name="Conector de Seta Reta 26">
          <a:extLst>
            <a:ext uri="{FF2B5EF4-FFF2-40B4-BE49-F238E27FC236}">
              <a16:creationId xmlns:a16="http://schemas.microsoft.com/office/drawing/2014/main" id="{287920B3-A011-4BFC-8344-E23582A3C56B}"/>
            </a:ext>
          </a:extLst>
        </xdr:cNvPr>
        <xdr:cNvCxnSpPr/>
      </xdr:nvCxnSpPr>
      <xdr:spPr>
        <a:xfrm>
          <a:off x="3341077" y="2850173"/>
          <a:ext cx="581444"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146538</xdr:colOff>
      <xdr:row>0</xdr:row>
      <xdr:rowOff>65944</xdr:rowOff>
    </xdr:from>
    <xdr:to>
      <xdr:col>1</xdr:col>
      <xdr:colOff>681405</xdr:colOff>
      <xdr:row>0</xdr:row>
      <xdr:rowOff>219430</xdr:rowOff>
    </xdr:to>
    <xdr:pic>
      <xdr:nvPicPr>
        <xdr:cNvPr id="13" name="Imagem 12">
          <a:extLst>
            <a:ext uri="{FF2B5EF4-FFF2-40B4-BE49-F238E27FC236}">
              <a16:creationId xmlns:a16="http://schemas.microsoft.com/office/drawing/2014/main" id="{65C833DF-D0B5-15FE-22FA-D56B09FF9FA5}"/>
            </a:ext>
          </a:extLst>
        </xdr:cNvPr>
        <xdr:cNvPicPr>
          <a:picLocks noChangeAspect="1"/>
        </xdr:cNvPicPr>
      </xdr:nvPicPr>
      <xdr:blipFill>
        <a:blip xmlns:r="http://schemas.openxmlformats.org/officeDocument/2006/relationships" r:embed="rId1" cstate="print">
          <a:duotone>
            <a:schemeClr val="bg2">
              <a:shade val="45000"/>
              <a:satMod val="135000"/>
            </a:schemeClr>
            <a:prstClr val="white"/>
          </a:duotone>
          <a:extLst>
            <a:ext uri="{BEBA8EAE-BF5A-486C-A8C5-ECC9F3942E4B}">
              <a14:imgProps xmlns:a14="http://schemas.microsoft.com/office/drawing/2010/main">
                <a14:imgLayer r:embed="rId2">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146538" y="65944"/>
          <a:ext cx="1087317" cy="153486"/>
        </a:xfrm>
        <a:prstGeom prst="rect">
          <a:avLst/>
        </a:prstGeom>
      </xdr:spPr>
    </xdr:pic>
    <xdr:clientData/>
  </xdr:twoCellAnchor>
  <xdr:twoCellAnchor>
    <xdr:from>
      <xdr:col>3</xdr:col>
      <xdr:colOff>21981</xdr:colOff>
      <xdr:row>18</xdr:row>
      <xdr:rowOff>80596</xdr:rowOff>
    </xdr:from>
    <xdr:to>
      <xdr:col>3</xdr:col>
      <xdr:colOff>603425</xdr:colOff>
      <xdr:row>18</xdr:row>
      <xdr:rowOff>83819</xdr:rowOff>
    </xdr:to>
    <xdr:cxnSp macro="">
      <xdr:nvCxnSpPr>
        <xdr:cNvPr id="17" name="Conector de Seta Reta 16">
          <a:extLst>
            <a:ext uri="{FF2B5EF4-FFF2-40B4-BE49-F238E27FC236}">
              <a16:creationId xmlns:a16="http://schemas.microsoft.com/office/drawing/2014/main" id="{0F8973DA-C37A-4703-8918-C4CC1FF7D59D}"/>
            </a:ext>
          </a:extLst>
        </xdr:cNvPr>
        <xdr:cNvCxnSpPr/>
      </xdr:nvCxnSpPr>
      <xdr:spPr>
        <a:xfrm>
          <a:off x="3351590" y="2855270"/>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19</xdr:row>
      <xdr:rowOff>80596</xdr:rowOff>
    </xdr:from>
    <xdr:to>
      <xdr:col>3</xdr:col>
      <xdr:colOff>603425</xdr:colOff>
      <xdr:row>19</xdr:row>
      <xdr:rowOff>83819</xdr:rowOff>
    </xdr:to>
    <xdr:cxnSp macro="">
      <xdr:nvCxnSpPr>
        <xdr:cNvPr id="18" name="Conector de Seta Reta 17">
          <a:extLst>
            <a:ext uri="{FF2B5EF4-FFF2-40B4-BE49-F238E27FC236}">
              <a16:creationId xmlns:a16="http://schemas.microsoft.com/office/drawing/2014/main" id="{5A255441-D55E-4988-9685-E8EDE233CC69}"/>
            </a:ext>
          </a:extLst>
        </xdr:cNvPr>
        <xdr:cNvCxnSpPr/>
      </xdr:nvCxnSpPr>
      <xdr:spPr>
        <a:xfrm>
          <a:off x="3351590" y="3426770"/>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20</xdr:row>
      <xdr:rowOff>80596</xdr:rowOff>
    </xdr:from>
    <xdr:to>
      <xdr:col>3</xdr:col>
      <xdr:colOff>603425</xdr:colOff>
      <xdr:row>20</xdr:row>
      <xdr:rowOff>83819</xdr:rowOff>
    </xdr:to>
    <xdr:cxnSp macro="">
      <xdr:nvCxnSpPr>
        <xdr:cNvPr id="20" name="Conector de Seta Reta 19">
          <a:extLst>
            <a:ext uri="{FF2B5EF4-FFF2-40B4-BE49-F238E27FC236}">
              <a16:creationId xmlns:a16="http://schemas.microsoft.com/office/drawing/2014/main" id="{A39E1D2A-05DB-471E-871F-E05888857407}"/>
            </a:ext>
          </a:extLst>
        </xdr:cNvPr>
        <xdr:cNvCxnSpPr/>
      </xdr:nvCxnSpPr>
      <xdr:spPr>
        <a:xfrm>
          <a:off x="3351590" y="3617270"/>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24</xdr:row>
      <xdr:rowOff>80596</xdr:rowOff>
    </xdr:from>
    <xdr:to>
      <xdr:col>3</xdr:col>
      <xdr:colOff>603425</xdr:colOff>
      <xdr:row>24</xdr:row>
      <xdr:rowOff>83819</xdr:rowOff>
    </xdr:to>
    <xdr:cxnSp macro="">
      <xdr:nvCxnSpPr>
        <xdr:cNvPr id="22" name="Conector de Seta Reta 21">
          <a:extLst>
            <a:ext uri="{FF2B5EF4-FFF2-40B4-BE49-F238E27FC236}">
              <a16:creationId xmlns:a16="http://schemas.microsoft.com/office/drawing/2014/main" id="{4FC20231-C010-4B3A-9AA6-235CA6B06970}"/>
            </a:ext>
          </a:extLst>
        </xdr:cNvPr>
        <xdr:cNvCxnSpPr/>
      </xdr:nvCxnSpPr>
      <xdr:spPr>
        <a:xfrm>
          <a:off x="3351590" y="3807770"/>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25</xdr:row>
      <xdr:rowOff>80596</xdr:rowOff>
    </xdr:from>
    <xdr:to>
      <xdr:col>3</xdr:col>
      <xdr:colOff>603425</xdr:colOff>
      <xdr:row>25</xdr:row>
      <xdr:rowOff>83819</xdr:rowOff>
    </xdr:to>
    <xdr:cxnSp macro="">
      <xdr:nvCxnSpPr>
        <xdr:cNvPr id="23" name="Conector de Seta Reta 22">
          <a:extLst>
            <a:ext uri="{FF2B5EF4-FFF2-40B4-BE49-F238E27FC236}">
              <a16:creationId xmlns:a16="http://schemas.microsoft.com/office/drawing/2014/main" id="{8EEAA801-48B5-439A-A1F6-F5DBC41806B8}"/>
            </a:ext>
          </a:extLst>
        </xdr:cNvPr>
        <xdr:cNvCxnSpPr/>
      </xdr:nvCxnSpPr>
      <xdr:spPr>
        <a:xfrm>
          <a:off x="3351590" y="4569770"/>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27</xdr:row>
      <xdr:rowOff>80596</xdr:rowOff>
    </xdr:from>
    <xdr:to>
      <xdr:col>3</xdr:col>
      <xdr:colOff>603425</xdr:colOff>
      <xdr:row>27</xdr:row>
      <xdr:rowOff>83819</xdr:rowOff>
    </xdr:to>
    <xdr:cxnSp macro="">
      <xdr:nvCxnSpPr>
        <xdr:cNvPr id="25" name="Conector de Seta Reta 24">
          <a:extLst>
            <a:ext uri="{FF2B5EF4-FFF2-40B4-BE49-F238E27FC236}">
              <a16:creationId xmlns:a16="http://schemas.microsoft.com/office/drawing/2014/main" id="{5EB5DFFE-5456-4B85-B279-BB2168C6FADC}"/>
            </a:ext>
          </a:extLst>
        </xdr:cNvPr>
        <xdr:cNvCxnSpPr/>
      </xdr:nvCxnSpPr>
      <xdr:spPr>
        <a:xfrm>
          <a:off x="3351590" y="4760270"/>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28</xdr:row>
      <xdr:rowOff>80596</xdr:rowOff>
    </xdr:from>
    <xdr:to>
      <xdr:col>3</xdr:col>
      <xdr:colOff>603425</xdr:colOff>
      <xdr:row>28</xdr:row>
      <xdr:rowOff>83819</xdr:rowOff>
    </xdr:to>
    <xdr:cxnSp macro="">
      <xdr:nvCxnSpPr>
        <xdr:cNvPr id="29" name="Conector de Seta Reta 28">
          <a:extLst>
            <a:ext uri="{FF2B5EF4-FFF2-40B4-BE49-F238E27FC236}">
              <a16:creationId xmlns:a16="http://schemas.microsoft.com/office/drawing/2014/main" id="{97BB28D1-58FC-4FCF-897D-7F17869EF9ED}"/>
            </a:ext>
          </a:extLst>
        </xdr:cNvPr>
        <xdr:cNvCxnSpPr/>
      </xdr:nvCxnSpPr>
      <xdr:spPr>
        <a:xfrm>
          <a:off x="3351590" y="5141270"/>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30</xdr:row>
      <xdr:rowOff>80596</xdr:rowOff>
    </xdr:from>
    <xdr:to>
      <xdr:col>3</xdr:col>
      <xdr:colOff>603425</xdr:colOff>
      <xdr:row>30</xdr:row>
      <xdr:rowOff>83819</xdr:rowOff>
    </xdr:to>
    <xdr:cxnSp macro="">
      <xdr:nvCxnSpPr>
        <xdr:cNvPr id="30" name="Conector de Seta Reta 29">
          <a:extLst>
            <a:ext uri="{FF2B5EF4-FFF2-40B4-BE49-F238E27FC236}">
              <a16:creationId xmlns:a16="http://schemas.microsoft.com/office/drawing/2014/main" id="{D6059B51-7A84-49E3-A631-DA5D5E0A4DB0}"/>
            </a:ext>
          </a:extLst>
        </xdr:cNvPr>
        <xdr:cNvCxnSpPr/>
      </xdr:nvCxnSpPr>
      <xdr:spPr>
        <a:xfrm>
          <a:off x="3351590" y="5331770"/>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31</xdr:row>
      <xdr:rowOff>80596</xdr:rowOff>
    </xdr:from>
    <xdr:to>
      <xdr:col>3</xdr:col>
      <xdr:colOff>603425</xdr:colOff>
      <xdr:row>31</xdr:row>
      <xdr:rowOff>83819</xdr:rowOff>
    </xdr:to>
    <xdr:cxnSp macro="">
      <xdr:nvCxnSpPr>
        <xdr:cNvPr id="31" name="Conector de Seta Reta 30">
          <a:extLst>
            <a:ext uri="{FF2B5EF4-FFF2-40B4-BE49-F238E27FC236}">
              <a16:creationId xmlns:a16="http://schemas.microsoft.com/office/drawing/2014/main" id="{764CA0D4-3C39-4317-9021-024AA242DC99}"/>
            </a:ext>
          </a:extLst>
        </xdr:cNvPr>
        <xdr:cNvCxnSpPr/>
      </xdr:nvCxnSpPr>
      <xdr:spPr>
        <a:xfrm>
          <a:off x="3351590" y="5712770"/>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32</xdr:row>
      <xdr:rowOff>80596</xdr:rowOff>
    </xdr:from>
    <xdr:to>
      <xdr:col>3</xdr:col>
      <xdr:colOff>603425</xdr:colOff>
      <xdr:row>32</xdr:row>
      <xdr:rowOff>83819</xdr:rowOff>
    </xdr:to>
    <xdr:cxnSp macro="">
      <xdr:nvCxnSpPr>
        <xdr:cNvPr id="32" name="Conector de Seta Reta 31">
          <a:extLst>
            <a:ext uri="{FF2B5EF4-FFF2-40B4-BE49-F238E27FC236}">
              <a16:creationId xmlns:a16="http://schemas.microsoft.com/office/drawing/2014/main" id="{3E984BB6-FEF3-4870-960E-D5C448ECA557}"/>
            </a:ext>
          </a:extLst>
        </xdr:cNvPr>
        <xdr:cNvCxnSpPr/>
      </xdr:nvCxnSpPr>
      <xdr:spPr>
        <a:xfrm>
          <a:off x="3351590" y="5903270"/>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33</xdr:row>
      <xdr:rowOff>80596</xdr:rowOff>
    </xdr:from>
    <xdr:to>
      <xdr:col>3</xdr:col>
      <xdr:colOff>603425</xdr:colOff>
      <xdr:row>33</xdr:row>
      <xdr:rowOff>83819</xdr:rowOff>
    </xdr:to>
    <xdr:cxnSp macro="">
      <xdr:nvCxnSpPr>
        <xdr:cNvPr id="33" name="Conector de Seta Reta 32">
          <a:extLst>
            <a:ext uri="{FF2B5EF4-FFF2-40B4-BE49-F238E27FC236}">
              <a16:creationId xmlns:a16="http://schemas.microsoft.com/office/drawing/2014/main" id="{AF48F9D7-6651-4BE2-91B2-9ACA7D0E7B9E}"/>
            </a:ext>
          </a:extLst>
        </xdr:cNvPr>
        <xdr:cNvCxnSpPr/>
      </xdr:nvCxnSpPr>
      <xdr:spPr>
        <a:xfrm>
          <a:off x="3351590" y="6093770"/>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34</xdr:row>
      <xdr:rowOff>80596</xdr:rowOff>
    </xdr:from>
    <xdr:to>
      <xdr:col>3</xdr:col>
      <xdr:colOff>603425</xdr:colOff>
      <xdr:row>34</xdr:row>
      <xdr:rowOff>83819</xdr:rowOff>
    </xdr:to>
    <xdr:cxnSp macro="">
      <xdr:nvCxnSpPr>
        <xdr:cNvPr id="34" name="Conector de Seta Reta 33">
          <a:extLst>
            <a:ext uri="{FF2B5EF4-FFF2-40B4-BE49-F238E27FC236}">
              <a16:creationId xmlns:a16="http://schemas.microsoft.com/office/drawing/2014/main" id="{2D8A0E86-82D0-4E72-98D8-0D326042ABE1}"/>
            </a:ext>
          </a:extLst>
        </xdr:cNvPr>
        <xdr:cNvCxnSpPr/>
      </xdr:nvCxnSpPr>
      <xdr:spPr>
        <a:xfrm>
          <a:off x="3351590" y="6284270"/>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35</xdr:row>
      <xdr:rowOff>80596</xdr:rowOff>
    </xdr:from>
    <xdr:to>
      <xdr:col>3</xdr:col>
      <xdr:colOff>603425</xdr:colOff>
      <xdr:row>35</xdr:row>
      <xdr:rowOff>83819</xdr:rowOff>
    </xdr:to>
    <xdr:cxnSp macro="">
      <xdr:nvCxnSpPr>
        <xdr:cNvPr id="35" name="Conector de Seta Reta 34">
          <a:extLst>
            <a:ext uri="{FF2B5EF4-FFF2-40B4-BE49-F238E27FC236}">
              <a16:creationId xmlns:a16="http://schemas.microsoft.com/office/drawing/2014/main" id="{7032A26F-33F2-45AD-AAA9-B9753F610FE3}"/>
            </a:ext>
          </a:extLst>
        </xdr:cNvPr>
        <xdr:cNvCxnSpPr/>
      </xdr:nvCxnSpPr>
      <xdr:spPr>
        <a:xfrm>
          <a:off x="3351590" y="6474770"/>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39</xdr:row>
      <xdr:rowOff>80596</xdr:rowOff>
    </xdr:from>
    <xdr:to>
      <xdr:col>3</xdr:col>
      <xdr:colOff>603425</xdr:colOff>
      <xdr:row>39</xdr:row>
      <xdr:rowOff>83819</xdr:rowOff>
    </xdr:to>
    <xdr:cxnSp macro="">
      <xdr:nvCxnSpPr>
        <xdr:cNvPr id="37" name="Conector de Seta Reta 36">
          <a:extLst>
            <a:ext uri="{FF2B5EF4-FFF2-40B4-BE49-F238E27FC236}">
              <a16:creationId xmlns:a16="http://schemas.microsoft.com/office/drawing/2014/main" id="{780A1E05-D94F-48B1-9F45-62A9C930D5C3}"/>
            </a:ext>
          </a:extLst>
        </xdr:cNvPr>
        <xdr:cNvCxnSpPr/>
      </xdr:nvCxnSpPr>
      <xdr:spPr>
        <a:xfrm>
          <a:off x="3555756" y="6662371"/>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23</xdr:row>
      <xdr:rowOff>80596</xdr:rowOff>
    </xdr:from>
    <xdr:to>
      <xdr:col>4</xdr:col>
      <xdr:colOff>865</xdr:colOff>
      <xdr:row>23</xdr:row>
      <xdr:rowOff>83819</xdr:rowOff>
    </xdr:to>
    <xdr:cxnSp macro="">
      <xdr:nvCxnSpPr>
        <xdr:cNvPr id="2" name="Conector de Seta Reta 1">
          <a:extLst>
            <a:ext uri="{FF2B5EF4-FFF2-40B4-BE49-F238E27FC236}">
              <a16:creationId xmlns:a16="http://schemas.microsoft.com/office/drawing/2014/main" id="{A45D3D27-597D-4859-9E3E-05874D3C7AC1}"/>
            </a:ext>
          </a:extLst>
        </xdr:cNvPr>
        <xdr:cNvCxnSpPr/>
      </xdr:nvCxnSpPr>
      <xdr:spPr>
        <a:xfrm>
          <a:off x="3558655" y="4867944"/>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26</xdr:row>
      <xdr:rowOff>80596</xdr:rowOff>
    </xdr:from>
    <xdr:to>
      <xdr:col>4</xdr:col>
      <xdr:colOff>865</xdr:colOff>
      <xdr:row>26</xdr:row>
      <xdr:rowOff>83819</xdr:rowOff>
    </xdr:to>
    <xdr:cxnSp macro="">
      <xdr:nvCxnSpPr>
        <xdr:cNvPr id="3" name="Conector de Seta Reta 2">
          <a:extLst>
            <a:ext uri="{FF2B5EF4-FFF2-40B4-BE49-F238E27FC236}">
              <a16:creationId xmlns:a16="http://schemas.microsoft.com/office/drawing/2014/main" id="{D3000730-F012-4AC8-83B5-E9820462267F}"/>
            </a:ext>
          </a:extLst>
        </xdr:cNvPr>
        <xdr:cNvCxnSpPr/>
      </xdr:nvCxnSpPr>
      <xdr:spPr>
        <a:xfrm>
          <a:off x="3558655" y="4677444"/>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29</xdr:row>
      <xdr:rowOff>80596</xdr:rowOff>
    </xdr:from>
    <xdr:to>
      <xdr:col>4</xdr:col>
      <xdr:colOff>865</xdr:colOff>
      <xdr:row>29</xdr:row>
      <xdr:rowOff>83819</xdr:rowOff>
    </xdr:to>
    <xdr:cxnSp macro="">
      <xdr:nvCxnSpPr>
        <xdr:cNvPr id="4" name="Conector de Seta Reta 3">
          <a:extLst>
            <a:ext uri="{FF2B5EF4-FFF2-40B4-BE49-F238E27FC236}">
              <a16:creationId xmlns:a16="http://schemas.microsoft.com/office/drawing/2014/main" id="{B51AAE99-6AB2-4011-A335-89EC88628AE4}"/>
            </a:ext>
          </a:extLst>
        </xdr:cNvPr>
        <xdr:cNvCxnSpPr/>
      </xdr:nvCxnSpPr>
      <xdr:spPr>
        <a:xfrm>
          <a:off x="3558655" y="5248944"/>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123825</xdr:colOff>
      <xdr:row>0</xdr:row>
      <xdr:rowOff>133350</xdr:rowOff>
    </xdr:from>
    <xdr:to>
      <xdr:col>1</xdr:col>
      <xdr:colOff>315638</xdr:colOff>
      <xdr:row>0</xdr:row>
      <xdr:rowOff>246478</xdr:rowOff>
    </xdr:to>
    <xdr:pic>
      <xdr:nvPicPr>
        <xdr:cNvPr id="2" name="Imagem 1">
          <a:extLst>
            <a:ext uri="{FF2B5EF4-FFF2-40B4-BE49-F238E27FC236}">
              <a16:creationId xmlns:a16="http://schemas.microsoft.com/office/drawing/2014/main" id="{7B3E152F-3773-420C-8059-3860F8CFCF90}"/>
            </a:ext>
          </a:extLst>
        </xdr:cNvPr>
        <xdr:cNvPicPr>
          <a:picLocks noChangeAspect="1"/>
        </xdr:cNvPicPr>
      </xdr:nvPicPr>
      <xdr:blipFill>
        <a:blip xmlns:r="http://schemas.openxmlformats.org/officeDocument/2006/relationships" r:embed="rId1" cstate="print">
          <a:duotone>
            <a:schemeClr val="bg2">
              <a:shade val="45000"/>
              <a:satMod val="135000"/>
            </a:schemeClr>
            <a:prstClr val="white"/>
          </a:duotone>
          <a:extLst>
            <a:ext uri="{BEBA8EAE-BF5A-486C-A8C5-ECC9F3942E4B}">
              <a14:imgProps xmlns:a14="http://schemas.microsoft.com/office/drawing/2010/main">
                <a14:imgLayer r:embed="rId2">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123825" y="133350"/>
          <a:ext cx="801413" cy="11312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5</xdr:col>
      <xdr:colOff>370671</xdr:colOff>
      <xdr:row>18</xdr:row>
      <xdr:rowOff>563082</xdr:rowOff>
    </xdr:from>
    <xdr:ext cx="5131418" cy="3286527"/>
    <xdr:pic>
      <xdr:nvPicPr>
        <xdr:cNvPr id="2" name="Imagem 1">
          <a:extLst>
            <a:ext uri="{FF2B5EF4-FFF2-40B4-BE49-F238E27FC236}">
              <a16:creationId xmlns:a16="http://schemas.microsoft.com/office/drawing/2014/main" id="{0B5DD0E2-5271-443E-8020-A7FE4F82532D}"/>
            </a:ext>
          </a:extLst>
        </xdr:cNvPr>
        <xdr:cNvPicPr>
          <a:picLocks noChangeAspect="1"/>
        </xdr:cNvPicPr>
      </xdr:nvPicPr>
      <xdr:blipFill>
        <a:blip xmlns:r="http://schemas.openxmlformats.org/officeDocument/2006/relationships" r:embed="rId1"/>
        <a:stretch>
          <a:fillRect/>
        </a:stretch>
      </xdr:blipFill>
      <xdr:spPr>
        <a:xfrm>
          <a:off x="5570200" y="10525111"/>
          <a:ext cx="5131418" cy="3286527"/>
        </a:xfrm>
        <a:prstGeom prst="rect">
          <a:avLst/>
        </a:prstGeom>
        <a:ln>
          <a:solidFill>
            <a:sysClr val="windowText" lastClr="000000"/>
          </a:solidFill>
        </a:ln>
      </xdr:spPr>
    </xdr:pic>
    <xdr:clientData/>
  </xdr:oneCellAnchor>
  <xdr:oneCellAnchor>
    <xdr:from>
      <xdr:col>5</xdr:col>
      <xdr:colOff>346337</xdr:colOff>
      <xdr:row>9</xdr:row>
      <xdr:rowOff>22412</xdr:rowOff>
    </xdr:from>
    <xdr:ext cx="8156949" cy="3284808"/>
    <xdr:pic>
      <xdr:nvPicPr>
        <xdr:cNvPr id="3" name="Imagem 2">
          <a:extLst>
            <a:ext uri="{FF2B5EF4-FFF2-40B4-BE49-F238E27FC236}">
              <a16:creationId xmlns:a16="http://schemas.microsoft.com/office/drawing/2014/main" id="{FC9DF8BB-9E3B-4AF7-AAF2-137FF26B150E}"/>
            </a:ext>
          </a:extLst>
        </xdr:cNvPr>
        <xdr:cNvPicPr>
          <a:picLocks noChangeAspect="1"/>
        </xdr:cNvPicPr>
      </xdr:nvPicPr>
      <xdr:blipFill>
        <a:blip xmlns:r="http://schemas.openxmlformats.org/officeDocument/2006/relationships" r:embed="rId2"/>
        <a:stretch>
          <a:fillRect/>
        </a:stretch>
      </xdr:blipFill>
      <xdr:spPr>
        <a:xfrm>
          <a:off x="5545866" y="6689912"/>
          <a:ext cx="8156949" cy="3284808"/>
        </a:xfrm>
        <a:prstGeom prst="rect">
          <a:avLst/>
        </a:prstGeom>
        <a:ln>
          <a:solidFill>
            <a:sysClr val="windowText" lastClr="000000"/>
          </a:solidFill>
        </a:ln>
      </xdr:spPr>
    </xdr:pic>
    <xdr:clientData/>
  </xdr:oneCellAnchor>
  <xdr:oneCellAnchor>
    <xdr:from>
      <xdr:col>1</xdr:col>
      <xdr:colOff>1592341</xdr:colOff>
      <xdr:row>1</xdr:row>
      <xdr:rowOff>165286</xdr:rowOff>
    </xdr:from>
    <xdr:ext cx="9972131" cy="3330949"/>
    <xdr:pic>
      <xdr:nvPicPr>
        <xdr:cNvPr id="4" name="Imagem 3">
          <a:extLst>
            <a:ext uri="{FF2B5EF4-FFF2-40B4-BE49-F238E27FC236}">
              <a16:creationId xmlns:a16="http://schemas.microsoft.com/office/drawing/2014/main" id="{3D416325-BBA9-44BE-8356-B2146D29ADB3}"/>
            </a:ext>
          </a:extLst>
        </xdr:cNvPr>
        <xdr:cNvPicPr>
          <a:picLocks noChangeAspect="1"/>
        </xdr:cNvPicPr>
      </xdr:nvPicPr>
      <xdr:blipFill>
        <a:blip xmlns:r="http://schemas.openxmlformats.org/officeDocument/2006/relationships" r:embed="rId3"/>
        <a:stretch>
          <a:fillRect/>
        </a:stretch>
      </xdr:blipFill>
      <xdr:spPr>
        <a:xfrm>
          <a:off x="2152635" y="512668"/>
          <a:ext cx="9972131" cy="3330949"/>
        </a:xfrm>
        <a:prstGeom prst="rect">
          <a:avLst/>
        </a:prstGeom>
        <a:ln>
          <a:noFill/>
        </a:ln>
      </xdr:spPr>
    </xdr:pic>
    <xdr:clientData/>
  </xdr:oneCellAnchor>
  <xdr:twoCellAnchor editAs="oneCell">
    <xdr:from>
      <xdr:col>1</xdr:col>
      <xdr:colOff>100853</xdr:colOff>
      <xdr:row>0</xdr:row>
      <xdr:rowOff>89646</xdr:rowOff>
    </xdr:from>
    <xdr:to>
      <xdr:col>1</xdr:col>
      <xdr:colOff>1187513</xdr:colOff>
      <xdr:row>0</xdr:row>
      <xdr:rowOff>243132</xdr:rowOff>
    </xdr:to>
    <xdr:pic>
      <xdr:nvPicPr>
        <xdr:cNvPr id="5" name="Imagem 4">
          <a:extLst>
            <a:ext uri="{FF2B5EF4-FFF2-40B4-BE49-F238E27FC236}">
              <a16:creationId xmlns:a16="http://schemas.microsoft.com/office/drawing/2014/main" id="{1E8E8E97-0131-4FB8-8904-4066A9B289FF}"/>
            </a:ext>
          </a:extLst>
        </xdr:cNvPr>
        <xdr:cNvPicPr>
          <a:picLocks noChangeAspect="1"/>
        </xdr:cNvPicPr>
      </xdr:nvPicPr>
      <xdr:blipFill>
        <a:blip xmlns:r="http://schemas.openxmlformats.org/officeDocument/2006/relationships" r:embed="rId4" cstate="print">
          <a:duotone>
            <a:schemeClr val="bg2">
              <a:shade val="45000"/>
              <a:satMod val="135000"/>
            </a:schemeClr>
            <a:prstClr val="white"/>
          </a:duotone>
          <a:extLst>
            <a:ext uri="{BEBA8EAE-BF5A-486C-A8C5-ECC9F3942E4B}">
              <a14:imgProps xmlns:a14="http://schemas.microsoft.com/office/drawing/2010/main">
                <a14:imgLayer r:embed="rId5">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100853" y="89646"/>
          <a:ext cx="1086660" cy="153486"/>
        </a:xfrm>
        <a:prstGeom prst="rect">
          <a:avLst/>
        </a:prstGeom>
      </xdr:spPr>
    </xdr:pic>
    <xdr:clientData/>
  </xdr:twoCellAnchor>
  <xdr:twoCellAnchor>
    <xdr:from>
      <xdr:col>4</xdr:col>
      <xdr:colOff>414618</xdr:colOff>
      <xdr:row>18</xdr:row>
      <xdr:rowOff>526677</xdr:rowOff>
    </xdr:from>
    <xdr:to>
      <xdr:col>5</xdr:col>
      <xdr:colOff>156883</xdr:colOff>
      <xdr:row>28</xdr:row>
      <xdr:rowOff>67235</xdr:rowOff>
    </xdr:to>
    <xdr:sp macro="" textlink="">
      <xdr:nvSpPr>
        <xdr:cNvPr id="6" name="Chave Direita 5">
          <a:extLst>
            <a:ext uri="{FF2B5EF4-FFF2-40B4-BE49-F238E27FC236}">
              <a16:creationId xmlns:a16="http://schemas.microsoft.com/office/drawing/2014/main" id="{BB97DA74-C9F7-5AA0-80E1-32B9A07738EB}"/>
            </a:ext>
          </a:extLst>
        </xdr:cNvPr>
        <xdr:cNvSpPr/>
      </xdr:nvSpPr>
      <xdr:spPr>
        <a:xfrm>
          <a:off x="5009030" y="10488706"/>
          <a:ext cx="347382" cy="3406588"/>
        </a:xfrm>
        <a:prstGeom prst="rightBrace">
          <a:avLst/>
        </a:prstGeom>
        <a:ln w="19050">
          <a:solidFill>
            <a:srgbClr val="1F4B3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4</xdr:col>
      <xdr:colOff>466165</xdr:colOff>
      <xdr:row>8</xdr:row>
      <xdr:rowOff>163607</xdr:rowOff>
    </xdr:from>
    <xdr:to>
      <xdr:col>5</xdr:col>
      <xdr:colOff>208430</xdr:colOff>
      <xdr:row>18</xdr:row>
      <xdr:rowOff>85166</xdr:rowOff>
    </xdr:to>
    <xdr:sp macro="" textlink="">
      <xdr:nvSpPr>
        <xdr:cNvPr id="7" name="Chave Direita 6">
          <a:extLst>
            <a:ext uri="{FF2B5EF4-FFF2-40B4-BE49-F238E27FC236}">
              <a16:creationId xmlns:a16="http://schemas.microsoft.com/office/drawing/2014/main" id="{9A951F87-DF65-9CA9-216F-A2F9D77A0AC9}"/>
            </a:ext>
          </a:extLst>
        </xdr:cNvPr>
        <xdr:cNvSpPr/>
      </xdr:nvSpPr>
      <xdr:spPr>
        <a:xfrm>
          <a:off x="5060577" y="6640607"/>
          <a:ext cx="347382" cy="3406588"/>
        </a:xfrm>
        <a:prstGeom prst="rightBrace">
          <a:avLst/>
        </a:prstGeom>
        <a:ln w="19050">
          <a:solidFill>
            <a:srgbClr val="1F4B3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pt-BR"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24409</xdr:colOff>
      <xdr:row>2</xdr:row>
      <xdr:rowOff>6374</xdr:rowOff>
    </xdr:from>
    <xdr:to>
      <xdr:col>7</xdr:col>
      <xdr:colOff>322583</xdr:colOff>
      <xdr:row>2</xdr:row>
      <xdr:rowOff>316730</xdr:rowOff>
    </xdr:to>
    <xdr:sp macro="" textlink="">
      <xdr:nvSpPr>
        <xdr:cNvPr id="14" name="Retângulo: Canto Dobrado 13">
          <a:extLst>
            <a:ext uri="{FF2B5EF4-FFF2-40B4-BE49-F238E27FC236}">
              <a16:creationId xmlns:a16="http://schemas.microsoft.com/office/drawing/2014/main" id="{3735334A-357A-4ABE-B74B-B423CC801A6E}"/>
            </a:ext>
          </a:extLst>
        </xdr:cNvPr>
        <xdr:cNvSpPr/>
      </xdr:nvSpPr>
      <xdr:spPr>
        <a:xfrm>
          <a:off x="3014431" y="569591"/>
          <a:ext cx="4729369" cy="310356"/>
        </a:xfrm>
        <a:prstGeom prst="foldedCorner">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solidFill>
                <a:srgbClr val="FF0000"/>
              </a:solidFill>
            </a:rPr>
            <a:t>SUA</a:t>
          </a:r>
          <a:r>
            <a:rPr lang="pt-BR" sz="1100" b="1" baseline="0">
              <a:solidFill>
                <a:srgbClr val="FF0000"/>
              </a:solidFill>
            </a:rPr>
            <a:t> PLANILHA PODE ESTAR DESATIVADA E COM ISSO CALCULANDO ERRADO</a:t>
          </a:r>
          <a:endParaRPr lang="pt-BR" sz="1100" b="1">
            <a:solidFill>
              <a:srgbClr val="FF0000"/>
            </a:solidFill>
          </a:endParaRPr>
        </a:p>
      </xdr:txBody>
    </xdr:sp>
    <xdr:clientData/>
  </xdr:twoCellAnchor>
  <xdr:twoCellAnchor>
    <xdr:from>
      <xdr:col>2</xdr:col>
      <xdr:colOff>636688</xdr:colOff>
      <xdr:row>1</xdr:row>
      <xdr:rowOff>183964</xdr:rowOff>
    </xdr:from>
    <xdr:to>
      <xdr:col>2</xdr:col>
      <xdr:colOff>1098029</xdr:colOff>
      <xdr:row>2</xdr:row>
      <xdr:rowOff>329641</xdr:rowOff>
    </xdr:to>
    <xdr:sp macro="" textlink="">
      <xdr:nvSpPr>
        <xdr:cNvPr id="15" name="Seta: para Baixo 14">
          <a:extLst>
            <a:ext uri="{FF2B5EF4-FFF2-40B4-BE49-F238E27FC236}">
              <a16:creationId xmlns:a16="http://schemas.microsoft.com/office/drawing/2014/main" id="{CCC4C98B-EC8E-4AC6-8E10-40CD54E63B20}"/>
            </a:ext>
          </a:extLst>
        </xdr:cNvPr>
        <xdr:cNvSpPr/>
      </xdr:nvSpPr>
      <xdr:spPr>
        <a:xfrm rot="16200000">
          <a:off x="2438618" y="494099"/>
          <a:ext cx="336177" cy="461341"/>
        </a:xfrm>
        <a:prstGeom prst="downArrow">
          <a:avLst/>
        </a:prstGeom>
        <a:solidFill>
          <a:srgbClr val="FF5D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rgbClr val="FF0000"/>
            </a:solidFill>
          </a:endParaRPr>
        </a:p>
      </xdr:txBody>
    </xdr:sp>
    <xdr:clientData/>
  </xdr:twoCellAnchor>
  <xdr:oneCellAnchor>
    <xdr:from>
      <xdr:col>1</xdr:col>
      <xdr:colOff>152798</xdr:colOff>
      <xdr:row>0</xdr:row>
      <xdr:rowOff>365536</xdr:rowOff>
    </xdr:from>
    <xdr:ext cx="1772858" cy="718466"/>
    <xdr:sp macro="" textlink="">
      <xdr:nvSpPr>
        <xdr:cNvPr id="16" name="Retângulo 15">
          <a:extLst>
            <a:ext uri="{FF2B5EF4-FFF2-40B4-BE49-F238E27FC236}">
              <a16:creationId xmlns:a16="http://schemas.microsoft.com/office/drawing/2014/main" id="{03CBF8C5-4657-4501-AE52-FABDEE8CE63F}"/>
            </a:ext>
          </a:extLst>
        </xdr:cNvPr>
        <xdr:cNvSpPr/>
      </xdr:nvSpPr>
      <xdr:spPr>
        <a:xfrm>
          <a:off x="426124" y="365536"/>
          <a:ext cx="1772858" cy="718466"/>
        </a:xfrm>
        <a:prstGeom prst="rect">
          <a:avLst/>
        </a:prstGeom>
        <a:noFill/>
      </xdr:spPr>
      <xdr:txBody>
        <a:bodyPr wrap="none" lIns="91440" tIns="45720" rIns="91440" bIns="45720">
          <a:spAutoFit/>
        </a:bodyPr>
        <a:lstStyle/>
        <a:p>
          <a:pPr algn="ctr"/>
          <a:r>
            <a:rPr lang="pt-BR" sz="4000" b="0" cap="none" spc="0">
              <a:ln w="0"/>
              <a:solidFill>
                <a:srgbClr val="FF0000"/>
              </a:solidFill>
              <a:effectLst>
                <a:outerShdw blurRad="38100" dist="19050" dir="2700000" algn="tl" rotWithShape="0">
                  <a:schemeClr val="dk1">
                    <a:alpha val="40000"/>
                  </a:schemeClr>
                </a:outerShdw>
              </a:effectLst>
            </a:rPr>
            <a:t>ALERTA</a:t>
          </a:r>
        </a:p>
      </xdr:txBody>
    </xdr:sp>
    <xdr:clientData/>
  </xdr:oneCellAnchor>
  <xdr:oneCellAnchor>
    <xdr:from>
      <xdr:col>0</xdr:col>
      <xdr:colOff>152992</xdr:colOff>
      <xdr:row>0</xdr:row>
      <xdr:rowOff>107613</xdr:rowOff>
    </xdr:from>
    <xdr:ext cx="1114425" cy="156389"/>
    <xdr:pic>
      <xdr:nvPicPr>
        <xdr:cNvPr id="17" name="Imagem 16">
          <a:extLst>
            <a:ext uri="{FF2B5EF4-FFF2-40B4-BE49-F238E27FC236}">
              <a16:creationId xmlns:a16="http://schemas.microsoft.com/office/drawing/2014/main" id="{3768F041-87FB-4D50-AE72-411E6A579545}"/>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152992" y="107613"/>
          <a:ext cx="1114425" cy="156389"/>
        </a:xfrm>
        <a:prstGeom prst="rect">
          <a:avLst/>
        </a:prstGeom>
      </xdr:spPr>
    </xdr:pic>
    <xdr:clientData/>
  </xdr:oneCellAnchor>
  <xdr:twoCellAnchor>
    <xdr:from>
      <xdr:col>8</xdr:col>
      <xdr:colOff>86140</xdr:colOff>
      <xdr:row>2</xdr:row>
      <xdr:rowOff>6374</xdr:rowOff>
    </xdr:from>
    <xdr:to>
      <xdr:col>12</xdr:col>
      <xdr:colOff>500270</xdr:colOff>
      <xdr:row>2</xdr:row>
      <xdr:rowOff>316730</xdr:rowOff>
    </xdr:to>
    <xdr:sp macro="" textlink="">
      <xdr:nvSpPr>
        <xdr:cNvPr id="2" name="Retângulo: Canto Dobrado 1">
          <a:extLst>
            <a:ext uri="{FF2B5EF4-FFF2-40B4-BE49-F238E27FC236}">
              <a16:creationId xmlns:a16="http://schemas.microsoft.com/office/drawing/2014/main" id="{AB87B45C-1055-9FAB-8592-038EAAAB19B5}"/>
            </a:ext>
          </a:extLst>
        </xdr:cNvPr>
        <xdr:cNvSpPr/>
      </xdr:nvSpPr>
      <xdr:spPr>
        <a:xfrm>
          <a:off x="8559249" y="569591"/>
          <a:ext cx="4729369" cy="310356"/>
        </a:xfrm>
        <a:prstGeom prst="foldedCorner">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1">
              <a:solidFill>
                <a:srgbClr val="FF0000"/>
              </a:solidFill>
            </a:rPr>
            <a:t>LEMBRE</a:t>
          </a:r>
          <a:r>
            <a:rPr lang="pt-BR" sz="1100" b="1" baseline="0">
              <a:solidFill>
                <a:srgbClr val="FF0000"/>
              </a:solidFill>
            </a:rPr>
            <a:t> DE ATIVAR CONFORME A AULA DO "COMECE POR AQUI"</a:t>
          </a:r>
          <a:endParaRPr lang="pt-BR" sz="1100" b="1">
            <a:solidFill>
              <a:srgbClr val="FF0000"/>
            </a:solidFill>
          </a:endParaRPr>
        </a:p>
      </xdr:txBody>
    </xdr:sp>
    <xdr:clientData/>
  </xdr:twoCellAnchor>
  <xdr:twoCellAnchor>
    <xdr:from>
      <xdr:col>7</xdr:col>
      <xdr:colOff>499637</xdr:colOff>
      <xdr:row>1</xdr:row>
      <xdr:rowOff>183964</xdr:rowOff>
    </xdr:from>
    <xdr:to>
      <xdr:col>7</xdr:col>
      <xdr:colOff>960978</xdr:colOff>
      <xdr:row>2</xdr:row>
      <xdr:rowOff>329641</xdr:rowOff>
    </xdr:to>
    <xdr:sp macro="" textlink="">
      <xdr:nvSpPr>
        <xdr:cNvPr id="3" name="Seta: para Baixo 2">
          <a:extLst>
            <a:ext uri="{FF2B5EF4-FFF2-40B4-BE49-F238E27FC236}">
              <a16:creationId xmlns:a16="http://schemas.microsoft.com/office/drawing/2014/main" id="{85963F49-EEC3-7B77-139E-81D1542DAFDE}"/>
            </a:ext>
          </a:extLst>
        </xdr:cNvPr>
        <xdr:cNvSpPr/>
      </xdr:nvSpPr>
      <xdr:spPr>
        <a:xfrm rot="16200000">
          <a:off x="7983436" y="494099"/>
          <a:ext cx="336177" cy="461341"/>
        </a:xfrm>
        <a:prstGeom prst="downArrow">
          <a:avLst/>
        </a:prstGeom>
        <a:solidFill>
          <a:srgbClr val="FF5D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solidFill>
              <a:srgbClr val="FF0000"/>
            </a:solidFill>
          </a:endParaRPr>
        </a:p>
      </xdr:txBody>
    </xdr:sp>
    <xdr:clientData/>
  </xdr:twoCellAnchor>
  <xdr:twoCellAnchor>
    <xdr:from>
      <xdr:col>8</xdr:col>
      <xdr:colOff>234768</xdr:colOff>
      <xdr:row>3</xdr:row>
      <xdr:rowOff>162486</xdr:rowOff>
    </xdr:from>
    <xdr:to>
      <xdr:col>8</xdr:col>
      <xdr:colOff>690283</xdr:colOff>
      <xdr:row>23</xdr:row>
      <xdr:rowOff>119343</xdr:rowOff>
    </xdr:to>
    <xdr:sp macro="" textlink="">
      <xdr:nvSpPr>
        <xdr:cNvPr id="4" name="Chave Direita 3">
          <a:extLst>
            <a:ext uri="{FF2B5EF4-FFF2-40B4-BE49-F238E27FC236}">
              <a16:creationId xmlns:a16="http://schemas.microsoft.com/office/drawing/2014/main" id="{B13D07DA-B0A8-481F-9102-1D666B0E6B97}"/>
            </a:ext>
          </a:extLst>
        </xdr:cNvPr>
        <xdr:cNvSpPr/>
      </xdr:nvSpPr>
      <xdr:spPr>
        <a:xfrm>
          <a:off x="8583150" y="1204633"/>
          <a:ext cx="455515" cy="4159063"/>
        </a:xfrm>
        <a:custGeom>
          <a:avLst/>
          <a:gdLst>
            <a:gd name="connsiteX0" fmla="*/ 0 w 455515"/>
            <a:gd name="connsiteY0" fmla="*/ 0 h 4159063"/>
            <a:gd name="connsiteX1" fmla="*/ 227758 w 455515"/>
            <a:gd name="connsiteY1" fmla="*/ 156888 h 4159063"/>
            <a:gd name="connsiteX2" fmla="*/ 227758 w 455515"/>
            <a:gd name="connsiteY2" fmla="*/ 1868658 h 4159063"/>
            <a:gd name="connsiteX3" fmla="*/ 455516 w 455515"/>
            <a:gd name="connsiteY3" fmla="*/ 2025546 h 4159063"/>
            <a:gd name="connsiteX4" fmla="*/ 227758 w 455515"/>
            <a:gd name="connsiteY4" fmla="*/ 2182434 h 4159063"/>
            <a:gd name="connsiteX5" fmla="*/ 227758 w 455515"/>
            <a:gd name="connsiteY5" fmla="*/ 4002175 h 4159063"/>
            <a:gd name="connsiteX6" fmla="*/ 0 w 455515"/>
            <a:gd name="connsiteY6" fmla="*/ 4159063 h 4159063"/>
            <a:gd name="connsiteX7" fmla="*/ 0 w 455515"/>
            <a:gd name="connsiteY7" fmla="*/ 0 h 4159063"/>
            <a:gd name="connsiteX0" fmla="*/ 0 w 455515"/>
            <a:gd name="connsiteY0" fmla="*/ 0 h 4159063"/>
            <a:gd name="connsiteX1" fmla="*/ 227758 w 455515"/>
            <a:gd name="connsiteY1" fmla="*/ 156888 h 4159063"/>
            <a:gd name="connsiteX2" fmla="*/ 227758 w 455515"/>
            <a:gd name="connsiteY2" fmla="*/ 1868658 h 4159063"/>
            <a:gd name="connsiteX3" fmla="*/ 455516 w 455515"/>
            <a:gd name="connsiteY3" fmla="*/ 2025546 h 4159063"/>
            <a:gd name="connsiteX4" fmla="*/ 227758 w 455515"/>
            <a:gd name="connsiteY4" fmla="*/ 2182434 h 4159063"/>
            <a:gd name="connsiteX5" fmla="*/ 227758 w 455515"/>
            <a:gd name="connsiteY5" fmla="*/ 4002175 h 4159063"/>
            <a:gd name="connsiteX6" fmla="*/ 0 w 455515"/>
            <a:gd name="connsiteY6" fmla="*/ 4159063 h 41590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455515" h="4159063" stroke="0" extrusionOk="0">
              <a:moveTo>
                <a:pt x="0" y="0"/>
              </a:moveTo>
              <a:cubicBezTo>
                <a:pt x="117642" y="-13267"/>
                <a:pt x="238897" y="69907"/>
                <a:pt x="227758" y="156888"/>
              </a:cubicBezTo>
              <a:cubicBezTo>
                <a:pt x="111629" y="788427"/>
                <a:pt x="96366" y="1434114"/>
                <a:pt x="227758" y="1868658"/>
              </a:cubicBezTo>
              <a:cubicBezTo>
                <a:pt x="244642" y="1941850"/>
                <a:pt x="340187" y="2030416"/>
                <a:pt x="455516" y="2025546"/>
              </a:cubicBezTo>
              <a:cubicBezTo>
                <a:pt x="325903" y="2025315"/>
                <a:pt x="231921" y="2086530"/>
                <a:pt x="227758" y="2182434"/>
              </a:cubicBezTo>
              <a:cubicBezTo>
                <a:pt x="209159" y="2893640"/>
                <a:pt x="383460" y="3462911"/>
                <a:pt x="227758" y="4002175"/>
              </a:cubicBezTo>
              <a:cubicBezTo>
                <a:pt x="212011" y="4083126"/>
                <a:pt x="118150" y="4165770"/>
                <a:pt x="0" y="4159063"/>
              </a:cubicBezTo>
              <a:cubicBezTo>
                <a:pt x="166111" y="2585759"/>
                <a:pt x="129472" y="763101"/>
                <a:pt x="0" y="0"/>
              </a:cubicBezTo>
              <a:close/>
            </a:path>
            <a:path w="455515" h="4159063" fill="none" extrusionOk="0">
              <a:moveTo>
                <a:pt x="0" y="0"/>
              </a:moveTo>
              <a:cubicBezTo>
                <a:pt x="112563" y="1291"/>
                <a:pt x="226408" y="66049"/>
                <a:pt x="227758" y="156888"/>
              </a:cubicBezTo>
              <a:cubicBezTo>
                <a:pt x="83912" y="407720"/>
                <a:pt x="214255" y="1073572"/>
                <a:pt x="227758" y="1868658"/>
              </a:cubicBezTo>
              <a:cubicBezTo>
                <a:pt x="228541" y="1936712"/>
                <a:pt x="343282" y="2035355"/>
                <a:pt x="455516" y="2025546"/>
              </a:cubicBezTo>
              <a:cubicBezTo>
                <a:pt x="315624" y="2021786"/>
                <a:pt x="236453" y="2083936"/>
                <a:pt x="227758" y="2182434"/>
              </a:cubicBezTo>
              <a:cubicBezTo>
                <a:pt x="159818" y="2682449"/>
                <a:pt x="84714" y="3415046"/>
                <a:pt x="227758" y="4002175"/>
              </a:cubicBezTo>
              <a:cubicBezTo>
                <a:pt x="241471" y="4098712"/>
                <a:pt x="122166" y="4160856"/>
                <a:pt x="0" y="4159063"/>
              </a:cubicBezTo>
            </a:path>
            <a:path w="455515" h="4159063" fill="none" stroke="0" extrusionOk="0">
              <a:moveTo>
                <a:pt x="0" y="0"/>
              </a:moveTo>
              <a:cubicBezTo>
                <a:pt x="116954" y="-10402"/>
                <a:pt x="236407" y="73002"/>
                <a:pt x="227758" y="156888"/>
              </a:cubicBezTo>
              <a:cubicBezTo>
                <a:pt x="309464" y="700393"/>
                <a:pt x="250102" y="1214418"/>
                <a:pt x="227758" y="1868658"/>
              </a:cubicBezTo>
              <a:cubicBezTo>
                <a:pt x="227721" y="1950016"/>
                <a:pt x="342811" y="2029401"/>
                <a:pt x="455516" y="2025546"/>
              </a:cubicBezTo>
              <a:cubicBezTo>
                <a:pt x="319430" y="2031340"/>
                <a:pt x="224131" y="2099794"/>
                <a:pt x="227758" y="2182434"/>
              </a:cubicBezTo>
              <a:cubicBezTo>
                <a:pt x="331352" y="2601322"/>
                <a:pt x="348845" y="3108001"/>
                <a:pt x="227758" y="4002175"/>
              </a:cubicBezTo>
              <a:cubicBezTo>
                <a:pt x="235515" y="4093099"/>
                <a:pt x="104608" y="4163230"/>
                <a:pt x="0" y="4159063"/>
              </a:cubicBezTo>
            </a:path>
          </a:pathLst>
        </a:custGeom>
        <a:ln w="12700">
          <a:solidFill>
            <a:srgbClr val="1F4B31"/>
          </a:solidFill>
          <a:extLst>
            <a:ext uri="{C807C97D-BFC1-408E-A445-0C87EB9F89A2}">
              <ask:lineSketchStyleProps xmlns:ask="http://schemas.microsoft.com/office/drawing/2018/sketchyshapes" sd="2717515596">
                <a:prstGeom prst="rightBrace">
                  <a:avLst>
                    <a:gd name="adj1" fmla="val 34442"/>
                    <a:gd name="adj2" fmla="val 48702"/>
                  </a:avLst>
                </a:prstGeom>
                <ask:type>
                  <ask:lineSketchCurved/>
                </ask:type>
              </ask:lineSketchStyleProps>
            </a:ext>
          </a:extLst>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16</xdr:col>
      <xdr:colOff>275109</xdr:colOff>
      <xdr:row>3</xdr:row>
      <xdr:rowOff>162486</xdr:rowOff>
    </xdr:from>
    <xdr:to>
      <xdr:col>16</xdr:col>
      <xdr:colOff>730624</xdr:colOff>
      <xdr:row>23</xdr:row>
      <xdr:rowOff>119343</xdr:rowOff>
    </xdr:to>
    <xdr:sp macro="" textlink="">
      <xdr:nvSpPr>
        <xdr:cNvPr id="6" name="Chave Direita 5">
          <a:extLst>
            <a:ext uri="{FF2B5EF4-FFF2-40B4-BE49-F238E27FC236}">
              <a16:creationId xmlns:a16="http://schemas.microsoft.com/office/drawing/2014/main" id="{F0030A8E-7CBF-F4DE-D267-6A992708103E}"/>
            </a:ext>
          </a:extLst>
        </xdr:cNvPr>
        <xdr:cNvSpPr/>
      </xdr:nvSpPr>
      <xdr:spPr>
        <a:xfrm>
          <a:off x="16983080" y="1204633"/>
          <a:ext cx="455515" cy="4159063"/>
        </a:xfrm>
        <a:custGeom>
          <a:avLst/>
          <a:gdLst>
            <a:gd name="connsiteX0" fmla="*/ 0 w 455515"/>
            <a:gd name="connsiteY0" fmla="*/ 0 h 4159063"/>
            <a:gd name="connsiteX1" fmla="*/ 227758 w 455515"/>
            <a:gd name="connsiteY1" fmla="*/ 156888 h 4159063"/>
            <a:gd name="connsiteX2" fmla="*/ 227758 w 455515"/>
            <a:gd name="connsiteY2" fmla="*/ 1868658 h 4159063"/>
            <a:gd name="connsiteX3" fmla="*/ 455516 w 455515"/>
            <a:gd name="connsiteY3" fmla="*/ 2025546 h 4159063"/>
            <a:gd name="connsiteX4" fmla="*/ 227758 w 455515"/>
            <a:gd name="connsiteY4" fmla="*/ 2182434 h 4159063"/>
            <a:gd name="connsiteX5" fmla="*/ 227758 w 455515"/>
            <a:gd name="connsiteY5" fmla="*/ 4002175 h 4159063"/>
            <a:gd name="connsiteX6" fmla="*/ 0 w 455515"/>
            <a:gd name="connsiteY6" fmla="*/ 4159063 h 4159063"/>
            <a:gd name="connsiteX7" fmla="*/ 0 w 455515"/>
            <a:gd name="connsiteY7" fmla="*/ 0 h 4159063"/>
            <a:gd name="connsiteX0" fmla="*/ 0 w 455515"/>
            <a:gd name="connsiteY0" fmla="*/ 0 h 4159063"/>
            <a:gd name="connsiteX1" fmla="*/ 227758 w 455515"/>
            <a:gd name="connsiteY1" fmla="*/ 156888 h 4159063"/>
            <a:gd name="connsiteX2" fmla="*/ 227758 w 455515"/>
            <a:gd name="connsiteY2" fmla="*/ 1868658 h 4159063"/>
            <a:gd name="connsiteX3" fmla="*/ 455516 w 455515"/>
            <a:gd name="connsiteY3" fmla="*/ 2025546 h 4159063"/>
            <a:gd name="connsiteX4" fmla="*/ 227758 w 455515"/>
            <a:gd name="connsiteY4" fmla="*/ 2182434 h 4159063"/>
            <a:gd name="connsiteX5" fmla="*/ 227758 w 455515"/>
            <a:gd name="connsiteY5" fmla="*/ 4002175 h 4159063"/>
            <a:gd name="connsiteX6" fmla="*/ 0 w 455515"/>
            <a:gd name="connsiteY6" fmla="*/ 4159063 h 41590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455515" h="4159063" stroke="0" extrusionOk="0">
              <a:moveTo>
                <a:pt x="0" y="0"/>
              </a:moveTo>
              <a:cubicBezTo>
                <a:pt x="117642" y="-13267"/>
                <a:pt x="238897" y="69907"/>
                <a:pt x="227758" y="156888"/>
              </a:cubicBezTo>
              <a:cubicBezTo>
                <a:pt x="111629" y="788427"/>
                <a:pt x="96366" y="1434114"/>
                <a:pt x="227758" y="1868658"/>
              </a:cubicBezTo>
              <a:cubicBezTo>
                <a:pt x="244642" y="1941850"/>
                <a:pt x="340187" y="2030416"/>
                <a:pt x="455516" y="2025546"/>
              </a:cubicBezTo>
              <a:cubicBezTo>
                <a:pt x="325903" y="2025315"/>
                <a:pt x="231921" y="2086530"/>
                <a:pt x="227758" y="2182434"/>
              </a:cubicBezTo>
              <a:cubicBezTo>
                <a:pt x="209159" y="2893640"/>
                <a:pt x="383460" y="3462911"/>
                <a:pt x="227758" y="4002175"/>
              </a:cubicBezTo>
              <a:cubicBezTo>
                <a:pt x="212011" y="4083126"/>
                <a:pt x="118150" y="4165770"/>
                <a:pt x="0" y="4159063"/>
              </a:cubicBezTo>
              <a:cubicBezTo>
                <a:pt x="166111" y="2585759"/>
                <a:pt x="129472" y="763101"/>
                <a:pt x="0" y="0"/>
              </a:cubicBezTo>
              <a:close/>
            </a:path>
            <a:path w="455515" h="4159063" fill="none" extrusionOk="0">
              <a:moveTo>
                <a:pt x="0" y="0"/>
              </a:moveTo>
              <a:cubicBezTo>
                <a:pt x="112563" y="1291"/>
                <a:pt x="226408" y="66049"/>
                <a:pt x="227758" y="156888"/>
              </a:cubicBezTo>
              <a:cubicBezTo>
                <a:pt x="83912" y="407720"/>
                <a:pt x="214255" y="1073572"/>
                <a:pt x="227758" y="1868658"/>
              </a:cubicBezTo>
              <a:cubicBezTo>
                <a:pt x="228541" y="1936712"/>
                <a:pt x="343282" y="2035355"/>
                <a:pt x="455516" y="2025546"/>
              </a:cubicBezTo>
              <a:cubicBezTo>
                <a:pt x="315624" y="2021786"/>
                <a:pt x="236453" y="2083936"/>
                <a:pt x="227758" y="2182434"/>
              </a:cubicBezTo>
              <a:cubicBezTo>
                <a:pt x="159818" y="2682449"/>
                <a:pt x="84714" y="3415046"/>
                <a:pt x="227758" y="4002175"/>
              </a:cubicBezTo>
              <a:cubicBezTo>
                <a:pt x="241471" y="4098712"/>
                <a:pt x="122166" y="4160856"/>
                <a:pt x="0" y="4159063"/>
              </a:cubicBezTo>
            </a:path>
            <a:path w="455515" h="4159063" fill="none" stroke="0" extrusionOk="0">
              <a:moveTo>
                <a:pt x="0" y="0"/>
              </a:moveTo>
              <a:cubicBezTo>
                <a:pt x="116954" y="-10402"/>
                <a:pt x="236407" y="73002"/>
                <a:pt x="227758" y="156888"/>
              </a:cubicBezTo>
              <a:cubicBezTo>
                <a:pt x="309464" y="700393"/>
                <a:pt x="250102" y="1214418"/>
                <a:pt x="227758" y="1868658"/>
              </a:cubicBezTo>
              <a:cubicBezTo>
                <a:pt x="227721" y="1950016"/>
                <a:pt x="342811" y="2029401"/>
                <a:pt x="455516" y="2025546"/>
              </a:cubicBezTo>
              <a:cubicBezTo>
                <a:pt x="319430" y="2031340"/>
                <a:pt x="224131" y="2099794"/>
                <a:pt x="227758" y="2182434"/>
              </a:cubicBezTo>
              <a:cubicBezTo>
                <a:pt x="331352" y="2601322"/>
                <a:pt x="348845" y="3108001"/>
                <a:pt x="227758" y="4002175"/>
              </a:cubicBezTo>
              <a:cubicBezTo>
                <a:pt x="235515" y="4093099"/>
                <a:pt x="104608" y="4163230"/>
                <a:pt x="0" y="4159063"/>
              </a:cubicBezTo>
            </a:path>
          </a:pathLst>
        </a:custGeom>
        <a:ln w="12700">
          <a:solidFill>
            <a:srgbClr val="1F4B31"/>
          </a:solidFill>
          <a:extLst>
            <a:ext uri="{C807C97D-BFC1-408E-A445-0C87EB9F89A2}">
              <ask:lineSketchStyleProps xmlns:ask="http://schemas.microsoft.com/office/drawing/2018/sketchyshapes" sd="2717515596">
                <a:prstGeom prst="rightBrace">
                  <a:avLst>
                    <a:gd name="adj1" fmla="val 34442"/>
                    <a:gd name="adj2" fmla="val 48702"/>
                  </a:avLst>
                </a:prstGeom>
                <ask:type>
                  <ask:lineSketchCurved/>
                </ask:type>
              </ask:lineSketchStyleProps>
            </a:ext>
          </a:extLst>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pt-BR" sz="1100"/>
        </a:p>
      </xdr:txBody>
    </xdr:sp>
    <xdr:clientData/>
  </xdr:twoCellAnchor>
  <xdr:twoCellAnchor>
    <xdr:from>
      <xdr:col>24</xdr:col>
      <xdr:colOff>382686</xdr:colOff>
      <xdr:row>3</xdr:row>
      <xdr:rowOff>162486</xdr:rowOff>
    </xdr:from>
    <xdr:to>
      <xdr:col>24</xdr:col>
      <xdr:colOff>838201</xdr:colOff>
      <xdr:row>23</xdr:row>
      <xdr:rowOff>119343</xdr:rowOff>
    </xdr:to>
    <xdr:sp macro="" textlink="">
      <xdr:nvSpPr>
        <xdr:cNvPr id="7" name="Chave Direita 6">
          <a:extLst>
            <a:ext uri="{FF2B5EF4-FFF2-40B4-BE49-F238E27FC236}">
              <a16:creationId xmlns:a16="http://schemas.microsoft.com/office/drawing/2014/main" id="{9821C601-DFC8-E7E3-BE1F-4AF9D4384460}"/>
            </a:ext>
          </a:extLst>
        </xdr:cNvPr>
        <xdr:cNvSpPr/>
      </xdr:nvSpPr>
      <xdr:spPr>
        <a:xfrm>
          <a:off x="26794951" y="1204633"/>
          <a:ext cx="455515" cy="4159063"/>
        </a:xfrm>
        <a:custGeom>
          <a:avLst/>
          <a:gdLst>
            <a:gd name="connsiteX0" fmla="*/ 0 w 455515"/>
            <a:gd name="connsiteY0" fmla="*/ 0 h 4159063"/>
            <a:gd name="connsiteX1" fmla="*/ 227758 w 455515"/>
            <a:gd name="connsiteY1" fmla="*/ 156888 h 4159063"/>
            <a:gd name="connsiteX2" fmla="*/ 227758 w 455515"/>
            <a:gd name="connsiteY2" fmla="*/ 1868658 h 4159063"/>
            <a:gd name="connsiteX3" fmla="*/ 455516 w 455515"/>
            <a:gd name="connsiteY3" fmla="*/ 2025546 h 4159063"/>
            <a:gd name="connsiteX4" fmla="*/ 227758 w 455515"/>
            <a:gd name="connsiteY4" fmla="*/ 2182434 h 4159063"/>
            <a:gd name="connsiteX5" fmla="*/ 227758 w 455515"/>
            <a:gd name="connsiteY5" fmla="*/ 4002175 h 4159063"/>
            <a:gd name="connsiteX6" fmla="*/ 0 w 455515"/>
            <a:gd name="connsiteY6" fmla="*/ 4159063 h 4159063"/>
            <a:gd name="connsiteX7" fmla="*/ 0 w 455515"/>
            <a:gd name="connsiteY7" fmla="*/ 0 h 4159063"/>
            <a:gd name="connsiteX0" fmla="*/ 0 w 455515"/>
            <a:gd name="connsiteY0" fmla="*/ 0 h 4159063"/>
            <a:gd name="connsiteX1" fmla="*/ 227758 w 455515"/>
            <a:gd name="connsiteY1" fmla="*/ 156888 h 4159063"/>
            <a:gd name="connsiteX2" fmla="*/ 227758 w 455515"/>
            <a:gd name="connsiteY2" fmla="*/ 1868658 h 4159063"/>
            <a:gd name="connsiteX3" fmla="*/ 455516 w 455515"/>
            <a:gd name="connsiteY3" fmla="*/ 2025546 h 4159063"/>
            <a:gd name="connsiteX4" fmla="*/ 227758 w 455515"/>
            <a:gd name="connsiteY4" fmla="*/ 2182434 h 4159063"/>
            <a:gd name="connsiteX5" fmla="*/ 227758 w 455515"/>
            <a:gd name="connsiteY5" fmla="*/ 4002175 h 4159063"/>
            <a:gd name="connsiteX6" fmla="*/ 0 w 455515"/>
            <a:gd name="connsiteY6" fmla="*/ 4159063 h 41590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455515" h="4159063" stroke="0" extrusionOk="0">
              <a:moveTo>
                <a:pt x="0" y="0"/>
              </a:moveTo>
              <a:cubicBezTo>
                <a:pt x="117642" y="-13267"/>
                <a:pt x="238897" y="69907"/>
                <a:pt x="227758" y="156888"/>
              </a:cubicBezTo>
              <a:cubicBezTo>
                <a:pt x="111629" y="788427"/>
                <a:pt x="96366" y="1434114"/>
                <a:pt x="227758" y="1868658"/>
              </a:cubicBezTo>
              <a:cubicBezTo>
                <a:pt x="244642" y="1941850"/>
                <a:pt x="340187" y="2030416"/>
                <a:pt x="455516" y="2025546"/>
              </a:cubicBezTo>
              <a:cubicBezTo>
                <a:pt x="325903" y="2025315"/>
                <a:pt x="231921" y="2086530"/>
                <a:pt x="227758" y="2182434"/>
              </a:cubicBezTo>
              <a:cubicBezTo>
                <a:pt x="209159" y="2893640"/>
                <a:pt x="383460" y="3462911"/>
                <a:pt x="227758" y="4002175"/>
              </a:cubicBezTo>
              <a:cubicBezTo>
                <a:pt x="212011" y="4083126"/>
                <a:pt x="118150" y="4165770"/>
                <a:pt x="0" y="4159063"/>
              </a:cubicBezTo>
              <a:cubicBezTo>
                <a:pt x="166111" y="2585759"/>
                <a:pt x="129472" y="763101"/>
                <a:pt x="0" y="0"/>
              </a:cubicBezTo>
              <a:close/>
            </a:path>
            <a:path w="455515" h="4159063" fill="none" extrusionOk="0">
              <a:moveTo>
                <a:pt x="0" y="0"/>
              </a:moveTo>
              <a:cubicBezTo>
                <a:pt x="112563" y="1291"/>
                <a:pt x="226408" y="66049"/>
                <a:pt x="227758" y="156888"/>
              </a:cubicBezTo>
              <a:cubicBezTo>
                <a:pt x="83912" y="407720"/>
                <a:pt x="214255" y="1073572"/>
                <a:pt x="227758" y="1868658"/>
              </a:cubicBezTo>
              <a:cubicBezTo>
                <a:pt x="228541" y="1936712"/>
                <a:pt x="343282" y="2035355"/>
                <a:pt x="455516" y="2025546"/>
              </a:cubicBezTo>
              <a:cubicBezTo>
                <a:pt x="315624" y="2021786"/>
                <a:pt x="236453" y="2083936"/>
                <a:pt x="227758" y="2182434"/>
              </a:cubicBezTo>
              <a:cubicBezTo>
                <a:pt x="159818" y="2682449"/>
                <a:pt x="84714" y="3415046"/>
                <a:pt x="227758" y="4002175"/>
              </a:cubicBezTo>
              <a:cubicBezTo>
                <a:pt x="241471" y="4098712"/>
                <a:pt x="122166" y="4160856"/>
                <a:pt x="0" y="4159063"/>
              </a:cubicBezTo>
            </a:path>
            <a:path w="455515" h="4159063" fill="none" stroke="0" extrusionOk="0">
              <a:moveTo>
                <a:pt x="0" y="0"/>
              </a:moveTo>
              <a:cubicBezTo>
                <a:pt x="116954" y="-10402"/>
                <a:pt x="236407" y="73002"/>
                <a:pt x="227758" y="156888"/>
              </a:cubicBezTo>
              <a:cubicBezTo>
                <a:pt x="309464" y="700393"/>
                <a:pt x="250102" y="1214418"/>
                <a:pt x="227758" y="1868658"/>
              </a:cubicBezTo>
              <a:cubicBezTo>
                <a:pt x="227721" y="1950016"/>
                <a:pt x="342811" y="2029401"/>
                <a:pt x="455516" y="2025546"/>
              </a:cubicBezTo>
              <a:cubicBezTo>
                <a:pt x="319430" y="2031340"/>
                <a:pt x="224131" y="2099794"/>
                <a:pt x="227758" y="2182434"/>
              </a:cubicBezTo>
              <a:cubicBezTo>
                <a:pt x="331352" y="2601322"/>
                <a:pt x="348845" y="3108001"/>
                <a:pt x="227758" y="4002175"/>
              </a:cubicBezTo>
              <a:cubicBezTo>
                <a:pt x="235515" y="4093099"/>
                <a:pt x="104608" y="4163230"/>
                <a:pt x="0" y="4159063"/>
              </a:cubicBezTo>
            </a:path>
          </a:pathLst>
        </a:custGeom>
        <a:ln w="12700">
          <a:solidFill>
            <a:srgbClr val="1F4B31"/>
          </a:solidFill>
          <a:extLst>
            <a:ext uri="{C807C97D-BFC1-408E-A445-0C87EB9F89A2}">
              <ask:lineSketchStyleProps xmlns:ask="http://schemas.microsoft.com/office/drawing/2018/sketchyshapes" sd="2717515596">
                <a:prstGeom prst="rightBrace">
                  <a:avLst>
                    <a:gd name="adj1" fmla="val 34442"/>
                    <a:gd name="adj2" fmla="val 48702"/>
                  </a:avLst>
                </a:prstGeom>
                <ask:type>
                  <ask:lineSketchCurved/>
                </ask:type>
              </ask:lineSketchStyleProps>
            </a:ext>
          </a:extLst>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pt-BR"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92499</xdr:colOff>
      <xdr:row>0</xdr:row>
      <xdr:rowOff>96842</xdr:rowOff>
    </xdr:from>
    <xdr:to>
      <xdr:col>1</xdr:col>
      <xdr:colOff>186446</xdr:colOff>
      <xdr:row>0</xdr:row>
      <xdr:rowOff>182746</xdr:rowOff>
    </xdr:to>
    <xdr:pic>
      <xdr:nvPicPr>
        <xdr:cNvPr id="2" name="Imagem 1">
          <a:extLst>
            <a:ext uri="{FF2B5EF4-FFF2-40B4-BE49-F238E27FC236}">
              <a16:creationId xmlns:a16="http://schemas.microsoft.com/office/drawing/2014/main" id="{4A03B3A8-CE0D-4F4A-A419-CE3464AF442F}"/>
            </a:ext>
          </a:extLst>
        </xdr:cNvPr>
        <xdr:cNvPicPr>
          <a:picLocks noChangeAspect="1"/>
        </xdr:cNvPicPr>
      </xdr:nvPicPr>
      <xdr:blipFill>
        <a:blip xmlns:r="http://schemas.openxmlformats.org/officeDocument/2006/relationships" r:embed="rId1" cstate="print">
          <a:duotone>
            <a:schemeClr val="bg2">
              <a:shade val="45000"/>
              <a:satMod val="135000"/>
            </a:schemeClr>
            <a:prstClr val="white"/>
          </a:duotone>
          <a:extLst>
            <a:ext uri="{BEBA8EAE-BF5A-486C-A8C5-ECC9F3942E4B}">
              <a14:imgProps xmlns:a14="http://schemas.microsoft.com/office/drawing/2010/main">
                <a14:imgLayer r:embed="rId2">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92499" y="96842"/>
          <a:ext cx="701926" cy="8590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88447</xdr:colOff>
      <xdr:row>0</xdr:row>
      <xdr:rowOff>129267</xdr:rowOff>
    </xdr:from>
    <xdr:to>
      <xdr:col>1</xdr:col>
      <xdr:colOff>661178</xdr:colOff>
      <xdr:row>0</xdr:row>
      <xdr:rowOff>282753</xdr:rowOff>
    </xdr:to>
    <xdr:pic>
      <xdr:nvPicPr>
        <xdr:cNvPr id="2" name="Imagem 1">
          <a:extLst>
            <a:ext uri="{FF2B5EF4-FFF2-40B4-BE49-F238E27FC236}">
              <a16:creationId xmlns:a16="http://schemas.microsoft.com/office/drawing/2014/main" id="{7A8A4A6B-785B-44D0-BD3E-36643A5AE3B3}"/>
            </a:ext>
          </a:extLst>
        </xdr:cNvPr>
        <xdr:cNvPicPr>
          <a:picLocks noChangeAspect="1"/>
        </xdr:cNvPicPr>
      </xdr:nvPicPr>
      <xdr:blipFill>
        <a:blip xmlns:r="http://schemas.openxmlformats.org/officeDocument/2006/relationships" r:embed="rId1" cstate="print">
          <a:duotone>
            <a:schemeClr val="bg2">
              <a:shade val="45000"/>
              <a:satMod val="135000"/>
            </a:schemeClr>
            <a:prstClr val="white"/>
          </a:duotone>
          <a:extLst>
            <a:ext uri="{BEBA8EAE-BF5A-486C-A8C5-ECC9F3942E4B}">
              <a14:imgProps xmlns:a14="http://schemas.microsoft.com/office/drawing/2010/main">
                <a14:imgLayer r:embed="rId2">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88447" y="129267"/>
          <a:ext cx="1089802" cy="15348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2</xdr:col>
      <xdr:colOff>471870</xdr:colOff>
      <xdr:row>16</xdr:row>
      <xdr:rowOff>39944</xdr:rowOff>
    </xdr:from>
    <xdr:ext cx="835564" cy="519610"/>
    <xdr:pic>
      <xdr:nvPicPr>
        <xdr:cNvPr id="27" name="Imagem 26" descr="Lascas Estacas Mourões Madeiras Para Cercas E Currais - Goiânia, Go - Zip  Anúncios">
          <a:extLst>
            <a:ext uri="{FF2B5EF4-FFF2-40B4-BE49-F238E27FC236}">
              <a16:creationId xmlns:a16="http://schemas.microsoft.com/office/drawing/2014/main" id="{25499921-A7FC-4FD0-9DD8-B5A51CAB19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14845" y="3640394"/>
          <a:ext cx="835564" cy="5196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619631</xdr:colOff>
      <xdr:row>17</xdr:row>
      <xdr:rowOff>37087</xdr:rowOff>
    </xdr:from>
    <xdr:ext cx="525404" cy="523462"/>
    <xdr:pic>
      <xdr:nvPicPr>
        <xdr:cNvPr id="28" name="Imagem 27" descr="Arame Liso Galvanizado para Cerca Elétrica Rural">
          <a:extLst>
            <a:ext uri="{FF2B5EF4-FFF2-40B4-BE49-F238E27FC236}">
              <a16:creationId xmlns:a16="http://schemas.microsoft.com/office/drawing/2014/main" id="{4EC2314E-4F9D-4559-B4E0-260A61E3463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62606" y="4209037"/>
          <a:ext cx="525404" cy="5234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453979</xdr:colOff>
      <xdr:row>18</xdr:row>
      <xdr:rowOff>40122</xdr:rowOff>
    </xdr:from>
    <xdr:ext cx="901147" cy="505517"/>
    <xdr:pic>
      <xdr:nvPicPr>
        <xdr:cNvPr id="29" name="Imagem 28" descr="Porteiras">
          <a:extLst>
            <a:ext uri="{FF2B5EF4-FFF2-40B4-BE49-F238E27FC236}">
              <a16:creationId xmlns:a16="http://schemas.microsoft.com/office/drawing/2014/main" id="{599285C7-555D-41F0-A7A8-311047036C7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96954" y="4783572"/>
          <a:ext cx="901147" cy="50551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506988</xdr:colOff>
      <xdr:row>19</xdr:row>
      <xdr:rowOff>83471</xdr:rowOff>
    </xdr:from>
    <xdr:ext cx="755374" cy="451708"/>
    <xdr:pic>
      <xdr:nvPicPr>
        <xdr:cNvPr id="30" name="Imagem 29" descr="Madetron - Troncos, Balanças, Madeiras, Banheiras, Carretas Agrícolas,  Saleiros, Palanques, Carrocerias, Ferraria, Madeiras Itaúba, Pinho, Pinus,  Eucalipto - Guaraniaçu, Paraná">
          <a:extLst>
            <a:ext uri="{FF2B5EF4-FFF2-40B4-BE49-F238E27FC236}">
              <a16:creationId xmlns:a16="http://schemas.microsoft.com/office/drawing/2014/main" id="{52CECA38-8D1D-43AA-8010-9ED6C8621D5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449963" y="5398421"/>
          <a:ext cx="755374" cy="45170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677885</xdr:colOff>
      <xdr:row>26</xdr:row>
      <xdr:rowOff>17300</xdr:rowOff>
    </xdr:from>
    <xdr:ext cx="466725" cy="472440"/>
    <xdr:pic>
      <xdr:nvPicPr>
        <xdr:cNvPr id="31" name="Imagem 30" descr="Mão-de-obra png | PNGWing">
          <a:extLst>
            <a:ext uri="{FF2B5EF4-FFF2-40B4-BE49-F238E27FC236}">
              <a16:creationId xmlns:a16="http://schemas.microsoft.com/office/drawing/2014/main" id="{8695EC2A-A76A-494A-98EF-F1BDB80BA783}"/>
            </a:ext>
          </a:extLst>
        </xdr:cNvPr>
        <xdr:cNvPicPr>
          <a:picLocks noChangeAspect="1" noChangeArrowheads="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1389" b="97500" l="8056" r="91667">
                      <a14:foregroundMark x1="43889" y1="8333" x2="43889" y2="8333"/>
                      <a14:foregroundMark x1="17500" y1="45000" x2="17500" y2="45000"/>
                      <a14:foregroundMark x1="21111" y1="2500" x2="21111" y2="2500"/>
                      <a14:foregroundMark x1="44167" y1="82778" x2="44167" y2="82778"/>
                      <a14:foregroundMark x1="91944" y1="89444" x2="91944" y2="89444"/>
                      <a14:foregroundMark x1="73333" y1="91667" x2="73333" y2="91667"/>
                      <a14:foregroundMark x1="35000" y1="97500" x2="35000" y2="97500"/>
                      <a14:foregroundMark x1="8056" y1="49722" x2="8056" y2="83056"/>
                      <a14:foregroundMark x1="8056" y1="83056" x2="8889" y2="84167"/>
                      <a14:foregroundMark x1="41944" y1="2778" x2="40833" y2="1389"/>
                    </a14:backgroundRemoval>
                  </a14:imgEffect>
                </a14:imgLayer>
              </a14:imgProps>
            </a:ext>
            <a:ext uri="{28A0092B-C50C-407E-A947-70E740481C1C}">
              <a14:useLocalDpi xmlns:a14="http://schemas.microsoft.com/office/drawing/2010/main" val="0"/>
            </a:ext>
          </a:extLst>
        </a:blip>
        <a:srcRect/>
        <a:stretch>
          <a:fillRect/>
        </a:stretch>
      </xdr:blipFill>
      <xdr:spPr bwMode="auto">
        <a:xfrm>
          <a:off x="1620860" y="9332750"/>
          <a:ext cx="466725" cy="47244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586500</xdr:colOff>
      <xdr:row>20</xdr:row>
      <xdr:rowOff>96723</xdr:rowOff>
    </xdr:from>
    <xdr:ext cx="477078" cy="416175"/>
    <xdr:pic>
      <xdr:nvPicPr>
        <xdr:cNvPr id="32" name="Imagem 31">
          <a:extLst>
            <a:ext uri="{FF2B5EF4-FFF2-40B4-BE49-F238E27FC236}">
              <a16:creationId xmlns:a16="http://schemas.microsoft.com/office/drawing/2014/main" id="{958859B2-7DAA-4B4D-8F99-BB24886CA301}"/>
            </a:ext>
          </a:extLst>
        </xdr:cNvPr>
        <xdr:cNvPicPr>
          <a:picLocks noChangeAspect="1"/>
        </xdr:cNvPicPr>
      </xdr:nvPicPr>
      <xdr:blipFill>
        <a:blip xmlns:r="http://schemas.openxmlformats.org/officeDocument/2006/relationships" r:embed="rId7"/>
        <a:stretch>
          <a:fillRect/>
        </a:stretch>
      </xdr:blipFill>
      <xdr:spPr>
        <a:xfrm>
          <a:off x="1529475" y="5983173"/>
          <a:ext cx="477078" cy="416175"/>
        </a:xfrm>
        <a:prstGeom prst="rect">
          <a:avLst/>
        </a:prstGeom>
      </xdr:spPr>
    </xdr:pic>
    <xdr:clientData/>
  </xdr:oneCellAnchor>
  <xdr:oneCellAnchor>
    <xdr:from>
      <xdr:col>2</xdr:col>
      <xdr:colOff>733410</xdr:colOff>
      <xdr:row>24</xdr:row>
      <xdr:rowOff>82087</xdr:rowOff>
    </xdr:from>
    <xdr:ext cx="442466" cy="492642"/>
    <xdr:pic>
      <xdr:nvPicPr>
        <xdr:cNvPr id="33" name="Imagem 32">
          <a:extLst>
            <a:ext uri="{FF2B5EF4-FFF2-40B4-BE49-F238E27FC236}">
              <a16:creationId xmlns:a16="http://schemas.microsoft.com/office/drawing/2014/main" id="{B4D4C06C-0945-43D5-95CD-7073BB61753F}"/>
            </a:ext>
          </a:extLst>
        </xdr:cNvPr>
        <xdr:cNvPicPr>
          <a:picLocks noChangeAspect="1"/>
        </xdr:cNvPicPr>
      </xdr:nvPicPr>
      <xdr:blipFill>
        <a:blip xmlns:r="http://schemas.openxmlformats.org/officeDocument/2006/relationships" r:embed="rId8"/>
        <a:stretch>
          <a:fillRect/>
        </a:stretch>
      </xdr:blipFill>
      <xdr:spPr>
        <a:xfrm rot="16200000">
          <a:off x="1651297" y="8279625"/>
          <a:ext cx="492642" cy="442466"/>
        </a:xfrm>
        <a:prstGeom prst="rect">
          <a:avLst/>
        </a:prstGeom>
      </xdr:spPr>
    </xdr:pic>
    <xdr:clientData/>
  </xdr:oneCellAnchor>
  <xdr:oneCellAnchor>
    <xdr:from>
      <xdr:col>2</xdr:col>
      <xdr:colOff>573247</xdr:colOff>
      <xdr:row>21</xdr:row>
      <xdr:rowOff>91014</xdr:rowOff>
    </xdr:from>
    <xdr:ext cx="682488" cy="365540"/>
    <xdr:pic>
      <xdr:nvPicPr>
        <xdr:cNvPr id="34" name="Imagem 33">
          <a:extLst>
            <a:ext uri="{FF2B5EF4-FFF2-40B4-BE49-F238E27FC236}">
              <a16:creationId xmlns:a16="http://schemas.microsoft.com/office/drawing/2014/main" id="{1FC0CCFE-8C65-439A-969E-85916C1A9127}"/>
            </a:ext>
          </a:extLst>
        </xdr:cNvPr>
        <xdr:cNvPicPr>
          <a:picLocks noChangeAspect="1"/>
        </xdr:cNvPicPr>
      </xdr:nvPicPr>
      <xdr:blipFill rotWithShape="1">
        <a:blip xmlns:r="http://schemas.openxmlformats.org/officeDocument/2006/relationships" r:embed="rId9"/>
        <a:srcRect t="14883"/>
        <a:stretch/>
      </xdr:blipFill>
      <xdr:spPr>
        <a:xfrm>
          <a:off x="1516222" y="6548964"/>
          <a:ext cx="682488" cy="365540"/>
        </a:xfrm>
        <a:prstGeom prst="rect">
          <a:avLst/>
        </a:prstGeom>
      </xdr:spPr>
    </xdr:pic>
    <xdr:clientData/>
  </xdr:oneCellAnchor>
  <xdr:oneCellAnchor>
    <xdr:from>
      <xdr:col>2</xdr:col>
      <xdr:colOff>752155</xdr:colOff>
      <xdr:row>22</xdr:row>
      <xdr:rowOff>50931</xdr:rowOff>
    </xdr:from>
    <xdr:ext cx="397564" cy="457974"/>
    <xdr:pic>
      <xdr:nvPicPr>
        <xdr:cNvPr id="35" name="Imagem 34">
          <a:extLst>
            <a:ext uri="{FF2B5EF4-FFF2-40B4-BE49-F238E27FC236}">
              <a16:creationId xmlns:a16="http://schemas.microsoft.com/office/drawing/2014/main" id="{5D39480C-86AB-4A59-BE2B-C58B3BDA34E3}"/>
            </a:ext>
          </a:extLst>
        </xdr:cNvPr>
        <xdr:cNvPicPr>
          <a:picLocks noChangeAspect="1"/>
        </xdr:cNvPicPr>
      </xdr:nvPicPr>
      <xdr:blipFill>
        <a:blip xmlns:r="http://schemas.openxmlformats.org/officeDocument/2006/relationships" r:embed="rId10"/>
        <a:stretch>
          <a:fillRect/>
        </a:stretch>
      </xdr:blipFill>
      <xdr:spPr>
        <a:xfrm>
          <a:off x="1695130" y="7080381"/>
          <a:ext cx="397564" cy="457974"/>
        </a:xfrm>
        <a:prstGeom prst="rect">
          <a:avLst/>
        </a:prstGeom>
      </xdr:spPr>
    </xdr:pic>
    <xdr:clientData/>
  </xdr:oneCellAnchor>
  <xdr:oneCellAnchor>
    <xdr:from>
      <xdr:col>2</xdr:col>
      <xdr:colOff>685891</xdr:colOff>
      <xdr:row>23</xdr:row>
      <xdr:rowOff>38814</xdr:rowOff>
    </xdr:from>
    <xdr:ext cx="503583" cy="446102"/>
    <xdr:pic>
      <xdr:nvPicPr>
        <xdr:cNvPr id="36" name="Imagem 35">
          <a:extLst>
            <a:ext uri="{FF2B5EF4-FFF2-40B4-BE49-F238E27FC236}">
              <a16:creationId xmlns:a16="http://schemas.microsoft.com/office/drawing/2014/main" id="{D3517CD5-E05B-4089-82CB-BF7BA6E3BBE4}"/>
            </a:ext>
          </a:extLst>
        </xdr:cNvPr>
        <xdr:cNvPicPr>
          <a:picLocks noChangeAspect="1"/>
        </xdr:cNvPicPr>
      </xdr:nvPicPr>
      <xdr:blipFill>
        <a:blip xmlns:r="http://schemas.openxmlformats.org/officeDocument/2006/relationships" r:embed="rId11"/>
        <a:stretch>
          <a:fillRect/>
        </a:stretch>
      </xdr:blipFill>
      <xdr:spPr>
        <a:xfrm>
          <a:off x="1628866" y="7639764"/>
          <a:ext cx="503583" cy="446102"/>
        </a:xfrm>
        <a:prstGeom prst="rect">
          <a:avLst/>
        </a:prstGeom>
      </xdr:spPr>
    </xdr:pic>
    <xdr:clientData/>
  </xdr:oneCellAnchor>
  <xdr:oneCellAnchor>
    <xdr:from>
      <xdr:col>2</xdr:col>
      <xdr:colOff>630214</xdr:colOff>
      <xdr:row>25</xdr:row>
      <xdr:rowOff>114634</xdr:rowOff>
    </xdr:from>
    <xdr:ext cx="563217" cy="375699"/>
    <xdr:pic>
      <xdr:nvPicPr>
        <xdr:cNvPr id="37" name="Imagem 36">
          <a:extLst>
            <a:ext uri="{FF2B5EF4-FFF2-40B4-BE49-F238E27FC236}">
              <a16:creationId xmlns:a16="http://schemas.microsoft.com/office/drawing/2014/main" id="{58C66133-A112-4AD3-B405-DE575DF99D7A}"/>
            </a:ext>
          </a:extLst>
        </xdr:cNvPr>
        <xdr:cNvPicPr>
          <a:picLocks noChangeAspect="1"/>
        </xdr:cNvPicPr>
      </xdr:nvPicPr>
      <xdr:blipFill>
        <a:blip xmlns:r="http://schemas.openxmlformats.org/officeDocument/2006/relationships" r:embed="rId12"/>
        <a:stretch>
          <a:fillRect/>
        </a:stretch>
      </xdr:blipFill>
      <xdr:spPr>
        <a:xfrm>
          <a:off x="1573189" y="8858584"/>
          <a:ext cx="563217" cy="375699"/>
        </a:xfrm>
        <a:prstGeom prst="rect">
          <a:avLst/>
        </a:prstGeom>
      </xdr:spPr>
    </xdr:pic>
    <xdr:clientData/>
  </xdr:oneCellAnchor>
  <xdr:oneCellAnchor>
    <xdr:from>
      <xdr:col>10</xdr:col>
      <xdr:colOff>567120</xdr:colOff>
      <xdr:row>16</xdr:row>
      <xdr:rowOff>50527</xdr:rowOff>
    </xdr:from>
    <xdr:ext cx="839374" cy="527230"/>
    <xdr:pic>
      <xdr:nvPicPr>
        <xdr:cNvPr id="38" name="Imagem 37" descr="Lascas Estacas Mourões Madeiras Para Cercas E Currais - Goiânia, Go - Zip  Anúncios">
          <a:extLst>
            <a:ext uri="{FF2B5EF4-FFF2-40B4-BE49-F238E27FC236}">
              <a16:creationId xmlns:a16="http://schemas.microsoft.com/office/drawing/2014/main" id="{78BF4D6C-9921-4A0B-9071-55F17F3D366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0196895" y="3650977"/>
          <a:ext cx="839374" cy="52723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714881</xdr:colOff>
      <xdr:row>17</xdr:row>
      <xdr:rowOff>47670</xdr:rowOff>
    </xdr:from>
    <xdr:ext cx="525404" cy="523462"/>
    <xdr:pic>
      <xdr:nvPicPr>
        <xdr:cNvPr id="39" name="Imagem 38" descr="Arame Liso Galvanizado para Cerca Elétrica Rural">
          <a:extLst>
            <a:ext uri="{FF2B5EF4-FFF2-40B4-BE49-F238E27FC236}">
              <a16:creationId xmlns:a16="http://schemas.microsoft.com/office/drawing/2014/main" id="{AE652FF7-C88B-44C0-9F00-796D525F472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44656" y="4219620"/>
          <a:ext cx="525404" cy="52346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549229</xdr:colOff>
      <xdr:row>18</xdr:row>
      <xdr:rowOff>50705</xdr:rowOff>
    </xdr:from>
    <xdr:ext cx="901147" cy="505517"/>
    <xdr:pic>
      <xdr:nvPicPr>
        <xdr:cNvPr id="40" name="Imagem 39" descr="Porteiras">
          <a:extLst>
            <a:ext uri="{FF2B5EF4-FFF2-40B4-BE49-F238E27FC236}">
              <a16:creationId xmlns:a16="http://schemas.microsoft.com/office/drawing/2014/main" id="{7EF1CE7D-78AF-45D1-A67A-60594C384B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179004" y="4794155"/>
          <a:ext cx="901147" cy="50551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602238</xdr:colOff>
      <xdr:row>19</xdr:row>
      <xdr:rowOff>94054</xdr:rowOff>
    </xdr:from>
    <xdr:ext cx="755374" cy="455518"/>
    <xdr:pic>
      <xdr:nvPicPr>
        <xdr:cNvPr id="41" name="Imagem 40" descr="Madetron - Troncos, Balanças, Madeiras, Banheiras, Carretas Agrícolas,  Saleiros, Palanques, Carrocerias, Ferraria, Madeiras Itaúba, Pinho, Pinus,  Eucalipto - Guaraniaçu, Paraná">
          <a:extLst>
            <a:ext uri="{FF2B5EF4-FFF2-40B4-BE49-F238E27FC236}">
              <a16:creationId xmlns:a16="http://schemas.microsoft.com/office/drawing/2014/main" id="{09E22612-4688-4B14-ABF0-65E206285CA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232013" y="5409004"/>
          <a:ext cx="755374" cy="45551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741385</xdr:colOff>
      <xdr:row>20</xdr:row>
      <xdr:rowOff>38467</xdr:rowOff>
    </xdr:from>
    <xdr:ext cx="472440" cy="472440"/>
    <xdr:pic>
      <xdr:nvPicPr>
        <xdr:cNvPr id="42" name="Imagem 41" descr="Mão-de-obra png | PNGWing">
          <a:extLst>
            <a:ext uri="{FF2B5EF4-FFF2-40B4-BE49-F238E27FC236}">
              <a16:creationId xmlns:a16="http://schemas.microsoft.com/office/drawing/2014/main" id="{BEC493A6-0804-482E-87C3-05D5C8B85A36}"/>
            </a:ext>
          </a:extLst>
        </xdr:cNvPr>
        <xdr:cNvPicPr>
          <a:picLocks noChangeAspect="1" noChangeArrowheads="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1389" b="97500" l="8056" r="91667">
                      <a14:foregroundMark x1="43889" y1="8333" x2="43889" y2="8333"/>
                      <a14:foregroundMark x1="17500" y1="45000" x2="17500" y2="45000"/>
                      <a14:foregroundMark x1="21111" y1="2500" x2="21111" y2="2500"/>
                      <a14:foregroundMark x1="44167" y1="82778" x2="44167" y2="82778"/>
                      <a14:foregroundMark x1="91944" y1="89444" x2="91944" y2="89444"/>
                      <a14:foregroundMark x1="73333" y1="91667" x2="73333" y2="91667"/>
                      <a14:foregroundMark x1="35000" y1="97500" x2="35000" y2="97500"/>
                      <a14:foregroundMark x1="8056" y1="49722" x2="8056" y2="83056"/>
                      <a14:foregroundMark x1="8056" y1="83056" x2="8889" y2="84167"/>
                      <a14:foregroundMark x1="41944" y1="2778" x2="40833" y2="1389"/>
                    </a14:backgroundRemoval>
                  </a14:imgEffect>
                </a14:imgLayer>
              </a14:imgProps>
            </a:ext>
            <a:ext uri="{28A0092B-C50C-407E-A947-70E740481C1C}">
              <a14:useLocalDpi xmlns:a14="http://schemas.microsoft.com/office/drawing/2010/main" val="0"/>
            </a:ext>
          </a:extLst>
        </a:blip>
        <a:srcRect/>
        <a:stretch>
          <a:fillRect/>
        </a:stretch>
      </xdr:blipFill>
      <xdr:spPr bwMode="auto">
        <a:xfrm>
          <a:off x="10371160" y="5924917"/>
          <a:ext cx="472440" cy="47244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289561</xdr:colOff>
      <xdr:row>16</xdr:row>
      <xdr:rowOff>32766</xdr:rowOff>
    </xdr:from>
    <xdr:ext cx="594359" cy="477773"/>
    <xdr:pic>
      <xdr:nvPicPr>
        <xdr:cNvPr id="43" name="Imagem 42">
          <a:extLst>
            <a:ext uri="{FF2B5EF4-FFF2-40B4-BE49-F238E27FC236}">
              <a16:creationId xmlns:a16="http://schemas.microsoft.com/office/drawing/2014/main" id="{3A774504-D733-4ADF-BD44-1CA24908386B}"/>
            </a:ext>
          </a:extLst>
        </xdr:cNvPr>
        <xdr:cNvPicPr>
          <a:picLocks noChangeAspect="1"/>
        </xdr:cNvPicPr>
      </xdr:nvPicPr>
      <xdr:blipFill>
        <a:blip xmlns:r="http://schemas.openxmlformats.org/officeDocument/2006/relationships" r:embed="rId14"/>
        <a:stretch>
          <a:fillRect/>
        </a:stretch>
      </xdr:blipFill>
      <xdr:spPr>
        <a:xfrm>
          <a:off x="18415636" y="3633216"/>
          <a:ext cx="594359" cy="477773"/>
        </a:xfrm>
        <a:prstGeom prst="rect">
          <a:avLst/>
        </a:prstGeom>
      </xdr:spPr>
    </xdr:pic>
    <xdr:clientData/>
  </xdr:oneCellAnchor>
  <xdr:oneCellAnchor>
    <xdr:from>
      <xdr:col>18</xdr:col>
      <xdr:colOff>198120</xdr:colOff>
      <xdr:row>17</xdr:row>
      <xdr:rowOff>22860</xdr:rowOff>
    </xdr:from>
    <xdr:ext cx="739140" cy="494639"/>
    <xdr:pic>
      <xdr:nvPicPr>
        <xdr:cNvPr id="44" name="Imagem 43" descr="BEBEDOURO - Brolio Artefatos de Cimento - Grupo Brolio">
          <a:extLst>
            <a:ext uri="{FF2B5EF4-FFF2-40B4-BE49-F238E27FC236}">
              <a16:creationId xmlns:a16="http://schemas.microsoft.com/office/drawing/2014/main" id="{1909D0A9-A1FA-4509-BE4B-CBD33A5F8AEF}"/>
            </a:ext>
          </a:extLst>
        </xdr:cNvPr>
        <xdr:cNvPicPr>
          <a:picLocks noChangeAspect="1"/>
        </xdr:cNvPicPr>
      </xdr:nvPicPr>
      <xdr:blipFill>
        <a:blip xmlns:r="http://schemas.openxmlformats.org/officeDocument/2006/relationships" r:embed="rId15" cstate="print">
          <a:extLst>
            <a:ext uri="{BEBA8EAE-BF5A-486C-A8C5-ECC9F3942E4B}">
              <a14:imgProps xmlns:a14="http://schemas.microsoft.com/office/drawing/2010/main">
                <a14:imgLayer r:embed="rId16">
                  <a14:imgEffect>
                    <a14:backgroundRemoval t="9628" b="97689" l="8670" r="89785">
                      <a14:foregroundMark x1="8755" y1="43646" x2="8755" y2="43646"/>
                      <a14:foregroundMark x1="23004" y1="73171" x2="23004" y2="73171"/>
                      <a14:foregroundMark x1="37425" y1="70860" x2="37425" y2="70860"/>
                      <a14:foregroundMark x1="60429" y1="91014" x2="60429" y2="91014"/>
                      <a14:foregroundMark x1="49442" y1="86906" x2="49442" y2="86906"/>
                      <a14:foregroundMark x1="43176" y1="76123" x2="43176" y2="76123"/>
                      <a14:foregroundMark x1="44635" y1="73813" x2="44635" y2="73813"/>
                      <a14:foregroundMark x1="24721" y1="70090" x2="24721" y2="70090"/>
                      <a14:foregroundMark x1="19227" y1="60847" x2="37425" y2="81900"/>
                      <a14:foregroundMark x1="37425" y1="81900" x2="17082" y2="78434"/>
                      <a14:foregroundMark x1="17082" y1="78434" x2="11760" y2="59307"/>
                      <a14:foregroundMark x1="7983" y1="50321" x2="39399" y2="74198"/>
                      <a14:foregroundMark x1="39399" y1="74198" x2="32704" y2="95250"/>
                      <a14:foregroundMark x1="32704" y1="95250" x2="22747" y2="97689"/>
                    </a14:backgroundRemoval>
                  </a14:imgEffect>
                </a14:imgLayer>
              </a14:imgProps>
            </a:ext>
            <a:ext uri="{28A0092B-C50C-407E-A947-70E740481C1C}">
              <a14:useLocalDpi xmlns:a14="http://schemas.microsoft.com/office/drawing/2010/main" val="0"/>
            </a:ext>
          </a:extLst>
        </a:blip>
        <a:srcRect/>
        <a:stretch>
          <a:fillRect/>
        </a:stretch>
      </xdr:blipFill>
      <xdr:spPr bwMode="auto">
        <a:xfrm>
          <a:off x="18324195" y="4194810"/>
          <a:ext cx="739140" cy="494639"/>
        </a:xfrm>
        <a:prstGeom prst="rect">
          <a:avLst/>
        </a:prstGeom>
        <a:noFill/>
        <a:ln>
          <a:noFill/>
        </a:ln>
      </xdr:spPr>
    </xdr:pic>
    <xdr:clientData/>
  </xdr:oneCellAnchor>
  <xdr:oneCellAnchor>
    <xdr:from>
      <xdr:col>18</xdr:col>
      <xdr:colOff>220980</xdr:colOff>
      <xdr:row>18</xdr:row>
      <xdr:rowOff>76201</xdr:rowOff>
    </xdr:from>
    <xdr:ext cx="662940" cy="440512"/>
    <xdr:pic>
      <xdr:nvPicPr>
        <xdr:cNvPr id="45" name="Imagem 44">
          <a:extLst>
            <a:ext uri="{FF2B5EF4-FFF2-40B4-BE49-F238E27FC236}">
              <a16:creationId xmlns:a16="http://schemas.microsoft.com/office/drawing/2014/main" id="{6C499C36-D308-4C3A-AB1C-292CFE2E499C}"/>
            </a:ext>
          </a:extLst>
        </xdr:cNvPr>
        <xdr:cNvPicPr>
          <a:picLocks noChangeAspect="1"/>
        </xdr:cNvPicPr>
      </xdr:nvPicPr>
      <xdr:blipFill>
        <a:blip xmlns:r="http://schemas.openxmlformats.org/officeDocument/2006/relationships" r:embed="rId17"/>
        <a:stretch>
          <a:fillRect/>
        </a:stretch>
      </xdr:blipFill>
      <xdr:spPr>
        <a:xfrm>
          <a:off x="18347055" y="4819651"/>
          <a:ext cx="662940" cy="440512"/>
        </a:xfrm>
        <a:prstGeom prst="rect">
          <a:avLst/>
        </a:prstGeom>
      </xdr:spPr>
    </xdr:pic>
    <xdr:clientData/>
  </xdr:oneCellAnchor>
  <xdr:oneCellAnchor>
    <xdr:from>
      <xdr:col>18</xdr:col>
      <xdr:colOff>304800</xdr:colOff>
      <xdr:row>19</xdr:row>
      <xdr:rowOff>7621</xdr:rowOff>
    </xdr:from>
    <xdr:ext cx="529240" cy="510539"/>
    <xdr:pic>
      <xdr:nvPicPr>
        <xdr:cNvPr id="46" name="Imagem 45">
          <a:extLst>
            <a:ext uri="{FF2B5EF4-FFF2-40B4-BE49-F238E27FC236}">
              <a16:creationId xmlns:a16="http://schemas.microsoft.com/office/drawing/2014/main" id="{26946EED-B4F7-4E81-8EA3-B2078E0680F1}"/>
            </a:ext>
          </a:extLst>
        </xdr:cNvPr>
        <xdr:cNvPicPr>
          <a:picLocks noChangeAspect="1"/>
        </xdr:cNvPicPr>
      </xdr:nvPicPr>
      <xdr:blipFill>
        <a:blip xmlns:r="http://schemas.openxmlformats.org/officeDocument/2006/relationships" r:embed="rId18"/>
        <a:stretch>
          <a:fillRect/>
        </a:stretch>
      </xdr:blipFill>
      <xdr:spPr>
        <a:xfrm>
          <a:off x="18430875" y="5322571"/>
          <a:ext cx="529240" cy="510539"/>
        </a:xfrm>
        <a:prstGeom prst="rect">
          <a:avLst/>
        </a:prstGeom>
      </xdr:spPr>
    </xdr:pic>
    <xdr:clientData/>
  </xdr:oneCellAnchor>
  <xdr:oneCellAnchor>
    <xdr:from>
      <xdr:col>18</xdr:col>
      <xdr:colOff>297180</xdr:colOff>
      <xdr:row>20</xdr:row>
      <xdr:rowOff>35329</xdr:rowOff>
    </xdr:from>
    <xdr:ext cx="548640" cy="498764"/>
    <xdr:pic>
      <xdr:nvPicPr>
        <xdr:cNvPr id="47" name="Imagem 46">
          <a:extLst>
            <a:ext uri="{FF2B5EF4-FFF2-40B4-BE49-F238E27FC236}">
              <a16:creationId xmlns:a16="http://schemas.microsoft.com/office/drawing/2014/main" id="{D883FC6B-3465-4C43-BA43-465A7DFC5B0C}"/>
            </a:ext>
          </a:extLst>
        </xdr:cNvPr>
        <xdr:cNvPicPr>
          <a:picLocks noChangeAspect="1"/>
        </xdr:cNvPicPr>
      </xdr:nvPicPr>
      <xdr:blipFill>
        <a:blip xmlns:r="http://schemas.openxmlformats.org/officeDocument/2006/relationships" r:embed="rId19"/>
        <a:stretch>
          <a:fillRect/>
        </a:stretch>
      </xdr:blipFill>
      <xdr:spPr>
        <a:xfrm>
          <a:off x="18423255" y="5921779"/>
          <a:ext cx="548640" cy="498764"/>
        </a:xfrm>
        <a:prstGeom prst="rect">
          <a:avLst/>
        </a:prstGeom>
      </xdr:spPr>
    </xdr:pic>
    <xdr:clientData/>
  </xdr:oneCellAnchor>
  <xdr:oneCellAnchor>
    <xdr:from>
      <xdr:col>18</xdr:col>
      <xdr:colOff>243840</xdr:colOff>
      <xdr:row>23</xdr:row>
      <xdr:rowOff>30481</xdr:rowOff>
    </xdr:from>
    <xdr:ext cx="553915" cy="495300"/>
    <xdr:pic>
      <xdr:nvPicPr>
        <xdr:cNvPr id="48" name="Imagem 47">
          <a:extLst>
            <a:ext uri="{FF2B5EF4-FFF2-40B4-BE49-F238E27FC236}">
              <a16:creationId xmlns:a16="http://schemas.microsoft.com/office/drawing/2014/main" id="{FE8EDE1D-DD18-46A0-BC68-BDB302D807F9}"/>
            </a:ext>
          </a:extLst>
        </xdr:cNvPr>
        <xdr:cNvPicPr>
          <a:picLocks noChangeAspect="1"/>
        </xdr:cNvPicPr>
      </xdr:nvPicPr>
      <xdr:blipFill>
        <a:blip xmlns:r="http://schemas.openxmlformats.org/officeDocument/2006/relationships" r:embed="rId20"/>
        <a:stretch>
          <a:fillRect/>
        </a:stretch>
      </xdr:blipFill>
      <xdr:spPr>
        <a:xfrm>
          <a:off x="18369915" y="7631431"/>
          <a:ext cx="553915" cy="495300"/>
        </a:xfrm>
        <a:prstGeom prst="rect">
          <a:avLst/>
        </a:prstGeom>
      </xdr:spPr>
    </xdr:pic>
    <xdr:clientData/>
  </xdr:oneCellAnchor>
  <xdr:oneCellAnchor>
    <xdr:from>
      <xdr:col>18</xdr:col>
      <xdr:colOff>350097</xdr:colOff>
      <xdr:row>24</xdr:row>
      <xdr:rowOff>39794</xdr:rowOff>
    </xdr:from>
    <xdr:ext cx="472440" cy="472440"/>
    <xdr:pic>
      <xdr:nvPicPr>
        <xdr:cNvPr id="49" name="Imagem 48" descr="Mão-de-obra png | PNGWing">
          <a:extLst>
            <a:ext uri="{FF2B5EF4-FFF2-40B4-BE49-F238E27FC236}">
              <a16:creationId xmlns:a16="http://schemas.microsoft.com/office/drawing/2014/main" id="{2F86AB75-FE9C-4594-9E79-57E87AE0EA4B}"/>
            </a:ext>
          </a:extLst>
        </xdr:cNvPr>
        <xdr:cNvPicPr>
          <a:picLocks noChangeAspect="1" noChangeArrowheads="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1389" b="97500" l="8056" r="91667">
                      <a14:foregroundMark x1="43889" y1="8333" x2="43889" y2="8333"/>
                      <a14:foregroundMark x1="17500" y1="45000" x2="17500" y2="45000"/>
                      <a14:foregroundMark x1="21111" y1="2500" x2="21111" y2="2500"/>
                      <a14:foregroundMark x1="44167" y1="82778" x2="44167" y2="82778"/>
                      <a14:foregroundMark x1="91944" y1="89444" x2="91944" y2="89444"/>
                      <a14:foregroundMark x1="73333" y1="91667" x2="73333" y2="91667"/>
                      <a14:foregroundMark x1="35000" y1="97500" x2="35000" y2="97500"/>
                      <a14:foregroundMark x1="8056" y1="49722" x2="8056" y2="83056"/>
                      <a14:foregroundMark x1="8056" y1="83056" x2="8889" y2="84167"/>
                      <a14:foregroundMark x1="41944" y1="2778" x2="40833" y2="1389"/>
                    </a14:backgroundRemoval>
                  </a14:imgEffect>
                </a14:imgLayer>
              </a14:imgProps>
            </a:ext>
            <a:ext uri="{28A0092B-C50C-407E-A947-70E740481C1C}">
              <a14:useLocalDpi xmlns:a14="http://schemas.microsoft.com/office/drawing/2010/main" val="0"/>
            </a:ext>
          </a:extLst>
        </a:blip>
        <a:srcRect/>
        <a:stretch>
          <a:fillRect/>
        </a:stretch>
      </xdr:blipFill>
      <xdr:spPr bwMode="auto">
        <a:xfrm>
          <a:off x="18476172" y="8212244"/>
          <a:ext cx="472440" cy="47244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18</xdr:col>
      <xdr:colOff>266700</xdr:colOff>
      <xdr:row>21</xdr:row>
      <xdr:rowOff>37519</xdr:rowOff>
    </xdr:from>
    <xdr:ext cx="548640" cy="503918"/>
    <xdr:pic>
      <xdr:nvPicPr>
        <xdr:cNvPr id="50" name="Imagem 49">
          <a:extLst>
            <a:ext uri="{FF2B5EF4-FFF2-40B4-BE49-F238E27FC236}">
              <a16:creationId xmlns:a16="http://schemas.microsoft.com/office/drawing/2014/main" id="{20C2DC08-E14B-49AD-AA75-D8C637768445}"/>
            </a:ext>
          </a:extLst>
        </xdr:cNvPr>
        <xdr:cNvPicPr>
          <a:picLocks noChangeAspect="1"/>
        </xdr:cNvPicPr>
      </xdr:nvPicPr>
      <xdr:blipFill>
        <a:blip xmlns:r="http://schemas.openxmlformats.org/officeDocument/2006/relationships" r:embed="rId21"/>
        <a:stretch>
          <a:fillRect/>
        </a:stretch>
      </xdr:blipFill>
      <xdr:spPr>
        <a:xfrm>
          <a:off x="18392775" y="6495469"/>
          <a:ext cx="548640" cy="503918"/>
        </a:xfrm>
        <a:prstGeom prst="rect">
          <a:avLst/>
        </a:prstGeom>
      </xdr:spPr>
    </xdr:pic>
    <xdr:clientData/>
  </xdr:oneCellAnchor>
  <xdr:oneCellAnchor>
    <xdr:from>
      <xdr:col>18</xdr:col>
      <xdr:colOff>335281</xdr:colOff>
      <xdr:row>22</xdr:row>
      <xdr:rowOff>91441</xdr:rowOff>
    </xdr:from>
    <xdr:ext cx="365759" cy="392926"/>
    <xdr:pic>
      <xdr:nvPicPr>
        <xdr:cNvPr id="51" name="Imagem 50">
          <a:extLst>
            <a:ext uri="{FF2B5EF4-FFF2-40B4-BE49-F238E27FC236}">
              <a16:creationId xmlns:a16="http://schemas.microsoft.com/office/drawing/2014/main" id="{7ADF51A8-7439-47BF-87D6-4E3920E57803}"/>
            </a:ext>
          </a:extLst>
        </xdr:cNvPr>
        <xdr:cNvPicPr>
          <a:picLocks noChangeAspect="1"/>
        </xdr:cNvPicPr>
      </xdr:nvPicPr>
      <xdr:blipFill>
        <a:blip xmlns:r="http://schemas.openxmlformats.org/officeDocument/2006/relationships" r:embed="rId22"/>
        <a:stretch>
          <a:fillRect/>
        </a:stretch>
      </xdr:blipFill>
      <xdr:spPr>
        <a:xfrm>
          <a:off x="18461356" y="7120891"/>
          <a:ext cx="365759" cy="392926"/>
        </a:xfrm>
        <a:prstGeom prst="rect">
          <a:avLst/>
        </a:prstGeom>
      </xdr:spPr>
    </xdr:pic>
    <xdr:clientData/>
  </xdr:oneCellAnchor>
  <xdr:twoCellAnchor editAs="oneCell">
    <xdr:from>
      <xdr:col>0</xdr:col>
      <xdr:colOff>88447</xdr:colOff>
      <xdr:row>0</xdr:row>
      <xdr:rowOff>129267</xdr:rowOff>
    </xdr:from>
    <xdr:to>
      <xdr:col>2</xdr:col>
      <xdr:colOff>232553</xdr:colOff>
      <xdr:row>0</xdr:row>
      <xdr:rowOff>282753</xdr:rowOff>
    </xdr:to>
    <xdr:pic>
      <xdr:nvPicPr>
        <xdr:cNvPr id="52" name="Imagem 51">
          <a:extLst>
            <a:ext uri="{FF2B5EF4-FFF2-40B4-BE49-F238E27FC236}">
              <a16:creationId xmlns:a16="http://schemas.microsoft.com/office/drawing/2014/main" id="{750A27C3-D311-4ABD-B5C7-A1D676456E23}"/>
            </a:ext>
          </a:extLst>
        </xdr:cNvPr>
        <xdr:cNvPicPr>
          <a:picLocks noChangeAspect="1"/>
        </xdr:cNvPicPr>
      </xdr:nvPicPr>
      <xdr:blipFill>
        <a:blip xmlns:r="http://schemas.openxmlformats.org/officeDocument/2006/relationships" r:embed="rId23" cstate="print">
          <a:duotone>
            <a:schemeClr val="bg2">
              <a:shade val="45000"/>
              <a:satMod val="135000"/>
            </a:schemeClr>
            <a:prstClr val="white"/>
          </a:duotone>
          <a:extLst>
            <a:ext uri="{BEBA8EAE-BF5A-486C-A8C5-ECC9F3942E4B}">
              <a14:imgProps xmlns:a14="http://schemas.microsoft.com/office/drawing/2010/main">
                <a14:imgLayer r:embed="rId24">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88447" y="129267"/>
          <a:ext cx="1087081" cy="153486"/>
        </a:xfrm>
        <a:prstGeom prst="rect">
          <a:avLst/>
        </a:prstGeom>
      </xdr:spPr>
    </xdr:pic>
    <xdr:clientData/>
  </xdr:twoCellAnchor>
  <xdr:oneCellAnchor>
    <xdr:from>
      <xdr:col>18</xdr:col>
      <xdr:colOff>115956</xdr:colOff>
      <xdr:row>25</xdr:row>
      <xdr:rowOff>41413</xdr:rowOff>
    </xdr:from>
    <xdr:ext cx="902617" cy="505239"/>
    <xdr:pic>
      <xdr:nvPicPr>
        <xdr:cNvPr id="53" name="Imagem 52">
          <a:extLst>
            <a:ext uri="{FF2B5EF4-FFF2-40B4-BE49-F238E27FC236}">
              <a16:creationId xmlns:a16="http://schemas.microsoft.com/office/drawing/2014/main" id="{FDB9DBC6-3765-421C-9A3A-6B2CAABC8E40}"/>
            </a:ext>
          </a:extLst>
        </xdr:cNvPr>
        <xdr:cNvPicPr>
          <a:picLocks noChangeAspect="1"/>
        </xdr:cNvPicPr>
      </xdr:nvPicPr>
      <xdr:blipFill rotWithShape="1">
        <a:blip xmlns:r="http://schemas.openxmlformats.org/officeDocument/2006/relationships" r:embed="rId25"/>
        <a:srcRect l="5460" t="15782" r="59818" b="53873"/>
        <a:stretch/>
      </xdr:blipFill>
      <xdr:spPr>
        <a:xfrm>
          <a:off x="19116260" y="8854109"/>
          <a:ext cx="902617" cy="505239"/>
        </a:xfrm>
        <a:prstGeom prst="rect">
          <a:avLst/>
        </a:prstGeom>
        <a:ln>
          <a:solidFill>
            <a:sysClr val="windowText" lastClr="000000"/>
          </a:solidFill>
        </a:ln>
      </xdr:spPr>
    </xdr:pic>
    <xdr:clientData/>
  </xdr:oneCellAnchor>
</xdr:wsDr>
</file>

<file path=xl/drawings/drawing9.xml><?xml version="1.0" encoding="utf-8"?>
<xdr:wsDr xmlns:xdr="http://schemas.openxmlformats.org/drawingml/2006/spreadsheetDrawing" xmlns:a="http://schemas.openxmlformats.org/drawingml/2006/main">
  <xdr:twoCellAnchor>
    <xdr:from>
      <xdr:col>3</xdr:col>
      <xdr:colOff>21981</xdr:colOff>
      <xdr:row>15</xdr:row>
      <xdr:rowOff>80596</xdr:rowOff>
    </xdr:from>
    <xdr:to>
      <xdr:col>3</xdr:col>
      <xdr:colOff>603425</xdr:colOff>
      <xdr:row>15</xdr:row>
      <xdr:rowOff>83819</xdr:rowOff>
    </xdr:to>
    <xdr:cxnSp macro="">
      <xdr:nvCxnSpPr>
        <xdr:cNvPr id="2" name="Conector de Seta Reta 1">
          <a:extLst>
            <a:ext uri="{FF2B5EF4-FFF2-40B4-BE49-F238E27FC236}">
              <a16:creationId xmlns:a16="http://schemas.microsoft.com/office/drawing/2014/main" id="{C68F7FD0-02CF-47E1-B9B2-D4A4F5FAAEA5}"/>
            </a:ext>
          </a:extLst>
        </xdr:cNvPr>
        <xdr:cNvCxnSpPr/>
      </xdr:nvCxnSpPr>
      <xdr:spPr>
        <a:xfrm>
          <a:off x="3555756" y="3147646"/>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146538</xdr:colOff>
      <xdr:row>0</xdr:row>
      <xdr:rowOff>65944</xdr:rowOff>
    </xdr:from>
    <xdr:to>
      <xdr:col>1</xdr:col>
      <xdr:colOff>681405</xdr:colOff>
      <xdr:row>0</xdr:row>
      <xdr:rowOff>219430</xdr:rowOff>
    </xdr:to>
    <xdr:pic>
      <xdr:nvPicPr>
        <xdr:cNvPr id="3" name="Imagem 2">
          <a:extLst>
            <a:ext uri="{FF2B5EF4-FFF2-40B4-BE49-F238E27FC236}">
              <a16:creationId xmlns:a16="http://schemas.microsoft.com/office/drawing/2014/main" id="{731A613B-3840-4355-A241-6D8EC7589D3A}"/>
            </a:ext>
          </a:extLst>
        </xdr:cNvPr>
        <xdr:cNvPicPr>
          <a:picLocks noChangeAspect="1"/>
        </xdr:cNvPicPr>
      </xdr:nvPicPr>
      <xdr:blipFill>
        <a:blip xmlns:r="http://schemas.openxmlformats.org/officeDocument/2006/relationships" r:embed="rId1" cstate="print">
          <a:duotone>
            <a:schemeClr val="bg2">
              <a:shade val="45000"/>
              <a:satMod val="135000"/>
            </a:schemeClr>
            <a:prstClr val="white"/>
          </a:duotone>
          <a:extLst>
            <a:ext uri="{BEBA8EAE-BF5A-486C-A8C5-ECC9F3942E4B}">
              <a14:imgProps xmlns:a14="http://schemas.microsoft.com/office/drawing/2010/main">
                <a14:imgLayer r:embed="rId2">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146538" y="65944"/>
          <a:ext cx="1087317" cy="153486"/>
        </a:xfrm>
        <a:prstGeom prst="rect">
          <a:avLst/>
        </a:prstGeom>
      </xdr:spPr>
    </xdr:pic>
    <xdr:clientData/>
  </xdr:twoCellAnchor>
  <xdr:twoCellAnchor>
    <xdr:from>
      <xdr:col>3</xdr:col>
      <xdr:colOff>21981</xdr:colOff>
      <xdr:row>18</xdr:row>
      <xdr:rowOff>80596</xdr:rowOff>
    </xdr:from>
    <xdr:to>
      <xdr:col>3</xdr:col>
      <xdr:colOff>603425</xdr:colOff>
      <xdr:row>18</xdr:row>
      <xdr:rowOff>83819</xdr:rowOff>
    </xdr:to>
    <xdr:cxnSp macro="">
      <xdr:nvCxnSpPr>
        <xdr:cNvPr id="4" name="Conector de Seta Reta 3">
          <a:extLst>
            <a:ext uri="{FF2B5EF4-FFF2-40B4-BE49-F238E27FC236}">
              <a16:creationId xmlns:a16="http://schemas.microsoft.com/office/drawing/2014/main" id="{D5B4B8D0-DA5E-47B2-BBB1-C55E41DF4AE0}"/>
            </a:ext>
          </a:extLst>
        </xdr:cNvPr>
        <xdr:cNvCxnSpPr/>
      </xdr:nvCxnSpPr>
      <xdr:spPr>
        <a:xfrm>
          <a:off x="3555756" y="3719146"/>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19</xdr:row>
      <xdr:rowOff>80596</xdr:rowOff>
    </xdr:from>
    <xdr:to>
      <xdr:col>3</xdr:col>
      <xdr:colOff>603425</xdr:colOff>
      <xdr:row>19</xdr:row>
      <xdr:rowOff>83819</xdr:rowOff>
    </xdr:to>
    <xdr:cxnSp macro="">
      <xdr:nvCxnSpPr>
        <xdr:cNvPr id="5" name="Conector de Seta Reta 4">
          <a:extLst>
            <a:ext uri="{FF2B5EF4-FFF2-40B4-BE49-F238E27FC236}">
              <a16:creationId xmlns:a16="http://schemas.microsoft.com/office/drawing/2014/main" id="{53A7BDD7-8FAC-417F-A7F8-F7927EEF3CDE}"/>
            </a:ext>
          </a:extLst>
        </xdr:cNvPr>
        <xdr:cNvCxnSpPr/>
      </xdr:nvCxnSpPr>
      <xdr:spPr>
        <a:xfrm>
          <a:off x="3555756" y="3909646"/>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24</xdr:row>
      <xdr:rowOff>80596</xdr:rowOff>
    </xdr:from>
    <xdr:to>
      <xdr:col>3</xdr:col>
      <xdr:colOff>603425</xdr:colOff>
      <xdr:row>24</xdr:row>
      <xdr:rowOff>83819</xdr:rowOff>
    </xdr:to>
    <xdr:cxnSp macro="">
      <xdr:nvCxnSpPr>
        <xdr:cNvPr id="7" name="Conector de Seta Reta 6">
          <a:extLst>
            <a:ext uri="{FF2B5EF4-FFF2-40B4-BE49-F238E27FC236}">
              <a16:creationId xmlns:a16="http://schemas.microsoft.com/office/drawing/2014/main" id="{0C139B81-8AA7-40BE-9099-3B0ED03B1381}"/>
            </a:ext>
          </a:extLst>
        </xdr:cNvPr>
        <xdr:cNvCxnSpPr/>
      </xdr:nvCxnSpPr>
      <xdr:spPr>
        <a:xfrm>
          <a:off x="3555756" y="4862146"/>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25</xdr:row>
      <xdr:rowOff>80596</xdr:rowOff>
    </xdr:from>
    <xdr:to>
      <xdr:col>3</xdr:col>
      <xdr:colOff>603425</xdr:colOff>
      <xdr:row>25</xdr:row>
      <xdr:rowOff>83819</xdr:rowOff>
    </xdr:to>
    <xdr:cxnSp macro="">
      <xdr:nvCxnSpPr>
        <xdr:cNvPr id="8" name="Conector de Seta Reta 7">
          <a:extLst>
            <a:ext uri="{FF2B5EF4-FFF2-40B4-BE49-F238E27FC236}">
              <a16:creationId xmlns:a16="http://schemas.microsoft.com/office/drawing/2014/main" id="{F9761EFD-3108-48B0-9C80-6B610F0653FF}"/>
            </a:ext>
          </a:extLst>
        </xdr:cNvPr>
        <xdr:cNvCxnSpPr/>
      </xdr:nvCxnSpPr>
      <xdr:spPr>
        <a:xfrm>
          <a:off x="3555756" y="5052646"/>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27</xdr:row>
      <xdr:rowOff>80596</xdr:rowOff>
    </xdr:from>
    <xdr:to>
      <xdr:col>3</xdr:col>
      <xdr:colOff>603425</xdr:colOff>
      <xdr:row>27</xdr:row>
      <xdr:rowOff>83819</xdr:rowOff>
    </xdr:to>
    <xdr:cxnSp macro="">
      <xdr:nvCxnSpPr>
        <xdr:cNvPr id="9" name="Conector de Seta Reta 8">
          <a:extLst>
            <a:ext uri="{FF2B5EF4-FFF2-40B4-BE49-F238E27FC236}">
              <a16:creationId xmlns:a16="http://schemas.microsoft.com/office/drawing/2014/main" id="{812CA8A3-7CD5-4908-B06D-43D6CC28E6BD}"/>
            </a:ext>
          </a:extLst>
        </xdr:cNvPr>
        <xdr:cNvCxnSpPr/>
      </xdr:nvCxnSpPr>
      <xdr:spPr>
        <a:xfrm>
          <a:off x="3555756" y="5433646"/>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28</xdr:row>
      <xdr:rowOff>80596</xdr:rowOff>
    </xdr:from>
    <xdr:to>
      <xdr:col>3</xdr:col>
      <xdr:colOff>603425</xdr:colOff>
      <xdr:row>28</xdr:row>
      <xdr:rowOff>83819</xdr:rowOff>
    </xdr:to>
    <xdr:cxnSp macro="">
      <xdr:nvCxnSpPr>
        <xdr:cNvPr id="10" name="Conector de Seta Reta 9">
          <a:extLst>
            <a:ext uri="{FF2B5EF4-FFF2-40B4-BE49-F238E27FC236}">
              <a16:creationId xmlns:a16="http://schemas.microsoft.com/office/drawing/2014/main" id="{C72B4EDD-E551-4453-A330-0E65E4E55C12}"/>
            </a:ext>
          </a:extLst>
        </xdr:cNvPr>
        <xdr:cNvCxnSpPr/>
      </xdr:nvCxnSpPr>
      <xdr:spPr>
        <a:xfrm>
          <a:off x="3555756" y="5624146"/>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30</xdr:row>
      <xdr:rowOff>80596</xdr:rowOff>
    </xdr:from>
    <xdr:to>
      <xdr:col>3</xdr:col>
      <xdr:colOff>603425</xdr:colOff>
      <xdr:row>30</xdr:row>
      <xdr:rowOff>83819</xdr:rowOff>
    </xdr:to>
    <xdr:cxnSp macro="">
      <xdr:nvCxnSpPr>
        <xdr:cNvPr id="11" name="Conector de Seta Reta 10">
          <a:extLst>
            <a:ext uri="{FF2B5EF4-FFF2-40B4-BE49-F238E27FC236}">
              <a16:creationId xmlns:a16="http://schemas.microsoft.com/office/drawing/2014/main" id="{B313D2E9-386F-437A-8551-C227BABB8B72}"/>
            </a:ext>
          </a:extLst>
        </xdr:cNvPr>
        <xdr:cNvCxnSpPr/>
      </xdr:nvCxnSpPr>
      <xdr:spPr>
        <a:xfrm>
          <a:off x="3555756" y="6005146"/>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31</xdr:row>
      <xdr:rowOff>80596</xdr:rowOff>
    </xdr:from>
    <xdr:to>
      <xdr:col>3</xdr:col>
      <xdr:colOff>603425</xdr:colOff>
      <xdr:row>31</xdr:row>
      <xdr:rowOff>83819</xdr:rowOff>
    </xdr:to>
    <xdr:cxnSp macro="">
      <xdr:nvCxnSpPr>
        <xdr:cNvPr id="12" name="Conector de Seta Reta 11">
          <a:extLst>
            <a:ext uri="{FF2B5EF4-FFF2-40B4-BE49-F238E27FC236}">
              <a16:creationId xmlns:a16="http://schemas.microsoft.com/office/drawing/2014/main" id="{F162ED5A-6AD4-4FB8-876B-7407997A974C}"/>
            </a:ext>
          </a:extLst>
        </xdr:cNvPr>
        <xdr:cNvCxnSpPr/>
      </xdr:nvCxnSpPr>
      <xdr:spPr>
        <a:xfrm>
          <a:off x="3555756" y="6195646"/>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32</xdr:row>
      <xdr:rowOff>80596</xdr:rowOff>
    </xdr:from>
    <xdr:to>
      <xdr:col>3</xdr:col>
      <xdr:colOff>603425</xdr:colOff>
      <xdr:row>32</xdr:row>
      <xdr:rowOff>83819</xdr:rowOff>
    </xdr:to>
    <xdr:cxnSp macro="">
      <xdr:nvCxnSpPr>
        <xdr:cNvPr id="13" name="Conector de Seta Reta 12">
          <a:extLst>
            <a:ext uri="{FF2B5EF4-FFF2-40B4-BE49-F238E27FC236}">
              <a16:creationId xmlns:a16="http://schemas.microsoft.com/office/drawing/2014/main" id="{F5B22A76-E2F8-425B-9679-F96CE7E35079}"/>
            </a:ext>
          </a:extLst>
        </xdr:cNvPr>
        <xdr:cNvCxnSpPr/>
      </xdr:nvCxnSpPr>
      <xdr:spPr>
        <a:xfrm>
          <a:off x="3555756" y="6386146"/>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33</xdr:row>
      <xdr:rowOff>80596</xdr:rowOff>
    </xdr:from>
    <xdr:to>
      <xdr:col>3</xdr:col>
      <xdr:colOff>603425</xdr:colOff>
      <xdr:row>33</xdr:row>
      <xdr:rowOff>83819</xdr:rowOff>
    </xdr:to>
    <xdr:cxnSp macro="">
      <xdr:nvCxnSpPr>
        <xdr:cNvPr id="14" name="Conector de Seta Reta 13">
          <a:extLst>
            <a:ext uri="{FF2B5EF4-FFF2-40B4-BE49-F238E27FC236}">
              <a16:creationId xmlns:a16="http://schemas.microsoft.com/office/drawing/2014/main" id="{F9565126-51EF-4A6F-A942-9BBA4658EDBC}"/>
            </a:ext>
          </a:extLst>
        </xdr:cNvPr>
        <xdr:cNvCxnSpPr/>
      </xdr:nvCxnSpPr>
      <xdr:spPr>
        <a:xfrm>
          <a:off x="3555756" y="6576646"/>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34</xdr:row>
      <xdr:rowOff>80596</xdr:rowOff>
    </xdr:from>
    <xdr:to>
      <xdr:col>3</xdr:col>
      <xdr:colOff>603425</xdr:colOff>
      <xdr:row>34</xdr:row>
      <xdr:rowOff>83819</xdr:rowOff>
    </xdr:to>
    <xdr:cxnSp macro="">
      <xdr:nvCxnSpPr>
        <xdr:cNvPr id="15" name="Conector de Seta Reta 14">
          <a:extLst>
            <a:ext uri="{FF2B5EF4-FFF2-40B4-BE49-F238E27FC236}">
              <a16:creationId xmlns:a16="http://schemas.microsoft.com/office/drawing/2014/main" id="{9BD7EF88-27AD-4169-9FB0-1AE594A35E6B}"/>
            </a:ext>
          </a:extLst>
        </xdr:cNvPr>
        <xdr:cNvCxnSpPr/>
      </xdr:nvCxnSpPr>
      <xdr:spPr>
        <a:xfrm>
          <a:off x="3555756" y="6767146"/>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35</xdr:row>
      <xdr:rowOff>80596</xdr:rowOff>
    </xdr:from>
    <xdr:to>
      <xdr:col>3</xdr:col>
      <xdr:colOff>603425</xdr:colOff>
      <xdr:row>35</xdr:row>
      <xdr:rowOff>83819</xdr:rowOff>
    </xdr:to>
    <xdr:cxnSp macro="">
      <xdr:nvCxnSpPr>
        <xdr:cNvPr id="16" name="Conector de Seta Reta 15">
          <a:extLst>
            <a:ext uri="{FF2B5EF4-FFF2-40B4-BE49-F238E27FC236}">
              <a16:creationId xmlns:a16="http://schemas.microsoft.com/office/drawing/2014/main" id="{DDBF562C-8202-4E6A-988D-4A45040E9740}"/>
            </a:ext>
          </a:extLst>
        </xdr:cNvPr>
        <xdr:cNvCxnSpPr/>
      </xdr:nvCxnSpPr>
      <xdr:spPr>
        <a:xfrm>
          <a:off x="3555756" y="6957646"/>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39</xdr:row>
      <xdr:rowOff>80596</xdr:rowOff>
    </xdr:from>
    <xdr:to>
      <xdr:col>3</xdr:col>
      <xdr:colOff>603425</xdr:colOff>
      <xdr:row>39</xdr:row>
      <xdr:rowOff>83819</xdr:rowOff>
    </xdr:to>
    <xdr:cxnSp macro="">
      <xdr:nvCxnSpPr>
        <xdr:cNvPr id="17" name="Conector de Seta Reta 16">
          <a:extLst>
            <a:ext uri="{FF2B5EF4-FFF2-40B4-BE49-F238E27FC236}">
              <a16:creationId xmlns:a16="http://schemas.microsoft.com/office/drawing/2014/main" id="{DC757343-4792-4B6F-AF4E-79D9D8D36D68}"/>
            </a:ext>
          </a:extLst>
        </xdr:cNvPr>
        <xdr:cNvCxnSpPr/>
      </xdr:nvCxnSpPr>
      <xdr:spPr>
        <a:xfrm>
          <a:off x="3555756" y="7719646"/>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48</xdr:row>
      <xdr:rowOff>80596</xdr:rowOff>
    </xdr:from>
    <xdr:to>
      <xdr:col>3</xdr:col>
      <xdr:colOff>603425</xdr:colOff>
      <xdr:row>48</xdr:row>
      <xdr:rowOff>83819</xdr:rowOff>
    </xdr:to>
    <xdr:cxnSp macro="">
      <xdr:nvCxnSpPr>
        <xdr:cNvPr id="18" name="Conector de Seta Reta 17">
          <a:extLst>
            <a:ext uri="{FF2B5EF4-FFF2-40B4-BE49-F238E27FC236}">
              <a16:creationId xmlns:a16="http://schemas.microsoft.com/office/drawing/2014/main" id="{DEE5B361-AFD4-4756-90D5-8EF9DAA2A739}"/>
            </a:ext>
          </a:extLst>
        </xdr:cNvPr>
        <xdr:cNvCxnSpPr/>
      </xdr:nvCxnSpPr>
      <xdr:spPr>
        <a:xfrm>
          <a:off x="3558655" y="7725444"/>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23</xdr:row>
      <xdr:rowOff>80596</xdr:rowOff>
    </xdr:from>
    <xdr:to>
      <xdr:col>3</xdr:col>
      <xdr:colOff>603425</xdr:colOff>
      <xdr:row>23</xdr:row>
      <xdr:rowOff>83819</xdr:rowOff>
    </xdr:to>
    <xdr:cxnSp macro="">
      <xdr:nvCxnSpPr>
        <xdr:cNvPr id="19" name="Conector de Seta Reta 18">
          <a:extLst>
            <a:ext uri="{FF2B5EF4-FFF2-40B4-BE49-F238E27FC236}">
              <a16:creationId xmlns:a16="http://schemas.microsoft.com/office/drawing/2014/main" id="{0D4B3618-E2D6-4440-A036-1728E9C59410}"/>
            </a:ext>
          </a:extLst>
        </xdr:cNvPr>
        <xdr:cNvCxnSpPr/>
      </xdr:nvCxnSpPr>
      <xdr:spPr>
        <a:xfrm>
          <a:off x="3558655" y="4105944"/>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33130</xdr:colOff>
      <xdr:row>48</xdr:row>
      <xdr:rowOff>82826</xdr:rowOff>
    </xdr:from>
    <xdr:to>
      <xdr:col>4</xdr:col>
      <xdr:colOff>865</xdr:colOff>
      <xdr:row>49</xdr:row>
      <xdr:rowOff>83819</xdr:rowOff>
    </xdr:to>
    <xdr:cxnSp macro="">
      <xdr:nvCxnSpPr>
        <xdr:cNvPr id="20" name="Conector de Seta Reta 19">
          <a:extLst>
            <a:ext uri="{FF2B5EF4-FFF2-40B4-BE49-F238E27FC236}">
              <a16:creationId xmlns:a16="http://schemas.microsoft.com/office/drawing/2014/main" id="{48E1DD22-6927-4A5E-8A03-3959AF380E04}"/>
            </a:ext>
          </a:extLst>
        </xdr:cNvPr>
        <xdr:cNvCxnSpPr/>
      </xdr:nvCxnSpPr>
      <xdr:spPr>
        <a:xfrm>
          <a:off x="3569804" y="9442174"/>
          <a:ext cx="332170" cy="19149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15</xdr:row>
      <xdr:rowOff>80596</xdr:rowOff>
    </xdr:from>
    <xdr:to>
      <xdr:col>3</xdr:col>
      <xdr:colOff>603425</xdr:colOff>
      <xdr:row>15</xdr:row>
      <xdr:rowOff>83819</xdr:rowOff>
    </xdr:to>
    <xdr:cxnSp macro="">
      <xdr:nvCxnSpPr>
        <xdr:cNvPr id="6" name="Conector de Seta Reta 5">
          <a:extLst>
            <a:ext uri="{FF2B5EF4-FFF2-40B4-BE49-F238E27FC236}">
              <a16:creationId xmlns:a16="http://schemas.microsoft.com/office/drawing/2014/main" id="{68E04FE0-F1CB-4C0B-A565-78E70C5C6E00}"/>
            </a:ext>
          </a:extLst>
        </xdr:cNvPr>
        <xdr:cNvCxnSpPr/>
      </xdr:nvCxnSpPr>
      <xdr:spPr>
        <a:xfrm>
          <a:off x="3555756" y="3147646"/>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21981</xdr:colOff>
      <xdr:row>15</xdr:row>
      <xdr:rowOff>80596</xdr:rowOff>
    </xdr:from>
    <xdr:to>
      <xdr:col>3</xdr:col>
      <xdr:colOff>603425</xdr:colOff>
      <xdr:row>15</xdr:row>
      <xdr:rowOff>83819</xdr:rowOff>
    </xdr:to>
    <xdr:cxnSp macro="">
      <xdr:nvCxnSpPr>
        <xdr:cNvPr id="2" name="Conector de Seta Reta 1">
          <a:extLst>
            <a:ext uri="{FF2B5EF4-FFF2-40B4-BE49-F238E27FC236}">
              <a16:creationId xmlns:a16="http://schemas.microsoft.com/office/drawing/2014/main" id="{FED7E573-DDE5-4B51-A4C2-828FC539953F}"/>
            </a:ext>
          </a:extLst>
        </xdr:cNvPr>
        <xdr:cNvCxnSpPr/>
      </xdr:nvCxnSpPr>
      <xdr:spPr>
        <a:xfrm>
          <a:off x="3555756" y="3147646"/>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146538</xdr:colOff>
      <xdr:row>0</xdr:row>
      <xdr:rowOff>65944</xdr:rowOff>
    </xdr:from>
    <xdr:to>
      <xdr:col>1</xdr:col>
      <xdr:colOff>681405</xdr:colOff>
      <xdr:row>0</xdr:row>
      <xdr:rowOff>219430</xdr:rowOff>
    </xdr:to>
    <xdr:pic>
      <xdr:nvPicPr>
        <xdr:cNvPr id="3" name="Imagem 2">
          <a:extLst>
            <a:ext uri="{FF2B5EF4-FFF2-40B4-BE49-F238E27FC236}">
              <a16:creationId xmlns:a16="http://schemas.microsoft.com/office/drawing/2014/main" id="{86CC191D-0D78-47DB-AE41-69A3462DB8B8}"/>
            </a:ext>
          </a:extLst>
        </xdr:cNvPr>
        <xdr:cNvPicPr>
          <a:picLocks noChangeAspect="1"/>
        </xdr:cNvPicPr>
      </xdr:nvPicPr>
      <xdr:blipFill>
        <a:blip xmlns:r="http://schemas.openxmlformats.org/officeDocument/2006/relationships" r:embed="rId1" cstate="print">
          <a:duotone>
            <a:schemeClr val="bg2">
              <a:shade val="45000"/>
              <a:satMod val="135000"/>
            </a:schemeClr>
            <a:prstClr val="white"/>
          </a:duotone>
          <a:extLst>
            <a:ext uri="{BEBA8EAE-BF5A-486C-A8C5-ECC9F3942E4B}">
              <a14:imgProps xmlns:a14="http://schemas.microsoft.com/office/drawing/2010/main">
                <a14:imgLayer r:embed="rId2">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146538" y="65944"/>
          <a:ext cx="1087317" cy="153486"/>
        </a:xfrm>
        <a:prstGeom prst="rect">
          <a:avLst/>
        </a:prstGeom>
      </xdr:spPr>
    </xdr:pic>
    <xdr:clientData/>
  </xdr:twoCellAnchor>
  <xdr:twoCellAnchor>
    <xdr:from>
      <xdr:col>3</xdr:col>
      <xdr:colOff>21981</xdr:colOff>
      <xdr:row>18</xdr:row>
      <xdr:rowOff>80596</xdr:rowOff>
    </xdr:from>
    <xdr:to>
      <xdr:col>3</xdr:col>
      <xdr:colOff>603425</xdr:colOff>
      <xdr:row>18</xdr:row>
      <xdr:rowOff>83819</xdr:rowOff>
    </xdr:to>
    <xdr:cxnSp macro="">
      <xdr:nvCxnSpPr>
        <xdr:cNvPr id="4" name="Conector de Seta Reta 3">
          <a:extLst>
            <a:ext uri="{FF2B5EF4-FFF2-40B4-BE49-F238E27FC236}">
              <a16:creationId xmlns:a16="http://schemas.microsoft.com/office/drawing/2014/main" id="{AA0E6FF3-7352-4649-8832-DA4D2791C2BB}"/>
            </a:ext>
          </a:extLst>
        </xdr:cNvPr>
        <xdr:cNvCxnSpPr/>
      </xdr:nvCxnSpPr>
      <xdr:spPr>
        <a:xfrm>
          <a:off x="3555756" y="3719146"/>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19</xdr:row>
      <xdr:rowOff>80596</xdr:rowOff>
    </xdr:from>
    <xdr:to>
      <xdr:col>3</xdr:col>
      <xdr:colOff>603425</xdr:colOff>
      <xdr:row>19</xdr:row>
      <xdr:rowOff>83819</xdr:rowOff>
    </xdr:to>
    <xdr:cxnSp macro="">
      <xdr:nvCxnSpPr>
        <xdr:cNvPr id="5" name="Conector de Seta Reta 4">
          <a:extLst>
            <a:ext uri="{FF2B5EF4-FFF2-40B4-BE49-F238E27FC236}">
              <a16:creationId xmlns:a16="http://schemas.microsoft.com/office/drawing/2014/main" id="{CDF68588-C9A2-4752-BD2D-E5E7CF464EC8}"/>
            </a:ext>
          </a:extLst>
        </xdr:cNvPr>
        <xdr:cNvCxnSpPr/>
      </xdr:nvCxnSpPr>
      <xdr:spPr>
        <a:xfrm>
          <a:off x="3555756" y="3909646"/>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24</xdr:row>
      <xdr:rowOff>80596</xdr:rowOff>
    </xdr:from>
    <xdr:to>
      <xdr:col>3</xdr:col>
      <xdr:colOff>603425</xdr:colOff>
      <xdr:row>24</xdr:row>
      <xdr:rowOff>83819</xdr:rowOff>
    </xdr:to>
    <xdr:cxnSp macro="">
      <xdr:nvCxnSpPr>
        <xdr:cNvPr id="6" name="Conector de Seta Reta 5">
          <a:extLst>
            <a:ext uri="{FF2B5EF4-FFF2-40B4-BE49-F238E27FC236}">
              <a16:creationId xmlns:a16="http://schemas.microsoft.com/office/drawing/2014/main" id="{C24F7018-3785-48BA-AD71-F590C9DEF2DF}"/>
            </a:ext>
          </a:extLst>
        </xdr:cNvPr>
        <xdr:cNvCxnSpPr/>
      </xdr:nvCxnSpPr>
      <xdr:spPr>
        <a:xfrm>
          <a:off x="3555756" y="4862146"/>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25</xdr:row>
      <xdr:rowOff>80596</xdr:rowOff>
    </xdr:from>
    <xdr:to>
      <xdr:col>3</xdr:col>
      <xdr:colOff>603425</xdr:colOff>
      <xdr:row>25</xdr:row>
      <xdr:rowOff>83819</xdr:rowOff>
    </xdr:to>
    <xdr:cxnSp macro="">
      <xdr:nvCxnSpPr>
        <xdr:cNvPr id="7" name="Conector de Seta Reta 6">
          <a:extLst>
            <a:ext uri="{FF2B5EF4-FFF2-40B4-BE49-F238E27FC236}">
              <a16:creationId xmlns:a16="http://schemas.microsoft.com/office/drawing/2014/main" id="{8C6CB9B9-4C50-49D2-949C-8E4F13F70FA8}"/>
            </a:ext>
          </a:extLst>
        </xdr:cNvPr>
        <xdr:cNvCxnSpPr/>
      </xdr:nvCxnSpPr>
      <xdr:spPr>
        <a:xfrm>
          <a:off x="3555756" y="5052646"/>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27</xdr:row>
      <xdr:rowOff>80596</xdr:rowOff>
    </xdr:from>
    <xdr:to>
      <xdr:col>3</xdr:col>
      <xdr:colOff>603425</xdr:colOff>
      <xdr:row>27</xdr:row>
      <xdr:rowOff>83819</xdr:rowOff>
    </xdr:to>
    <xdr:cxnSp macro="">
      <xdr:nvCxnSpPr>
        <xdr:cNvPr id="8" name="Conector de Seta Reta 7">
          <a:extLst>
            <a:ext uri="{FF2B5EF4-FFF2-40B4-BE49-F238E27FC236}">
              <a16:creationId xmlns:a16="http://schemas.microsoft.com/office/drawing/2014/main" id="{B2D5E979-140B-4CA1-BCA7-5BB1F424B4AC}"/>
            </a:ext>
          </a:extLst>
        </xdr:cNvPr>
        <xdr:cNvCxnSpPr/>
      </xdr:nvCxnSpPr>
      <xdr:spPr>
        <a:xfrm>
          <a:off x="3555756" y="5433646"/>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28</xdr:row>
      <xdr:rowOff>80596</xdr:rowOff>
    </xdr:from>
    <xdr:to>
      <xdr:col>3</xdr:col>
      <xdr:colOff>603425</xdr:colOff>
      <xdr:row>28</xdr:row>
      <xdr:rowOff>83819</xdr:rowOff>
    </xdr:to>
    <xdr:cxnSp macro="">
      <xdr:nvCxnSpPr>
        <xdr:cNvPr id="9" name="Conector de Seta Reta 8">
          <a:extLst>
            <a:ext uri="{FF2B5EF4-FFF2-40B4-BE49-F238E27FC236}">
              <a16:creationId xmlns:a16="http://schemas.microsoft.com/office/drawing/2014/main" id="{A1A9570F-F41B-49D3-A159-48758A7FF95C}"/>
            </a:ext>
          </a:extLst>
        </xdr:cNvPr>
        <xdr:cNvCxnSpPr/>
      </xdr:nvCxnSpPr>
      <xdr:spPr>
        <a:xfrm>
          <a:off x="3555756" y="5624146"/>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30</xdr:row>
      <xdr:rowOff>80596</xdr:rowOff>
    </xdr:from>
    <xdr:to>
      <xdr:col>3</xdr:col>
      <xdr:colOff>603425</xdr:colOff>
      <xdr:row>30</xdr:row>
      <xdr:rowOff>83819</xdr:rowOff>
    </xdr:to>
    <xdr:cxnSp macro="">
      <xdr:nvCxnSpPr>
        <xdr:cNvPr id="10" name="Conector de Seta Reta 9">
          <a:extLst>
            <a:ext uri="{FF2B5EF4-FFF2-40B4-BE49-F238E27FC236}">
              <a16:creationId xmlns:a16="http://schemas.microsoft.com/office/drawing/2014/main" id="{B2B8BF10-799C-4804-A1F0-95286B33CC2C}"/>
            </a:ext>
          </a:extLst>
        </xdr:cNvPr>
        <xdr:cNvCxnSpPr/>
      </xdr:nvCxnSpPr>
      <xdr:spPr>
        <a:xfrm>
          <a:off x="3555756" y="6005146"/>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31</xdr:row>
      <xdr:rowOff>80596</xdr:rowOff>
    </xdr:from>
    <xdr:to>
      <xdr:col>3</xdr:col>
      <xdr:colOff>603425</xdr:colOff>
      <xdr:row>31</xdr:row>
      <xdr:rowOff>83819</xdr:rowOff>
    </xdr:to>
    <xdr:cxnSp macro="">
      <xdr:nvCxnSpPr>
        <xdr:cNvPr id="11" name="Conector de Seta Reta 10">
          <a:extLst>
            <a:ext uri="{FF2B5EF4-FFF2-40B4-BE49-F238E27FC236}">
              <a16:creationId xmlns:a16="http://schemas.microsoft.com/office/drawing/2014/main" id="{A79155DC-BDE7-43EA-B14C-94DB26BD424C}"/>
            </a:ext>
          </a:extLst>
        </xdr:cNvPr>
        <xdr:cNvCxnSpPr/>
      </xdr:nvCxnSpPr>
      <xdr:spPr>
        <a:xfrm>
          <a:off x="3555756" y="6195646"/>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32</xdr:row>
      <xdr:rowOff>80596</xdr:rowOff>
    </xdr:from>
    <xdr:to>
      <xdr:col>3</xdr:col>
      <xdr:colOff>603425</xdr:colOff>
      <xdr:row>32</xdr:row>
      <xdr:rowOff>83819</xdr:rowOff>
    </xdr:to>
    <xdr:cxnSp macro="">
      <xdr:nvCxnSpPr>
        <xdr:cNvPr id="12" name="Conector de Seta Reta 11">
          <a:extLst>
            <a:ext uri="{FF2B5EF4-FFF2-40B4-BE49-F238E27FC236}">
              <a16:creationId xmlns:a16="http://schemas.microsoft.com/office/drawing/2014/main" id="{9EAFA3E4-28DF-484F-B313-D4E23E74A66D}"/>
            </a:ext>
          </a:extLst>
        </xdr:cNvPr>
        <xdr:cNvCxnSpPr/>
      </xdr:nvCxnSpPr>
      <xdr:spPr>
        <a:xfrm>
          <a:off x="3555756" y="6386146"/>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33</xdr:row>
      <xdr:rowOff>80596</xdr:rowOff>
    </xdr:from>
    <xdr:to>
      <xdr:col>3</xdr:col>
      <xdr:colOff>603425</xdr:colOff>
      <xdr:row>33</xdr:row>
      <xdr:rowOff>83819</xdr:rowOff>
    </xdr:to>
    <xdr:cxnSp macro="">
      <xdr:nvCxnSpPr>
        <xdr:cNvPr id="13" name="Conector de Seta Reta 12">
          <a:extLst>
            <a:ext uri="{FF2B5EF4-FFF2-40B4-BE49-F238E27FC236}">
              <a16:creationId xmlns:a16="http://schemas.microsoft.com/office/drawing/2014/main" id="{E11F1BBE-0F5E-49DC-91AA-22B637619700}"/>
            </a:ext>
          </a:extLst>
        </xdr:cNvPr>
        <xdr:cNvCxnSpPr/>
      </xdr:nvCxnSpPr>
      <xdr:spPr>
        <a:xfrm>
          <a:off x="3555756" y="6576646"/>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34</xdr:row>
      <xdr:rowOff>80596</xdr:rowOff>
    </xdr:from>
    <xdr:to>
      <xdr:col>3</xdr:col>
      <xdr:colOff>603425</xdr:colOff>
      <xdr:row>34</xdr:row>
      <xdr:rowOff>83819</xdr:rowOff>
    </xdr:to>
    <xdr:cxnSp macro="">
      <xdr:nvCxnSpPr>
        <xdr:cNvPr id="14" name="Conector de Seta Reta 13">
          <a:extLst>
            <a:ext uri="{FF2B5EF4-FFF2-40B4-BE49-F238E27FC236}">
              <a16:creationId xmlns:a16="http://schemas.microsoft.com/office/drawing/2014/main" id="{562D4567-CA3D-4812-8E3E-243634F1CEF4}"/>
            </a:ext>
          </a:extLst>
        </xdr:cNvPr>
        <xdr:cNvCxnSpPr/>
      </xdr:nvCxnSpPr>
      <xdr:spPr>
        <a:xfrm>
          <a:off x="3555756" y="6767146"/>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35</xdr:row>
      <xdr:rowOff>80596</xdr:rowOff>
    </xdr:from>
    <xdr:to>
      <xdr:col>3</xdr:col>
      <xdr:colOff>603425</xdr:colOff>
      <xdr:row>35</xdr:row>
      <xdr:rowOff>83819</xdr:rowOff>
    </xdr:to>
    <xdr:cxnSp macro="">
      <xdr:nvCxnSpPr>
        <xdr:cNvPr id="15" name="Conector de Seta Reta 14">
          <a:extLst>
            <a:ext uri="{FF2B5EF4-FFF2-40B4-BE49-F238E27FC236}">
              <a16:creationId xmlns:a16="http://schemas.microsoft.com/office/drawing/2014/main" id="{18B3B78C-F14B-49B7-9864-ADA59F33CF19}"/>
            </a:ext>
          </a:extLst>
        </xdr:cNvPr>
        <xdr:cNvCxnSpPr/>
      </xdr:nvCxnSpPr>
      <xdr:spPr>
        <a:xfrm>
          <a:off x="3555756" y="6957646"/>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39</xdr:row>
      <xdr:rowOff>80596</xdr:rowOff>
    </xdr:from>
    <xdr:to>
      <xdr:col>3</xdr:col>
      <xdr:colOff>603425</xdr:colOff>
      <xdr:row>39</xdr:row>
      <xdr:rowOff>83819</xdr:rowOff>
    </xdr:to>
    <xdr:cxnSp macro="">
      <xdr:nvCxnSpPr>
        <xdr:cNvPr id="16" name="Conector de Seta Reta 15">
          <a:extLst>
            <a:ext uri="{FF2B5EF4-FFF2-40B4-BE49-F238E27FC236}">
              <a16:creationId xmlns:a16="http://schemas.microsoft.com/office/drawing/2014/main" id="{24006819-0D1F-4029-A8A9-0C7A2228BEB3}"/>
            </a:ext>
          </a:extLst>
        </xdr:cNvPr>
        <xdr:cNvCxnSpPr/>
      </xdr:nvCxnSpPr>
      <xdr:spPr>
        <a:xfrm>
          <a:off x="3555756" y="7719646"/>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48</xdr:row>
      <xdr:rowOff>80596</xdr:rowOff>
    </xdr:from>
    <xdr:to>
      <xdr:col>3</xdr:col>
      <xdr:colOff>603425</xdr:colOff>
      <xdr:row>48</xdr:row>
      <xdr:rowOff>83819</xdr:rowOff>
    </xdr:to>
    <xdr:cxnSp macro="">
      <xdr:nvCxnSpPr>
        <xdr:cNvPr id="17" name="Conector de Seta Reta 16">
          <a:extLst>
            <a:ext uri="{FF2B5EF4-FFF2-40B4-BE49-F238E27FC236}">
              <a16:creationId xmlns:a16="http://schemas.microsoft.com/office/drawing/2014/main" id="{EB4C4689-260A-4D45-ADF0-8368479FFFFA}"/>
            </a:ext>
          </a:extLst>
        </xdr:cNvPr>
        <xdr:cNvCxnSpPr/>
      </xdr:nvCxnSpPr>
      <xdr:spPr>
        <a:xfrm>
          <a:off x="3555756" y="9434146"/>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23</xdr:row>
      <xdr:rowOff>80596</xdr:rowOff>
    </xdr:from>
    <xdr:to>
      <xdr:col>3</xdr:col>
      <xdr:colOff>603425</xdr:colOff>
      <xdr:row>23</xdr:row>
      <xdr:rowOff>83819</xdr:rowOff>
    </xdr:to>
    <xdr:cxnSp macro="">
      <xdr:nvCxnSpPr>
        <xdr:cNvPr id="18" name="Conector de Seta Reta 17">
          <a:extLst>
            <a:ext uri="{FF2B5EF4-FFF2-40B4-BE49-F238E27FC236}">
              <a16:creationId xmlns:a16="http://schemas.microsoft.com/office/drawing/2014/main" id="{2404F352-DD17-4964-A55A-D41CFDD0042A}"/>
            </a:ext>
          </a:extLst>
        </xdr:cNvPr>
        <xdr:cNvCxnSpPr/>
      </xdr:nvCxnSpPr>
      <xdr:spPr>
        <a:xfrm>
          <a:off x="3555756" y="4671646"/>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33130</xdr:colOff>
      <xdr:row>48</xdr:row>
      <xdr:rowOff>82826</xdr:rowOff>
    </xdr:from>
    <xdr:to>
      <xdr:col>4</xdr:col>
      <xdr:colOff>865</xdr:colOff>
      <xdr:row>49</xdr:row>
      <xdr:rowOff>83819</xdr:rowOff>
    </xdr:to>
    <xdr:cxnSp macro="">
      <xdr:nvCxnSpPr>
        <xdr:cNvPr id="19" name="Conector de Seta Reta 18">
          <a:extLst>
            <a:ext uri="{FF2B5EF4-FFF2-40B4-BE49-F238E27FC236}">
              <a16:creationId xmlns:a16="http://schemas.microsoft.com/office/drawing/2014/main" id="{780AAAB2-C8CA-4B8B-9F4B-9EBE10139785}"/>
            </a:ext>
          </a:extLst>
        </xdr:cNvPr>
        <xdr:cNvCxnSpPr/>
      </xdr:nvCxnSpPr>
      <xdr:spPr>
        <a:xfrm>
          <a:off x="3566905" y="9436376"/>
          <a:ext cx="329685" cy="19149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21981</xdr:colOff>
      <xdr:row>15</xdr:row>
      <xdr:rowOff>80596</xdr:rowOff>
    </xdr:from>
    <xdr:to>
      <xdr:col>3</xdr:col>
      <xdr:colOff>603425</xdr:colOff>
      <xdr:row>15</xdr:row>
      <xdr:rowOff>83819</xdr:rowOff>
    </xdr:to>
    <xdr:cxnSp macro="">
      <xdr:nvCxnSpPr>
        <xdr:cNvPr id="20" name="Conector de Seta Reta 19">
          <a:extLst>
            <a:ext uri="{FF2B5EF4-FFF2-40B4-BE49-F238E27FC236}">
              <a16:creationId xmlns:a16="http://schemas.microsoft.com/office/drawing/2014/main" id="{C5CA09DA-93AE-451D-ABE3-8E1A4F2B6EF9}"/>
            </a:ext>
          </a:extLst>
        </xdr:cNvPr>
        <xdr:cNvCxnSpPr/>
      </xdr:nvCxnSpPr>
      <xdr:spPr>
        <a:xfrm>
          <a:off x="3555756" y="3147646"/>
          <a:ext cx="343319" cy="3223"/>
        </a:xfrm>
        <a:prstGeom prst="straightConnector1">
          <a:avLst/>
        </a:prstGeom>
        <a:ln>
          <a:solidFill>
            <a:srgbClr val="1F4B3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140803</xdr:colOff>
      <xdr:row>0</xdr:row>
      <xdr:rowOff>107675</xdr:rowOff>
    </xdr:from>
    <xdr:to>
      <xdr:col>1</xdr:col>
      <xdr:colOff>410627</xdr:colOff>
      <xdr:row>0</xdr:row>
      <xdr:rowOff>261161</xdr:rowOff>
    </xdr:to>
    <xdr:pic>
      <xdr:nvPicPr>
        <xdr:cNvPr id="2" name="Imagem 1">
          <a:extLst>
            <a:ext uri="{FF2B5EF4-FFF2-40B4-BE49-F238E27FC236}">
              <a16:creationId xmlns:a16="http://schemas.microsoft.com/office/drawing/2014/main" id="{263D5893-1E01-431E-9734-A7388BCA1DD2}"/>
            </a:ext>
          </a:extLst>
        </xdr:cNvPr>
        <xdr:cNvPicPr>
          <a:picLocks noChangeAspect="1"/>
        </xdr:cNvPicPr>
      </xdr:nvPicPr>
      <xdr:blipFill>
        <a:blip xmlns:r="http://schemas.openxmlformats.org/officeDocument/2006/relationships" r:embed="rId1" cstate="print">
          <a:duotone>
            <a:schemeClr val="bg2">
              <a:shade val="45000"/>
              <a:satMod val="135000"/>
            </a:schemeClr>
            <a:prstClr val="white"/>
          </a:duotone>
          <a:extLst>
            <a:ext uri="{BEBA8EAE-BF5A-486C-A8C5-ECC9F3942E4B}">
              <a14:imgProps xmlns:a14="http://schemas.microsoft.com/office/drawing/2010/main">
                <a14:imgLayer r:embed="rId2">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140803" y="107675"/>
          <a:ext cx="1088974" cy="153486"/>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F0B66-11D1-42DF-96A3-8720C2425296}">
  <sheetPr codeName="Planilha4"/>
  <dimension ref="A1:XFC41"/>
  <sheetViews>
    <sheetView showGridLines="0" tabSelected="1" zoomScale="130" zoomScaleNormal="130" workbookViewId="0">
      <selection activeCell="D12" sqref="D12"/>
    </sheetView>
  </sheetViews>
  <sheetFormatPr defaultColWidth="0" defaultRowHeight="15" zeroHeight="1" x14ac:dyDescent="0.25"/>
  <cols>
    <col min="1" max="1" width="10.7109375" customWidth="1"/>
    <col min="2" max="8" width="10.7109375" style="1" customWidth="1"/>
    <col min="9" max="9" width="9.140625" hidden="1"/>
    <col min="10" max="20" width="9.140625" style="1" hidden="1"/>
    <col min="21" max="16383" width="9.140625" hidden="1"/>
    <col min="16384" max="16384" width="4.28515625" hidden="1"/>
  </cols>
  <sheetData>
    <row r="1" spans="1:20" ht="25.5" customHeight="1" x14ac:dyDescent="0.25">
      <c r="A1" s="518" t="s">
        <v>136</v>
      </c>
      <c r="B1" s="518"/>
      <c r="C1" s="518"/>
      <c r="D1" s="518"/>
      <c r="E1" s="518"/>
      <c r="F1" s="518"/>
      <c r="G1" s="518"/>
      <c r="H1" s="518"/>
    </row>
    <row r="2" spans="1:20" x14ac:dyDescent="0.25">
      <c r="A2" s="206" t="s">
        <v>135</v>
      </c>
      <c r="B2" s="207"/>
      <c r="C2" s="207"/>
      <c r="D2" s="207"/>
      <c r="E2" s="207"/>
      <c r="F2" s="207"/>
      <c r="G2" s="207"/>
    </row>
    <row r="3" spans="1:20" x14ac:dyDescent="0.25">
      <c r="A3" s="206" t="s">
        <v>134</v>
      </c>
      <c r="B3" s="207"/>
      <c r="C3" s="207"/>
      <c r="D3" s="207"/>
      <c r="E3" s="207"/>
      <c r="F3" s="207"/>
      <c r="G3" s="207"/>
    </row>
    <row r="4" spans="1:20" x14ac:dyDescent="0.25">
      <c r="A4" s="206" t="s">
        <v>133</v>
      </c>
      <c r="B4" s="207"/>
      <c r="C4" s="207"/>
      <c r="D4" s="207"/>
      <c r="E4" s="207"/>
      <c r="F4" s="207"/>
      <c r="G4" s="207"/>
    </row>
    <row r="5" spans="1:20" x14ac:dyDescent="0.25">
      <c r="A5" s="206" t="s">
        <v>132</v>
      </c>
      <c r="B5" s="207"/>
      <c r="C5" s="207"/>
      <c r="D5" s="207"/>
      <c r="E5" s="207"/>
      <c r="F5" s="207"/>
      <c r="G5" s="207"/>
    </row>
    <row r="6" spans="1:20" x14ac:dyDescent="0.25">
      <c r="A6" s="206"/>
      <c r="B6" s="207"/>
      <c r="C6" s="207"/>
      <c r="D6" s="207"/>
      <c r="E6" s="207"/>
      <c r="F6" s="207"/>
      <c r="G6" s="207"/>
    </row>
    <row r="7" spans="1:20" ht="15.75" thickBot="1" x14ac:dyDescent="0.3">
      <c r="A7" s="208" t="s">
        <v>131</v>
      </c>
      <c r="B7" s="208" t="s">
        <v>130</v>
      </c>
      <c r="C7" s="208" t="s">
        <v>129</v>
      </c>
      <c r="D7" s="208" t="s">
        <v>128</v>
      </c>
      <c r="E7" s="209"/>
      <c r="F7" s="520" t="s">
        <v>127</v>
      </c>
      <c r="G7" s="520"/>
      <c r="H7" s="520"/>
    </row>
    <row r="8" spans="1:20" ht="15.75" thickTop="1" x14ac:dyDescent="0.25">
      <c r="A8" s="210" t="s">
        <v>126</v>
      </c>
      <c r="B8" s="64"/>
      <c r="C8" s="64"/>
      <c r="D8" s="64"/>
      <c r="E8" s="211" t="s">
        <v>114</v>
      </c>
      <c r="F8" s="212" t="str">
        <f>IF(D8="","",IF(Q8=30,"Chuva",IF(Q8=0,"Seca",IF(Q8=20,"Chuva -1",IF(Q8=10,"Transição",0)))))</f>
        <v/>
      </c>
      <c r="G8" s="213" t="str">
        <f>IF(OR(B8="",C8=""),"",IF(S8=1,"Verão",IF(S8=0,"Inverno",IF(S8=0.5,"Transição",IF(S8=0.75,"Transição",0)))))</f>
        <v/>
      </c>
      <c r="H8" s="214" t="str">
        <f>IF(OR(F8="",G8=""),"",IF(AND(G8="Verão",F8="Chuva"),"Ok","Cuidado"))</f>
        <v/>
      </c>
      <c r="Q8" s="215" t="str">
        <f>IF(D8="","",IF(D8&gt;=150,30,IF(AND(D8&gt;=120,D8&lt;150),20,IF(AND(D8&gt;=60,D8&lt;120),10,0))))</f>
        <v/>
      </c>
      <c r="R8" s="1" t="str">
        <f>IF(OR(B8="",C8=""),"",AVERAGE(B8:C8))</f>
        <v/>
      </c>
      <c r="S8" s="1" t="str">
        <f>IF(R8="","",IF(AND(R8&lt;=19,R8&gt;=17),0.5,IF(R8&lt;16,0,IF(AND(R8&gt;19,R8&lt;20),0.75,IF(R8&gt;19,1,0)))))</f>
        <v/>
      </c>
      <c r="T8" s="1" t="str">
        <f>IF(S8="","", S8*Q8)</f>
        <v/>
      </c>
    </row>
    <row r="9" spans="1:20" x14ac:dyDescent="0.25">
      <c r="A9" s="210" t="s">
        <v>125</v>
      </c>
      <c r="B9" s="64"/>
      <c r="C9" s="64"/>
      <c r="D9" s="64"/>
      <c r="E9" s="211" t="s">
        <v>114</v>
      </c>
      <c r="F9" s="216" t="str">
        <f t="shared" ref="F9:F19" si="0">IF(D9="","",IF(Q9=30,"Chuva",IF(Q9=0,"Seca",IF(Q9=20,"Chuva -1",IF(Q9=10,"Transição",0)))))</f>
        <v/>
      </c>
      <c r="G9" s="217" t="str">
        <f t="shared" ref="G9:G19" si="1">IF(OR(B9="",C9=""),"",IF(S9=1,"Verão",IF(S9=0,"Inverno",IF(S9=0.5,"Transição",IF(S9=0.75,"Transição",0)))))</f>
        <v/>
      </c>
      <c r="H9" s="218" t="str">
        <f t="shared" ref="H9:H19" si="2">IF(OR(F9="",G9=""),"",IF(AND(G9="Verão",F9="Chuva"),"Ok","Cuidado"))</f>
        <v/>
      </c>
      <c r="Q9" s="215" t="str">
        <f t="shared" ref="Q9:Q19" si="3">IF(D9="","",IF(D9&gt;=150,30,IF(AND(D9&gt;=120,D9&lt;150),20,IF(AND(D9&gt;=60,D9&lt;120),10,0))))</f>
        <v/>
      </c>
      <c r="R9" s="1" t="str">
        <f t="shared" ref="R9:R19" si="4">IF(OR(B9="",C9=""),"",AVERAGE(B9:C9))</f>
        <v/>
      </c>
      <c r="S9" s="1" t="str">
        <f t="shared" ref="S9:S19" si="5">IF(R9="","",IF(AND(R9&lt;=19,R9&gt;=17),0.5,IF(R9&lt;16,0,IF(AND(R9&gt;19,R9&lt;20),0.75,IF(R9&gt;19,1,0)))))</f>
        <v/>
      </c>
      <c r="T9" s="1" t="str">
        <f t="shared" ref="T9:T19" si="6">IF(S9="","", S9*Q9)</f>
        <v/>
      </c>
    </row>
    <row r="10" spans="1:20" x14ac:dyDescent="0.25">
      <c r="A10" s="210" t="s">
        <v>124</v>
      </c>
      <c r="B10" s="64"/>
      <c r="C10" s="64"/>
      <c r="D10" s="64"/>
      <c r="E10" s="211" t="s">
        <v>114</v>
      </c>
      <c r="F10" s="216" t="str">
        <f t="shared" si="0"/>
        <v/>
      </c>
      <c r="G10" s="217" t="str">
        <f t="shared" si="1"/>
        <v/>
      </c>
      <c r="H10" s="218" t="str">
        <f t="shared" si="2"/>
        <v/>
      </c>
      <c r="Q10" s="215" t="str">
        <f t="shared" si="3"/>
        <v/>
      </c>
      <c r="R10" s="1" t="str">
        <f t="shared" si="4"/>
        <v/>
      </c>
      <c r="S10" s="1" t="str">
        <f t="shared" si="5"/>
        <v/>
      </c>
      <c r="T10" s="1" t="str">
        <f t="shared" si="6"/>
        <v/>
      </c>
    </row>
    <row r="11" spans="1:20" x14ac:dyDescent="0.25">
      <c r="A11" s="210" t="s">
        <v>123</v>
      </c>
      <c r="B11" s="64"/>
      <c r="C11" s="64"/>
      <c r="D11" s="64"/>
      <c r="E11" s="211" t="s">
        <v>114</v>
      </c>
      <c r="F11" s="216" t="str">
        <f t="shared" si="0"/>
        <v/>
      </c>
      <c r="G11" s="217" t="str">
        <f t="shared" si="1"/>
        <v/>
      </c>
      <c r="H11" s="218" t="str">
        <f t="shared" si="2"/>
        <v/>
      </c>
      <c r="Q11" s="215" t="str">
        <f t="shared" si="3"/>
        <v/>
      </c>
      <c r="R11" s="1" t="str">
        <f t="shared" si="4"/>
        <v/>
      </c>
      <c r="S11" s="1" t="str">
        <f t="shared" si="5"/>
        <v/>
      </c>
      <c r="T11" s="1" t="str">
        <f t="shared" si="6"/>
        <v/>
      </c>
    </row>
    <row r="12" spans="1:20" x14ac:dyDescent="0.25">
      <c r="A12" s="210" t="s">
        <v>122</v>
      </c>
      <c r="B12" s="64"/>
      <c r="C12" s="64"/>
      <c r="D12" s="64"/>
      <c r="E12" s="211" t="s">
        <v>114</v>
      </c>
      <c r="F12" s="216" t="str">
        <f t="shared" si="0"/>
        <v/>
      </c>
      <c r="G12" s="217" t="str">
        <f>IF(OR(B12="",C12=""),"",IF(S12=1,"Verão",IF(S12=0,"Inverno",IF(S12=0.5,"Transição",IF(S12=0.75,"Transição",0)))))</f>
        <v/>
      </c>
      <c r="H12" s="218" t="str">
        <f t="shared" si="2"/>
        <v/>
      </c>
      <c r="Q12" s="215" t="str">
        <f t="shared" si="3"/>
        <v/>
      </c>
      <c r="R12" s="1" t="str">
        <f>IF(OR(B12="",C12=""),"",AVERAGE(B12:C12))</f>
        <v/>
      </c>
      <c r="S12" s="1" t="str">
        <f t="shared" si="5"/>
        <v/>
      </c>
      <c r="T12" s="1" t="str">
        <f t="shared" si="6"/>
        <v/>
      </c>
    </row>
    <row r="13" spans="1:20" x14ac:dyDescent="0.25">
      <c r="A13" s="210" t="s">
        <v>121</v>
      </c>
      <c r="B13" s="64"/>
      <c r="C13" s="64"/>
      <c r="D13" s="64"/>
      <c r="E13" s="211" t="s">
        <v>114</v>
      </c>
      <c r="F13" s="216" t="str">
        <f t="shared" si="0"/>
        <v/>
      </c>
      <c r="G13" s="217" t="str">
        <f>IF(OR(B13="",C13=""),"",IF(S13=1,"Verão",IF(S13=0,"Inverno",IF(S13=0.5,"Transição",IF(S13=0.75,"Transição",0)))))</f>
        <v/>
      </c>
      <c r="H13" s="218" t="str">
        <f t="shared" si="2"/>
        <v/>
      </c>
      <c r="Q13" s="215" t="str">
        <f t="shared" si="3"/>
        <v/>
      </c>
      <c r="R13" s="1" t="str">
        <f>IF(OR(B13="",C13=""),"",AVERAGE(B13:C13))</f>
        <v/>
      </c>
      <c r="S13" s="1" t="str">
        <f t="shared" si="5"/>
        <v/>
      </c>
      <c r="T13" s="1" t="str">
        <f t="shared" si="6"/>
        <v/>
      </c>
    </row>
    <row r="14" spans="1:20" x14ac:dyDescent="0.25">
      <c r="A14" s="210" t="s">
        <v>120</v>
      </c>
      <c r="B14" s="64"/>
      <c r="C14" s="64"/>
      <c r="D14" s="64"/>
      <c r="E14" s="211" t="s">
        <v>114</v>
      </c>
      <c r="F14" s="216" t="str">
        <f t="shared" si="0"/>
        <v/>
      </c>
      <c r="G14" s="217" t="str">
        <f t="shared" si="1"/>
        <v/>
      </c>
      <c r="H14" s="218" t="str">
        <f t="shared" si="2"/>
        <v/>
      </c>
      <c r="Q14" s="215" t="str">
        <f t="shared" si="3"/>
        <v/>
      </c>
      <c r="R14" s="1" t="str">
        <f t="shared" si="4"/>
        <v/>
      </c>
      <c r="S14" s="1" t="str">
        <f t="shared" si="5"/>
        <v/>
      </c>
      <c r="T14" s="1" t="str">
        <f t="shared" si="6"/>
        <v/>
      </c>
    </row>
    <row r="15" spans="1:20" x14ac:dyDescent="0.25">
      <c r="A15" s="210" t="s">
        <v>119</v>
      </c>
      <c r="B15" s="64"/>
      <c r="C15" s="64"/>
      <c r="D15" s="64"/>
      <c r="E15" s="211" t="s">
        <v>114</v>
      </c>
      <c r="F15" s="216" t="str">
        <f t="shared" si="0"/>
        <v/>
      </c>
      <c r="G15" s="217" t="str">
        <f t="shared" si="1"/>
        <v/>
      </c>
      <c r="H15" s="218" t="str">
        <f t="shared" si="2"/>
        <v/>
      </c>
      <c r="Q15" s="215" t="str">
        <f t="shared" si="3"/>
        <v/>
      </c>
      <c r="R15" s="1" t="str">
        <f t="shared" si="4"/>
        <v/>
      </c>
      <c r="S15" s="1" t="str">
        <f t="shared" si="5"/>
        <v/>
      </c>
      <c r="T15" s="1" t="str">
        <f t="shared" si="6"/>
        <v/>
      </c>
    </row>
    <row r="16" spans="1:20" x14ac:dyDescent="0.25">
      <c r="A16" s="210" t="s">
        <v>118</v>
      </c>
      <c r="B16" s="64"/>
      <c r="C16" s="64"/>
      <c r="D16" s="64"/>
      <c r="E16" s="211" t="s">
        <v>114</v>
      </c>
      <c r="F16" s="216" t="str">
        <f t="shared" si="0"/>
        <v/>
      </c>
      <c r="G16" s="217" t="str">
        <f t="shared" si="1"/>
        <v/>
      </c>
      <c r="H16" s="218" t="str">
        <f t="shared" si="2"/>
        <v/>
      </c>
      <c r="Q16" s="215" t="str">
        <f t="shared" si="3"/>
        <v/>
      </c>
      <c r="R16" s="1" t="str">
        <f t="shared" si="4"/>
        <v/>
      </c>
      <c r="S16" s="1" t="str">
        <f t="shared" si="5"/>
        <v/>
      </c>
      <c r="T16" s="1" t="str">
        <f t="shared" si="6"/>
        <v/>
      </c>
    </row>
    <row r="17" spans="1:20" x14ac:dyDescent="0.25">
      <c r="A17" s="210" t="s">
        <v>117</v>
      </c>
      <c r="B17" s="64"/>
      <c r="C17" s="64"/>
      <c r="D17" s="64"/>
      <c r="E17" s="211" t="s">
        <v>114</v>
      </c>
      <c r="F17" s="216" t="str">
        <f t="shared" si="0"/>
        <v/>
      </c>
      <c r="G17" s="217" t="str">
        <f t="shared" si="1"/>
        <v/>
      </c>
      <c r="H17" s="218" t="str">
        <f t="shared" si="2"/>
        <v/>
      </c>
      <c r="Q17" s="215" t="str">
        <f t="shared" si="3"/>
        <v/>
      </c>
      <c r="R17" s="1" t="str">
        <f t="shared" si="4"/>
        <v/>
      </c>
      <c r="S17" s="1" t="str">
        <f t="shared" si="5"/>
        <v/>
      </c>
      <c r="T17" s="1" t="str">
        <f t="shared" si="6"/>
        <v/>
      </c>
    </row>
    <row r="18" spans="1:20" x14ac:dyDescent="0.25">
      <c r="A18" s="210" t="s">
        <v>116</v>
      </c>
      <c r="B18" s="64"/>
      <c r="C18" s="64"/>
      <c r="D18" s="64"/>
      <c r="E18" s="211" t="s">
        <v>114</v>
      </c>
      <c r="F18" s="216" t="str">
        <f t="shared" si="0"/>
        <v/>
      </c>
      <c r="G18" s="217" t="str">
        <f t="shared" si="1"/>
        <v/>
      </c>
      <c r="H18" s="218" t="str">
        <f t="shared" si="2"/>
        <v/>
      </c>
      <c r="Q18" s="215" t="str">
        <f t="shared" si="3"/>
        <v/>
      </c>
      <c r="R18" s="1" t="str">
        <f t="shared" si="4"/>
        <v/>
      </c>
      <c r="S18" s="1" t="str">
        <f t="shared" si="5"/>
        <v/>
      </c>
      <c r="T18" s="1" t="str">
        <f t="shared" si="6"/>
        <v/>
      </c>
    </row>
    <row r="19" spans="1:20" ht="15.75" thickBot="1" x14ac:dyDescent="0.3">
      <c r="A19" s="219" t="s">
        <v>115</v>
      </c>
      <c r="B19" s="65"/>
      <c r="C19" s="65"/>
      <c r="D19" s="65"/>
      <c r="E19" s="211" t="s">
        <v>114</v>
      </c>
      <c r="F19" s="220" t="str">
        <f t="shared" si="0"/>
        <v/>
      </c>
      <c r="G19" s="221" t="str">
        <f t="shared" si="1"/>
        <v/>
      </c>
      <c r="H19" s="222" t="str">
        <f t="shared" si="2"/>
        <v/>
      </c>
      <c r="Q19" s="215" t="str">
        <f t="shared" si="3"/>
        <v/>
      </c>
      <c r="R19" s="1" t="str">
        <f t="shared" si="4"/>
        <v/>
      </c>
      <c r="S19" s="1" t="str">
        <f t="shared" si="5"/>
        <v/>
      </c>
      <c r="T19" s="1" t="str">
        <f t="shared" si="6"/>
        <v/>
      </c>
    </row>
    <row r="20" spans="1:20" ht="16.5" thickTop="1" thickBot="1" x14ac:dyDescent="0.3">
      <c r="A20" s="208" t="s">
        <v>42</v>
      </c>
      <c r="B20" s="223" t="str">
        <f>IFERROR(AVERAGE(B8:B19),"")</f>
        <v/>
      </c>
      <c r="C20" s="223" t="str">
        <f>IFERROR(AVERAGE(C8:C19),"")</f>
        <v/>
      </c>
      <c r="D20" s="208">
        <f>SUM(D8:D19)</f>
        <v>0</v>
      </c>
      <c r="E20" s="209"/>
      <c r="F20" s="209"/>
      <c r="G20" s="209"/>
    </row>
    <row r="21" spans="1:20" ht="15.75" thickTop="1" x14ac:dyDescent="0.25">
      <c r="A21" s="224"/>
      <c r="B21" s="225"/>
      <c r="C21" s="225"/>
      <c r="D21" s="224"/>
      <c r="E21" s="209"/>
      <c r="F21" s="209"/>
      <c r="G21" s="209"/>
    </row>
    <row r="22" spans="1:20" x14ac:dyDescent="0.25">
      <c r="A22" s="226" t="s">
        <v>113</v>
      </c>
      <c r="B22" s="225"/>
      <c r="C22" s="225"/>
      <c r="D22" s="224"/>
      <c r="E22" s="209"/>
      <c r="F22" s="209"/>
      <c r="G22" s="209"/>
    </row>
    <row r="23" spans="1:20" x14ac:dyDescent="0.25">
      <c r="A23" s="226" t="s">
        <v>112</v>
      </c>
      <c r="B23" s="225"/>
      <c r="C23" s="225"/>
      <c r="D23" s="224"/>
      <c r="E23" s="209"/>
      <c r="F23" s="209"/>
      <c r="G23" s="209"/>
    </row>
    <row r="24" spans="1:20" x14ac:dyDescent="0.25">
      <c r="A24" s="226" t="s">
        <v>111</v>
      </c>
      <c r="B24" s="225"/>
      <c r="C24" s="225"/>
      <c r="D24" s="224"/>
      <c r="E24" s="209"/>
      <c r="F24" s="209"/>
      <c r="G24" s="209"/>
    </row>
    <row r="25" spans="1:20" x14ac:dyDescent="0.25">
      <c r="A25" s="224"/>
      <c r="B25" s="224"/>
      <c r="C25" s="209"/>
      <c r="D25" s="209"/>
      <c r="E25" s="209"/>
      <c r="F25" s="209"/>
      <c r="G25" s="209"/>
    </row>
    <row r="26" spans="1:20" x14ac:dyDescent="0.25"/>
    <row r="27" spans="1:20" x14ac:dyDescent="0.25"/>
    <row r="28" spans="1:20" x14ac:dyDescent="0.25">
      <c r="A28" s="2"/>
      <c r="B28" s="2"/>
      <c r="C28" s="2"/>
      <c r="D28" s="2"/>
      <c r="E28" s="2"/>
      <c r="F28" s="2"/>
      <c r="G28" s="2"/>
      <c r="H28" s="2"/>
      <c r="I28" s="2"/>
      <c r="J28" s="2"/>
      <c r="K28" s="2"/>
      <c r="L28" s="2"/>
    </row>
    <row r="29" spans="1:20" x14ac:dyDescent="0.25"/>
    <row r="30" spans="1:20" x14ac:dyDescent="0.25"/>
    <row r="31" spans="1:20" x14ac:dyDescent="0.25"/>
    <row r="32" spans="1:20" x14ac:dyDescent="0.25"/>
    <row r="33" spans="1:9" x14ac:dyDescent="0.25"/>
    <row r="34" spans="1:9" x14ac:dyDescent="0.25"/>
    <row r="35" spans="1:9" x14ac:dyDescent="0.25"/>
    <row r="36" spans="1:9" x14ac:dyDescent="0.25"/>
    <row r="37" spans="1:9" x14ac:dyDescent="0.25"/>
    <row r="38" spans="1:9" x14ac:dyDescent="0.25"/>
    <row r="39" spans="1:9" x14ac:dyDescent="0.25">
      <c r="A39" s="519" t="s">
        <v>110</v>
      </c>
      <c r="B39" s="519"/>
      <c r="C39" s="519"/>
      <c r="D39" s="519"/>
      <c r="E39" s="521" t="str">
        <f>"de "&amp;COUNTIFS(H8:H19,"Ok")*30&amp;" a "&amp;SUM(T8:T19)&amp;" dias disponíveis."</f>
        <v>de 0 a 0 dias disponíveis.</v>
      </c>
      <c r="F39" s="521"/>
      <c r="G39" s="521"/>
      <c r="H39" s="521"/>
      <c r="I39" s="227"/>
    </row>
    <row r="40" spans="1:9" ht="15" customHeight="1" x14ac:dyDescent="0.25">
      <c r="A40" s="519" t="s">
        <v>166</v>
      </c>
      <c r="B40" s="519"/>
      <c r="C40" s="519"/>
      <c r="D40" s="519"/>
      <c r="E40" s="521" t="str">
        <f>"de "&amp;COUNTIFS(H8:H19,"Ok")&amp;" a "&amp;ROUND(SUM(T8:T19)/30,0)&amp;" U.A/ha na época das chuvas."</f>
        <v>de 0 a 0 U.A/ha na época das chuvas.</v>
      </c>
      <c r="F40" s="521"/>
      <c r="G40" s="521"/>
      <c r="H40" s="521"/>
      <c r="I40" s="227"/>
    </row>
    <row r="41" spans="1:9" x14ac:dyDescent="0.25"/>
  </sheetData>
  <sheetProtection algorithmName="SHA-512" hashValue="rla/qfp9ZCiXP4xzzWjkQ6EADrlxtB/4qhdkJbQqX345QCxCuGL25lMZuv62bqTcGDjB1g7+7tWW13c/eZMfeg==" saltValue="XDRDSoWjxE+29uKITZEmcQ==" spinCount="100000" sheet="1" objects="1" scenarios="1" selectLockedCells="1"/>
  <mergeCells count="6">
    <mergeCell ref="A1:H1"/>
    <mergeCell ref="A39:D39"/>
    <mergeCell ref="F7:H7"/>
    <mergeCell ref="E39:H39"/>
    <mergeCell ref="A40:D40"/>
    <mergeCell ref="E40:H40"/>
  </mergeCells>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F34D6-BE0C-4FD1-B275-A69AFA4BA1FE}">
  <sheetPr codeName="Planilha1"/>
  <dimension ref="A1:AE55"/>
  <sheetViews>
    <sheetView showGridLines="0" zoomScaleNormal="100" workbookViewId="0">
      <selection activeCell="C5" sqref="C5"/>
    </sheetView>
  </sheetViews>
  <sheetFormatPr defaultColWidth="0" defaultRowHeight="15" zeroHeight="1" x14ac:dyDescent="0.25"/>
  <cols>
    <col min="1" max="1" width="8.28515625" customWidth="1"/>
    <col min="2" max="2" width="27" bestFit="1" customWidth="1"/>
    <col min="3" max="3" width="17.7109375" bestFit="1" customWidth="1"/>
    <col min="4" max="4" width="5.42578125" customWidth="1"/>
    <col min="5" max="5" width="23.140625" customWidth="1"/>
    <col min="6" max="6" width="15.7109375" customWidth="1"/>
    <col min="7" max="7" width="12.7109375" style="1" customWidth="1"/>
    <col min="8" max="8" width="12.7109375" style="2" customWidth="1"/>
    <col min="9" max="18" width="12.7109375" customWidth="1"/>
    <col min="19" max="20" width="12.7109375" hidden="1" customWidth="1"/>
    <col min="21" max="31" width="0" hidden="1" customWidth="1"/>
    <col min="32" max="16384" width="8.85546875" hidden="1"/>
  </cols>
  <sheetData>
    <row r="1" spans="1:18" ht="23.25" x14ac:dyDescent="0.25">
      <c r="A1" s="9"/>
      <c r="B1" s="528" t="s">
        <v>71</v>
      </c>
      <c r="C1" s="528"/>
      <c r="D1" s="528"/>
      <c r="E1" s="528"/>
      <c r="F1" s="528"/>
      <c r="G1" s="528"/>
      <c r="H1" s="528"/>
      <c r="I1" s="528"/>
      <c r="J1" s="528"/>
      <c r="K1" s="528"/>
      <c r="L1" s="528"/>
      <c r="M1" s="528"/>
      <c r="N1" s="528"/>
      <c r="O1" s="528"/>
      <c r="P1" s="528"/>
      <c r="Q1" s="528"/>
      <c r="R1" s="528"/>
    </row>
    <row r="2" spans="1:18" s="3" customFormat="1" ht="23.25" x14ac:dyDescent="0.25">
      <c r="B2" s="33"/>
      <c r="C2" s="33"/>
      <c r="D2" s="33"/>
      <c r="E2" s="33"/>
      <c r="F2" s="33"/>
      <c r="G2" s="33"/>
      <c r="H2" s="33"/>
      <c r="I2" s="33"/>
      <c r="J2" s="33"/>
      <c r="K2" s="33"/>
      <c r="L2" s="33"/>
      <c r="M2" s="33"/>
      <c r="N2" s="33"/>
      <c r="O2" s="33"/>
      <c r="P2" s="33"/>
      <c r="Q2" s="33"/>
      <c r="R2" s="33"/>
    </row>
    <row r="3" spans="1:18" x14ac:dyDescent="0.25">
      <c r="A3" s="3"/>
      <c r="B3" s="3"/>
      <c r="C3" s="3"/>
      <c r="D3" s="3"/>
      <c r="E3" s="532" t="s">
        <v>13</v>
      </c>
      <c r="F3" s="532"/>
      <c r="G3" s="532"/>
      <c r="H3" s="532"/>
      <c r="I3" s="532"/>
      <c r="J3" s="532"/>
      <c r="K3" s="532"/>
      <c r="L3" s="532"/>
      <c r="M3" s="532"/>
      <c r="N3" s="532"/>
      <c r="O3" s="532"/>
      <c r="P3" s="532"/>
      <c r="Q3" s="532"/>
      <c r="R3" s="3"/>
    </row>
    <row r="4" spans="1:18" x14ac:dyDescent="0.25">
      <c r="A4" s="3"/>
      <c r="B4" s="543" t="s">
        <v>72</v>
      </c>
      <c r="C4" s="544"/>
      <c r="D4" s="3"/>
      <c r="E4" s="533"/>
      <c r="F4" s="533"/>
      <c r="G4" s="533"/>
      <c r="H4" s="533"/>
      <c r="I4" s="533"/>
      <c r="J4" s="533"/>
      <c r="K4" s="533"/>
      <c r="L4" s="533"/>
      <c r="M4" s="533"/>
      <c r="N4" s="533"/>
      <c r="O4" s="533"/>
      <c r="P4" s="533"/>
      <c r="Q4" s="533"/>
      <c r="R4" s="3"/>
    </row>
    <row r="5" spans="1:18" x14ac:dyDescent="0.25">
      <c r="A5" s="3"/>
      <c r="B5" s="119" t="s">
        <v>45</v>
      </c>
      <c r="C5" s="27"/>
      <c r="D5" s="4"/>
      <c r="E5" s="529" t="str">
        <f>IF(C5&lt;=250,"Quantas cabeças quer rodar nesse sistema? (no máximo 250 por lote).","REDUZIR TAMANHO DO LOTE, SEJA POR REDUÇÃO NA ÁREA OU DIMINUINDO A META DE LOTAÇÃO!")</f>
        <v>Quantas cabeças quer rodar nesse sistema? (no máximo 250 por lote).</v>
      </c>
      <c r="F5" s="530"/>
      <c r="G5" s="530"/>
      <c r="H5" s="530"/>
      <c r="I5" s="530"/>
      <c r="J5" s="530"/>
      <c r="K5" s="530"/>
      <c r="L5" s="530"/>
      <c r="M5" s="530"/>
      <c r="N5" s="530"/>
      <c r="O5" s="530"/>
      <c r="P5" s="530"/>
      <c r="Q5" s="531"/>
      <c r="R5" s="3"/>
    </row>
    <row r="6" spans="1:18" x14ac:dyDescent="0.25">
      <c r="A6" s="3"/>
      <c r="B6" s="122" t="s">
        <v>14</v>
      </c>
      <c r="C6" s="31"/>
      <c r="D6" s="4"/>
      <c r="E6" s="522" t="s">
        <v>63</v>
      </c>
      <c r="F6" s="523"/>
      <c r="G6" s="523"/>
      <c r="H6" s="523"/>
      <c r="I6" s="523"/>
      <c r="J6" s="523"/>
      <c r="K6" s="523"/>
      <c r="L6" s="523"/>
      <c r="M6" s="523"/>
      <c r="N6" s="523"/>
      <c r="O6" s="523"/>
      <c r="P6" s="523"/>
      <c r="Q6" s="524"/>
      <c r="R6" s="3"/>
    </row>
    <row r="7" spans="1:18" x14ac:dyDescent="0.25">
      <c r="A7" s="3"/>
      <c r="B7" s="122" t="s">
        <v>0</v>
      </c>
      <c r="C7" s="32"/>
      <c r="D7" s="124">
        <f>C7/30</f>
        <v>0</v>
      </c>
      <c r="E7" s="125" t="s">
        <v>11</v>
      </c>
      <c r="F7" s="17"/>
      <c r="G7" s="7"/>
      <c r="H7" s="16"/>
      <c r="I7" s="17"/>
      <c r="J7" s="26"/>
      <c r="K7" s="26"/>
      <c r="L7" s="26"/>
      <c r="M7" s="26"/>
      <c r="N7" s="26"/>
      <c r="O7" s="26"/>
      <c r="P7" s="26"/>
      <c r="Q7" s="123"/>
      <c r="R7" s="3"/>
    </row>
    <row r="8" spans="1:18" x14ac:dyDescent="0.25">
      <c r="A8" s="3"/>
      <c r="B8" s="122" t="s">
        <v>15</v>
      </c>
      <c r="C8" s="205"/>
      <c r="D8" s="4"/>
      <c r="E8" s="125" t="s">
        <v>375</v>
      </c>
      <c r="F8" s="26"/>
      <c r="G8" s="26"/>
      <c r="H8" s="26"/>
      <c r="I8" s="26"/>
      <c r="J8" s="26"/>
      <c r="K8" s="26"/>
      <c r="L8" s="26"/>
      <c r="M8" s="26"/>
      <c r="N8" s="26"/>
      <c r="O8" s="26"/>
      <c r="P8" s="26"/>
      <c r="Q8" s="123"/>
      <c r="R8" s="3"/>
    </row>
    <row r="9" spans="1:18" x14ac:dyDescent="0.25">
      <c r="A9" s="3"/>
      <c r="B9" s="126" t="s">
        <v>16</v>
      </c>
      <c r="C9" s="183" t="str">
        <f>IF(C8="","",IFERROR((C8-C6)/C7,""))</f>
        <v/>
      </c>
      <c r="D9" s="4"/>
      <c r="E9" s="125" t="s">
        <v>85</v>
      </c>
      <c r="F9" s="17"/>
      <c r="G9" s="26"/>
      <c r="H9" s="26"/>
      <c r="I9" s="26"/>
      <c r="J9" s="26"/>
      <c r="K9" s="26"/>
      <c r="L9" s="26"/>
      <c r="M9" s="26"/>
      <c r="N9" s="26"/>
      <c r="O9" s="26"/>
      <c r="P9" s="26"/>
      <c r="Q9" s="123"/>
      <c r="R9" s="3"/>
    </row>
    <row r="10" spans="1:18" x14ac:dyDescent="0.25">
      <c r="A10" s="3"/>
      <c r="B10" s="122" t="s">
        <v>2</v>
      </c>
      <c r="C10" s="89"/>
      <c r="D10" s="6"/>
      <c r="E10" s="184" t="s">
        <v>20</v>
      </c>
      <c r="F10" s="120"/>
      <c r="G10" s="120"/>
      <c r="H10" s="120"/>
      <c r="I10" s="120"/>
      <c r="J10" s="120"/>
      <c r="K10" s="120"/>
      <c r="L10" s="120"/>
      <c r="M10" s="120"/>
      <c r="N10" s="120"/>
      <c r="O10" s="120"/>
      <c r="P10" s="120"/>
      <c r="Q10" s="121"/>
      <c r="R10" s="3"/>
    </row>
    <row r="11" spans="1:18" x14ac:dyDescent="0.25">
      <c r="A11" s="3"/>
      <c r="B11" s="122" t="s">
        <v>3</v>
      </c>
      <c r="C11" s="132" t="str">
        <f>IFERROR(((C8-C6)/C9)+C10,"")</f>
        <v/>
      </c>
      <c r="D11" s="6"/>
      <c r="E11" s="128" t="s">
        <v>87</v>
      </c>
      <c r="F11" s="130"/>
      <c r="G11" s="130"/>
      <c r="H11" s="130"/>
      <c r="I11" s="130"/>
      <c r="J11" s="130"/>
      <c r="K11" s="130"/>
      <c r="L11" s="130"/>
      <c r="M11" s="130"/>
      <c r="N11" s="130"/>
      <c r="O11" s="130"/>
      <c r="P11" s="130"/>
      <c r="Q11" s="131"/>
      <c r="R11" s="3"/>
    </row>
    <row r="12" spans="1:18" x14ac:dyDescent="0.25">
      <c r="A12" s="3"/>
      <c r="B12" s="119" t="s">
        <v>70</v>
      </c>
      <c r="C12" s="27"/>
      <c r="D12" s="4"/>
      <c r="E12" s="522" t="s">
        <v>88</v>
      </c>
      <c r="F12" s="523"/>
      <c r="G12" s="523"/>
      <c r="H12" s="523"/>
      <c r="I12" s="523"/>
      <c r="J12" s="523"/>
      <c r="K12" s="523"/>
      <c r="L12" s="523"/>
      <c r="M12" s="523"/>
      <c r="N12" s="523"/>
      <c r="O12" s="523"/>
      <c r="P12" s="523"/>
      <c r="Q12" s="524"/>
      <c r="R12" s="3"/>
    </row>
    <row r="13" spans="1:18" x14ac:dyDescent="0.25">
      <c r="A13" s="3"/>
      <c r="B13" s="122" t="s">
        <v>1</v>
      </c>
      <c r="C13" s="133" t="str">
        <f>IFERROR(C5/C12,"")</f>
        <v/>
      </c>
      <c r="D13" s="4"/>
      <c r="E13" s="125"/>
      <c r="F13" s="17"/>
      <c r="G13" s="7"/>
      <c r="H13" s="16"/>
      <c r="I13" s="17"/>
      <c r="J13" s="17"/>
      <c r="K13" s="17"/>
      <c r="L13" s="17"/>
      <c r="M13" s="17"/>
      <c r="N13" s="17"/>
      <c r="O13" s="17"/>
      <c r="P13" s="17"/>
      <c r="Q13" s="134"/>
      <c r="R13" s="3"/>
    </row>
    <row r="14" spans="1:18" x14ac:dyDescent="0.25">
      <c r="A14" s="3"/>
      <c r="B14" s="122" t="s">
        <v>17</v>
      </c>
      <c r="C14" s="135" t="str">
        <f>IFERROR((C13*C6)/450,"")</f>
        <v/>
      </c>
      <c r="D14" s="136"/>
      <c r="E14" s="125" t="str">
        <f>IF(C14="","",IF(C14&gt;4,"Cuidado, essa lotação de entrada está alta. Para que ela aconteça, o capim já deve estar alto no início do período, ou com uma boa fertilidade inicial.","Ok"))</f>
        <v/>
      </c>
      <c r="F14" s="17"/>
      <c r="G14" s="7"/>
      <c r="H14" s="16"/>
      <c r="I14" s="17"/>
      <c r="J14" s="17"/>
      <c r="K14" s="17"/>
      <c r="L14" s="17"/>
      <c r="M14" s="17"/>
      <c r="N14" s="17"/>
      <c r="O14" s="17"/>
      <c r="P14" s="17"/>
      <c r="Q14" s="134"/>
      <c r="R14" s="3"/>
    </row>
    <row r="15" spans="1:18" x14ac:dyDescent="0.25">
      <c r="A15" s="3"/>
      <c r="B15" s="122" t="s">
        <v>18</v>
      </c>
      <c r="C15" s="135" t="str">
        <f>IFERROR(AVERAGE(C14,C16),"")</f>
        <v/>
      </c>
      <c r="D15" s="136"/>
      <c r="E15" s="522" t="str">
        <f>IF(C15="","",IF(C15&gt;ROUND(C7/30.3,0),"Pelo período de chuva disponível em sua região, você não conseguirá intensificar nesse nível. Diminua a meta de produção ou aumente os dias de capim verde (se for possível). Seu limite é de "&amp;ROUND(C7/30.3,0)&amp;" U.A/ha",IF(C15&gt;5,"Cuidado, essa lotação média está alta. Recomendo que seu rotacionado tenha pelo menos 8 piquetes para aproveitar melhor o capim. Você aprenderá isso na aula sobre rotacionado.","Ok")))</f>
        <v/>
      </c>
      <c r="F15" s="523"/>
      <c r="G15" s="523"/>
      <c r="H15" s="523"/>
      <c r="I15" s="523"/>
      <c r="J15" s="523"/>
      <c r="K15" s="523"/>
      <c r="L15" s="523"/>
      <c r="M15" s="523"/>
      <c r="N15" s="523"/>
      <c r="O15" s="523"/>
      <c r="P15" s="523"/>
      <c r="Q15" s="524"/>
      <c r="R15" s="3"/>
    </row>
    <row r="16" spans="1:18" x14ac:dyDescent="0.25">
      <c r="A16" s="3"/>
      <c r="B16" s="126" t="s">
        <v>19</v>
      </c>
      <c r="C16" s="137" t="str">
        <f>IFERROR((C13*C8)/450,"")</f>
        <v/>
      </c>
      <c r="D16" s="136"/>
      <c r="E16" s="525" t="str">
        <f>IF(C16="","",IF(C16&gt;6,"Cuidado, essa lotação de saída está alta. Garanta que seus animais tenham o GMD necessário para sair até final de chuva, já que provavelmente não será possível usar esse pasto na seca","Ok"))</f>
        <v/>
      </c>
      <c r="F16" s="526"/>
      <c r="G16" s="526"/>
      <c r="H16" s="526"/>
      <c r="I16" s="526"/>
      <c r="J16" s="526"/>
      <c r="K16" s="526"/>
      <c r="L16" s="526"/>
      <c r="M16" s="526"/>
      <c r="N16" s="526"/>
      <c r="O16" s="526"/>
      <c r="P16" s="526"/>
      <c r="Q16" s="527"/>
      <c r="R16" s="3"/>
    </row>
    <row r="17" spans="1:18" x14ac:dyDescent="0.25">
      <c r="A17" s="3"/>
      <c r="B17" s="3"/>
      <c r="C17" s="3"/>
      <c r="D17" s="3"/>
      <c r="E17" s="3"/>
      <c r="F17" s="3"/>
      <c r="G17" s="4"/>
      <c r="H17" s="5"/>
      <c r="I17" s="3"/>
      <c r="J17" s="3"/>
      <c r="K17" s="3"/>
      <c r="L17" s="3"/>
      <c r="M17" s="3"/>
      <c r="N17" s="3"/>
      <c r="O17" s="3"/>
      <c r="P17" s="3"/>
      <c r="Q17" s="3"/>
      <c r="R17" s="3"/>
    </row>
    <row r="18" spans="1:18" x14ac:dyDescent="0.25">
      <c r="A18" s="3"/>
      <c r="B18" s="543" t="s">
        <v>73</v>
      </c>
      <c r="C18" s="544"/>
      <c r="D18" s="3"/>
      <c r="E18" s="3"/>
      <c r="F18" s="3"/>
      <c r="G18" s="4"/>
      <c r="H18" s="5"/>
      <c r="I18" s="3"/>
      <c r="J18" s="3"/>
      <c r="K18" s="3"/>
      <c r="L18" s="3"/>
      <c r="M18" s="3"/>
      <c r="N18" s="3"/>
      <c r="O18" s="3"/>
      <c r="P18" s="3"/>
      <c r="Q18" s="3"/>
      <c r="R18" s="3"/>
    </row>
    <row r="19" spans="1:18" x14ac:dyDescent="0.25">
      <c r="A19" s="3"/>
      <c r="B19" s="138" t="s">
        <v>74</v>
      </c>
      <c r="C19" s="28"/>
      <c r="D19" s="136"/>
      <c r="E19" s="529" t="s">
        <v>368</v>
      </c>
      <c r="F19" s="530"/>
      <c r="G19" s="530"/>
      <c r="H19" s="530"/>
      <c r="I19" s="530"/>
      <c r="J19" s="530"/>
      <c r="K19" s="530"/>
      <c r="L19" s="530"/>
      <c r="M19" s="530"/>
      <c r="N19" s="530"/>
      <c r="O19" s="530"/>
      <c r="P19" s="530"/>
      <c r="Q19" s="531"/>
      <c r="R19" s="3"/>
    </row>
    <row r="20" spans="1:18" x14ac:dyDescent="0.25">
      <c r="A20" s="3"/>
      <c r="B20" s="139" t="s">
        <v>75</v>
      </c>
      <c r="C20" s="29"/>
      <c r="D20" s="3"/>
      <c r="E20" s="522" t="s">
        <v>90</v>
      </c>
      <c r="F20" s="523"/>
      <c r="G20" s="523"/>
      <c r="H20" s="523"/>
      <c r="I20" s="523"/>
      <c r="J20" s="523"/>
      <c r="K20" s="523"/>
      <c r="L20" s="523"/>
      <c r="M20" s="523"/>
      <c r="N20" s="523"/>
      <c r="O20" s="523"/>
      <c r="P20" s="523"/>
      <c r="Q20" s="524"/>
      <c r="R20" s="3"/>
    </row>
    <row r="21" spans="1:18" x14ac:dyDescent="0.25">
      <c r="A21" s="3"/>
      <c r="B21" s="140" t="s">
        <v>95</v>
      </c>
      <c r="C21" s="30"/>
      <c r="D21" s="3"/>
      <c r="E21" s="525" t="s">
        <v>93</v>
      </c>
      <c r="F21" s="526"/>
      <c r="G21" s="526"/>
      <c r="H21" s="526"/>
      <c r="I21" s="526"/>
      <c r="J21" s="526"/>
      <c r="K21" s="526"/>
      <c r="L21" s="526"/>
      <c r="M21" s="526"/>
      <c r="N21" s="526"/>
      <c r="O21" s="526"/>
      <c r="P21" s="526"/>
      <c r="Q21" s="527"/>
      <c r="R21" s="3"/>
    </row>
    <row r="22" spans="1:18" x14ac:dyDescent="0.25">
      <c r="A22" s="3"/>
      <c r="B22" s="138" t="s">
        <v>77</v>
      </c>
      <c r="C22" s="142">
        <f>(C6/30)*C5*C19</f>
        <v>0</v>
      </c>
      <c r="D22" s="3"/>
      <c r="E22" s="3"/>
      <c r="F22" s="3"/>
      <c r="G22" s="4"/>
      <c r="H22" s="5"/>
      <c r="I22" s="3"/>
      <c r="J22" s="3"/>
      <c r="K22" s="3"/>
      <c r="L22" s="3"/>
      <c r="M22" s="3"/>
      <c r="N22" s="3"/>
      <c r="O22" s="3"/>
      <c r="P22" s="3"/>
      <c r="Q22" s="3"/>
      <c r="R22" s="3"/>
    </row>
    <row r="23" spans="1:18" x14ac:dyDescent="0.25">
      <c r="A23" s="3"/>
      <c r="B23" s="139" t="s">
        <v>76</v>
      </c>
      <c r="C23" s="143">
        <f>IFERROR(C22/C5,0)</f>
        <v>0</v>
      </c>
      <c r="D23" s="3"/>
      <c r="E23" s="3"/>
      <c r="F23" s="3"/>
      <c r="G23" s="4"/>
      <c r="H23" s="5"/>
      <c r="I23" s="3"/>
      <c r="J23" s="3"/>
      <c r="K23" s="3"/>
      <c r="L23" s="3"/>
      <c r="M23" s="3"/>
      <c r="N23" s="3"/>
      <c r="O23" s="3"/>
      <c r="P23" s="3"/>
      <c r="Q23" s="3"/>
      <c r="R23" s="3"/>
    </row>
    <row r="24" spans="1:18" x14ac:dyDescent="0.25">
      <c r="A24" s="3"/>
      <c r="B24" s="138" t="s">
        <v>79</v>
      </c>
      <c r="C24" s="142">
        <f>(C7/30)*C5*C21</f>
        <v>0</v>
      </c>
      <c r="D24" s="3"/>
      <c r="E24" s="529" t="s">
        <v>369</v>
      </c>
      <c r="F24" s="530"/>
      <c r="G24" s="530"/>
      <c r="H24" s="530"/>
      <c r="I24" s="530"/>
      <c r="J24" s="530"/>
      <c r="K24" s="530"/>
      <c r="L24" s="530"/>
      <c r="M24" s="530"/>
      <c r="N24" s="530"/>
      <c r="O24" s="530"/>
      <c r="P24" s="530"/>
      <c r="Q24" s="531"/>
      <c r="R24" s="3"/>
    </row>
    <row r="25" spans="1:18" x14ac:dyDescent="0.25">
      <c r="A25" s="3"/>
      <c r="B25" s="139" t="s">
        <v>91</v>
      </c>
      <c r="C25" s="144">
        <f>IFERROR(C24/C5,0)</f>
        <v>0</v>
      </c>
      <c r="D25" s="3"/>
      <c r="E25" s="522" t="s">
        <v>94</v>
      </c>
      <c r="F25" s="523"/>
      <c r="G25" s="523"/>
      <c r="H25" s="523"/>
      <c r="I25" s="523"/>
      <c r="J25" s="523"/>
      <c r="K25" s="523"/>
      <c r="L25" s="523"/>
      <c r="M25" s="523"/>
      <c r="N25" s="523"/>
      <c r="O25" s="523"/>
      <c r="P25" s="523"/>
      <c r="Q25" s="524"/>
      <c r="R25" s="3"/>
    </row>
    <row r="26" spans="1:18" x14ac:dyDescent="0.25">
      <c r="A26" s="3"/>
      <c r="B26" s="139" t="s">
        <v>59</v>
      </c>
      <c r="C26" s="144">
        <f>IFERROR(C24/C12,0)</f>
        <v>0</v>
      </c>
      <c r="D26" s="3"/>
      <c r="E26" s="522" t="s">
        <v>96</v>
      </c>
      <c r="F26" s="523"/>
      <c r="G26" s="523"/>
      <c r="H26" s="523"/>
      <c r="I26" s="523"/>
      <c r="J26" s="523"/>
      <c r="K26" s="523"/>
      <c r="L26" s="523"/>
      <c r="M26" s="523"/>
      <c r="N26" s="523"/>
      <c r="O26" s="523"/>
      <c r="P26" s="523"/>
      <c r="Q26" s="524"/>
      <c r="R26" s="3"/>
    </row>
    <row r="27" spans="1:18" x14ac:dyDescent="0.25">
      <c r="A27" s="3"/>
      <c r="B27" s="138" t="s">
        <v>81</v>
      </c>
      <c r="C27" s="142">
        <f>(C22+C24)</f>
        <v>0</v>
      </c>
      <c r="D27" s="3"/>
      <c r="E27" s="529" t="s">
        <v>370</v>
      </c>
      <c r="F27" s="530"/>
      <c r="G27" s="530"/>
      <c r="H27" s="530"/>
      <c r="I27" s="530"/>
      <c r="J27" s="530"/>
      <c r="K27" s="530"/>
      <c r="L27" s="530"/>
      <c r="M27" s="530"/>
      <c r="N27" s="530"/>
      <c r="O27" s="530"/>
      <c r="P27" s="530"/>
      <c r="Q27" s="531"/>
      <c r="R27" s="3"/>
    </row>
    <row r="28" spans="1:18" x14ac:dyDescent="0.25">
      <c r="A28" s="3"/>
      <c r="B28" s="139" t="s">
        <v>82</v>
      </c>
      <c r="C28" s="143">
        <f>IFERROR(C27/C5,0)</f>
        <v>0</v>
      </c>
      <c r="D28" s="3"/>
      <c r="E28" s="522" t="s">
        <v>98</v>
      </c>
      <c r="F28" s="523"/>
      <c r="G28" s="523"/>
      <c r="H28" s="523"/>
      <c r="I28" s="523"/>
      <c r="J28" s="523"/>
      <c r="K28" s="523"/>
      <c r="L28" s="523"/>
      <c r="M28" s="523"/>
      <c r="N28" s="523"/>
      <c r="O28" s="523"/>
      <c r="P28" s="523"/>
      <c r="Q28" s="524"/>
      <c r="R28" s="3"/>
    </row>
    <row r="29" spans="1:18" x14ac:dyDescent="0.25">
      <c r="A29" s="3"/>
      <c r="B29" s="140" t="s">
        <v>83</v>
      </c>
      <c r="C29" s="145">
        <f>IFERROR(C27/C12,0)</f>
        <v>0</v>
      </c>
      <c r="D29" s="3"/>
      <c r="E29" s="522" t="s">
        <v>97</v>
      </c>
      <c r="F29" s="523"/>
      <c r="G29" s="523"/>
      <c r="H29" s="523"/>
      <c r="I29" s="523"/>
      <c r="J29" s="523"/>
      <c r="K29" s="523"/>
      <c r="L29" s="523"/>
      <c r="M29" s="523"/>
      <c r="N29" s="523"/>
      <c r="O29" s="523"/>
      <c r="P29" s="523"/>
      <c r="Q29" s="524"/>
      <c r="R29" s="3"/>
    </row>
    <row r="30" spans="1:18" x14ac:dyDescent="0.25">
      <c r="A30" s="3"/>
      <c r="B30" s="138" t="s">
        <v>78</v>
      </c>
      <c r="C30" s="142">
        <f>(C8/30)*C5*C20</f>
        <v>0</v>
      </c>
      <c r="D30" s="3"/>
      <c r="E30" s="529" t="s">
        <v>373</v>
      </c>
      <c r="F30" s="530"/>
      <c r="G30" s="530"/>
      <c r="H30" s="530"/>
      <c r="I30" s="530"/>
      <c r="J30" s="530"/>
      <c r="K30" s="530"/>
      <c r="L30" s="530"/>
      <c r="M30" s="530"/>
      <c r="N30" s="530"/>
      <c r="O30" s="530"/>
      <c r="P30" s="530"/>
      <c r="Q30" s="531"/>
      <c r="R30" s="3"/>
    </row>
    <row r="31" spans="1:18" x14ac:dyDescent="0.25">
      <c r="A31" s="3"/>
      <c r="B31" s="139" t="s">
        <v>92</v>
      </c>
      <c r="C31" s="143">
        <f>IFERROR(C30/C5,0)</f>
        <v>0</v>
      </c>
      <c r="D31" s="3"/>
      <c r="E31" s="522" t="s">
        <v>371</v>
      </c>
      <c r="F31" s="523"/>
      <c r="G31" s="523"/>
      <c r="H31" s="523"/>
      <c r="I31" s="523"/>
      <c r="J31" s="523"/>
      <c r="K31" s="523"/>
      <c r="L31" s="523"/>
      <c r="M31" s="523"/>
      <c r="N31" s="523"/>
      <c r="O31" s="523"/>
      <c r="P31" s="523"/>
      <c r="Q31" s="524"/>
      <c r="R31" s="3"/>
    </row>
    <row r="32" spans="1:18" x14ac:dyDescent="0.25">
      <c r="A32" s="3"/>
      <c r="B32" s="140" t="s">
        <v>58</v>
      </c>
      <c r="C32" s="145">
        <f>IFERROR(C30/C12,0)</f>
        <v>0</v>
      </c>
      <c r="D32" s="3"/>
      <c r="E32" s="525" t="s">
        <v>372</v>
      </c>
      <c r="F32" s="526"/>
      <c r="G32" s="526"/>
      <c r="H32" s="526"/>
      <c r="I32" s="526"/>
      <c r="J32" s="526"/>
      <c r="K32" s="526"/>
      <c r="L32" s="526"/>
      <c r="M32" s="526"/>
      <c r="N32" s="526"/>
      <c r="O32" s="526"/>
      <c r="P32" s="526"/>
      <c r="Q32" s="527"/>
      <c r="R32" s="3"/>
    </row>
    <row r="33" spans="1:18" x14ac:dyDescent="0.25">
      <c r="A33" s="3"/>
      <c r="B33" s="138" t="s">
        <v>80</v>
      </c>
      <c r="C33" s="146">
        <f>C30-C27</f>
        <v>0</v>
      </c>
      <c r="D33" s="3"/>
      <c r="E33" s="522" t="s">
        <v>101</v>
      </c>
      <c r="F33" s="523"/>
      <c r="G33" s="523"/>
      <c r="H33" s="523"/>
      <c r="I33" s="523"/>
      <c r="J33" s="523"/>
      <c r="K33" s="523"/>
      <c r="L33" s="523"/>
      <c r="M33" s="523"/>
      <c r="N33" s="523"/>
      <c r="O33" s="523"/>
      <c r="P33" s="523"/>
      <c r="Q33" s="524"/>
      <c r="R33" s="3"/>
    </row>
    <row r="34" spans="1:18" x14ac:dyDescent="0.25">
      <c r="A34" s="3"/>
      <c r="B34" s="139" t="s">
        <v>103</v>
      </c>
      <c r="C34" s="144">
        <f>IFERROR(C33/C5,0)</f>
        <v>0</v>
      </c>
      <c r="D34" s="3"/>
      <c r="E34" s="522" t="s">
        <v>102</v>
      </c>
      <c r="F34" s="523"/>
      <c r="G34" s="523"/>
      <c r="H34" s="523"/>
      <c r="I34" s="523"/>
      <c r="J34" s="523"/>
      <c r="K34" s="523"/>
      <c r="L34" s="523"/>
      <c r="M34" s="523"/>
      <c r="N34" s="523"/>
      <c r="O34" s="523"/>
      <c r="P34" s="523"/>
      <c r="Q34" s="524"/>
      <c r="R34" s="3"/>
    </row>
    <row r="35" spans="1:18" x14ac:dyDescent="0.25">
      <c r="A35" s="3"/>
      <c r="B35" s="140" t="s">
        <v>104</v>
      </c>
      <c r="C35" s="147">
        <f>IFERROR(C33/C12,0)</f>
        <v>0</v>
      </c>
      <c r="D35" s="3"/>
      <c r="E35" s="522" t="s">
        <v>376</v>
      </c>
      <c r="F35" s="523"/>
      <c r="G35" s="523"/>
      <c r="H35" s="523"/>
      <c r="I35" s="523"/>
      <c r="J35" s="523"/>
      <c r="K35" s="523"/>
      <c r="L35" s="523"/>
      <c r="M35" s="523"/>
      <c r="N35" s="523"/>
      <c r="O35" s="523"/>
      <c r="P35" s="523"/>
      <c r="Q35" s="524"/>
      <c r="R35" s="3"/>
    </row>
    <row r="36" spans="1:18" x14ac:dyDescent="0.25">
      <c r="A36" s="3"/>
      <c r="B36" s="140" t="s">
        <v>84</v>
      </c>
      <c r="C36" s="148">
        <f>IFERROR((C33/C27)/D7,0)</f>
        <v>0</v>
      </c>
      <c r="D36" s="3"/>
      <c r="E36" s="525" t="s">
        <v>105</v>
      </c>
      <c r="F36" s="526"/>
      <c r="G36" s="526"/>
      <c r="H36" s="526"/>
      <c r="I36" s="526"/>
      <c r="J36" s="526"/>
      <c r="K36" s="526"/>
      <c r="L36" s="526"/>
      <c r="M36" s="526"/>
      <c r="N36" s="526"/>
      <c r="O36" s="526"/>
      <c r="P36" s="526"/>
      <c r="Q36" s="527"/>
      <c r="R36" s="3"/>
    </row>
    <row r="37" spans="1:18" x14ac:dyDescent="0.25">
      <c r="A37" s="3"/>
      <c r="B37" s="3"/>
      <c r="C37" s="3"/>
      <c r="D37" s="3"/>
      <c r="E37" s="3"/>
      <c r="F37" s="3"/>
      <c r="G37" s="4"/>
      <c r="H37" s="5"/>
      <c r="I37" s="3"/>
      <c r="J37" s="3"/>
      <c r="K37" s="3"/>
      <c r="L37" s="3"/>
      <c r="M37" s="3"/>
      <c r="N37" s="3"/>
      <c r="O37" s="3"/>
      <c r="P37" s="3"/>
      <c r="Q37" s="3"/>
      <c r="R37" s="3"/>
    </row>
    <row r="38" spans="1:18" x14ac:dyDescent="0.25">
      <c r="A38" s="3"/>
      <c r="B38" s="543" t="s">
        <v>106</v>
      </c>
      <c r="C38" s="544"/>
      <c r="D38" s="3"/>
      <c r="E38" s="3"/>
      <c r="F38" s="3"/>
      <c r="G38" s="4"/>
      <c r="H38" s="5"/>
      <c r="I38" s="3"/>
      <c r="J38" s="3"/>
      <c r="K38" s="3"/>
      <c r="L38" s="3"/>
      <c r="M38" s="3"/>
      <c r="N38" s="3"/>
      <c r="O38" s="3"/>
      <c r="P38" s="3"/>
      <c r="Q38" s="3"/>
      <c r="R38" s="3"/>
    </row>
    <row r="39" spans="1:18" x14ac:dyDescent="0.25">
      <c r="A39" s="3"/>
      <c r="B39" s="149" t="s">
        <v>9</v>
      </c>
      <c r="C39" s="150">
        <f>((C8-C6)/30)*C5</f>
        <v>0</v>
      </c>
      <c r="D39" s="3"/>
      <c r="E39" s="3"/>
      <c r="F39" s="3"/>
      <c r="G39" s="4"/>
      <c r="H39" s="5"/>
      <c r="I39" s="3"/>
      <c r="J39" s="3"/>
      <c r="K39" s="3"/>
      <c r="L39" s="3"/>
      <c r="M39" s="3"/>
      <c r="N39" s="3"/>
      <c r="O39" s="3"/>
      <c r="P39" s="3"/>
      <c r="Q39" s="3"/>
      <c r="R39" s="3"/>
    </row>
    <row r="40" spans="1:18" x14ac:dyDescent="0.25">
      <c r="A40" s="3"/>
      <c r="B40" s="151" t="s">
        <v>108</v>
      </c>
      <c r="C40" s="152">
        <f>IFERROR(C39/C12,0)</f>
        <v>0</v>
      </c>
      <c r="D40" s="3"/>
      <c r="E40" s="545" t="s">
        <v>109</v>
      </c>
      <c r="F40" s="546"/>
      <c r="G40" s="546"/>
      <c r="H40" s="546"/>
      <c r="I40" s="546"/>
      <c r="J40" s="546"/>
      <c r="K40" s="546"/>
      <c r="L40" s="546"/>
      <c r="M40" s="546"/>
      <c r="N40" s="546"/>
      <c r="O40" s="546"/>
      <c r="P40" s="546"/>
      <c r="Q40" s="547"/>
      <c r="R40" s="3"/>
    </row>
    <row r="41" spans="1:18" x14ac:dyDescent="0.25">
      <c r="A41" s="3"/>
      <c r="B41" s="140" t="s">
        <v>107</v>
      </c>
      <c r="C41" s="141">
        <f>IFERROR(C24/C39,0)</f>
        <v>0</v>
      </c>
      <c r="D41" s="3"/>
      <c r="E41" s="3"/>
      <c r="F41" s="3"/>
      <c r="G41" s="4"/>
      <c r="H41" s="5"/>
      <c r="I41" s="3"/>
      <c r="J41" s="3"/>
      <c r="K41" s="3"/>
      <c r="L41" s="3"/>
      <c r="M41" s="3"/>
      <c r="N41" s="3"/>
      <c r="O41" s="3"/>
      <c r="P41" s="3"/>
      <c r="Q41" s="3"/>
      <c r="R41" s="3"/>
    </row>
    <row r="42" spans="1:18" x14ac:dyDescent="0.25">
      <c r="A42" s="3"/>
      <c r="B42" s="3"/>
      <c r="C42" s="3"/>
      <c r="D42" s="3"/>
      <c r="E42" s="3"/>
      <c r="F42" s="3"/>
      <c r="G42" s="4"/>
      <c r="H42" s="5"/>
      <c r="I42" s="3"/>
      <c r="J42" s="3"/>
      <c r="K42" s="3"/>
      <c r="L42" s="3"/>
      <c r="M42" s="3"/>
      <c r="N42" s="3"/>
      <c r="O42" s="3"/>
      <c r="P42" s="3"/>
      <c r="Q42" s="3"/>
      <c r="R42" s="3"/>
    </row>
    <row r="43" spans="1:18" x14ac:dyDescent="0.25">
      <c r="A43" s="3"/>
      <c r="B43" s="534" t="s">
        <v>12</v>
      </c>
      <c r="C43" s="535"/>
      <c r="D43" s="536"/>
      <c r="E43" s="185" t="s">
        <v>6</v>
      </c>
      <c r="F43" s="186">
        <f>C10</f>
        <v>0</v>
      </c>
      <c r="G43" s="187">
        <f t="shared" ref="G43:Q43" si="0">IF(F43="","",IF(F43=$C$11,"",IF(F43+30&gt;$C$11,$C$11,F43+30)))</f>
        <v>30</v>
      </c>
      <c r="H43" s="187">
        <f t="shared" si="0"/>
        <v>60</v>
      </c>
      <c r="I43" s="187">
        <f t="shared" si="0"/>
        <v>90</v>
      </c>
      <c r="J43" s="187">
        <f t="shared" si="0"/>
        <v>120</v>
      </c>
      <c r="K43" s="187">
        <f t="shared" si="0"/>
        <v>150</v>
      </c>
      <c r="L43" s="187">
        <f t="shared" si="0"/>
        <v>180</v>
      </c>
      <c r="M43" s="187">
        <f t="shared" si="0"/>
        <v>210</v>
      </c>
      <c r="N43" s="188">
        <f t="shared" si="0"/>
        <v>240</v>
      </c>
      <c r="O43" s="188">
        <f t="shared" si="0"/>
        <v>270</v>
      </c>
      <c r="P43" s="188">
        <f t="shared" si="0"/>
        <v>300</v>
      </c>
      <c r="Q43" s="189">
        <f t="shared" si="0"/>
        <v>330</v>
      </c>
      <c r="R43" s="3"/>
    </row>
    <row r="44" spans="1:18" x14ac:dyDescent="0.25">
      <c r="A44" s="3"/>
      <c r="B44" s="537"/>
      <c r="C44" s="538"/>
      <c r="D44" s="539"/>
      <c r="E44" s="190" t="s">
        <v>8</v>
      </c>
      <c r="F44" s="191">
        <f>C6</f>
        <v>0</v>
      </c>
      <c r="G44" s="192" t="str">
        <f t="shared" ref="G44:Q44" si="1">IFERROR(F44+((G43-F43)*$C$9),"")</f>
        <v/>
      </c>
      <c r="H44" s="192" t="str">
        <f t="shared" si="1"/>
        <v/>
      </c>
      <c r="I44" s="192" t="str">
        <f t="shared" si="1"/>
        <v/>
      </c>
      <c r="J44" s="192" t="str">
        <f t="shared" si="1"/>
        <v/>
      </c>
      <c r="K44" s="192" t="str">
        <f t="shared" si="1"/>
        <v/>
      </c>
      <c r="L44" s="192" t="str">
        <f t="shared" si="1"/>
        <v/>
      </c>
      <c r="M44" s="192" t="str">
        <f t="shared" si="1"/>
        <v/>
      </c>
      <c r="N44" s="193" t="str">
        <f t="shared" si="1"/>
        <v/>
      </c>
      <c r="O44" s="193" t="str">
        <f t="shared" si="1"/>
        <v/>
      </c>
      <c r="P44" s="193" t="str">
        <f t="shared" si="1"/>
        <v/>
      </c>
      <c r="Q44" s="194" t="str">
        <f t="shared" si="1"/>
        <v/>
      </c>
      <c r="R44" s="3"/>
    </row>
    <row r="45" spans="1:18" x14ac:dyDescent="0.25">
      <c r="A45" s="3"/>
      <c r="B45" s="537"/>
      <c r="C45" s="538"/>
      <c r="D45" s="539"/>
      <c r="E45" s="190" t="s">
        <v>25</v>
      </c>
      <c r="F45" s="195" t="str">
        <f t="shared" ref="F45:M45" si="2">IFERROR((F44/450)*$C$13,"")</f>
        <v/>
      </c>
      <c r="G45" s="196" t="str">
        <f t="shared" si="2"/>
        <v/>
      </c>
      <c r="H45" s="196" t="str">
        <f t="shared" si="2"/>
        <v/>
      </c>
      <c r="I45" s="196" t="str">
        <f t="shared" si="2"/>
        <v/>
      </c>
      <c r="J45" s="196" t="str">
        <f t="shared" si="2"/>
        <v/>
      </c>
      <c r="K45" s="196" t="str">
        <f t="shared" si="2"/>
        <v/>
      </c>
      <c r="L45" s="196" t="str">
        <f t="shared" si="2"/>
        <v/>
      </c>
      <c r="M45" s="196" t="str">
        <f t="shared" si="2"/>
        <v/>
      </c>
      <c r="N45" s="196" t="str">
        <f>IFERROR((N44/450)*$C$13,"")</f>
        <v/>
      </c>
      <c r="O45" s="196" t="str">
        <f>IFERROR((O44/450)*$C$13,"")</f>
        <v/>
      </c>
      <c r="P45" s="196" t="str">
        <f>IFERROR((P44/450)*$C$13,"")</f>
        <v/>
      </c>
      <c r="Q45" s="197" t="str">
        <f>IFERROR((Q44/450)*$C$13,"")</f>
        <v/>
      </c>
      <c r="R45" s="3"/>
    </row>
    <row r="46" spans="1:18" hidden="1" x14ac:dyDescent="0.25">
      <c r="A46" s="3"/>
      <c r="B46" s="537"/>
      <c r="C46" s="538"/>
      <c r="D46" s="539"/>
      <c r="E46" s="198" t="s">
        <v>9</v>
      </c>
      <c r="F46" s="199"/>
      <c r="G46" s="8" t="str">
        <f t="shared" ref="G46:M46" si="3">IFERROR(((G44-F44)/30)*$C$13,"")</f>
        <v/>
      </c>
      <c r="H46" s="8" t="str">
        <f t="shared" si="3"/>
        <v/>
      </c>
      <c r="I46" s="8" t="str">
        <f t="shared" si="3"/>
        <v/>
      </c>
      <c r="J46" s="8" t="str">
        <f t="shared" si="3"/>
        <v/>
      </c>
      <c r="K46" s="8" t="str">
        <f t="shared" si="3"/>
        <v/>
      </c>
      <c r="L46" s="8" t="str">
        <f t="shared" si="3"/>
        <v/>
      </c>
      <c r="M46" s="8" t="str">
        <f t="shared" si="3"/>
        <v/>
      </c>
      <c r="N46" s="8" t="str">
        <f t="shared" ref="N46:Q46" si="4">IFERROR(((N44-M44)/30)*$C$13,"")</f>
        <v/>
      </c>
      <c r="O46" s="8" t="str">
        <f t="shared" si="4"/>
        <v/>
      </c>
      <c r="P46" s="8" t="str">
        <f t="shared" si="4"/>
        <v/>
      </c>
      <c r="Q46" s="200" t="str">
        <f t="shared" si="4"/>
        <v/>
      </c>
      <c r="R46" s="3"/>
    </row>
    <row r="47" spans="1:18" x14ac:dyDescent="0.25">
      <c r="A47" s="3"/>
      <c r="B47" s="540"/>
      <c r="C47" s="541"/>
      <c r="D47" s="542"/>
      <c r="E47" s="201" t="s">
        <v>10</v>
      </c>
      <c r="F47" s="202"/>
      <c r="G47" s="203" t="str">
        <f t="shared" ref="G47:Q47" si="5">IFERROR(IF(G46="","",F47+G46),"")</f>
        <v/>
      </c>
      <c r="H47" s="203" t="str">
        <f t="shared" si="5"/>
        <v/>
      </c>
      <c r="I47" s="203" t="str">
        <f t="shared" si="5"/>
        <v/>
      </c>
      <c r="J47" s="203" t="str">
        <f t="shared" si="5"/>
        <v/>
      </c>
      <c r="K47" s="203" t="str">
        <f t="shared" si="5"/>
        <v/>
      </c>
      <c r="L47" s="203" t="str">
        <f t="shared" si="5"/>
        <v/>
      </c>
      <c r="M47" s="203" t="str">
        <f t="shared" si="5"/>
        <v/>
      </c>
      <c r="N47" s="203" t="str">
        <f t="shared" si="5"/>
        <v/>
      </c>
      <c r="O47" s="203" t="str">
        <f t="shared" si="5"/>
        <v/>
      </c>
      <c r="P47" s="203" t="str">
        <f t="shared" si="5"/>
        <v/>
      </c>
      <c r="Q47" s="204" t="str">
        <f t="shared" si="5"/>
        <v/>
      </c>
      <c r="R47" s="3"/>
    </row>
    <row r="48" spans="1:18" x14ac:dyDescent="0.25">
      <c r="A48" s="3"/>
      <c r="B48" s="3"/>
      <c r="C48" s="3"/>
      <c r="D48" s="3"/>
      <c r="E48" s="5"/>
      <c r="F48" s="3"/>
      <c r="G48" s="4"/>
      <c r="H48" s="5"/>
      <c r="I48" s="3"/>
      <c r="J48" s="3"/>
      <c r="K48" s="3"/>
      <c r="L48" s="3"/>
      <c r="M48" s="3"/>
      <c r="N48" s="3"/>
      <c r="O48" s="3"/>
      <c r="P48" s="3"/>
      <c r="Q48" s="3"/>
      <c r="R48" s="3"/>
    </row>
    <row r="55" x14ac:dyDescent="0.25"/>
  </sheetData>
  <sheetProtection algorithmName="SHA-512" hashValue="ToSLuQOZ/oRKN3VkkgglCKX+rh4Ex7TrWXgctwk2sCp7wf9m3p1RJtoIs/T/G2oMm2IxysMPj1l9ngwg+Tj2Zw==" saltValue="/29eojFrqnWy3QBgcihqIw==" spinCount="100000" sheet="1" objects="1" scenarios="1" selectLockedCells="1"/>
  <mergeCells count="28">
    <mergeCell ref="E24:Q24"/>
    <mergeCell ref="E27:Q27"/>
    <mergeCell ref="E30:Q30"/>
    <mergeCell ref="B43:D47"/>
    <mergeCell ref="B4:C4"/>
    <mergeCell ref="B18:C18"/>
    <mergeCell ref="E19:Q19"/>
    <mergeCell ref="E20:Q20"/>
    <mergeCell ref="E21:Q21"/>
    <mergeCell ref="E25:Q25"/>
    <mergeCell ref="E26:Q26"/>
    <mergeCell ref="E28:Q28"/>
    <mergeCell ref="E35:Q35"/>
    <mergeCell ref="E36:Q36"/>
    <mergeCell ref="B38:C38"/>
    <mergeCell ref="E40:Q40"/>
    <mergeCell ref="B1:R1"/>
    <mergeCell ref="E15:Q15"/>
    <mergeCell ref="E6:Q6"/>
    <mergeCell ref="E16:Q16"/>
    <mergeCell ref="E5:Q5"/>
    <mergeCell ref="E12:Q12"/>
    <mergeCell ref="E3:Q4"/>
    <mergeCell ref="E29:Q29"/>
    <mergeCell ref="E31:Q31"/>
    <mergeCell ref="E32:Q32"/>
    <mergeCell ref="E33:Q33"/>
    <mergeCell ref="E34:Q34"/>
  </mergeCells>
  <conditionalFormatting sqref="B6:C11 B10:B16">
    <cfRule type="containsText" dxfId="75" priority="9" operator="containsText" text="Falta">
      <formula>NOT(ISERROR(SEARCH("Falta",B6)))</formula>
    </cfRule>
  </conditionalFormatting>
  <conditionalFormatting sqref="C9">
    <cfRule type="containsText" dxfId="74" priority="5" operator="containsText" text="Falta">
      <formula>NOT(ISERROR(SEARCH("Falta",C9)))</formula>
    </cfRule>
  </conditionalFormatting>
  <conditionalFormatting sqref="C33:C36">
    <cfRule type="cellIs" dxfId="73" priority="2" operator="lessThan">
      <formula>0</formula>
    </cfRule>
  </conditionalFormatting>
  <conditionalFormatting sqref="E15">
    <cfRule type="containsText" dxfId="72" priority="4" operator="containsText" text="você não conseguirá intensificar">
      <formula>NOT(ISERROR(SEARCH("você não conseguirá intensificar",E15)))</formula>
    </cfRule>
  </conditionalFormatting>
  <conditionalFormatting sqref="E15:Q15">
    <cfRule type="containsText" dxfId="71" priority="3" operator="containsText" text="lotação média está alta">
      <formula>NOT(ISERROR(SEARCH("lotação média está alta",E15)))</formula>
    </cfRule>
  </conditionalFormatting>
  <conditionalFormatting sqref="E5:Q5">
    <cfRule type="containsText" dxfId="70" priority="1" operator="containsText" text="REDUZIR">
      <formula>NOT(ISERROR(SEARCH("REDUZIR",E5)))</formula>
    </cfRule>
  </conditionalFormatting>
  <dataValidations count="4">
    <dataValidation type="whole" allowBlank="1" showInputMessage="1" showErrorMessage="1" errorTitle="Ajustar!" error="Coloque apenas valores inteiros entre 0 e 365." sqref="C7" xr:uid="{412771C3-67EF-4A56-A916-37ADE62207E2}">
      <formula1>0</formula1>
      <formula2>366</formula2>
    </dataValidation>
    <dataValidation type="whole" allowBlank="1" showInputMessage="1" showErrorMessage="1" errorTitle="Ajustar!" error="Coloque apenas valores inteiros entre 0 e 1000." sqref="C8 C6:C8" xr:uid="{3AE0A138-A382-4AB8-9A08-0809BC5E18C9}">
      <formula1>0</formula1>
      <formula2>1000</formula2>
    </dataValidation>
    <dataValidation type="date" allowBlank="1" showInputMessage="1" showErrorMessage="1" sqref="C10" xr:uid="{9ED0C89B-33A0-4D47-B719-180EE95A9DC7}">
      <formula1>1</formula1>
      <formula2>73415</formula2>
    </dataValidation>
    <dataValidation allowBlank="1" showInputMessage="1" showErrorMessage="1" errorTitle="Ajustar!" error="Coloque apenas valores inteiros entre 0 e 1000." sqref="C11" xr:uid="{BF524E67-3CCC-429D-9AB2-0848528EEE77}"/>
  </dataValidations>
  <pageMargins left="0.511811024" right="0.511811024" top="0.78740157499999996" bottom="0.78740157499999996" header="0.31496062000000002" footer="0.31496062000000002"/>
  <pageSetup paperSize="9" orientation="landscape"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B2356-6F5A-4983-893B-7451C5347F8B}">
  <sheetPr codeName="Planilha7"/>
  <dimension ref="A1:AM74"/>
  <sheetViews>
    <sheetView showGridLines="0" topLeftCell="A3" zoomScale="85" zoomScaleNormal="85" workbookViewId="0">
      <selection activeCell="G25" sqref="G25"/>
    </sheetView>
  </sheetViews>
  <sheetFormatPr defaultColWidth="0" defaultRowHeight="15" zeroHeight="1" x14ac:dyDescent="0.25"/>
  <cols>
    <col min="1" max="1" width="9.140625" customWidth="1"/>
    <col min="2" max="7" width="17.7109375" customWidth="1"/>
    <col min="8" max="8" width="28.5703125" customWidth="1"/>
    <col min="9" max="9" width="18.5703125" customWidth="1"/>
    <col min="10" max="13" width="15.7109375" customWidth="1"/>
    <col min="14" max="14" width="19.28515625" customWidth="1"/>
    <col min="15" max="25" width="15.7109375" customWidth="1"/>
    <col min="26" max="38" width="9.140625" customWidth="1"/>
    <col min="39" max="16384" width="9.140625" hidden="1"/>
  </cols>
  <sheetData>
    <row r="1" spans="1:38" s="9" customFormat="1" ht="29.25" customHeight="1" x14ac:dyDescent="0.25">
      <c r="B1" s="53"/>
      <c r="C1" s="55" t="s">
        <v>164</v>
      </c>
      <c r="D1" s="53"/>
      <c r="E1" s="53"/>
      <c r="F1" s="53"/>
      <c r="G1" s="53"/>
      <c r="H1" s="54"/>
      <c r="I1" s="53"/>
      <c r="J1" s="53"/>
      <c r="K1" s="53"/>
      <c r="L1" s="53"/>
      <c r="M1" s="53"/>
      <c r="N1" s="53"/>
      <c r="O1" s="53"/>
      <c r="P1" s="53"/>
    </row>
    <row r="2" spans="1:38" s="34" customFormat="1" x14ac:dyDescent="0.25">
      <c r="B2" s="35"/>
      <c r="C2" s="35"/>
      <c r="D2" s="35"/>
      <c r="E2" s="35"/>
      <c r="F2" s="35"/>
      <c r="G2" s="35"/>
      <c r="H2" s="36"/>
      <c r="I2" s="35"/>
      <c r="J2" s="35"/>
      <c r="K2" s="35"/>
      <c r="L2" s="35"/>
      <c r="M2" s="35"/>
      <c r="N2" s="35"/>
      <c r="O2" s="35"/>
      <c r="P2" s="35"/>
    </row>
    <row r="3" spans="1:38" s="34" customFormat="1" ht="18.75" x14ac:dyDescent="0.25">
      <c r="B3" s="38" t="s">
        <v>163</v>
      </c>
      <c r="C3" s="35"/>
      <c r="D3" s="35"/>
      <c r="E3" s="35"/>
      <c r="F3" s="35"/>
      <c r="G3" s="35"/>
      <c r="H3" s="36"/>
      <c r="I3" s="35"/>
      <c r="J3" s="35"/>
      <c r="K3" s="35"/>
      <c r="L3" s="35"/>
      <c r="M3" s="35"/>
      <c r="N3" s="35"/>
      <c r="O3" s="35"/>
      <c r="P3" s="35"/>
    </row>
    <row r="4" spans="1:38" s="34" customFormat="1" ht="5.0999999999999996" customHeight="1" x14ac:dyDescent="0.25">
      <c r="B4" s="35"/>
      <c r="C4" s="35"/>
      <c r="D4" s="35"/>
      <c r="E4" s="35"/>
      <c r="F4" s="35"/>
      <c r="G4" s="35"/>
      <c r="H4" s="557"/>
      <c r="I4" s="557"/>
      <c r="J4" s="557"/>
      <c r="K4" s="557"/>
      <c r="L4" s="557"/>
      <c r="M4" s="35"/>
      <c r="N4" s="35"/>
      <c r="O4" s="35"/>
      <c r="P4" s="35"/>
    </row>
    <row r="5" spans="1:38" x14ac:dyDescent="0.25">
      <c r="A5" s="34"/>
      <c r="B5" s="46" t="s">
        <v>162</v>
      </c>
      <c r="C5" s="52" t="s">
        <v>21</v>
      </c>
      <c r="D5" s="52" t="s">
        <v>25</v>
      </c>
      <c r="E5" s="52" t="s">
        <v>161</v>
      </c>
      <c r="F5" s="52" t="s">
        <v>160</v>
      </c>
      <c r="G5" s="52" t="s">
        <v>377</v>
      </c>
      <c r="H5" s="52" t="s">
        <v>159</v>
      </c>
      <c r="I5" s="52" t="s">
        <v>158</v>
      </c>
      <c r="J5" s="52" t="s">
        <v>157</v>
      </c>
      <c r="K5" s="52" t="s">
        <v>156</v>
      </c>
      <c r="L5" s="52" t="s">
        <v>155</v>
      </c>
      <c r="M5" s="51" t="s">
        <v>374</v>
      </c>
      <c r="N5" s="35"/>
      <c r="O5" s="35"/>
      <c r="P5" s="35"/>
      <c r="Q5" s="34"/>
      <c r="R5" s="34"/>
      <c r="S5" s="34"/>
      <c r="T5" s="34"/>
      <c r="U5" s="34"/>
      <c r="V5" s="34"/>
      <c r="W5" s="34"/>
      <c r="X5" s="34"/>
      <c r="Y5" s="34"/>
      <c r="Z5" s="34"/>
      <c r="AA5" s="34"/>
      <c r="AB5" s="34"/>
      <c r="AC5" s="34"/>
      <c r="AD5" s="34"/>
      <c r="AE5" s="34"/>
      <c r="AF5" s="34"/>
      <c r="AG5" s="34"/>
      <c r="AH5" s="34"/>
      <c r="AI5" s="34"/>
      <c r="AJ5" s="34"/>
      <c r="AK5" s="34"/>
      <c r="AL5" s="34"/>
    </row>
    <row r="6" spans="1:38" ht="24.95" customHeight="1" x14ac:dyDescent="0.25">
      <c r="A6" s="34"/>
      <c r="B6" s="171"/>
      <c r="C6" s="172"/>
      <c r="D6" s="172"/>
      <c r="E6" s="173"/>
      <c r="F6" s="173"/>
      <c r="G6" s="172"/>
      <c r="H6" s="174"/>
      <c r="I6" s="172"/>
      <c r="J6" s="172"/>
      <c r="K6" s="172"/>
      <c r="L6" s="172"/>
      <c r="M6" s="175"/>
      <c r="N6" s="35"/>
      <c r="O6" s="35"/>
      <c r="P6" s="35"/>
      <c r="Q6" s="34"/>
      <c r="R6" s="34"/>
      <c r="S6" s="34"/>
      <c r="T6" s="34"/>
      <c r="U6" s="34"/>
      <c r="V6" s="34"/>
      <c r="W6" s="34"/>
      <c r="X6" s="34"/>
      <c r="Y6" s="34"/>
      <c r="Z6" s="34"/>
      <c r="AA6" s="34"/>
      <c r="AB6" s="34"/>
      <c r="AC6" s="34"/>
      <c r="AD6" s="34"/>
      <c r="AE6" s="34"/>
      <c r="AF6" s="34"/>
      <c r="AG6" s="34"/>
      <c r="AH6" s="34"/>
      <c r="AI6" s="34"/>
      <c r="AJ6" s="34"/>
      <c r="AK6" s="34"/>
      <c r="AL6" s="34"/>
    </row>
    <row r="7" spans="1:38" ht="24.95" customHeight="1" x14ac:dyDescent="0.25">
      <c r="A7" s="34"/>
      <c r="B7" s="505"/>
      <c r="C7" s="506"/>
      <c r="D7" s="506"/>
      <c r="E7" s="507"/>
      <c r="F7" s="507"/>
      <c r="G7" s="506"/>
      <c r="H7" s="508"/>
      <c r="I7" s="506"/>
      <c r="J7" s="506"/>
      <c r="K7" s="506"/>
      <c r="L7" s="506"/>
      <c r="M7" s="88"/>
      <c r="N7" s="35"/>
      <c r="O7" s="35"/>
      <c r="P7" s="35"/>
      <c r="Q7" s="34"/>
      <c r="R7" s="34"/>
      <c r="S7" s="34"/>
      <c r="T7" s="34"/>
      <c r="U7" s="34"/>
      <c r="V7" s="34"/>
      <c r="W7" s="34"/>
      <c r="X7" s="34"/>
      <c r="Y7" s="34"/>
      <c r="Z7" s="34"/>
      <c r="AA7" s="34"/>
      <c r="AB7" s="34"/>
      <c r="AC7" s="34"/>
      <c r="AD7" s="34"/>
      <c r="AE7" s="34"/>
      <c r="AF7" s="34"/>
      <c r="AG7" s="34"/>
      <c r="AH7" s="34"/>
      <c r="AI7" s="34"/>
      <c r="AJ7" s="34"/>
      <c r="AK7" s="34"/>
      <c r="AL7" s="34"/>
    </row>
    <row r="8" spans="1:38" ht="24.95" customHeight="1" x14ac:dyDescent="0.25">
      <c r="A8" s="34"/>
      <c r="B8" s="505"/>
      <c r="C8" s="506"/>
      <c r="D8" s="506"/>
      <c r="E8" s="507"/>
      <c r="F8" s="507"/>
      <c r="G8" s="506"/>
      <c r="H8" s="508"/>
      <c r="I8" s="506"/>
      <c r="J8" s="506"/>
      <c r="K8" s="506"/>
      <c r="L8" s="506"/>
      <c r="M8" s="88"/>
      <c r="N8" s="35"/>
      <c r="O8" s="35"/>
      <c r="P8" s="35"/>
      <c r="Q8" s="34"/>
      <c r="R8" s="34"/>
      <c r="S8" s="34"/>
      <c r="T8" s="34"/>
      <c r="U8" s="34"/>
      <c r="V8" s="34"/>
      <c r="W8" s="34"/>
      <c r="X8" s="34"/>
      <c r="Y8" s="34"/>
      <c r="Z8" s="34"/>
      <c r="AA8" s="34"/>
      <c r="AB8" s="34"/>
      <c r="AC8" s="34"/>
      <c r="AD8" s="34"/>
      <c r="AE8" s="34"/>
      <c r="AF8" s="34"/>
      <c r="AG8" s="34"/>
      <c r="AH8" s="34"/>
      <c r="AI8" s="34"/>
      <c r="AJ8" s="34"/>
      <c r="AK8" s="34"/>
      <c r="AL8" s="34"/>
    </row>
    <row r="9" spans="1:38" ht="24.95" customHeight="1" x14ac:dyDescent="0.25">
      <c r="A9" s="34"/>
      <c r="B9" s="505"/>
      <c r="C9" s="506"/>
      <c r="D9" s="506"/>
      <c r="E9" s="507"/>
      <c r="F9" s="507"/>
      <c r="G9" s="506"/>
      <c r="H9" s="508"/>
      <c r="I9" s="506"/>
      <c r="J9" s="506"/>
      <c r="K9" s="506"/>
      <c r="L9" s="506"/>
      <c r="M9" s="88"/>
      <c r="N9" s="35"/>
      <c r="O9" s="35"/>
      <c r="P9" s="35"/>
      <c r="Q9" s="34"/>
      <c r="R9" s="34"/>
      <c r="S9" s="34"/>
      <c r="T9" s="34"/>
      <c r="U9" s="34"/>
      <c r="V9" s="34"/>
      <c r="W9" s="34"/>
      <c r="X9" s="34"/>
      <c r="Y9" s="34"/>
      <c r="Z9" s="34"/>
      <c r="AA9" s="34"/>
      <c r="AB9" s="34"/>
      <c r="AC9" s="34"/>
      <c r="AD9" s="34"/>
      <c r="AE9" s="34"/>
      <c r="AF9" s="34"/>
      <c r="AG9" s="34"/>
      <c r="AH9" s="34"/>
      <c r="AI9" s="34"/>
      <c r="AJ9" s="34"/>
      <c r="AK9" s="34"/>
      <c r="AL9" s="34"/>
    </row>
    <row r="10" spans="1:38" ht="24.95" customHeight="1" x14ac:dyDescent="0.25">
      <c r="A10" s="34"/>
      <c r="B10" s="505"/>
      <c r="C10" s="506"/>
      <c r="D10" s="506"/>
      <c r="E10" s="507"/>
      <c r="F10" s="507"/>
      <c r="G10" s="506"/>
      <c r="H10" s="508"/>
      <c r="I10" s="506"/>
      <c r="J10" s="506"/>
      <c r="K10" s="506"/>
      <c r="L10" s="506"/>
      <c r="M10" s="88"/>
      <c r="N10" s="35"/>
      <c r="O10" s="35"/>
      <c r="P10" s="35"/>
      <c r="Q10" s="34"/>
      <c r="R10" s="34"/>
      <c r="S10" s="34"/>
      <c r="T10" s="34"/>
      <c r="U10" s="34"/>
      <c r="V10" s="34"/>
      <c r="W10" s="34"/>
      <c r="X10" s="34"/>
      <c r="Y10" s="34"/>
      <c r="Z10" s="34"/>
      <c r="AA10" s="34"/>
      <c r="AB10" s="34"/>
      <c r="AC10" s="34"/>
      <c r="AD10" s="34"/>
      <c r="AE10" s="34"/>
      <c r="AF10" s="34"/>
      <c r="AG10" s="34"/>
      <c r="AH10" s="34"/>
      <c r="AI10" s="34"/>
      <c r="AJ10" s="34"/>
      <c r="AK10" s="34"/>
      <c r="AL10" s="34"/>
    </row>
    <row r="11" spans="1:38" s="34" customFormat="1" ht="30" customHeight="1" x14ac:dyDescent="0.25">
      <c r="H11" s="50"/>
      <c r="I11" s="35"/>
      <c r="J11" s="35"/>
      <c r="K11" s="35"/>
      <c r="L11" s="35"/>
      <c r="M11" s="35"/>
      <c r="N11" s="35"/>
      <c r="O11" s="35"/>
      <c r="P11" s="35"/>
    </row>
    <row r="12" spans="1:38" s="34" customFormat="1" ht="18.75" x14ac:dyDescent="0.25">
      <c r="B12" s="38" t="s">
        <v>154</v>
      </c>
      <c r="F12" s="512">
        <f>SUM(F15:F19)</f>
        <v>0</v>
      </c>
      <c r="H12" s="517">
        <f>SUM(H15:H19)</f>
        <v>0</v>
      </c>
      <c r="I12" s="35"/>
      <c r="J12" s="35"/>
      <c r="K12" s="35"/>
      <c r="L12" s="35"/>
      <c r="M12" s="35"/>
      <c r="N12" s="35"/>
      <c r="O12" s="35"/>
      <c r="P12" s="35"/>
    </row>
    <row r="13" spans="1:38" s="34" customFormat="1" ht="5.0999999999999996" customHeight="1" x14ac:dyDescent="0.25">
      <c r="A13" s="35"/>
      <c r="B13" s="35"/>
      <c r="C13" s="35"/>
      <c r="D13" s="35"/>
      <c r="E13" s="35"/>
      <c r="F13" s="35"/>
      <c r="G13" s="35"/>
      <c r="H13" s="50"/>
      <c r="I13" s="35"/>
      <c r="J13" s="35"/>
      <c r="K13" s="35"/>
      <c r="L13" s="35"/>
      <c r="M13" s="35"/>
      <c r="N13" s="35"/>
      <c r="O13" s="35"/>
      <c r="P13" s="35"/>
    </row>
    <row r="14" spans="1:38" x14ac:dyDescent="0.25">
      <c r="A14" s="34"/>
      <c r="B14" s="46" t="s">
        <v>153</v>
      </c>
      <c r="C14" s="40" t="s">
        <v>292</v>
      </c>
      <c r="D14" s="40" t="s">
        <v>152</v>
      </c>
      <c r="E14" s="40" t="s">
        <v>57</v>
      </c>
      <c r="F14" s="40" t="s">
        <v>151</v>
      </c>
      <c r="G14" s="40" t="s">
        <v>150</v>
      </c>
      <c r="H14" s="40" t="s">
        <v>140</v>
      </c>
      <c r="I14" s="40" t="s">
        <v>139</v>
      </c>
      <c r="J14" s="558" t="s">
        <v>138</v>
      </c>
      <c r="K14" s="558"/>
      <c r="L14" s="558"/>
      <c r="M14" s="558"/>
      <c r="N14" s="558"/>
      <c r="O14" s="558"/>
      <c r="P14" s="558"/>
      <c r="Q14" s="558"/>
      <c r="R14" s="558"/>
      <c r="S14" s="558"/>
      <c r="T14" s="558"/>
      <c r="U14" s="558"/>
      <c r="V14" s="558"/>
      <c r="W14" s="558"/>
      <c r="X14" s="558"/>
      <c r="Y14" s="559"/>
      <c r="Z14" s="34"/>
      <c r="AA14" s="34"/>
      <c r="AB14" s="34"/>
      <c r="AC14" s="34"/>
      <c r="AD14" s="34"/>
      <c r="AE14" s="34"/>
      <c r="AF14" s="34"/>
      <c r="AG14" s="34"/>
      <c r="AH14" s="34"/>
      <c r="AI14" s="34"/>
      <c r="AJ14" s="34"/>
      <c r="AK14" s="34"/>
      <c r="AL14" s="34"/>
    </row>
    <row r="15" spans="1:38" ht="24.95" customHeight="1" x14ac:dyDescent="0.25">
      <c r="A15" s="34"/>
      <c r="B15" s="176"/>
      <c r="C15" s="177"/>
      <c r="D15" s="514" t="str">
        <f>IF(OR(B6=0,B6=""),"",IF(ROUND(IFERROR(IF(((Adubação!$B15-E6)*G6)/Adubação!$C15&lt;0,0,((Adubação!$B15-E6)*G6)/Adubação!$C15),"S/ infos"),1)&lt;1,0,ROUND(IFERROR(IF(((Adubação!$B15-E6)*G6)/Adubação!$C15&lt;0,0,((Adubação!$B15-E6)*G6)/Adubação!$C15),"S/ infos"),1)))</f>
        <v/>
      </c>
      <c r="E15" s="49" t="str">
        <f>IFERROR(IF((I6/J6)&gt;=3,"Dolomítico",IF((I6/J6)&lt;=3,"Magnesiano","")),"")</f>
        <v/>
      </c>
      <c r="F15" s="515" t="str">
        <f>IF(OR(B6=0,B6=""),"",ROUND(IFERROR((D15*C6),""),1))</f>
        <v/>
      </c>
      <c r="G15" s="178"/>
      <c r="H15" s="509">
        <f>IFERROR(G15*F15,0)</f>
        <v>0</v>
      </c>
      <c r="I15" s="509">
        <f>IFERROR(Adubação!$H15/C6,0)</f>
        <v>0</v>
      </c>
      <c r="J15" s="553" t="str">
        <f>IF(Adubação!$D15="","",IF(Adubação!$F15=0,"Não precisa de calcário.",IF(Adubação!$D15&gt;2,"Se o pasto já estiver formado, distribuir apenas 2 Ton/hectare de Calcário "&amp;Adubação!$E15&amp;". Se for incorporar, distribuir "&amp;Adubação!$D15&amp;" ton/ha. Pelo menos 60 dias antes do plantio ou das chuvas.","Distribuir "&amp;Adubação!$D15&amp;" Ton/hectare de Calcário "&amp;Adubação!$E15&amp;" pelo menos 60 dias antes do plantio ou início das chuvas.")))</f>
        <v/>
      </c>
      <c r="K15" s="553"/>
      <c r="L15" s="553"/>
      <c r="M15" s="553"/>
      <c r="N15" s="553"/>
      <c r="O15" s="553"/>
      <c r="P15" s="553"/>
      <c r="Q15" s="553"/>
      <c r="R15" s="553"/>
      <c r="S15" s="553"/>
      <c r="T15" s="553"/>
      <c r="U15" s="553"/>
      <c r="V15" s="553"/>
      <c r="W15" s="553"/>
      <c r="X15" s="553"/>
      <c r="Y15" s="554"/>
      <c r="Z15" s="34"/>
      <c r="AA15" s="34"/>
      <c r="AB15" s="34"/>
      <c r="AC15" s="34"/>
      <c r="AD15" s="34"/>
      <c r="AE15" s="34"/>
      <c r="AF15" s="34"/>
      <c r="AG15" s="34"/>
      <c r="AH15" s="34"/>
      <c r="AI15" s="34"/>
      <c r="AJ15" s="34"/>
      <c r="AK15" s="34"/>
      <c r="AL15" s="34"/>
    </row>
    <row r="16" spans="1:38" ht="24.95" customHeight="1" x14ac:dyDescent="0.25">
      <c r="A16" s="34"/>
      <c r="B16" s="176"/>
      <c r="C16" s="177"/>
      <c r="D16" s="514" t="str">
        <f>IF(OR(B7=0,B7=""),"",IF(ROUND(IFERROR(IF(((Adubação!$B16-E7)*G7)/Adubação!$C16&lt;0,0,((Adubação!$B16-E7)*G7)/Adubação!$C16),"S/ infos"),1)&lt;1,0,ROUND(IFERROR(IF(((Adubação!$B16-E7)*G7)/Adubação!$C16&lt;0,0,((Adubação!$B16-E7)*G7)/Adubação!$C16),"S/ infos"),1)))</f>
        <v/>
      </c>
      <c r="E16" s="49" t="str">
        <f>IFERROR(IF((I7/J7)&gt;=3,"Dolomítico",IF((I7/J7)&lt;=3,"Magnesiano","")),"")</f>
        <v/>
      </c>
      <c r="F16" s="515" t="str">
        <f>IF(OR(B7=0,B7=""),"",ROUND(IFERROR((D16*C7),""),1))</f>
        <v/>
      </c>
      <c r="G16" s="178"/>
      <c r="H16" s="509">
        <f t="shared" ref="H16:H19" si="0">IFERROR(G16*F16,0)</f>
        <v>0</v>
      </c>
      <c r="I16" s="509">
        <f>IFERROR(Adubação!$H16/C7,0)</f>
        <v>0</v>
      </c>
      <c r="J16" s="553" t="str">
        <f>IF(Adubação!$D16="","",IF(Adubação!$F16=0,"Não precisa de calcário.",IF(Adubação!$D16&gt;2,"Se o pasto já estiver formado, distribuir apenas 2 Ton/hectare de Calcário "&amp;Adubação!$E16&amp;". Se for incorporar, distribuir "&amp;Adubação!$D16&amp;" ton/ha. Pelo menos 60 dias antes do plantio ou das chuvas.","Distribuir "&amp;Adubação!$D16&amp;" Ton/hectare de Calcário "&amp;Adubação!$E16&amp;" pelo menos 60 dias antes do plantio ou início das chuvas.")))</f>
        <v/>
      </c>
      <c r="K16" s="553"/>
      <c r="L16" s="553"/>
      <c r="M16" s="553"/>
      <c r="N16" s="553"/>
      <c r="O16" s="553"/>
      <c r="P16" s="553"/>
      <c r="Q16" s="553"/>
      <c r="R16" s="553"/>
      <c r="S16" s="553"/>
      <c r="T16" s="553"/>
      <c r="U16" s="553"/>
      <c r="V16" s="553"/>
      <c r="W16" s="553"/>
      <c r="X16" s="553"/>
      <c r="Y16" s="554"/>
      <c r="Z16" s="34"/>
      <c r="AA16" s="34"/>
      <c r="AB16" s="34"/>
      <c r="AC16" s="34"/>
      <c r="AD16" s="34"/>
      <c r="AE16" s="34"/>
      <c r="AF16" s="34"/>
      <c r="AG16" s="34"/>
      <c r="AH16" s="34"/>
      <c r="AI16" s="34"/>
      <c r="AJ16" s="34"/>
      <c r="AK16" s="34"/>
      <c r="AL16" s="34"/>
    </row>
    <row r="17" spans="1:39" ht="24.95" customHeight="1" x14ac:dyDescent="0.25">
      <c r="A17" s="34"/>
      <c r="B17" s="176"/>
      <c r="C17" s="177"/>
      <c r="D17" s="514" t="str">
        <f>IF(OR(B8=0,B8=""),"",IF(ROUND(IFERROR(IF(((Adubação!$B17-E8)*G8)/Adubação!$C17&lt;0,0,((Adubação!$B17-E8)*G8)/Adubação!$C17),"S/ infos"),1)&lt;1,0,ROUND(IFERROR(IF(((Adubação!$B17-E8)*G8)/Adubação!$C17&lt;0,0,((Adubação!$B17-E8)*G8)/Adubação!$C17),"S/ infos"),1)))</f>
        <v/>
      </c>
      <c r="E17" s="49" t="str">
        <f>IFERROR(IF((I8/J8)&gt;=3,"Dolomítico",IF((I8/J8)&lt;=3,"Magnesiano","")),"")</f>
        <v/>
      </c>
      <c r="F17" s="515" t="str">
        <f>IF(OR(B8=0,B8=""),"",ROUND(IFERROR((D17*C8),""),1))</f>
        <v/>
      </c>
      <c r="G17" s="178"/>
      <c r="H17" s="509">
        <f t="shared" si="0"/>
        <v>0</v>
      </c>
      <c r="I17" s="509">
        <f>IFERROR(Adubação!$H17/C8,0)</f>
        <v>0</v>
      </c>
      <c r="J17" s="553" t="str">
        <f>IF(Adubação!$D17="","",IF(Adubação!$F17=0,"Não precisa de calcário.",IF(Adubação!$D17&gt;2,"Se o pasto já estiver formado, distribuir apenas 2 Ton/hectare de Calcário "&amp;Adubação!$E17&amp;". Se for incorporar, distribuir "&amp;Adubação!$D17&amp;" ton/ha. Pelo menos 60 dias antes do plantio ou das chuvas.","Distribuir "&amp;Adubação!$D17&amp;" Ton/hectare de Calcário "&amp;Adubação!$E17&amp;" pelo menos 60 dias antes do plantio ou início das chuvas.")))</f>
        <v/>
      </c>
      <c r="K17" s="553"/>
      <c r="L17" s="553"/>
      <c r="M17" s="553"/>
      <c r="N17" s="553"/>
      <c r="O17" s="553"/>
      <c r="P17" s="553"/>
      <c r="Q17" s="553"/>
      <c r="R17" s="553"/>
      <c r="S17" s="553"/>
      <c r="T17" s="553"/>
      <c r="U17" s="553"/>
      <c r="V17" s="553"/>
      <c r="W17" s="553"/>
      <c r="X17" s="553"/>
      <c r="Y17" s="554"/>
      <c r="Z17" s="34"/>
      <c r="AA17" s="34"/>
      <c r="AB17" s="34"/>
      <c r="AC17" s="34"/>
      <c r="AD17" s="34"/>
      <c r="AE17" s="34"/>
      <c r="AF17" s="34"/>
      <c r="AG17" s="34"/>
      <c r="AH17" s="34"/>
      <c r="AI17" s="34"/>
      <c r="AJ17" s="34"/>
      <c r="AK17" s="34"/>
      <c r="AL17" s="34"/>
    </row>
    <row r="18" spans="1:39" ht="24.95" customHeight="1" x14ac:dyDescent="0.25">
      <c r="A18" s="34"/>
      <c r="B18" s="176"/>
      <c r="C18" s="177"/>
      <c r="D18" s="514" t="str">
        <f>IF(OR(B9=0,B9=""),"",IF(ROUND(IFERROR(IF(((Adubação!$B18-E9)*G9)/Adubação!$C18&lt;0,0,((Adubação!$B18-E9)*G9)/Adubação!$C18),"S/ infos"),1)&lt;1,0,ROUND(IFERROR(IF(((Adubação!$B18-E9)*G9)/Adubação!$C18&lt;0,0,((Adubação!$B18-E9)*G9)/Adubação!$C18),"S/ infos"),1)))</f>
        <v/>
      </c>
      <c r="E18" s="49" t="str">
        <f>IFERROR(IF((I9/J9)&gt;=3,"Dolomítico",IF((I9/J9)&lt;=3,"Magnesiano","")),"")</f>
        <v/>
      </c>
      <c r="F18" s="515" t="str">
        <f>IF(OR(B9=0,B9=""),"",ROUND(IFERROR((D18*C9),""),1))</f>
        <v/>
      </c>
      <c r="G18" s="178"/>
      <c r="H18" s="509">
        <f t="shared" si="0"/>
        <v>0</v>
      </c>
      <c r="I18" s="509">
        <f>IFERROR(Adubação!$H18/C9,0)</f>
        <v>0</v>
      </c>
      <c r="J18" s="553" t="str">
        <f>IF(Adubação!$D18="","",IF(Adubação!$F18=0,"Não precisa de calcário.",IF(Adubação!$D18&gt;2,"Se o pasto já estiver formado, distribuir apenas 2 Ton/hectare de Calcário "&amp;Adubação!$E18&amp;". Se for incorporar, distribuir "&amp;Adubação!$D18&amp;" ton/ha. Pelo menos 60 dias antes do plantio ou das chuvas.","Distribuir "&amp;Adubação!$D18&amp;" Ton/hectare de Calcário "&amp;Adubação!$E18&amp;" pelo menos 60 dias antes do plantio ou início das chuvas.")))</f>
        <v/>
      </c>
      <c r="K18" s="553"/>
      <c r="L18" s="553"/>
      <c r="M18" s="553"/>
      <c r="N18" s="553"/>
      <c r="O18" s="553"/>
      <c r="P18" s="553"/>
      <c r="Q18" s="553"/>
      <c r="R18" s="553"/>
      <c r="S18" s="553"/>
      <c r="T18" s="553"/>
      <c r="U18" s="553"/>
      <c r="V18" s="553"/>
      <c r="W18" s="553"/>
      <c r="X18" s="553"/>
      <c r="Y18" s="554"/>
      <c r="Z18" s="34"/>
      <c r="AA18" s="34"/>
      <c r="AB18" s="34"/>
      <c r="AC18" s="34"/>
      <c r="AD18" s="34"/>
      <c r="AE18" s="34"/>
      <c r="AF18" s="34"/>
      <c r="AG18" s="34"/>
      <c r="AH18" s="34"/>
      <c r="AI18" s="34"/>
      <c r="AJ18" s="34"/>
      <c r="AK18" s="34"/>
      <c r="AL18" s="34"/>
    </row>
    <row r="19" spans="1:39" ht="24.95" customHeight="1" x14ac:dyDescent="0.25">
      <c r="A19" s="34"/>
      <c r="B19" s="176"/>
      <c r="C19" s="177"/>
      <c r="D19" s="514" t="str">
        <f>IF(OR(B10=0,B10=""),"",IF(ROUND(IFERROR(IF(((Adubação!$B19-E10)*G10)/Adubação!$C19&lt;0,0,((Adubação!$B19-E10)*G10)/Adubação!$C19),"S/ infos"),1)&lt;1,0,ROUND(IFERROR(IF(((Adubação!$B19-E10)*G10)/Adubação!$C19&lt;0,0,((Adubação!$B19-E10)*G10)/Adubação!$C19),"S/ infos"),1)))</f>
        <v/>
      </c>
      <c r="E19" s="49" t="str">
        <f>IFERROR(IF((I10/J10)&gt;=3,"Dolomítico",IF((I10/J10)&lt;=3,"Magnesiano","")),"")</f>
        <v/>
      </c>
      <c r="F19" s="515" t="str">
        <f>IF(OR(B10=0,B10=""),"",ROUND(IFERROR((D19*C10),""),1))</f>
        <v/>
      </c>
      <c r="G19" s="178"/>
      <c r="H19" s="509">
        <f t="shared" si="0"/>
        <v>0</v>
      </c>
      <c r="I19" s="509">
        <f>IFERROR(Adubação!$H19/C10,0)</f>
        <v>0</v>
      </c>
      <c r="J19" s="553" t="str">
        <f>IF(Adubação!$D19="","",IF(Adubação!$F19=0,"Não precisa de calcário.",IF(Adubação!$D19&gt;2,"Se o pasto já estiver formado, distribuir apenas 2 Ton/hectare de Calcário "&amp;Adubação!$E19&amp;". Se for incorporar, distribuir "&amp;Adubação!$D19&amp;" ton/ha. Pelo menos 60 dias antes do plantio ou das chuvas.","Distribuir "&amp;Adubação!$D19&amp;" Ton/hectare de Calcário "&amp;Adubação!$E19&amp;" pelo menos 60 dias antes do plantio ou início das chuvas.")))</f>
        <v/>
      </c>
      <c r="K19" s="553"/>
      <c r="L19" s="553"/>
      <c r="M19" s="553"/>
      <c r="N19" s="553"/>
      <c r="O19" s="553"/>
      <c r="P19" s="553"/>
      <c r="Q19" s="553"/>
      <c r="R19" s="553"/>
      <c r="S19" s="553"/>
      <c r="T19" s="553"/>
      <c r="U19" s="553"/>
      <c r="V19" s="553"/>
      <c r="W19" s="553"/>
      <c r="X19" s="553"/>
      <c r="Y19" s="554"/>
      <c r="Z19" s="34"/>
      <c r="AA19" s="34"/>
      <c r="AB19" s="34"/>
      <c r="AC19" s="34"/>
      <c r="AD19" s="34"/>
      <c r="AE19" s="34"/>
      <c r="AF19" s="34"/>
      <c r="AG19" s="34"/>
      <c r="AH19" s="34"/>
      <c r="AI19" s="34"/>
      <c r="AJ19" s="34"/>
      <c r="AK19" s="34"/>
      <c r="AL19" s="34"/>
    </row>
    <row r="20" spans="1:39" s="34" customFormat="1" x14ac:dyDescent="0.25">
      <c r="B20" s="48" t="s">
        <v>149</v>
      </c>
      <c r="C20" s="35"/>
      <c r="J20" s="47"/>
      <c r="K20" s="35"/>
      <c r="L20" s="35"/>
      <c r="M20" s="35"/>
      <c r="N20" s="35"/>
      <c r="O20" s="35"/>
      <c r="P20" s="35"/>
    </row>
    <row r="21" spans="1:39" s="34" customFormat="1" ht="30" customHeight="1" x14ac:dyDescent="0.25">
      <c r="B21" s="35"/>
      <c r="C21" s="35"/>
      <c r="J21" s="47"/>
      <c r="K21" s="35"/>
      <c r="L21" s="35"/>
      <c r="M21" s="35"/>
      <c r="N21" s="35"/>
      <c r="O21" s="35"/>
      <c r="P21" s="35"/>
    </row>
    <row r="22" spans="1:39" s="34" customFormat="1" ht="18.75" x14ac:dyDescent="0.25">
      <c r="B22" s="38" t="s">
        <v>62</v>
      </c>
      <c r="C22" s="35"/>
      <c r="D22" s="35"/>
      <c r="E22" s="35"/>
      <c r="F22" s="511">
        <f>SUM(F25:F29)</f>
        <v>0</v>
      </c>
      <c r="G22" s="35"/>
      <c r="H22" s="517">
        <f>SUM(H25:H29)</f>
        <v>0</v>
      </c>
      <c r="I22" s="35"/>
      <c r="J22" s="35"/>
      <c r="K22" s="58"/>
      <c r="L22" s="35"/>
      <c r="O22" s="35"/>
      <c r="P22" s="35"/>
    </row>
    <row r="23" spans="1:39" s="34" customFormat="1" ht="5.0999999999999996" customHeight="1" x14ac:dyDescent="0.25">
      <c r="B23" s="35"/>
      <c r="C23" s="35"/>
      <c r="D23" s="35"/>
      <c r="E23" s="35"/>
      <c r="F23" s="35"/>
      <c r="G23" s="35"/>
      <c r="H23" s="36"/>
      <c r="I23" s="35"/>
      <c r="J23" s="35"/>
      <c r="K23" s="35"/>
      <c r="L23" s="35"/>
      <c r="O23" s="35"/>
      <c r="P23" s="35"/>
    </row>
    <row r="24" spans="1:39" x14ac:dyDescent="0.25">
      <c r="A24" s="34"/>
      <c r="B24" s="46" t="s">
        <v>148</v>
      </c>
      <c r="C24" s="40" t="s">
        <v>143</v>
      </c>
      <c r="D24" s="40" t="s">
        <v>145</v>
      </c>
      <c r="E24" s="40" t="s">
        <v>293</v>
      </c>
      <c r="F24" s="40" t="s">
        <v>151</v>
      </c>
      <c r="G24" s="45" t="s">
        <v>141</v>
      </c>
      <c r="H24" s="45" t="s">
        <v>140</v>
      </c>
      <c r="I24" s="45" t="s">
        <v>139</v>
      </c>
      <c r="J24" s="558" t="s">
        <v>138</v>
      </c>
      <c r="K24" s="558"/>
      <c r="L24" s="558"/>
      <c r="M24" s="558"/>
      <c r="N24" s="558"/>
      <c r="O24" s="558"/>
      <c r="P24" s="558"/>
      <c r="Q24" s="558"/>
      <c r="R24" s="558"/>
      <c r="S24" s="558"/>
      <c r="T24" s="558"/>
      <c r="U24" s="558"/>
      <c r="V24" s="558"/>
      <c r="W24" s="558"/>
      <c r="X24" s="558"/>
      <c r="Y24" s="558"/>
      <c r="Z24" s="559"/>
      <c r="AA24" s="34"/>
      <c r="AB24" s="34"/>
      <c r="AC24" s="34"/>
      <c r="AD24" s="34"/>
      <c r="AE24" s="34"/>
      <c r="AF24" s="34"/>
      <c r="AG24" s="34"/>
      <c r="AH24" s="34"/>
      <c r="AI24" s="34"/>
      <c r="AJ24" s="34"/>
      <c r="AK24" s="34"/>
      <c r="AL24" s="34"/>
      <c r="AM24" s="34"/>
    </row>
    <row r="25" spans="1:39" ht="24.95" customHeight="1" x14ac:dyDescent="0.25">
      <c r="A25" s="34"/>
      <c r="B25" s="179"/>
      <c r="C25" s="172"/>
      <c r="D25" s="513" t="str">
        <f>IFERROR((IF(D6&lt;=5,40,50))*D6/B25,"Falta %N")</f>
        <v>Falta %N</v>
      </c>
      <c r="E25" s="180"/>
      <c r="F25" s="516" t="str">
        <f>IFERROR(IF(OR(B$6=0,B$6=""),"",ROUND(IFERROR(((E25*C$6)/1000),""),1)),"")</f>
        <v/>
      </c>
      <c r="G25" s="181"/>
      <c r="H25" s="39" t="str">
        <f>IF(G25="","0",IFERROR(G25*E25*C6,"Falta R$/kg"))</f>
        <v>0</v>
      </c>
      <c r="I25" s="39">
        <f>IFERROR(Adubação!$H25/C6,0)</f>
        <v>0</v>
      </c>
      <c r="J25" s="555" t="str">
        <f>IF(Adubação!$D25=0,"",IF(Adubação!$E25&gt;0,IFERROR("Parcelar a adubação em "&amp;I30&amp;" vezes, durante o período da chuva, sendo uma aplicação a cada "&amp;ROUND(Adubação!M6/I30,0)&amp;" dias, aplicando "&amp;J30&amp;" kg/ha de "&amp;C25&amp;" por aplicação.","Informações incompletas para gerar o relatório."),IFERROR("Parcelar a adubação em "&amp;IF(#REF!&gt;180,4,3)&amp;" vezes, durante o período da chuva, aplicando "&amp;ROUND(IF(#REF!&gt;180,D25/4,D25/3),0)&amp;" kg/ha de "&amp;C25&amp;" por aplicação.","Informações incompletas para gerar o relatório.")))</f>
        <v>Informações incompletas para gerar o relatório.</v>
      </c>
      <c r="K25" s="555"/>
      <c r="L25" s="555"/>
      <c r="M25" s="555"/>
      <c r="N25" s="555"/>
      <c r="O25" s="555"/>
      <c r="P25" s="555"/>
      <c r="Q25" s="555"/>
      <c r="R25" s="555"/>
      <c r="S25" s="555"/>
      <c r="T25" s="555"/>
      <c r="U25" s="555"/>
      <c r="V25" s="555"/>
      <c r="W25" s="555"/>
      <c r="X25" s="555"/>
      <c r="Y25" s="555"/>
      <c r="Z25" s="556"/>
      <c r="AA25" s="34"/>
      <c r="AB25" s="34"/>
      <c r="AC25" s="34"/>
      <c r="AD25" s="34"/>
      <c r="AE25" s="34"/>
      <c r="AF25" s="34"/>
      <c r="AG25" s="34"/>
      <c r="AH25" s="34"/>
      <c r="AI25" s="34"/>
      <c r="AJ25" s="34"/>
      <c r="AK25" s="34"/>
      <c r="AL25" s="34"/>
      <c r="AM25" s="34"/>
    </row>
    <row r="26" spans="1:39" ht="24.95" customHeight="1" x14ac:dyDescent="0.25">
      <c r="A26" s="34"/>
      <c r="B26" s="179"/>
      <c r="C26" s="172"/>
      <c r="D26" s="513" t="str">
        <f>IFERROR((IF(D7&lt;=5,40,50))*D7/B26,"Falta %N")</f>
        <v>Falta %N</v>
      </c>
      <c r="E26" s="180"/>
      <c r="F26" s="516" t="str">
        <f t="shared" ref="F26:F29" si="1">IFERROR(IF(OR(B$6=0,B$6=""),"",ROUND(IFERROR(((E26*C$6)/1000),""),1)),"")</f>
        <v/>
      </c>
      <c r="G26" s="181"/>
      <c r="H26" s="39" t="str">
        <f t="shared" ref="H26:H29" si="2">IF(G26="","0",IFERROR(G26*E26*C7,"Falta R$/kg"))</f>
        <v>0</v>
      </c>
      <c r="I26" s="39">
        <f>IFERROR(Adubação!$H26/C7,0)</f>
        <v>0</v>
      </c>
      <c r="J26" s="555" t="str">
        <f>IF(Adubação!$D26=0,"",IF(Adubação!$E26&gt;0,IFERROR("Parcelar a adubação em "&amp;I31&amp;" vezes, durante o período da chuva, sendo uma aplicação a cada "&amp;ROUND(Adubação!M7/I31,0)&amp;" dias, aplicando "&amp;J31&amp;" kg/ha de "&amp;C26&amp;" por aplicação.","Informações incompletas para gerar o relatório."),IFERROR("Parcelar a adubação em "&amp;IF(#REF!&gt;180,4,3)&amp;" vezes, durante o período da chuva, aplicando "&amp;ROUND(IF(#REF!&gt;180,D26/4,D26/3),0)&amp;" kg/ha de "&amp;C26&amp;" por aplicação.","Informações incompletas para gerar o relatório.")))</f>
        <v>Informações incompletas para gerar o relatório.</v>
      </c>
      <c r="K26" s="555"/>
      <c r="L26" s="555"/>
      <c r="M26" s="555"/>
      <c r="N26" s="555"/>
      <c r="O26" s="555"/>
      <c r="P26" s="555"/>
      <c r="Q26" s="555"/>
      <c r="R26" s="555"/>
      <c r="S26" s="555"/>
      <c r="T26" s="555"/>
      <c r="U26" s="555"/>
      <c r="V26" s="555"/>
      <c r="W26" s="555"/>
      <c r="X26" s="555"/>
      <c r="Y26" s="555"/>
      <c r="Z26" s="556"/>
      <c r="AA26" s="34"/>
      <c r="AB26" s="34"/>
      <c r="AC26" s="34"/>
      <c r="AD26" s="34"/>
      <c r="AE26" s="34"/>
      <c r="AF26" s="34"/>
      <c r="AG26" s="34"/>
      <c r="AH26" s="34"/>
      <c r="AI26" s="34"/>
      <c r="AJ26" s="34"/>
      <c r="AK26" s="34"/>
      <c r="AL26" s="34"/>
      <c r="AM26" s="34"/>
    </row>
    <row r="27" spans="1:39" ht="24.95" customHeight="1" x14ac:dyDescent="0.25">
      <c r="A27" s="34"/>
      <c r="B27" s="179"/>
      <c r="C27" s="172"/>
      <c r="D27" s="513" t="str">
        <f>IFERROR((IF(D8&lt;=5,40,50))*D8/B27,"Falta %N")</f>
        <v>Falta %N</v>
      </c>
      <c r="E27" s="180"/>
      <c r="F27" s="516" t="str">
        <f t="shared" si="1"/>
        <v/>
      </c>
      <c r="G27" s="181"/>
      <c r="H27" s="39" t="str">
        <f t="shared" si="2"/>
        <v>0</v>
      </c>
      <c r="I27" s="39">
        <f>IFERROR(Adubação!$H27/C8,0)</f>
        <v>0</v>
      </c>
      <c r="J27" s="555" t="str">
        <f>IF(Adubação!$D27=0,"",IF(Adubação!$E27&gt;0,IFERROR("Parcelar a adubação em "&amp;I32&amp;" vezes, durante o período da chuva, sendo uma aplicação a cada "&amp;ROUND(Adubação!M8/I32,0)&amp;" dias, aplicando "&amp;J32&amp;" kg/ha de "&amp;C27&amp;" por aplicação.","Informações incompletas para gerar o relatório."),IFERROR("Parcelar a adubação em "&amp;IF(#REF!&gt;180,4,3)&amp;" vezes, durante o período da chuva, aplicando "&amp;ROUND(IF(#REF!&gt;180,D27/4,D27/3),0)&amp;" kg/ha de "&amp;C27&amp;" por aplicação.","Informações incompletas para gerar o relatório.")))</f>
        <v>Informações incompletas para gerar o relatório.</v>
      </c>
      <c r="K27" s="555"/>
      <c r="L27" s="555"/>
      <c r="M27" s="555"/>
      <c r="N27" s="555"/>
      <c r="O27" s="555"/>
      <c r="P27" s="555"/>
      <c r="Q27" s="555"/>
      <c r="R27" s="555"/>
      <c r="S27" s="555"/>
      <c r="T27" s="555"/>
      <c r="U27" s="555"/>
      <c r="V27" s="555"/>
      <c r="W27" s="555"/>
      <c r="X27" s="555"/>
      <c r="Y27" s="555"/>
      <c r="Z27" s="556"/>
      <c r="AA27" s="34"/>
      <c r="AB27" s="34"/>
      <c r="AC27" s="34"/>
      <c r="AD27" s="34"/>
      <c r="AE27" s="34"/>
      <c r="AF27" s="34"/>
      <c r="AG27" s="34"/>
      <c r="AH27" s="34"/>
      <c r="AI27" s="34"/>
      <c r="AJ27" s="34"/>
      <c r="AK27" s="34"/>
      <c r="AL27" s="34"/>
      <c r="AM27" s="34"/>
    </row>
    <row r="28" spans="1:39" ht="24.95" customHeight="1" x14ac:dyDescent="0.25">
      <c r="A28" s="34"/>
      <c r="B28" s="179"/>
      <c r="C28" s="172"/>
      <c r="D28" s="513" t="str">
        <f>IFERROR((IF(D9&lt;=5,40,50))*D9/B28,"Falta %N")</f>
        <v>Falta %N</v>
      </c>
      <c r="E28" s="180"/>
      <c r="F28" s="516" t="str">
        <f t="shared" si="1"/>
        <v/>
      </c>
      <c r="G28" s="181"/>
      <c r="H28" s="39" t="str">
        <f t="shared" si="2"/>
        <v>0</v>
      </c>
      <c r="I28" s="39">
        <f>IFERROR(Adubação!$H28/C9,0)</f>
        <v>0</v>
      </c>
      <c r="J28" s="555" t="str">
        <f>IF(Adubação!$D28=0,"",IF(Adubação!$E28&gt;0,IFERROR("Parcelar a adubação em "&amp;I33&amp;" vezes, durante o período da chuva, sendo uma aplicação a cada "&amp;ROUND(Adubação!M9/I33,0)&amp;" dias, aplicando "&amp;J33&amp;" kg/ha de "&amp;C28&amp;" por aplicação.","Informações incompletas para gerar o relatório."),IFERROR("Parcelar a adubação em "&amp;IF(#REF!&gt;180,4,3)&amp;" vezes, durante o período da chuva, aplicando "&amp;ROUND(IF(#REF!&gt;180,D28/4,D28/3),0)&amp;" kg/ha de "&amp;C28&amp;" por aplicação.","Informações incompletas para gerar o relatório.")))</f>
        <v>Informações incompletas para gerar o relatório.</v>
      </c>
      <c r="K28" s="555"/>
      <c r="L28" s="555"/>
      <c r="M28" s="555"/>
      <c r="N28" s="555"/>
      <c r="O28" s="555"/>
      <c r="P28" s="555"/>
      <c r="Q28" s="555"/>
      <c r="R28" s="555"/>
      <c r="S28" s="555"/>
      <c r="T28" s="555"/>
      <c r="U28" s="555"/>
      <c r="V28" s="555"/>
      <c r="W28" s="555"/>
      <c r="X28" s="555"/>
      <c r="Y28" s="555"/>
      <c r="Z28" s="556"/>
      <c r="AA28" s="34"/>
      <c r="AB28" s="34"/>
      <c r="AC28" s="34"/>
      <c r="AD28" s="34"/>
      <c r="AE28" s="34"/>
      <c r="AF28" s="34"/>
      <c r="AG28" s="34"/>
      <c r="AH28" s="34"/>
      <c r="AI28" s="34"/>
      <c r="AJ28" s="34"/>
      <c r="AK28" s="34"/>
      <c r="AL28" s="34"/>
      <c r="AM28" s="34"/>
    </row>
    <row r="29" spans="1:39" ht="24.95" customHeight="1" x14ac:dyDescent="0.25">
      <c r="A29" s="34"/>
      <c r="B29" s="179"/>
      <c r="C29" s="172"/>
      <c r="D29" s="513" t="str">
        <f>IFERROR((IF(D10&lt;=5,40,50))*D10/B29,"Falta %N")</f>
        <v>Falta %N</v>
      </c>
      <c r="E29" s="180"/>
      <c r="F29" s="516" t="str">
        <f t="shared" si="1"/>
        <v/>
      </c>
      <c r="G29" s="181"/>
      <c r="H29" s="39" t="str">
        <f t="shared" si="2"/>
        <v>0</v>
      </c>
      <c r="I29" s="39">
        <f>IFERROR(Adubação!$H29/C10,0)</f>
        <v>0</v>
      </c>
      <c r="J29" s="555" t="str">
        <f>IF(Adubação!$D29=0,"",IF(Adubação!$E29&gt;0,IFERROR("Parcelar a adubação em "&amp;I34&amp;" vezes, durante o período da chuva, sendo uma aplicação a cada "&amp;ROUND(Adubação!M10/I34,0)&amp;" dias, aplicando "&amp;J34&amp;" kg/ha de "&amp;C29&amp;" por aplicação.","Informações incompletas para gerar o relatório."),IFERROR("Parcelar a adubação em "&amp;IF(#REF!&gt;180,4,3)&amp;" vezes, durante o período da chuva, aplicando "&amp;ROUND(IF(#REF!&gt;180,D29/4,D29/3),0)&amp;" kg/ha de "&amp;C29&amp;" por aplicação.","Informações incompletas para gerar o relatório.")))</f>
        <v>Informações incompletas para gerar o relatório.</v>
      </c>
      <c r="K29" s="555"/>
      <c r="L29" s="555"/>
      <c r="M29" s="555"/>
      <c r="N29" s="555"/>
      <c r="O29" s="555"/>
      <c r="P29" s="555"/>
      <c r="Q29" s="555"/>
      <c r="R29" s="555"/>
      <c r="S29" s="555"/>
      <c r="T29" s="555"/>
      <c r="U29" s="555"/>
      <c r="V29" s="555"/>
      <c r="W29" s="555"/>
      <c r="X29" s="555"/>
      <c r="Y29" s="555"/>
      <c r="Z29" s="556"/>
      <c r="AA29" s="34"/>
      <c r="AB29" s="34"/>
      <c r="AC29" s="34"/>
      <c r="AD29" s="34"/>
      <c r="AE29" s="34"/>
      <c r="AF29" s="34"/>
      <c r="AG29" s="34"/>
      <c r="AH29" s="34"/>
      <c r="AI29" s="34"/>
      <c r="AJ29" s="34"/>
      <c r="AK29" s="34"/>
      <c r="AL29" s="34"/>
      <c r="AM29" s="34"/>
    </row>
    <row r="30" spans="1:39" s="34" customFormat="1" x14ac:dyDescent="0.25">
      <c r="B30" s="37" t="s">
        <v>147</v>
      </c>
      <c r="C30" s="44"/>
      <c r="D30" s="35"/>
      <c r="E30" s="35"/>
      <c r="F30" s="35"/>
      <c r="G30" s="43"/>
      <c r="H30" s="43"/>
      <c r="I30" s="56" t="e">
        <f>ROUND((B25*D25)/50,0)</f>
        <v>#VALUE!</v>
      </c>
      <c r="J30" s="57" t="e">
        <f>ROUNDUP((E25/I30),0)</f>
        <v>#VALUE!</v>
      </c>
      <c r="K30" s="57"/>
      <c r="M30" s="35"/>
      <c r="N30" s="35"/>
      <c r="O30" s="35"/>
      <c r="P30" s="35"/>
    </row>
    <row r="31" spans="1:39" s="34" customFormat="1" x14ac:dyDescent="0.25">
      <c r="B31" s="37" t="s">
        <v>776</v>
      </c>
      <c r="C31" s="44"/>
      <c r="D31" s="35"/>
      <c r="E31" s="35"/>
      <c r="F31" s="35"/>
      <c r="G31" s="43"/>
      <c r="H31" s="43"/>
      <c r="I31" s="56" t="e">
        <f t="shared" ref="I31:I34" si="3">ROUND((B26*D26)/50,0)</f>
        <v>#VALUE!</v>
      </c>
      <c r="J31" s="57" t="e">
        <f t="shared" ref="J31:J34" si="4">ROUNDUP((E26/I31),0)</f>
        <v>#VALUE!</v>
      </c>
      <c r="K31" s="57"/>
      <c r="M31" s="35"/>
      <c r="N31" s="35"/>
      <c r="O31" s="35"/>
      <c r="P31" s="35"/>
    </row>
    <row r="32" spans="1:39" s="34" customFormat="1" hidden="1" x14ac:dyDescent="0.25">
      <c r="B32" s="37"/>
      <c r="C32" s="44"/>
      <c r="D32" s="35"/>
      <c r="E32" s="35"/>
      <c r="F32" s="35"/>
      <c r="G32" s="43"/>
      <c r="H32" s="43"/>
      <c r="I32" s="56" t="e">
        <f t="shared" si="3"/>
        <v>#VALUE!</v>
      </c>
      <c r="J32" s="57" t="e">
        <f t="shared" si="4"/>
        <v>#VALUE!</v>
      </c>
      <c r="K32" s="57"/>
      <c r="M32" s="35"/>
      <c r="N32" s="35"/>
      <c r="O32" s="35"/>
      <c r="P32" s="35"/>
    </row>
    <row r="33" spans="1:39" s="34" customFormat="1" hidden="1" x14ac:dyDescent="0.25">
      <c r="B33" s="37"/>
      <c r="C33" s="44"/>
      <c r="D33" s="35"/>
      <c r="E33" s="35"/>
      <c r="F33" s="35"/>
      <c r="G33" s="43"/>
      <c r="H33" s="43"/>
      <c r="I33" s="56" t="e">
        <f t="shared" si="3"/>
        <v>#VALUE!</v>
      </c>
      <c r="J33" s="57" t="e">
        <f t="shared" si="4"/>
        <v>#VALUE!</v>
      </c>
      <c r="K33" s="57"/>
      <c r="M33" s="35"/>
      <c r="N33" s="35"/>
      <c r="O33" s="35"/>
      <c r="P33" s="35"/>
    </row>
    <row r="34" spans="1:39" s="34" customFormat="1" hidden="1" x14ac:dyDescent="0.25">
      <c r="B34" s="37"/>
      <c r="C34" s="44"/>
      <c r="D34" s="35"/>
      <c r="E34" s="35"/>
      <c r="F34" s="35"/>
      <c r="G34" s="43"/>
      <c r="H34" s="43"/>
      <c r="I34" s="56" t="e">
        <f t="shared" si="3"/>
        <v>#VALUE!</v>
      </c>
      <c r="J34" s="57" t="e">
        <f t="shared" si="4"/>
        <v>#VALUE!</v>
      </c>
      <c r="K34" s="57"/>
      <c r="M34" s="35"/>
      <c r="N34" s="35"/>
      <c r="O34" s="35"/>
      <c r="P34" s="35"/>
    </row>
    <row r="35" spans="1:39" s="34" customFormat="1" hidden="1" x14ac:dyDescent="0.25">
      <c r="B35" s="37"/>
      <c r="C35" s="44"/>
      <c r="D35" s="35"/>
      <c r="E35" s="35"/>
      <c r="F35" s="35"/>
      <c r="G35" s="43"/>
      <c r="H35" s="43"/>
      <c r="I35" s="56"/>
      <c r="J35" s="57"/>
      <c r="K35" s="57"/>
      <c r="M35" s="35"/>
      <c r="N35" s="35"/>
      <c r="O35" s="35"/>
      <c r="P35" s="35"/>
    </row>
    <row r="36" spans="1:39" s="34" customFormat="1" ht="30" customHeight="1" x14ac:dyDescent="0.25">
      <c r="B36" s="35"/>
      <c r="C36" s="44"/>
      <c r="D36" s="35"/>
      <c r="E36" s="35"/>
      <c r="F36" s="35"/>
      <c r="G36" s="43"/>
      <c r="H36" s="42"/>
      <c r="I36" s="56"/>
      <c r="J36" s="57"/>
      <c r="M36" s="35"/>
      <c r="N36" s="35"/>
      <c r="O36" s="35"/>
      <c r="P36" s="35"/>
    </row>
    <row r="37" spans="1:39" s="34" customFormat="1" ht="18.75" x14ac:dyDescent="0.25">
      <c r="B37" s="38" t="s">
        <v>61</v>
      </c>
      <c r="C37" s="44"/>
      <c r="D37" s="35"/>
      <c r="E37" s="35"/>
      <c r="F37" s="511">
        <f>SUM(F40:F44)</f>
        <v>0</v>
      </c>
      <c r="G37" s="43"/>
      <c r="H37" s="517">
        <f>SUM(H40:H44)</f>
        <v>0</v>
      </c>
      <c r="I37" s="42"/>
      <c r="M37" s="35"/>
      <c r="N37" s="35"/>
      <c r="O37" s="35"/>
      <c r="P37" s="35"/>
    </row>
    <row r="38" spans="1:39" s="34" customFormat="1" ht="5.0999999999999996" customHeight="1" x14ac:dyDescent="0.25">
      <c r="B38" s="35"/>
      <c r="C38" s="35"/>
      <c r="D38" s="35"/>
      <c r="E38" s="35"/>
      <c r="F38" s="35"/>
      <c r="G38" s="35"/>
      <c r="H38" s="36"/>
      <c r="I38" s="35"/>
      <c r="J38" s="35"/>
      <c r="K38" s="35"/>
      <c r="L38" s="35"/>
      <c r="N38" s="35"/>
      <c r="O38" s="35"/>
      <c r="P38" s="35"/>
    </row>
    <row r="39" spans="1:39" x14ac:dyDescent="0.25">
      <c r="A39" s="34"/>
      <c r="B39" s="41" t="s">
        <v>146</v>
      </c>
      <c r="C39" s="40" t="s">
        <v>143</v>
      </c>
      <c r="D39" s="40" t="s">
        <v>145</v>
      </c>
      <c r="E39" s="40" t="s">
        <v>293</v>
      </c>
      <c r="F39" s="40" t="s">
        <v>151</v>
      </c>
      <c r="G39" s="40" t="s">
        <v>141</v>
      </c>
      <c r="H39" s="40" t="s">
        <v>140</v>
      </c>
      <c r="I39" s="40" t="s">
        <v>139</v>
      </c>
      <c r="J39" s="558" t="s">
        <v>138</v>
      </c>
      <c r="K39" s="558"/>
      <c r="L39" s="558"/>
      <c r="M39" s="558"/>
      <c r="N39" s="558"/>
      <c r="O39" s="558"/>
      <c r="P39" s="558"/>
      <c r="Q39" s="558"/>
      <c r="R39" s="558"/>
      <c r="S39" s="558"/>
      <c r="T39" s="558"/>
      <c r="U39" s="558"/>
      <c r="V39" s="558"/>
      <c r="W39" s="558"/>
      <c r="X39" s="558"/>
      <c r="Y39" s="558"/>
      <c r="Z39" s="559"/>
      <c r="AA39" s="34"/>
      <c r="AB39" s="34"/>
      <c r="AC39" s="34"/>
      <c r="AD39" s="34"/>
      <c r="AE39" s="34"/>
      <c r="AF39" s="34"/>
      <c r="AG39" s="34"/>
      <c r="AH39" s="34"/>
      <c r="AI39" s="34"/>
      <c r="AJ39" s="34"/>
      <c r="AK39" s="34"/>
      <c r="AL39" s="34"/>
      <c r="AM39" s="34"/>
    </row>
    <row r="40" spans="1:39" ht="24.95" customHeight="1" x14ac:dyDescent="0.25">
      <c r="A40" s="34"/>
      <c r="B40" s="179"/>
      <c r="C40" s="182"/>
      <c r="D40" s="513" t="str">
        <f>IF(B40="","Falta %P",IF(L6&gt;300,(((MAX(0,(5+(2*D6)-K6)*10))/B40)*1.3),(MAX(0,(5+(2*D6)-K6)*10))/B40))</f>
        <v>Falta %P</v>
      </c>
      <c r="E40" s="180"/>
      <c r="F40" s="516" t="str">
        <f>IFERROR(IF(OR(B$6=0,B$6=""),"",ROUND(IFERROR(((E40*C$6)/1000),""),1)),"")</f>
        <v/>
      </c>
      <c r="G40" s="181"/>
      <c r="H40" s="39">
        <f>IF(Adubação!$G40="",0,G40*E40*C6)</f>
        <v>0</v>
      </c>
      <c r="I40" s="39">
        <f>IFERROR(IF(Adubação!$G40="",0,H40/C6),0)</f>
        <v>0</v>
      </c>
      <c r="J40" s="551" t="str">
        <f>IF(OR(Adubação!$C40="",Adubação!$B40="",Adubação!$E40=""),"Informações incompletas para gerar o relatório.",IF(F6&gt;=0.1,"Como o M% (Sat/Al) está alto, é preciso realizar a calagem obrigatoriamente antes da fosfatagem! De 60 a 90 dias (c/ chuva) após a calagem, distribuir "&amp;E40&amp;" kg/ha de "&amp;C40&amp;". Pode ser distribuído antes, junto ou logo depois da semente, no caso de reforma, ou por cobertura no pasto já formado.","Em reformas, distribuir antes, junto ou logo depois da semente. Em pasto formado, distribua em cobertura, no início do período das águas "&amp;E40&amp;" kg/ha de "&amp;C40&amp;"."))</f>
        <v>Informações incompletas para gerar o relatório.</v>
      </c>
      <c r="K40" s="551"/>
      <c r="L40" s="551"/>
      <c r="M40" s="551"/>
      <c r="N40" s="551"/>
      <c r="O40" s="551"/>
      <c r="P40" s="551"/>
      <c r="Q40" s="551"/>
      <c r="R40" s="551"/>
      <c r="S40" s="551"/>
      <c r="T40" s="551"/>
      <c r="U40" s="551"/>
      <c r="V40" s="551"/>
      <c r="W40" s="551"/>
      <c r="X40" s="551"/>
      <c r="Y40" s="551"/>
      <c r="Z40" s="552"/>
      <c r="AA40" s="34"/>
      <c r="AB40" s="34"/>
      <c r="AC40" s="34"/>
      <c r="AD40" s="34"/>
      <c r="AE40" s="34"/>
      <c r="AF40" s="34"/>
      <c r="AG40" s="34"/>
      <c r="AH40" s="34"/>
      <c r="AI40" s="34"/>
      <c r="AJ40" s="34"/>
      <c r="AK40" s="34"/>
      <c r="AL40" s="34"/>
      <c r="AM40" s="34"/>
    </row>
    <row r="41" spans="1:39" ht="24.95" customHeight="1" x14ac:dyDescent="0.25">
      <c r="A41" s="34"/>
      <c r="B41" s="179"/>
      <c r="C41" s="182"/>
      <c r="D41" s="513" t="str">
        <f>IF(B41="","Falta %P",IF(L7&gt;300,(((MAX(0,(5+(2*D7)-K7)*10))/B41)*1.3),(MAX(0,(5+(2*D7)-K7)*10))/B41))</f>
        <v>Falta %P</v>
      </c>
      <c r="E41" s="180"/>
      <c r="F41" s="516" t="str">
        <f t="shared" ref="F41:F44" si="5">IFERROR(IF(OR(B$6=0,B$6=""),"",ROUND(IFERROR(((E41*C$6)/1000),""),1)),"")</f>
        <v/>
      </c>
      <c r="G41" s="181"/>
      <c r="H41" s="39">
        <f>IF(Adubação!$G41="",0,G41*E41*C7)</f>
        <v>0</v>
      </c>
      <c r="I41" s="39">
        <f>IFERROR(IF(Adubação!$G41="",0,H41/C7),0)</f>
        <v>0</v>
      </c>
      <c r="J41" s="551" t="str">
        <f>IF(OR(Adubação!$C41="",Adubação!$B41="",Adubação!$E41=""),"Informações incompletas para gerar o relatório.",IF(F7&gt;=0.1,"Como o M% (Sat/Al) está alto, é preciso realizar a calagem obrigatoriamente antes da fosfatagem! De 60 a 90 dias (c/ chuva) após a calagem, distribuir "&amp;E41&amp;" kg/ha de "&amp;C41&amp;". Pode ser distribuído antes, junto ou logo depois da semente, no caso de reforma, ou por cobertura no pasto já formado.","Em reformas, distribuir antes, junto ou logo depois da semente. Em pasto formado, distribua em cobertura, no início do período das águas "&amp;E41&amp;" kg/ha de "&amp;C41&amp;"."))</f>
        <v>Informações incompletas para gerar o relatório.</v>
      </c>
      <c r="K41" s="551"/>
      <c r="L41" s="551"/>
      <c r="M41" s="551"/>
      <c r="N41" s="551"/>
      <c r="O41" s="551"/>
      <c r="P41" s="551"/>
      <c r="Q41" s="551"/>
      <c r="R41" s="551"/>
      <c r="S41" s="551"/>
      <c r="T41" s="551"/>
      <c r="U41" s="551"/>
      <c r="V41" s="551"/>
      <c r="W41" s="551"/>
      <c r="X41" s="551"/>
      <c r="Y41" s="551"/>
      <c r="Z41" s="552"/>
      <c r="AA41" s="34"/>
      <c r="AB41" s="34"/>
      <c r="AC41" s="34"/>
      <c r="AD41" s="34"/>
      <c r="AE41" s="34"/>
      <c r="AF41" s="34"/>
      <c r="AG41" s="34"/>
      <c r="AH41" s="34"/>
      <c r="AI41" s="34"/>
      <c r="AJ41" s="34"/>
      <c r="AK41" s="34"/>
      <c r="AL41" s="34"/>
      <c r="AM41" s="34"/>
    </row>
    <row r="42" spans="1:39" ht="24.95" customHeight="1" x14ac:dyDescent="0.25">
      <c r="A42" s="34"/>
      <c r="B42" s="179"/>
      <c r="C42" s="182"/>
      <c r="D42" s="513" t="str">
        <f>IF(B42="","Falta %P",IF(L8&gt;300,(((MAX(0,(5+(2*D8)-K8)*10))/B42)*1.3),(MAX(0,(5+(2*D8)-K8)*10))/B42))</f>
        <v>Falta %P</v>
      </c>
      <c r="E42" s="180"/>
      <c r="F42" s="516" t="str">
        <f t="shared" si="5"/>
        <v/>
      </c>
      <c r="G42" s="181"/>
      <c r="H42" s="39">
        <f>IF(Adubação!$G42="",0,G42*E42*C8)</f>
        <v>0</v>
      </c>
      <c r="I42" s="39">
        <f>IFERROR(IF(Adubação!$G42="",0,H42/C8),0)</f>
        <v>0</v>
      </c>
      <c r="J42" s="551" t="str">
        <f>IF(OR(Adubação!$C42="",Adubação!$B42="",Adubação!$E42=""),"Informações incompletas para gerar o relatório.",IF(F8&gt;=0.1,"Como o M% (Sat/Al) está alto, é preciso realizar a calagem obrigatoriamente antes da fosfatagem! De 60 a 90 dias (c/ chuva) após a calagem, distribuir "&amp;E42&amp;" kg/ha de "&amp;C42&amp;". Pode ser distribuído antes, junto ou logo depois da semente, no caso de reforma, ou por cobertura no pasto já formado.","Em reformas, distribuir antes, junto ou logo depois da semente. Em pasto formado, distribua em cobertura, no início do período das águas "&amp;E42&amp;" kg/ha de "&amp;C42&amp;"."))</f>
        <v>Informações incompletas para gerar o relatório.</v>
      </c>
      <c r="K42" s="551"/>
      <c r="L42" s="551"/>
      <c r="M42" s="551"/>
      <c r="N42" s="551"/>
      <c r="O42" s="551"/>
      <c r="P42" s="551"/>
      <c r="Q42" s="551"/>
      <c r="R42" s="551"/>
      <c r="S42" s="551"/>
      <c r="T42" s="551"/>
      <c r="U42" s="551"/>
      <c r="V42" s="551"/>
      <c r="W42" s="551"/>
      <c r="X42" s="551"/>
      <c r="Y42" s="551"/>
      <c r="Z42" s="552"/>
      <c r="AA42" s="34"/>
      <c r="AB42" s="34"/>
      <c r="AC42" s="34"/>
      <c r="AD42" s="34"/>
      <c r="AE42" s="34"/>
      <c r="AF42" s="34"/>
      <c r="AG42" s="34"/>
      <c r="AH42" s="34"/>
      <c r="AI42" s="34"/>
      <c r="AJ42" s="34"/>
      <c r="AK42" s="34"/>
      <c r="AL42" s="34"/>
      <c r="AM42" s="34"/>
    </row>
    <row r="43" spans="1:39" ht="24.95" customHeight="1" x14ac:dyDescent="0.25">
      <c r="A43" s="34"/>
      <c r="B43" s="179"/>
      <c r="C43" s="182"/>
      <c r="D43" s="513" t="str">
        <f>IF(B43="","Falta %P",IF(L9&gt;300,(((MAX(0,(5+(2*D9)-K9)*10))/B43)*1.3),(MAX(0,(5+(2*D9)-K9)*10))/B43))</f>
        <v>Falta %P</v>
      </c>
      <c r="E43" s="180"/>
      <c r="F43" s="516" t="str">
        <f t="shared" si="5"/>
        <v/>
      </c>
      <c r="G43" s="181"/>
      <c r="H43" s="39">
        <f>IF(Adubação!$G43="",0,G43*E43*C9)</f>
        <v>0</v>
      </c>
      <c r="I43" s="39">
        <f>IFERROR(IF(Adubação!$G43="",0,H43/C9),0)</f>
        <v>0</v>
      </c>
      <c r="J43" s="551" t="str">
        <f>IF(OR(Adubação!$C43="",Adubação!$B43="",Adubação!$E43=""),"Informações incompletas para gerar o relatório.",IF(F9&gt;=0.1,"Como o M% (Sat/Al) está alto, é preciso realizar a calagem obrigatoriamente antes da fosfatagem! De 60 a 90 dias (c/ chuva) após a calagem, distribuir "&amp;E43&amp;" kg/ha de "&amp;C43&amp;". Pode ser distribuído antes, junto ou logo depois da semente, no caso de reforma, ou por cobertura no pasto já formado.","Em reformas, distribuir antes, junto ou logo depois da semente. Em pasto formado, distribua em cobertura, no início do período das águas "&amp;E43&amp;" kg/ha de "&amp;C43&amp;"."))</f>
        <v>Informações incompletas para gerar o relatório.</v>
      </c>
      <c r="K43" s="551"/>
      <c r="L43" s="551"/>
      <c r="M43" s="551"/>
      <c r="N43" s="551"/>
      <c r="O43" s="551"/>
      <c r="P43" s="551"/>
      <c r="Q43" s="551"/>
      <c r="R43" s="551"/>
      <c r="S43" s="551"/>
      <c r="T43" s="551"/>
      <c r="U43" s="551"/>
      <c r="V43" s="551"/>
      <c r="W43" s="551"/>
      <c r="X43" s="551"/>
      <c r="Y43" s="551"/>
      <c r="Z43" s="552"/>
      <c r="AA43" s="34"/>
      <c r="AB43" s="34"/>
      <c r="AC43" s="34"/>
      <c r="AD43" s="34"/>
      <c r="AE43" s="34"/>
      <c r="AF43" s="34"/>
      <c r="AG43" s="34"/>
      <c r="AH43" s="34"/>
      <c r="AI43" s="34"/>
      <c r="AJ43" s="34"/>
      <c r="AK43" s="34"/>
      <c r="AL43" s="34"/>
      <c r="AM43" s="34"/>
    </row>
    <row r="44" spans="1:39" ht="24.95" customHeight="1" x14ac:dyDescent="0.25">
      <c r="A44" s="34"/>
      <c r="B44" s="179"/>
      <c r="C44" s="182"/>
      <c r="D44" s="513" t="str">
        <f>IF(B44="","Falta %P",IF(L10&gt;300,(((MAX(0,(5+(2*D10)-K10)*10))/B44)*1.3),(MAX(0,(5+(2*D10)-K10)*10))/B44))</f>
        <v>Falta %P</v>
      </c>
      <c r="E44" s="180"/>
      <c r="F44" s="516" t="str">
        <f t="shared" si="5"/>
        <v/>
      </c>
      <c r="G44" s="181"/>
      <c r="H44" s="39">
        <f>IF(Adubação!$G44="",0,G44*E44*C10)</f>
        <v>0</v>
      </c>
      <c r="I44" s="39">
        <f>IFERROR(IF(Adubação!$G44="",0,H44/C10),0)</f>
        <v>0</v>
      </c>
      <c r="J44" s="551" t="str">
        <f>IF(OR(Adubação!$C44="",Adubação!$B44="",Adubação!$E44=""),"Informações incompletas para gerar o relatório.",IF(F10&gt;=0.1,"Como o M% (Sat/Al) está alto, é preciso realizar a calagem obrigatoriamente antes da fosfatagem! De 60 a 90 dias (c/ chuva) após a calagem, distribuir "&amp;E44&amp;" kg/ha de "&amp;C44&amp;". Pode ser distribuído antes, junto ou logo depois da semente, no caso de reforma, ou por cobertura no pasto já formado.","Em reformas, distribuir antes, junto ou logo depois da semente. Em pasto formado, distribua em cobertura, no início do período das águas "&amp;E44&amp;" kg/ha de "&amp;C44&amp;"."))</f>
        <v>Informações incompletas para gerar o relatório.</v>
      </c>
      <c r="K44" s="551"/>
      <c r="L44" s="551"/>
      <c r="M44" s="551"/>
      <c r="N44" s="551"/>
      <c r="O44" s="551"/>
      <c r="P44" s="551"/>
      <c r="Q44" s="551"/>
      <c r="R44" s="551"/>
      <c r="S44" s="551"/>
      <c r="T44" s="551"/>
      <c r="U44" s="551"/>
      <c r="V44" s="551"/>
      <c r="W44" s="551"/>
      <c r="X44" s="551"/>
      <c r="Y44" s="551"/>
      <c r="Z44" s="552"/>
      <c r="AA44" s="34"/>
      <c r="AB44" s="34"/>
      <c r="AC44" s="34"/>
      <c r="AD44" s="34"/>
      <c r="AE44" s="34"/>
      <c r="AF44" s="34"/>
      <c r="AG44" s="34"/>
      <c r="AH44" s="34"/>
      <c r="AI44" s="34"/>
      <c r="AJ44" s="34"/>
      <c r="AK44" s="34"/>
      <c r="AL44" s="34"/>
      <c r="AM44" s="34"/>
    </row>
    <row r="45" spans="1:39" s="34" customFormat="1" x14ac:dyDescent="0.25">
      <c r="B45" s="37" t="s">
        <v>378</v>
      </c>
      <c r="C45" s="35"/>
      <c r="D45" s="35"/>
      <c r="E45" s="35"/>
      <c r="F45" s="35"/>
      <c r="G45" s="35"/>
      <c r="H45" s="35"/>
      <c r="I45" s="35"/>
      <c r="J45" s="35"/>
      <c r="K45" s="35"/>
      <c r="L45" s="35"/>
      <c r="M45" s="35"/>
      <c r="N45" s="35"/>
      <c r="O45" s="35"/>
      <c r="P45" s="35"/>
    </row>
    <row r="46" spans="1:39" s="34" customFormat="1" ht="30" customHeight="1" x14ac:dyDescent="0.25">
      <c r="B46" s="37"/>
      <c r="C46" s="35"/>
      <c r="D46" s="35"/>
      <c r="E46" s="35"/>
      <c r="F46" s="35"/>
      <c r="G46" s="35"/>
      <c r="H46" s="35"/>
      <c r="I46" s="35"/>
      <c r="J46" s="35"/>
      <c r="K46" s="35"/>
      <c r="L46" s="35"/>
      <c r="M46" s="35"/>
      <c r="N46" s="35"/>
      <c r="O46" s="35"/>
      <c r="P46" s="35"/>
    </row>
    <row r="47" spans="1:39" s="34" customFormat="1" ht="18.75" x14ac:dyDescent="0.25">
      <c r="B47" s="38" t="s">
        <v>60</v>
      </c>
      <c r="C47" s="35"/>
      <c r="D47" s="35"/>
      <c r="E47" s="35"/>
      <c r="F47" s="511">
        <f>SUM(F50:F54)</f>
        <v>0</v>
      </c>
      <c r="G47" s="35"/>
      <c r="H47" s="517">
        <f>SUM(H50:H54)</f>
        <v>0</v>
      </c>
      <c r="I47" s="35"/>
      <c r="J47" s="35"/>
      <c r="K47" s="35"/>
      <c r="L47" s="35"/>
      <c r="M47" s="35"/>
      <c r="N47" s="35"/>
      <c r="O47" s="35"/>
      <c r="P47" s="35"/>
    </row>
    <row r="48" spans="1:39" s="34" customFormat="1" ht="5.0999999999999996" customHeight="1" x14ac:dyDescent="0.25">
      <c r="B48" s="35"/>
      <c r="C48" s="35"/>
      <c r="D48" s="35"/>
      <c r="E48" s="35"/>
      <c r="F48" s="35"/>
      <c r="G48" s="35"/>
      <c r="H48" s="35"/>
      <c r="I48" s="35"/>
      <c r="J48" s="35"/>
      <c r="K48" s="35"/>
      <c r="L48" s="35"/>
      <c r="M48" s="35"/>
      <c r="N48" s="35"/>
      <c r="O48" s="35"/>
      <c r="P48" s="35"/>
    </row>
    <row r="49" spans="1:39" x14ac:dyDescent="0.25">
      <c r="A49" s="34"/>
      <c r="B49" s="41" t="s">
        <v>144</v>
      </c>
      <c r="C49" s="40" t="s">
        <v>143</v>
      </c>
      <c r="D49" s="40" t="s">
        <v>142</v>
      </c>
      <c r="E49" s="40" t="s">
        <v>293</v>
      </c>
      <c r="F49" s="40" t="s">
        <v>151</v>
      </c>
      <c r="G49" s="40" t="s">
        <v>141</v>
      </c>
      <c r="H49" s="40" t="s">
        <v>140</v>
      </c>
      <c r="I49" s="40" t="s">
        <v>139</v>
      </c>
      <c r="J49" s="558" t="s">
        <v>138</v>
      </c>
      <c r="K49" s="558"/>
      <c r="L49" s="558"/>
      <c r="M49" s="558"/>
      <c r="N49" s="558"/>
      <c r="O49" s="558"/>
      <c r="P49" s="558"/>
      <c r="Q49" s="558"/>
      <c r="R49" s="558"/>
      <c r="S49" s="558"/>
      <c r="T49" s="558"/>
      <c r="U49" s="558"/>
      <c r="V49" s="558"/>
      <c r="W49" s="558"/>
      <c r="X49" s="558"/>
      <c r="Y49" s="558"/>
      <c r="Z49" s="559"/>
      <c r="AA49" s="34"/>
      <c r="AB49" s="34"/>
      <c r="AC49" s="34"/>
      <c r="AD49" s="34"/>
      <c r="AE49" s="34"/>
      <c r="AF49" s="34"/>
      <c r="AG49" s="34"/>
      <c r="AH49" s="34"/>
      <c r="AI49" s="34"/>
      <c r="AJ49" s="34"/>
      <c r="AK49" s="34"/>
      <c r="AL49" s="34"/>
      <c r="AM49" s="34"/>
    </row>
    <row r="50" spans="1:39" ht="24.95" customHeight="1" x14ac:dyDescent="0.25">
      <c r="A50" s="34"/>
      <c r="B50" s="179"/>
      <c r="C50" s="182"/>
      <c r="D50" s="513" t="str">
        <f>IF(B50="","Falta %K", IFERROR((IF((3+(D6-1)*0.6-H6)*(G6/10)*100&lt;0,0,(3+(D6-1)*0.6-H6)*(G6/10)*100))/B50,0))</f>
        <v>Falta %K</v>
      </c>
      <c r="E50" s="172"/>
      <c r="F50" s="516" t="str">
        <f>IFERROR(IF(OR(B$6=0,B$6=""),"",ROUND(IFERROR(((E50*C$6)/1000),""),1)),"")</f>
        <v/>
      </c>
      <c r="G50" s="181"/>
      <c r="H50" s="39">
        <f>IF(Adubação!$G50="",0,IFERROR((G50*E50*C6),"Falta Kg/ha"))</f>
        <v>0</v>
      </c>
      <c r="I50" s="39">
        <f>IF(Adubação!$G50="",0,IFERROR(G50*D50,0))</f>
        <v>0</v>
      </c>
      <c r="J50" s="551" t="str">
        <f>IF(AND(Adubação!$E50="",Adubação!$C50=""),"Informações incompletas para gerar o relatório.",IF(Adubação!$E50="Falta %K","Informações incompletas para gerar o relatório.",IF(Adubação!$E50=0,"Não precisa realizar adubação de potássio",IF(Adubação!$E50&lt;=120,"Parcelar a adubação em 2x de "&amp;ROUND(Adubação!$E50/2,0)&amp;"kg/ha de "&amp;Adubação!$C50&amp;" em períodos equidistantes na época da chuva. Se possível, adubar próximo a adubação de N.",IF(AND(Adubação!$E50&gt;120,Adubação!$E50&lt;=240),"Parcelar a adubação em 3x de "&amp;ROUND(Adubação!$E50/3,0)&amp;"kg/ha de "&amp;Adubação!$C50&amp;" em períodos equidistantes na época da chuva. Se possível, adubar próximo a adubação de N.","Parcelar a adubação em 4x de "&amp;ROUND(Adubação!$E50/4,0)&amp;"kg/ha de "&amp;Adubação!$C50&amp;" em períodos equidistantes na época da chuva. Se possível, adubar próximo a adubação de N.")))))</f>
        <v>Informações incompletas para gerar o relatório.</v>
      </c>
      <c r="K50" s="551"/>
      <c r="L50" s="551"/>
      <c r="M50" s="551"/>
      <c r="N50" s="551"/>
      <c r="O50" s="551"/>
      <c r="P50" s="551"/>
      <c r="Q50" s="551"/>
      <c r="R50" s="551"/>
      <c r="S50" s="551"/>
      <c r="T50" s="551"/>
      <c r="U50" s="551"/>
      <c r="V50" s="551"/>
      <c r="W50" s="551"/>
      <c r="X50" s="551"/>
      <c r="Y50" s="551"/>
      <c r="Z50" s="552"/>
      <c r="AA50" s="34"/>
      <c r="AB50" s="34"/>
      <c r="AC50" s="34"/>
      <c r="AD50" s="34"/>
      <c r="AE50" s="34"/>
      <c r="AF50" s="34"/>
      <c r="AG50" s="34"/>
      <c r="AH50" s="34"/>
      <c r="AI50" s="34"/>
      <c r="AJ50" s="34"/>
      <c r="AK50" s="34"/>
      <c r="AL50" s="34"/>
      <c r="AM50" s="34"/>
    </row>
    <row r="51" spans="1:39" ht="24.95" customHeight="1" x14ac:dyDescent="0.25">
      <c r="A51" s="34"/>
      <c r="B51" s="179"/>
      <c r="C51" s="182"/>
      <c r="D51" s="513" t="str">
        <f>IF(B51="","Falta %K", IFERROR((IF((3+(D7-1)*0.6-H7)*(G7/10)*100&lt;0,0,(3+(D7-1)*0.6-H7)*(G7/10)*100))/B51,0))</f>
        <v>Falta %K</v>
      </c>
      <c r="E51" s="172"/>
      <c r="F51" s="516" t="str">
        <f t="shared" ref="F51:F54" si="6">IFERROR(IF(OR(B$6=0,B$6=""),"",ROUND(IFERROR(((E51*C$6)/1000),""),1)),"")</f>
        <v/>
      </c>
      <c r="G51" s="181"/>
      <c r="H51" s="39">
        <f>IF(Adubação!$G51="",0,IFERROR((G51*E51*C7),"Falta Kg/ha"))</f>
        <v>0</v>
      </c>
      <c r="I51" s="39">
        <f>IF(Adubação!$G51="",0,IFERROR(G51*D51,0))</f>
        <v>0</v>
      </c>
      <c r="J51" s="551" t="str">
        <f>IF(AND(Adubação!$E51="",Adubação!$C51=""),"Informações incompletas para gerar o relatório.",IF(Adubação!$E51="Falta %K","Informações incompletas para gerar o relatório.",IF(Adubação!$E51=0,"Não precisa realizar adubação de potássio",IF(Adubação!$E51&lt;=120,"Parcelar a adubação em 2x de "&amp;ROUND(Adubação!$E51/2,0)&amp;"kg/ha de "&amp;Adubação!$C51&amp;" em períodos equidistantes na época da chuva. Se possível, adubar próximo a adubação de N.",IF(AND(Adubação!$E51&gt;120,Adubação!$E51&lt;=240),"Parcelar a adubação em 3x de "&amp;ROUND(Adubação!$E51/3,0)&amp;"kg/ha de "&amp;Adubação!$C51&amp;" em períodos equidistantes na época da chuva. Se possível, adubar próximo a adubação de N.","Parcelar a adubação em 4x de "&amp;ROUND(Adubação!$E51/4,0)&amp;"kg/ha de "&amp;Adubação!$C51&amp;" em períodos equidistantes na época da chuva. Se possível, adubar próximo a adubação de N.")))))</f>
        <v>Informações incompletas para gerar o relatório.</v>
      </c>
      <c r="K51" s="551"/>
      <c r="L51" s="551"/>
      <c r="M51" s="551"/>
      <c r="N51" s="551"/>
      <c r="O51" s="551"/>
      <c r="P51" s="551"/>
      <c r="Q51" s="551"/>
      <c r="R51" s="551"/>
      <c r="S51" s="551"/>
      <c r="T51" s="551"/>
      <c r="U51" s="551"/>
      <c r="V51" s="551"/>
      <c r="W51" s="551"/>
      <c r="X51" s="551"/>
      <c r="Y51" s="551"/>
      <c r="Z51" s="552"/>
      <c r="AA51" s="34"/>
      <c r="AB51" s="34"/>
      <c r="AC51" s="34"/>
      <c r="AD51" s="34"/>
      <c r="AE51" s="34"/>
      <c r="AF51" s="34"/>
      <c r="AG51" s="34"/>
      <c r="AH51" s="34"/>
      <c r="AI51" s="34"/>
      <c r="AJ51" s="34"/>
      <c r="AK51" s="34"/>
      <c r="AL51" s="34"/>
      <c r="AM51" s="34"/>
    </row>
    <row r="52" spans="1:39" ht="24.95" customHeight="1" x14ac:dyDescent="0.25">
      <c r="A52" s="34"/>
      <c r="B52" s="179"/>
      <c r="C52" s="182"/>
      <c r="D52" s="513" t="str">
        <f>IF(B52="","Falta %K", IFERROR((IF((3+(D8-1)*0.6-H8)*(G8/10)*100&lt;0,0,(3+(D8-1)*0.6-H8)*(G8/10)*100))/B52,0))</f>
        <v>Falta %K</v>
      </c>
      <c r="E52" s="172"/>
      <c r="F52" s="516" t="str">
        <f t="shared" si="6"/>
        <v/>
      </c>
      <c r="G52" s="181"/>
      <c r="H52" s="39">
        <f>IF(Adubação!$G52="",0,IFERROR((G52*E52*C8),"Falta Kg/ha"))</f>
        <v>0</v>
      </c>
      <c r="I52" s="39">
        <f>IF(Adubação!$G52="",0,IFERROR(G52*D52,0))</f>
        <v>0</v>
      </c>
      <c r="J52" s="551" t="str">
        <f>IF(AND(Adubação!$E52="",Adubação!$C52=""),"Informações incompletas para gerar o relatório.",IF(Adubação!$E52="Falta %K","Informações incompletas para gerar o relatório.",IF(Adubação!$E52=0,"Não precisa realizar adubação de potássio",IF(Adubação!$E52&lt;=120,"Parcelar a adubação em 2x de "&amp;ROUND(Adubação!$E52/2,0)&amp;"kg/ha de "&amp;Adubação!$C52&amp;" em períodos equidistantes na época da chuva. Se possível, adubar próximo a adubação de N.",IF(AND(Adubação!$E52&gt;120,Adubação!$E52&lt;=240),"Parcelar a adubação em 3x de "&amp;ROUND(Adubação!$E52/3,0)&amp;"kg/ha de "&amp;Adubação!$C52&amp;" em períodos equidistantes na época da chuva. Se possível, adubar próximo a adubação de N.","Parcelar a adubação em 4x de "&amp;ROUND(Adubação!$E52/4,0)&amp;"kg/ha de "&amp;Adubação!$C52&amp;" em períodos equidistantes na época da chuva. Se possível, adubar próximo a adubação de N.")))))</f>
        <v>Informações incompletas para gerar o relatório.</v>
      </c>
      <c r="K52" s="551"/>
      <c r="L52" s="551"/>
      <c r="M52" s="551"/>
      <c r="N52" s="551"/>
      <c r="O52" s="551"/>
      <c r="P52" s="551"/>
      <c r="Q52" s="551"/>
      <c r="R52" s="551"/>
      <c r="S52" s="551"/>
      <c r="T52" s="551"/>
      <c r="U52" s="551"/>
      <c r="V52" s="551"/>
      <c r="W52" s="551"/>
      <c r="X52" s="551"/>
      <c r="Y52" s="551"/>
      <c r="Z52" s="552"/>
      <c r="AA52" s="34"/>
      <c r="AB52" s="34"/>
      <c r="AC52" s="34"/>
      <c r="AD52" s="34"/>
      <c r="AE52" s="34"/>
      <c r="AF52" s="34"/>
      <c r="AG52" s="34"/>
      <c r="AH52" s="34"/>
      <c r="AI52" s="34"/>
      <c r="AJ52" s="34"/>
      <c r="AK52" s="34"/>
      <c r="AL52" s="34"/>
      <c r="AM52" s="34"/>
    </row>
    <row r="53" spans="1:39" ht="24.95" customHeight="1" x14ac:dyDescent="0.25">
      <c r="A53" s="34"/>
      <c r="B53" s="179"/>
      <c r="C53" s="182"/>
      <c r="D53" s="513" t="str">
        <f>IF(B53="","Falta %K", IFERROR((IF((3+(D9-1)*0.6-H9)*(G9/10)*100&lt;0,0,(3+(D9-1)*0.6-H9)*(G9/10)*100))/B53,0))</f>
        <v>Falta %K</v>
      </c>
      <c r="E53" s="172"/>
      <c r="F53" s="516" t="str">
        <f t="shared" si="6"/>
        <v/>
      </c>
      <c r="G53" s="181"/>
      <c r="H53" s="39">
        <f>IF(Adubação!$G53="",0,IFERROR((G53*E53*C9),"Falta Kg/ha"))</f>
        <v>0</v>
      </c>
      <c r="I53" s="39">
        <f>IF(Adubação!$G53="",0,IFERROR(G53*D53,0))</f>
        <v>0</v>
      </c>
      <c r="J53" s="551" t="str">
        <f>IF(AND(Adubação!$E53="",Adubação!$C53=""),"Informações incompletas para gerar o relatório.",IF(Adubação!$E53="Falta %K","Informações incompletas para gerar o relatório.",IF(Adubação!$E53=0,"Não precisa realizar adubação de potássio",IF(Adubação!$E53&lt;=120,"Parcelar a adubação em 2x de "&amp;ROUND(Adubação!$E53/2,0)&amp;"kg/ha de "&amp;Adubação!$C53&amp;" em períodos equidistantes na época da chuva. Se possível, adubar próximo a adubação de N.",IF(AND(Adubação!$E53&gt;120,Adubação!$E53&lt;=240),"Parcelar a adubação em 3x de "&amp;ROUND(Adubação!$E53/3,0)&amp;"kg/ha de "&amp;Adubação!$C53&amp;" em períodos equidistantes na época da chuva. Se possível, adubar próximo a adubação de N.","Parcelar a adubação em 4x de "&amp;ROUND(Adubação!$E53/4,0)&amp;"kg/ha de "&amp;Adubação!$C53&amp;" em períodos equidistantes na época da chuva. Se possível, adubar próximo a adubação de N.")))))</f>
        <v>Informações incompletas para gerar o relatório.</v>
      </c>
      <c r="K53" s="551"/>
      <c r="L53" s="551"/>
      <c r="M53" s="551"/>
      <c r="N53" s="551"/>
      <c r="O53" s="551"/>
      <c r="P53" s="551"/>
      <c r="Q53" s="551"/>
      <c r="R53" s="551"/>
      <c r="S53" s="551"/>
      <c r="T53" s="551"/>
      <c r="U53" s="551"/>
      <c r="V53" s="551"/>
      <c r="W53" s="551"/>
      <c r="X53" s="551"/>
      <c r="Y53" s="551"/>
      <c r="Z53" s="552"/>
      <c r="AA53" s="34"/>
      <c r="AB53" s="34"/>
      <c r="AC53" s="34"/>
      <c r="AD53" s="34"/>
      <c r="AE53" s="34"/>
      <c r="AF53" s="34"/>
      <c r="AG53" s="34"/>
      <c r="AH53" s="34"/>
      <c r="AI53" s="34"/>
      <c r="AJ53" s="34"/>
      <c r="AK53" s="34"/>
      <c r="AL53" s="34"/>
      <c r="AM53" s="34"/>
    </row>
    <row r="54" spans="1:39" ht="24.95" customHeight="1" x14ac:dyDescent="0.25">
      <c r="A54" s="34"/>
      <c r="B54" s="179"/>
      <c r="C54" s="182"/>
      <c r="D54" s="513" t="str">
        <f>IF(B54="","Falta %K", IFERROR((IF((3+(D10-1)*0.6-H10)*(G10/10)*100&lt;0,0,(3+(D10-1)*0.6-H10)*(G10/10)*100))/B54,0))</f>
        <v>Falta %K</v>
      </c>
      <c r="E54" s="172"/>
      <c r="F54" s="516" t="str">
        <f t="shared" si="6"/>
        <v/>
      </c>
      <c r="G54" s="181"/>
      <c r="H54" s="39">
        <f>IF(Adubação!$G54="",0,IFERROR((G54*E54*C10),"Falta Kg/ha"))</f>
        <v>0</v>
      </c>
      <c r="I54" s="39">
        <f>IF(Adubação!$G54="",0,IFERROR(G54*D54,0))</f>
        <v>0</v>
      </c>
      <c r="J54" s="551" t="str">
        <f>IF(AND(Adubação!$E54="",Adubação!$C54=""),"Informações incompletas para gerar o relatório.",IF(Adubação!$E54="Falta %K","Informações incompletas para gerar o relatório.",IF(Adubação!$E54=0,"Não precisa realizar adubação de potássio",IF(Adubação!$E54&lt;=120,"Parcelar a adubação em 2x de "&amp;ROUND(Adubação!$E54/2,0)&amp;"kg/ha de "&amp;Adubação!$C54&amp;" em períodos equidistantes na época da chuva. Se possível, adubar próximo a adubação de N.",IF(AND(Adubação!$E54&gt;120,Adubação!$E54&lt;=240),"Parcelar a adubação em 3x de "&amp;ROUND(Adubação!$E54/3,0)&amp;"kg/ha de "&amp;Adubação!$C54&amp;" em períodos equidistantes na época da chuva. Se possível, adubar próximo a adubação de N.","Parcelar a adubação em 4x de "&amp;ROUND(Adubação!$E54/4,0)&amp;"kg/ha de "&amp;Adubação!$C54&amp;" em períodos equidistantes na época da chuva. Se possível, adubar próximo a adubação de N.")))))</f>
        <v>Informações incompletas para gerar o relatório.</v>
      </c>
      <c r="K54" s="551"/>
      <c r="L54" s="551"/>
      <c r="M54" s="551"/>
      <c r="N54" s="551"/>
      <c r="O54" s="551"/>
      <c r="P54" s="551"/>
      <c r="Q54" s="551"/>
      <c r="R54" s="551"/>
      <c r="S54" s="551"/>
      <c r="T54" s="551"/>
      <c r="U54" s="551"/>
      <c r="V54" s="551"/>
      <c r="W54" s="551"/>
      <c r="X54" s="551"/>
      <c r="Y54" s="551"/>
      <c r="Z54" s="552"/>
      <c r="AA54" s="34"/>
      <c r="AB54" s="34"/>
      <c r="AC54" s="34"/>
      <c r="AD54" s="34"/>
      <c r="AE54" s="34"/>
      <c r="AF54" s="34"/>
      <c r="AG54" s="34"/>
      <c r="AH54" s="34"/>
      <c r="AI54" s="34"/>
      <c r="AJ54" s="34"/>
      <c r="AK54" s="34"/>
      <c r="AL54" s="34"/>
      <c r="AM54" s="34"/>
    </row>
    <row r="55" spans="1:39" x14ac:dyDescent="0.25">
      <c r="A55" s="34"/>
      <c r="B55" s="37" t="s">
        <v>137</v>
      </c>
      <c r="C55" s="35"/>
      <c r="D55" s="35"/>
      <c r="E55" s="35"/>
      <c r="F55" s="35"/>
      <c r="G55" s="35"/>
      <c r="H55" s="35"/>
      <c r="I55" s="35"/>
      <c r="J55" s="35"/>
      <c r="K55" s="35"/>
      <c r="L55" s="34"/>
      <c r="M55" s="34"/>
      <c r="N55" s="35"/>
      <c r="O55" s="35"/>
      <c r="P55" s="35"/>
      <c r="Q55" s="34"/>
      <c r="R55" s="34"/>
      <c r="S55" s="34"/>
      <c r="T55" s="34"/>
      <c r="U55" s="34"/>
      <c r="V55" s="34"/>
      <c r="W55" s="34"/>
      <c r="X55" s="34"/>
      <c r="Y55" s="34"/>
      <c r="Z55" s="34"/>
      <c r="AA55" s="34"/>
      <c r="AB55" s="34"/>
      <c r="AC55" s="34"/>
      <c r="AD55" s="34"/>
      <c r="AE55" s="34"/>
      <c r="AF55" s="34"/>
      <c r="AG55" s="34"/>
      <c r="AH55" s="34"/>
      <c r="AI55" s="34"/>
      <c r="AJ55" s="34"/>
      <c r="AK55" s="34"/>
      <c r="AL55" s="34"/>
    </row>
    <row r="56" spans="1:39" x14ac:dyDescent="0.25">
      <c r="A56" s="34"/>
      <c r="B56" s="37"/>
      <c r="C56" s="35"/>
      <c r="D56" s="35"/>
      <c r="E56" s="35"/>
      <c r="F56" s="35"/>
      <c r="G56" s="35"/>
      <c r="H56" s="35"/>
      <c r="I56" s="35"/>
      <c r="J56" s="35"/>
      <c r="K56" s="35"/>
      <c r="L56" s="34"/>
      <c r="M56" s="34"/>
      <c r="N56" s="35"/>
      <c r="O56" s="35"/>
      <c r="P56" s="35"/>
      <c r="Q56" s="34"/>
      <c r="R56" s="34"/>
      <c r="S56" s="34"/>
      <c r="T56" s="34"/>
      <c r="U56" s="34"/>
      <c r="V56" s="34"/>
      <c r="W56" s="34"/>
      <c r="X56" s="34"/>
      <c r="Y56" s="34"/>
      <c r="Z56" s="34"/>
      <c r="AA56" s="34"/>
      <c r="AB56" s="34"/>
      <c r="AC56" s="34"/>
      <c r="AD56" s="34"/>
      <c r="AE56" s="34"/>
      <c r="AF56" s="34"/>
      <c r="AG56" s="34"/>
      <c r="AH56" s="34"/>
      <c r="AI56" s="34"/>
      <c r="AJ56" s="34"/>
      <c r="AK56" s="34"/>
      <c r="AL56" s="34"/>
    </row>
    <row r="57" spans="1:39" ht="18.75" x14ac:dyDescent="0.25">
      <c r="A57" s="34"/>
      <c r="B57" s="38" t="s">
        <v>294</v>
      </c>
      <c r="C57" s="35"/>
      <c r="D57" s="35"/>
      <c r="E57" s="35"/>
      <c r="F57" s="35"/>
      <c r="G57" s="35"/>
      <c r="H57" s="35"/>
      <c r="I57" s="35"/>
      <c r="J57" s="35"/>
      <c r="K57" s="35"/>
      <c r="L57" s="34"/>
      <c r="M57" s="34"/>
      <c r="N57" s="35"/>
      <c r="O57" s="35"/>
      <c r="P57" s="35"/>
      <c r="Q57" s="34"/>
      <c r="R57" s="34"/>
      <c r="S57" s="34"/>
      <c r="T57" s="34"/>
      <c r="U57" s="34"/>
      <c r="V57" s="34"/>
      <c r="W57" s="34"/>
      <c r="X57" s="34"/>
      <c r="Y57" s="34"/>
      <c r="Z57" s="34"/>
      <c r="AA57" s="34"/>
      <c r="AB57" s="34"/>
      <c r="AC57" s="34"/>
      <c r="AD57" s="34"/>
      <c r="AE57" s="34"/>
      <c r="AF57" s="34"/>
      <c r="AG57" s="34"/>
      <c r="AH57" s="34"/>
      <c r="AI57" s="34"/>
      <c r="AJ57" s="34"/>
      <c r="AK57" s="34"/>
      <c r="AL57" s="34"/>
    </row>
    <row r="58" spans="1:39" ht="7.5" customHeight="1" x14ac:dyDescent="0.25">
      <c r="A58" s="34"/>
      <c r="B58" s="67"/>
      <c r="C58" s="35"/>
      <c r="D58" s="35"/>
      <c r="E58" s="35"/>
      <c r="F58" s="35"/>
      <c r="G58" s="35"/>
      <c r="H58" s="35"/>
      <c r="I58" s="35"/>
      <c r="J58" s="35"/>
      <c r="K58" s="35"/>
      <c r="L58" s="34"/>
      <c r="M58" s="34"/>
      <c r="N58" s="35"/>
      <c r="O58" s="35"/>
      <c r="P58" s="35"/>
      <c r="Q58" s="34"/>
      <c r="R58" s="34"/>
      <c r="S58" s="34"/>
      <c r="T58" s="34"/>
      <c r="U58" s="34"/>
      <c r="V58" s="34"/>
      <c r="W58" s="34"/>
      <c r="X58" s="34"/>
      <c r="Y58" s="34"/>
      <c r="Z58" s="34"/>
      <c r="AA58" s="34"/>
      <c r="AB58" s="34"/>
      <c r="AC58" s="34"/>
      <c r="AD58" s="34"/>
      <c r="AE58" s="34"/>
      <c r="AF58" s="34"/>
      <c r="AG58" s="34"/>
      <c r="AH58" s="34"/>
      <c r="AI58" s="34"/>
      <c r="AJ58" s="34"/>
      <c r="AK58" s="34"/>
      <c r="AL58" s="34"/>
    </row>
    <row r="59" spans="1:39" x14ac:dyDescent="0.25">
      <c r="A59" s="34"/>
      <c r="B59" s="564" t="s">
        <v>138</v>
      </c>
      <c r="C59" s="565"/>
      <c r="D59" s="565"/>
      <c r="E59" s="565"/>
      <c r="F59" s="565"/>
      <c r="G59" s="566"/>
      <c r="H59" s="35"/>
      <c r="I59" s="35"/>
      <c r="J59" s="35"/>
      <c r="K59" s="35"/>
      <c r="L59" s="34"/>
      <c r="M59" s="34"/>
      <c r="N59" s="35"/>
      <c r="O59" s="35"/>
      <c r="P59" s="35"/>
      <c r="Q59" s="34"/>
      <c r="R59" s="34"/>
      <c r="S59" s="34"/>
      <c r="T59" s="34"/>
      <c r="U59" s="34"/>
      <c r="V59" s="34"/>
      <c r="W59" s="34"/>
      <c r="X59" s="34"/>
      <c r="Y59" s="34"/>
      <c r="Z59" s="34"/>
      <c r="AA59" s="34"/>
      <c r="AB59" s="34"/>
      <c r="AC59" s="34"/>
      <c r="AD59" s="34"/>
      <c r="AE59" s="34"/>
      <c r="AF59" s="34"/>
      <c r="AG59" s="34"/>
      <c r="AH59" s="34"/>
      <c r="AI59" s="34"/>
      <c r="AJ59" s="34"/>
      <c r="AK59" s="34"/>
      <c r="AL59" s="34"/>
    </row>
    <row r="60" spans="1:39" ht="24.95" customHeight="1" x14ac:dyDescent="0.25">
      <c r="A60" s="34"/>
      <c r="B60" s="561" t="s">
        <v>295</v>
      </c>
      <c r="C60" s="562"/>
      <c r="D60" s="562"/>
      <c r="E60" s="562"/>
      <c r="F60" s="562"/>
      <c r="G60" s="563"/>
      <c r="H60" s="35"/>
      <c r="I60" s="35"/>
      <c r="J60" s="35"/>
      <c r="K60" s="35"/>
      <c r="L60" s="34"/>
      <c r="M60" s="34"/>
      <c r="N60" s="35"/>
      <c r="O60" s="35"/>
      <c r="P60" s="35"/>
      <c r="Q60" s="34"/>
      <c r="R60" s="34"/>
      <c r="S60" s="34"/>
      <c r="T60" s="34"/>
      <c r="U60" s="34"/>
      <c r="V60" s="34"/>
      <c r="W60" s="34"/>
      <c r="X60" s="34"/>
      <c r="Y60" s="34"/>
      <c r="Z60" s="34"/>
      <c r="AA60" s="34"/>
      <c r="AB60" s="34"/>
      <c r="AC60" s="34"/>
      <c r="AD60" s="34"/>
      <c r="AE60" s="34"/>
      <c r="AF60" s="34"/>
      <c r="AG60" s="34"/>
      <c r="AH60" s="34"/>
      <c r="AI60" s="34"/>
      <c r="AJ60" s="34"/>
      <c r="AK60" s="34"/>
      <c r="AL60" s="34"/>
    </row>
    <row r="61" spans="1:39" x14ac:dyDescent="0.25">
      <c r="A61" s="34"/>
      <c r="B61" s="37"/>
      <c r="C61" s="35"/>
      <c r="D61" s="35"/>
      <c r="E61" s="35"/>
      <c r="F61" s="35"/>
      <c r="G61" s="35"/>
      <c r="H61" s="35"/>
      <c r="I61" s="35"/>
      <c r="J61" s="35"/>
      <c r="K61" s="35"/>
      <c r="L61" s="34"/>
      <c r="M61" s="34"/>
      <c r="N61" s="35"/>
      <c r="O61" s="35"/>
      <c r="P61" s="35"/>
      <c r="Q61" s="34"/>
      <c r="R61" s="34"/>
      <c r="S61" s="34"/>
      <c r="T61" s="34"/>
      <c r="U61" s="34"/>
      <c r="V61" s="34"/>
      <c r="W61" s="34"/>
      <c r="X61" s="34"/>
      <c r="Y61" s="34"/>
      <c r="Z61" s="34"/>
      <c r="AA61" s="34"/>
      <c r="AB61" s="34"/>
      <c r="AC61" s="34"/>
      <c r="AD61" s="34"/>
      <c r="AE61" s="34"/>
      <c r="AF61" s="34"/>
      <c r="AG61" s="34"/>
      <c r="AH61" s="34"/>
      <c r="AI61" s="34"/>
      <c r="AJ61" s="34"/>
      <c r="AK61" s="34"/>
      <c r="AL61" s="34"/>
    </row>
    <row r="62" spans="1:39" ht="18.75" x14ac:dyDescent="0.25">
      <c r="A62" s="34"/>
      <c r="B62" s="38" t="s">
        <v>296</v>
      </c>
      <c r="C62" s="35"/>
      <c r="D62" s="35"/>
      <c r="E62" s="35"/>
      <c r="F62" s="35"/>
      <c r="G62" s="35"/>
      <c r="H62" s="35"/>
      <c r="I62" s="35"/>
      <c r="J62" s="35"/>
      <c r="K62" s="35"/>
      <c r="L62" s="34"/>
      <c r="M62" s="34"/>
      <c r="N62" s="35"/>
      <c r="O62" s="35"/>
      <c r="P62" s="35"/>
      <c r="Q62" s="34"/>
      <c r="R62" s="34"/>
      <c r="S62" s="34"/>
      <c r="T62" s="34"/>
      <c r="U62" s="34"/>
      <c r="V62" s="34"/>
      <c r="W62" s="34"/>
      <c r="X62" s="34"/>
      <c r="Y62" s="34"/>
      <c r="Z62" s="34"/>
      <c r="AA62" s="34"/>
      <c r="AB62" s="34"/>
      <c r="AC62" s="34"/>
      <c r="AD62" s="34"/>
      <c r="AE62" s="34"/>
      <c r="AF62" s="34"/>
      <c r="AG62" s="34"/>
      <c r="AH62" s="34"/>
      <c r="AI62" s="34"/>
      <c r="AJ62" s="34"/>
      <c r="AK62" s="34"/>
      <c r="AL62" s="34"/>
    </row>
    <row r="63" spans="1:39" ht="9" customHeight="1" x14ac:dyDescent="0.25">
      <c r="A63" s="34"/>
      <c r="B63" s="37"/>
      <c r="C63" s="35"/>
      <c r="D63" s="35"/>
      <c r="E63" s="35"/>
      <c r="F63" s="35"/>
      <c r="G63" s="35"/>
      <c r="H63" s="35"/>
      <c r="I63" s="35"/>
      <c r="J63" s="35"/>
      <c r="K63" s="35"/>
      <c r="L63" s="34"/>
      <c r="M63" s="34"/>
      <c r="N63" s="35"/>
      <c r="O63" s="35"/>
      <c r="P63" s="35"/>
      <c r="Q63" s="34"/>
      <c r="R63" s="34"/>
      <c r="S63" s="34"/>
      <c r="T63" s="34"/>
      <c r="U63" s="34"/>
      <c r="V63" s="34"/>
      <c r="W63" s="34"/>
      <c r="X63" s="34"/>
      <c r="Y63" s="34"/>
      <c r="Z63" s="34"/>
      <c r="AA63" s="34"/>
      <c r="AB63" s="34"/>
      <c r="AC63" s="34"/>
      <c r="AD63" s="34"/>
      <c r="AE63" s="34"/>
      <c r="AF63" s="34"/>
      <c r="AG63" s="34"/>
      <c r="AH63" s="34"/>
      <c r="AI63" s="34"/>
      <c r="AJ63" s="34"/>
      <c r="AK63" s="34"/>
      <c r="AL63" s="34"/>
    </row>
    <row r="64" spans="1:39" x14ac:dyDescent="0.25">
      <c r="A64" s="34"/>
      <c r="B64" s="564" t="s">
        <v>138</v>
      </c>
      <c r="C64" s="565"/>
      <c r="D64" s="565"/>
      <c r="E64" s="565"/>
      <c r="F64" s="565"/>
      <c r="G64" s="566"/>
      <c r="H64" s="35"/>
      <c r="I64" s="35"/>
      <c r="J64" s="35"/>
      <c r="K64" s="35"/>
      <c r="L64" s="34"/>
      <c r="M64" s="34"/>
      <c r="N64" s="35"/>
      <c r="O64" s="35"/>
      <c r="P64" s="35"/>
      <c r="Q64" s="34"/>
      <c r="R64" s="34"/>
      <c r="S64" s="34"/>
      <c r="T64" s="34"/>
      <c r="U64" s="34"/>
      <c r="V64" s="34"/>
      <c r="W64" s="34"/>
      <c r="X64" s="34"/>
      <c r="Y64" s="34"/>
      <c r="Z64" s="34"/>
      <c r="AA64" s="34"/>
      <c r="AB64" s="34"/>
      <c r="AC64" s="34"/>
      <c r="AD64" s="34"/>
      <c r="AE64" s="34"/>
      <c r="AF64" s="34"/>
      <c r="AG64" s="34"/>
      <c r="AH64" s="34"/>
      <c r="AI64" s="34"/>
      <c r="AJ64" s="34"/>
      <c r="AK64" s="34"/>
      <c r="AL64" s="34"/>
    </row>
    <row r="65" spans="1:38" ht="24.75" customHeight="1" x14ac:dyDescent="0.25">
      <c r="A65" s="34"/>
      <c r="B65" s="548" t="str">
        <f>IF(L6="","Falta preencher informações da área",(50*(L6/10))/1000)</f>
        <v>Falta preencher informações da área</v>
      </c>
      <c r="C65" s="549"/>
      <c r="D65" s="549"/>
      <c r="E65" s="549"/>
      <c r="F65" s="549"/>
      <c r="G65" s="550"/>
      <c r="H65" s="35"/>
      <c r="I65" s="35"/>
      <c r="J65" s="35"/>
      <c r="K65" s="35"/>
      <c r="L65" s="34"/>
      <c r="M65" s="34"/>
      <c r="N65" s="35"/>
      <c r="O65" s="35"/>
      <c r="P65" s="35"/>
      <c r="Q65" s="34"/>
      <c r="R65" s="34"/>
      <c r="S65" s="34"/>
      <c r="T65" s="34"/>
      <c r="U65" s="34"/>
      <c r="V65" s="34"/>
      <c r="W65" s="34"/>
      <c r="X65" s="34"/>
      <c r="Y65" s="34"/>
      <c r="Z65" s="34"/>
      <c r="AA65" s="34"/>
      <c r="AB65" s="34"/>
      <c r="AC65" s="34"/>
      <c r="AD65" s="34"/>
      <c r="AE65" s="34"/>
      <c r="AF65" s="34"/>
      <c r="AG65" s="34"/>
      <c r="AH65" s="34"/>
      <c r="AI65" s="34"/>
      <c r="AJ65" s="34"/>
      <c r="AK65" s="34"/>
      <c r="AL65" s="34"/>
    </row>
    <row r="66" spans="1:38" ht="24.75" customHeight="1" x14ac:dyDescent="0.25">
      <c r="A66" s="34"/>
      <c r="B66" s="548" t="str">
        <f t="shared" ref="B66:B69" si="7">IF(L7="","Falta preencher informações da área",(50*(L7/10))/1000)</f>
        <v>Falta preencher informações da área</v>
      </c>
      <c r="C66" s="549"/>
      <c r="D66" s="549"/>
      <c r="E66" s="549"/>
      <c r="F66" s="549"/>
      <c r="G66" s="550"/>
      <c r="H66" s="35"/>
      <c r="I66" s="35"/>
      <c r="J66" s="35"/>
      <c r="K66" s="35"/>
      <c r="L66" s="34"/>
      <c r="M66" s="34"/>
      <c r="N66" s="35"/>
      <c r="O66" s="35"/>
      <c r="P66" s="35"/>
      <c r="Q66" s="34"/>
      <c r="R66" s="34"/>
      <c r="S66" s="34"/>
      <c r="T66" s="34"/>
      <c r="U66" s="34"/>
      <c r="V66" s="34"/>
      <c r="W66" s="34"/>
      <c r="X66" s="34"/>
      <c r="Y66" s="34"/>
      <c r="Z66" s="34"/>
      <c r="AA66" s="34"/>
      <c r="AB66" s="34"/>
      <c r="AC66" s="34"/>
      <c r="AD66" s="34"/>
      <c r="AE66" s="34"/>
      <c r="AF66" s="34"/>
      <c r="AG66" s="34"/>
      <c r="AH66" s="34"/>
      <c r="AI66" s="34"/>
      <c r="AJ66" s="34"/>
      <c r="AK66" s="34"/>
      <c r="AL66" s="34"/>
    </row>
    <row r="67" spans="1:38" ht="24.75" customHeight="1" x14ac:dyDescent="0.25">
      <c r="A67" s="34"/>
      <c r="B67" s="548" t="str">
        <f t="shared" si="7"/>
        <v>Falta preencher informações da área</v>
      </c>
      <c r="C67" s="549"/>
      <c r="D67" s="549"/>
      <c r="E67" s="549"/>
      <c r="F67" s="549"/>
      <c r="G67" s="550"/>
      <c r="H67" s="35"/>
      <c r="I67" s="35"/>
      <c r="J67" s="35"/>
      <c r="K67" s="35"/>
      <c r="L67" s="34"/>
      <c r="M67" s="34"/>
      <c r="N67" s="35"/>
      <c r="O67" s="35"/>
      <c r="P67" s="35"/>
      <c r="Q67" s="34"/>
      <c r="R67" s="34"/>
      <c r="S67" s="34"/>
      <c r="T67" s="34"/>
      <c r="U67" s="34"/>
      <c r="V67" s="34"/>
      <c r="W67" s="34"/>
      <c r="X67" s="34"/>
      <c r="Y67" s="34"/>
      <c r="Z67" s="34"/>
      <c r="AA67" s="34"/>
      <c r="AB67" s="34"/>
      <c r="AC67" s="34"/>
      <c r="AD67" s="34"/>
      <c r="AE67" s="34"/>
      <c r="AF67" s="34"/>
      <c r="AG67" s="34"/>
      <c r="AH67" s="34"/>
      <c r="AI67" s="34"/>
      <c r="AJ67" s="34"/>
      <c r="AK67" s="34"/>
      <c r="AL67" s="34"/>
    </row>
    <row r="68" spans="1:38" ht="24.75" customHeight="1" x14ac:dyDescent="0.25">
      <c r="A68" s="34"/>
      <c r="B68" s="548" t="str">
        <f t="shared" si="7"/>
        <v>Falta preencher informações da área</v>
      </c>
      <c r="C68" s="549"/>
      <c r="D68" s="549"/>
      <c r="E68" s="549"/>
      <c r="F68" s="549"/>
      <c r="G68" s="550"/>
      <c r="H68" s="35"/>
      <c r="I68" s="35"/>
      <c r="J68" s="35"/>
      <c r="K68" s="35"/>
      <c r="L68" s="34"/>
      <c r="M68" s="34"/>
      <c r="N68" s="35"/>
      <c r="O68" s="35"/>
      <c r="P68" s="35"/>
      <c r="Q68" s="34"/>
      <c r="R68" s="34"/>
      <c r="S68" s="34"/>
      <c r="T68" s="34"/>
      <c r="U68" s="34"/>
      <c r="V68" s="34"/>
      <c r="W68" s="34"/>
      <c r="X68" s="34"/>
      <c r="Y68" s="34"/>
      <c r="Z68" s="34"/>
      <c r="AA68" s="34"/>
      <c r="AB68" s="34"/>
      <c r="AC68" s="34"/>
      <c r="AD68" s="34"/>
      <c r="AE68" s="34"/>
      <c r="AF68" s="34"/>
      <c r="AG68" s="34"/>
      <c r="AH68" s="34"/>
      <c r="AI68" s="34"/>
      <c r="AJ68" s="34"/>
      <c r="AK68" s="34"/>
      <c r="AL68" s="34"/>
    </row>
    <row r="69" spans="1:38" ht="24.75" customHeight="1" x14ac:dyDescent="0.25">
      <c r="A69" s="34"/>
      <c r="B69" s="548" t="str">
        <f t="shared" si="7"/>
        <v>Falta preencher informações da área</v>
      </c>
      <c r="C69" s="549"/>
      <c r="D69" s="549"/>
      <c r="E69" s="549"/>
      <c r="F69" s="549"/>
      <c r="G69" s="550"/>
      <c r="H69" s="35"/>
      <c r="I69" s="35"/>
      <c r="J69" s="35"/>
      <c r="K69" s="35"/>
      <c r="L69" s="34"/>
      <c r="M69" s="34"/>
      <c r="N69" s="35"/>
      <c r="O69" s="35"/>
      <c r="P69" s="35"/>
      <c r="Q69" s="34"/>
      <c r="R69" s="34"/>
      <c r="S69" s="34"/>
      <c r="T69" s="34"/>
      <c r="U69" s="34"/>
      <c r="V69" s="34"/>
      <c r="W69" s="34"/>
      <c r="X69" s="34"/>
      <c r="Y69" s="34"/>
      <c r="Z69" s="34"/>
      <c r="AA69" s="34"/>
      <c r="AB69" s="34"/>
      <c r="AC69" s="34"/>
      <c r="AD69" s="34"/>
      <c r="AE69" s="34"/>
      <c r="AF69" s="34"/>
      <c r="AG69" s="34"/>
      <c r="AH69" s="34"/>
      <c r="AI69" s="34"/>
      <c r="AJ69" s="34"/>
      <c r="AK69" s="34"/>
      <c r="AL69" s="34"/>
    </row>
    <row r="70" spans="1:38" x14ac:dyDescent="0.25">
      <c r="A70" s="34"/>
      <c r="B70" s="37"/>
      <c r="C70" s="35"/>
      <c r="D70" s="35"/>
      <c r="E70" s="35"/>
      <c r="F70" s="35"/>
      <c r="G70" s="35"/>
      <c r="H70" s="35"/>
      <c r="I70" s="35"/>
      <c r="J70" s="35"/>
      <c r="K70" s="35"/>
      <c r="L70" s="34"/>
      <c r="M70" s="34"/>
      <c r="N70" s="35"/>
      <c r="O70" s="35"/>
      <c r="P70" s="35"/>
      <c r="Q70" s="34"/>
      <c r="R70" s="34"/>
      <c r="S70" s="34"/>
      <c r="T70" s="34"/>
      <c r="U70" s="34"/>
      <c r="V70" s="34"/>
      <c r="W70" s="34"/>
      <c r="X70" s="34"/>
      <c r="Y70" s="34"/>
      <c r="Z70" s="34"/>
      <c r="AA70" s="34"/>
      <c r="AB70" s="34"/>
      <c r="AC70" s="34"/>
      <c r="AD70" s="34"/>
      <c r="AE70" s="34"/>
      <c r="AF70" s="34"/>
      <c r="AG70" s="34"/>
      <c r="AH70" s="34"/>
      <c r="AI70" s="34"/>
      <c r="AJ70" s="34"/>
      <c r="AK70" s="34"/>
      <c r="AL70" s="34"/>
    </row>
    <row r="71" spans="1:38" ht="15.75" x14ac:dyDescent="0.25">
      <c r="A71" s="34"/>
      <c r="B71" s="66" t="s">
        <v>42</v>
      </c>
      <c r="C71" s="560">
        <f>IFERROR(H50++H16+H17+H18+H19+H26+H27+H28+H29+H40+H25+H15+H41+H42+H43+H44+H51+H52+H53+H54,0)</f>
        <v>0</v>
      </c>
      <c r="D71" s="560"/>
      <c r="E71" s="35"/>
      <c r="F71" s="35"/>
      <c r="G71" s="35"/>
      <c r="H71" s="35"/>
      <c r="I71" s="35"/>
      <c r="J71" s="35"/>
      <c r="K71" s="35"/>
      <c r="L71" s="34"/>
      <c r="M71" s="34"/>
      <c r="N71" s="35"/>
      <c r="O71" s="35"/>
      <c r="P71" s="35"/>
      <c r="Q71" s="34"/>
      <c r="R71" s="34"/>
      <c r="S71" s="34"/>
      <c r="T71" s="34"/>
      <c r="U71" s="34"/>
      <c r="V71" s="34"/>
      <c r="W71" s="34"/>
      <c r="X71" s="34"/>
      <c r="Y71" s="34"/>
      <c r="Z71" s="34"/>
      <c r="AA71" s="34"/>
      <c r="AB71" s="34"/>
      <c r="AC71" s="34"/>
      <c r="AD71" s="34"/>
      <c r="AE71" s="34"/>
      <c r="AF71" s="34"/>
      <c r="AG71" s="34"/>
      <c r="AH71" s="34"/>
      <c r="AI71" s="34"/>
      <c r="AJ71" s="34"/>
      <c r="AK71" s="34"/>
      <c r="AL71" s="34"/>
    </row>
    <row r="72" spans="1:38" ht="15.75" x14ac:dyDescent="0.25">
      <c r="A72" s="34"/>
      <c r="B72" s="66"/>
      <c r="C72" s="560"/>
      <c r="D72" s="560"/>
      <c r="E72" s="35"/>
      <c r="F72" s="35"/>
      <c r="G72" s="35"/>
      <c r="H72" s="35"/>
      <c r="I72" s="35"/>
      <c r="J72" s="35"/>
      <c r="K72" s="35"/>
      <c r="L72" s="34"/>
      <c r="M72" s="34"/>
      <c r="N72" s="35"/>
      <c r="O72" s="35"/>
      <c r="P72" s="35"/>
      <c r="Q72" s="34"/>
      <c r="R72" s="34"/>
      <c r="S72" s="34"/>
      <c r="T72" s="34"/>
      <c r="U72" s="34"/>
      <c r="V72" s="34"/>
      <c r="W72" s="34"/>
      <c r="X72" s="34"/>
      <c r="Y72" s="34"/>
      <c r="Z72" s="34"/>
      <c r="AA72" s="34"/>
      <c r="AB72" s="34"/>
      <c r="AC72" s="34"/>
      <c r="AD72" s="34"/>
      <c r="AE72" s="34"/>
      <c r="AF72" s="34"/>
      <c r="AG72" s="34"/>
      <c r="AH72" s="34"/>
      <c r="AI72" s="34"/>
      <c r="AJ72" s="34"/>
      <c r="AK72" s="34"/>
      <c r="AL72" s="34"/>
    </row>
    <row r="73" spans="1:38" x14ac:dyDescent="0.25">
      <c r="A73" s="34"/>
      <c r="B73" s="35"/>
      <c r="C73" s="35"/>
      <c r="D73" s="35"/>
      <c r="E73" s="35"/>
      <c r="F73" s="35"/>
      <c r="G73" s="35"/>
      <c r="H73" s="36"/>
      <c r="I73" s="35"/>
      <c r="J73" s="35"/>
      <c r="K73" s="35"/>
      <c r="L73" s="35"/>
      <c r="M73" s="35"/>
      <c r="N73" s="35"/>
      <c r="O73" s="35"/>
      <c r="P73" s="35"/>
      <c r="Q73" s="34"/>
      <c r="R73" s="34"/>
      <c r="S73" s="34"/>
      <c r="T73" s="34"/>
      <c r="U73" s="34"/>
      <c r="V73" s="34"/>
      <c r="W73" s="34"/>
      <c r="X73" s="34"/>
      <c r="Y73" s="34"/>
      <c r="Z73" s="34"/>
      <c r="AA73" s="34"/>
      <c r="AB73" s="34"/>
      <c r="AC73" s="34"/>
      <c r="AD73" s="34"/>
      <c r="AE73" s="34"/>
      <c r="AF73" s="34"/>
      <c r="AG73" s="34"/>
      <c r="AH73" s="34"/>
      <c r="AI73" s="34"/>
      <c r="AJ73" s="34"/>
      <c r="AK73" s="34"/>
      <c r="AL73" s="34"/>
    </row>
    <row r="74" spans="1:38" hidden="1" x14ac:dyDescent="0.25">
      <c r="A74" s="34"/>
      <c r="B74" s="35"/>
      <c r="C74" s="35"/>
      <c r="D74" s="35"/>
      <c r="E74" s="35"/>
      <c r="F74" s="35"/>
      <c r="G74" s="35"/>
      <c r="H74" s="36"/>
      <c r="I74" s="35"/>
      <c r="J74" s="35"/>
      <c r="K74" s="35"/>
      <c r="L74" s="35"/>
      <c r="M74" s="35"/>
      <c r="N74" s="35"/>
      <c r="O74" s="35"/>
      <c r="P74" s="35"/>
      <c r="Q74" s="34"/>
      <c r="R74" s="34"/>
      <c r="S74" s="34"/>
      <c r="T74" s="34"/>
      <c r="U74" s="34"/>
      <c r="V74" s="34"/>
      <c r="W74" s="34"/>
      <c r="X74" s="34"/>
      <c r="Y74" s="34"/>
      <c r="Z74" s="34"/>
      <c r="AA74" s="34"/>
      <c r="AB74" s="34"/>
      <c r="AC74" s="34"/>
      <c r="AD74" s="34"/>
      <c r="AE74" s="34"/>
      <c r="AF74" s="34"/>
      <c r="AG74" s="34"/>
      <c r="AH74" s="34"/>
      <c r="AI74" s="34"/>
      <c r="AJ74" s="34"/>
      <c r="AK74" s="34"/>
      <c r="AL74" s="34"/>
    </row>
  </sheetData>
  <sheetProtection algorithmName="SHA-512" hashValue="sFemIkaRyCM2YYgj+z2iYyahh6w+pq2WMsCIMshAz+DI23iBvK49WCvCVupT3+RWpQHueMIW/qp0ZSqsdMWJ0A==" saltValue="g2jGAn0iR7+GkT9WrWJjRw==" spinCount="100000" sheet="1" objects="1" scenarios="1" selectLockedCells="1"/>
  <mergeCells count="35">
    <mergeCell ref="C71:D71"/>
    <mergeCell ref="C72:D72"/>
    <mergeCell ref="J49:Z49"/>
    <mergeCell ref="J50:Z50"/>
    <mergeCell ref="J24:Z24"/>
    <mergeCell ref="J25:Z25"/>
    <mergeCell ref="J39:Z39"/>
    <mergeCell ref="J40:Z40"/>
    <mergeCell ref="B60:G60"/>
    <mergeCell ref="B59:G59"/>
    <mergeCell ref="B64:G64"/>
    <mergeCell ref="B65:G65"/>
    <mergeCell ref="J27:Z27"/>
    <mergeCell ref="J28:Z28"/>
    <mergeCell ref="J29:Z29"/>
    <mergeCell ref="J41:Z41"/>
    <mergeCell ref="J17:Y17"/>
    <mergeCell ref="J18:Y18"/>
    <mergeCell ref="J19:Y19"/>
    <mergeCell ref="J26:Z26"/>
    <mergeCell ref="H4:L4"/>
    <mergeCell ref="J14:Y14"/>
    <mergeCell ref="J15:Y15"/>
    <mergeCell ref="J16:Y16"/>
    <mergeCell ref="J42:Z42"/>
    <mergeCell ref="J43:Z43"/>
    <mergeCell ref="J44:Z44"/>
    <mergeCell ref="J51:Z51"/>
    <mergeCell ref="J52:Z52"/>
    <mergeCell ref="B69:G69"/>
    <mergeCell ref="J53:Z53"/>
    <mergeCell ref="J54:Z54"/>
    <mergeCell ref="B66:G66"/>
    <mergeCell ref="B67:G67"/>
    <mergeCell ref="B68:G68"/>
  </mergeCells>
  <conditionalFormatting sqref="C37:E37 C47:E48 B31:H35 C36:H36 B30:I30 B45:I46 G37 G48:I48 G24:J29 G39:J44 G50:J54 D50:E54 B24:E29 B39:E44 G47 I47 I31:I37">
    <cfRule type="containsText" dxfId="69" priority="8" operator="containsText" text="Falta">
      <formula>NOT(ISERROR(SEARCH("Falta",B24)))</formula>
    </cfRule>
  </conditionalFormatting>
  <conditionalFormatting sqref="B49:D49 G49:J49">
    <cfRule type="containsText" dxfId="68" priority="7" operator="containsText" text="Falta">
      <formula>NOT(ISERROR(SEARCH("Falta",B49)))</formula>
    </cfRule>
  </conditionalFormatting>
  <conditionalFormatting sqref="J50:J54">
    <cfRule type="containsText" dxfId="67" priority="6" operator="containsText" text="Falta">
      <formula>NOT(ISERROR(SEARCH("Falta",J50)))</formula>
    </cfRule>
  </conditionalFormatting>
  <conditionalFormatting sqref="E49">
    <cfRule type="containsText" dxfId="66" priority="4" operator="containsText" text="Falta">
      <formula>NOT(ISERROR(SEARCH("Falta",E49)))</formula>
    </cfRule>
  </conditionalFormatting>
  <conditionalFormatting sqref="B59">
    <cfRule type="containsText" dxfId="65" priority="3" operator="containsText" text="Falta">
      <formula>NOT(ISERROR(SEARCH("Falta",B59)))</formula>
    </cfRule>
  </conditionalFormatting>
  <conditionalFormatting sqref="B64">
    <cfRule type="containsText" dxfId="64" priority="2" operator="containsText" text="Falta">
      <formula>NOT(ISERROR(SEARCH("Falta",B64)))</formula>
    </cfRule>
  </conditionalFormatting>
  <conditionalFormatting sqref="B50:B54">
    <cfRule type="containsText" dxfId="63" priority="1" operator="containsText" text="Falta">
      <formula>NOT(ISERROR(SEARCH("Falta",B50)))</formula>
    </cfRule>
  </conditionalFormatting>
  <dataValidations count="2">
    <dataValidation type="list" allowBlank="1" showErrorMessage="1" sqref="E14" xr:uid="{9E092282-1F88-42E0-9587-11B51910F177}">
      <formula1>"Calcário"</formula1>
    </dataValidation>
    <dataValidation type="decimal" allowBlank="1" showInputMessage="1" showErrorMessage="1" sqref="B25:B29 B40:B44 B50:B54" xr:uid="{35A46FC3-D803-4AAC-9236-0E133EE8A5F6}">
      <formula1>0</formula1>
      <formula2>1</formula2>
    </dataValidation>
  </dataValidations>
  <pageMargins left="0.511811024" right="0.511811024" top="0.78740157499999996" bottom="0.78740157499999996" header="0.31496062000000002" footer="0.31496062000000002"/>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EA318-EF28-48F9-B947-CA07B9002C42}">
  <sheetPr codeName="Planilha8"/>
  <dimension ref="A1:AD47"/>
  <sheetViews>
    <sheetView showGridLines="0" showRowColHeaders="0" zoomScale="85" zoomScaleNormal="85" workbookViewId="0">
      <selection activeCell="C4" sqref="C4"/>
    </sheetView>
  </sheetViews>
  <sheetFormatPr defaultColWidth="0" defaultRowHeight="15" zeroHeight="1" x14ac:dyDescent="0.25"/>
  <cols>
    <col min="1" max="1" width="8.42578125" customWidth="1"/>
    <col min="2" max="2" width="32.140625" bestFit="1" customWidth="1"/>
    <col min="3" max="3" width="13.7109375" customWidth="1"/>
    <col min="4" max="4" width="14.5703125" customWidth="1"/>
    <col min="5" max="6" width="9.140625" customWidth="1"/>
    <col min="7" max="7" width="13.85546875" bestFit="1" customWidth="1"/>
    <col min="8" max="9" width="9.140625" customWidth="1"/>
    <col min="10" max="10" width="110.140625" customWidth="1"/>
    <col min="11" max="16384" width="9.140625" hidden="1"/>
  </cols>
  <sheetData>
    <row r="1" spans="1:30" ht="27.75" customHeight="1" x14ac:dyDescent="0.25">
      <c r="A1" s="9"/>
      <c r="B1" s="528" t="s">
        <v>365</v>
      </c>
      <c r="C1" s="528"/>
      <c r="D1" s="528"/>
      <c r="E1" s="528"/>
      <c r="F1" s="528"/>
      <c r="G1" s="528"/>
      <c r="H1" s="528"/>
      <c r="I1" s="528"/>
      <c r="J1" s="528"/>
    </row>
    <row r="2" spans="1:30" ht="313.5" customHeight="1" x14ac:dyDescent="0.25">
      <c r="A2" s="17"/>
      <c r="B2" s="17"/>
      <c r="C2" s="17"/>
      <c r="D2" s="17"/>
      <c r="E2" s="17"/>
      <c r="F2" s="17"/>
      <c r="G2" s="17"/>
      <c r="H2" s="17"/>
      <c r="I2" s="17"/>
      <c r="J2" s="17"/>
    </row>
    <row r="3" spans="1:30" ht="20.100000000000001" customHeight="1" x14ac:dyDescent="0.25">
      <c r="A3" s="17"/>
      <c r="B3" s="576" t="s">
        <v>364</v>
      </c>
      <c r="C3" s="576"/>
      <c r="D3" s="7"/>
      <c r="E3" s="7"/>
      <c r="F3" s="7"/>
      <c r="G3" s="7"/>
      <c r="H3" s="7"/>
      <c r="I3" s="7"/>
      <c r="J3" s="7"/>
      <c r="L3" s="2" t="s">
        <v>363</v>
      </c>
      <c r="M3" s="2">
        <v>25</v>
      </c>
      <c r="N3" s="2">
        <v>32</v>
      </c>
      <c r="O3" s="2">
        <v>40</v>
      </c>
      <c r="P3" s="2">
        <v>50</v>
      </c>
      <c r="Q3" s="2">
        <v>75</v>
      </c>
      <c r="R3" s="2">
        <v>100</v>
      </c>
      <c r="S3" s="2">
        <v>125</v>
      </c>
      <c r="T3" s="2">
        <v>150</v>
      </c>
      <c r="U3" s="2">
        <v>200</v>
      </c>
      <c r="V3" s="2">
        <v>250</v>
      </c>
      <c r="W3" s="2">
        <v>300</v>
      </c>
      <c r="AB3" s="568" t="s">
        <v>362</v>
      </c>
      <c r="AC3" s="568"/>
      <c r="AD3" s="87" t="s">
        <v>361</v>
      </c>
    </row>
    <row r="4" spans="1:30" ht="30" customHeight="1" x14ac:dyDescent="0.25">
      <c r="A4" s="17"/>
      <c r="B4" s="164" t="s">
        <v>45</v>
      </c>
      <c r="C4" s="88"/>
      <c r="D4" s="7"/>
      <c r="E4" s="7"/>
      <c r="F4" s="7"/>
      <c r="G4" s="7"/>
      <c r="H4" s="7"/>
      <c r="I4" s="7"/>
      <c r="J4" s="7"/>
      <c r="K4">
        <v>1</v>
      </c>
      <c r="L4" s="2">
        <v>498.00000000000006</v>
      </c>
      <c r="M4" s="2">
        <v>0.7</v>
      </c>
      <c r="N4" s="2">
        <v>0.2</v>
      </c>
      <c r="O4" s="2">
        <v>0</v>
      </c>
      <c r="P4" s="2"/>
      <c r="Q4" s="2"/>
      <c r="R4" s="2"/>
      <c r="S4" s="2"/>
      <c r="T4" s="2"/>
      <c r="U4" s="2"/>
      <c r="V4" s="2"/>
      <c r="W4" s="2"/>
      <c r="X4">
        <v>1</v>
      </c>
      <c r="AB4" s="569" t="s">
        <v>360</v>
      </c>
      <c r="AC4" s="569"/>
      <c r="AD4" s="86">
        <v>0</v>
      </c>
    </row>
    <row r="5" spans="1:30" ht="30" customHeight="1" x14ac:dyDescent="0.25">
      <c r="A5" s="17"/>
      <c r="B5" s="164" t="s">
        <v>366</v>
      </c>
      <c r="C5" s="88"/>
      <c r="D5" s="7"/>
      <c r="E5" s="7"/>
      <c r="F5" s="7"/>
      <c r="G5" s="7"/>
      <c r="H5" s="7"/>
      <c r="I5" s="7"/>
      <c r="J5" s="7"/>
      <c r="K5">
        <v>2</v>
      </c>
      <c r="L5" s="2">
        <v>1002</v>
      </c>
      <c r="M5" s="2">
        <v>2.7</v>
      </c>
      <c r="N5" s="2">
        <v>0.75</v>
      </c>
      <c r="O5" s="2">
        <v>0.22</v>
      </c>
      <c r="P5" s="2">
        <v>0.08</v>
      </c>
      <c r="Q5" s="2"/>
      <c r="R5" s="2"/>
      <c r="S5" s="2"/>
      <c r="T5" s="2"/>
      <c r="U5" s="2"/>
      <c r="V5" s="2"/>
      <c r="W5" s="2"/>
      <c r="X5">
        <v>2</v>
      </c>
      <c r="AB5" s="569" t="s">
        <v>359</v>
      </c>
      <c r="AC5" s="569"/>
      <c r="AD5" s="86">
        <v>0</v>
      </c>
    </row>
    <row r="6" spans="1:30" ht="30" customHeight="1" x14ac:dyDescent="0.25">
      <c r="A6" s="17"/>
      <c r="B6" s="164" t="s">
        <v>358</v>
      </c>
      <c r="C6" s="88"/>
      <c r="D6" s="7"/>
      <c r="E6" s="7"/>
      <c r="F6" s="7"/>
      <c r="G6" s="7"/>
      <c r="H6" s="7"/>
      <c r="I6" s="7"/>
      <c r="J6" s="7"/>
      <c r="K6">
        <v>3</v>
      </c>
      <c r="L6" s="2">
        <v>1500</v>
      </c>
      <c r="M6" s="2">
        <v>6</v>
      </c>
      <c r="N6" s="2">
        <v>1.6</v>
      </c>
      <c r="O6" s="2">
        <v>0.5</v>
      </c>
      <c r="P6" s="2">
        <v>0.17</v>
      </c>
      <c r="Q6" s="2"/>
      <c r="R6" s="2"/>
      <c r="S6" s="2"/>
      <c r="T6" s="2"/>
      <c r="U6" s="2"/>
      <c r="V6" s="2"/>
      <c r="W6" s="2"/>
      <c r="X6">
        <v>3</v>
      </c>
      <c r="AB6" s="569" t="s">
        <v>357</v>
      </c>
      <c r="AC6" s="569"/>
      <c r="AD6" s="86">
        <f>'Dimensionamento de água'!C13</f>
        <v>0</v>
      </c>
    </row>
    <row r="7" spans="1:30" ht="30" customHeight="1" x14ac:dyDescent="0.25">
      <c r="A7" s="17"/>
      <c r="B7" s="164" t="s">
        <v>356</v>
      </c>
      <c r="C7" s="165" t="e">
        <f>ROUNDUP(AC39/735,0)</f>
        <v>#DIV/0!</v>
      </c>
      <c r="D7" s="7"/>
      <c r="E7" s="7"/>
      <c r="F7" s="7"/>
      <c r="G7" s="7"/>
      <c r="H7" s="7"/>
      <c r="I7" s="7"/>
      <c r="J7" s="7"/>
      <c r="K7">
        <v>4</v>
      </c>
      <c r="L7" s="2">
        <v>1997.9999999999998</v>
      </c>
      <c r="M7" s="2">
        <v>10</v>
      </c>
      <c r="N7" s="2">
        <v>2.7</v>
      </c>
      <c r="O7" s="2">
        <v>0.8</v>
      </c>
      <c r="P7" s="2">
        <v>0.28000000000000003</v>
      </c>
      <c r="Q7" s="2"/>
      <c r="R7" s="2"/>
      <c r="S7" s="2"/>
      <c r="T7" s="2"/>
      <c r="U7" s="2"/>
      <c r="V7" s="2"/>
      <c r="W7" s="2"/>
      <c r="X7">
        <v>4</v>
      </c>
      <c r="AB7" s="569" t="s">
        <v>355</v>
      </c>
      <c r="AC7" s="569"/>
      <c r="AD7" s="86">
        <f>'Dimensionamento de água'!C14</f>
        <v>0</v>
      </c>
    </row>
    <row r="8" spans="1:30" ht="30" customHeight="1" x14ac:dyDescent="0.25">
      <c r="A8" s="17"/>
      <c r="B8" s="164" t="s">
        <v>354</v>
      </c>
      <c r="C8" s="166">
        <f>C6*C4*60</f>
        <v>0</v>
      </c>
      <c r="D8" s="7"/>
      <c r="E8" s="7"/>
      <c r="F8" s="7"/>
      <c r="G8" s="7"/>
      <c r="H8" s="7"/>
      <c r="I8" s="7"/>
      <c r="J8" s="7"/>
      <c r="K8">
        <v>5</v>
      </c>
      <c r="L8" s="2">
        <v>3000</v>
      </c>
      <c r="M8" s="2">
        <v>21.5</v>
      </c>
      <c r="N8" s="2">
        <v>6</v>
      </c>
      <c r="O8" s="2">
        <v>1.8</v>
      </c>
      <c r="P8" s="2">
        <v>0.6</v>
      </c>
      <c r="Q8" s="2">
        <v>0.05</v>
      </c>
      <c r="R8" s="2"/>
      <c r="S8" s="2"/>
      <c r="T8" s="2"/>
      <c r="U8" s="2"/>
      <c r="V8" s="2"/>
      <c r="W8" s="2"/>
      <c r="X8">
        <v>5</v>
      </c>
      <c r="AB8" s="569" t="s">
        <v>353</v>
      </c>
      <c r="AC8" s="569"/>
      <c r="AD8" s="86">
        <v>3</v>
      </c>
    </row>
    <row r="9" spans="1:30" x14ac:dyDescent="0.25">
      <c r="A9" s="17"/>
      <c r="B9" s="7"/>
      <c r="C9" s="7"/>
      <c r="D9" s="7"/>
      <c r="E9" s="7"/>
      <c r="F9" s="7"/>
      <c r="G9" s="7"/>
      <c r="H9" s="7"/>
      <c r="I9" s="7"/>
      <c r="J9" s="7"/>
      <c r="K9">
        <v>6</v>
      </c>
      <c r="L9" s="2">
        <v>4002</v>
      </c>
      <c r="M9" s="2">
        <v>27</v>
      </c>
      <c r="N9" s="2">
        <v>10</v>
      </c>
      <c r="O9" s="2">
        <v>3</v>
      </c>
      <c r="P9" s="2">
        <v>1.05</v>
      </c>
      <c r="Q9" s="2">
        <v>0.1</v>
      </c>
      <c r="R9" s="2"/>
      <c r="S9" s="2"/>
      <c r="T9" s="2"/>
      <c r="U9" s="2"/>
      <c r="V9" s="2"/>
      <c r="W9" s="2"/>
      <c r="X9">
        <v>6</v>
      </c>
      <c r="AB9" s="569" t="s">
        <v>352</v>
      </c>
      <c r="AC9" s="569"/>
      <c r="AD9" s="86">
        <v>2</v>
      </c>
    </row>
    <row r="10" spans="1:30" ht="20.100000000000001" customHeight="1" x14ac:dyDescent="0.25">
      <c r="A10" s="17"/>
      <c r="B10" s="575" t="s">
        <v>351</v>
      </c>
      <c r="C10" s="575"/>
      <c r="D10" s="575"/>
      <c r="E10" s="7"/>
      <c r="F10" s="7"/>
      <c r="G10" s="7"/>
      <c r="H10" s="7"/>
      <c r="I10" s="7"/>
      <c r="J10" s="7"/>
      <c r="K10">
        <v>7</v>
      </c>
      <c r="L10" s="2">
        <v>4998</v>
      </c>
      <c r="M10" s="2">
        <v>55</v>
      </c>
      <c r="N10" s="2">
        <v>15.5</v>
      </c>
      <c r="O10" s="2">
        <v>4.7</v>
      </c>
      <c r="P10" s="2">
        <v>1.6</v>
      </c>
      <c r="Q10" s="2">
        <v>0.15</v>
      </c>
      <c r="R10" s="2">
        <v>0.05</v>
      </c>
      <c r="S10" s="2"/>
      <c r="T10" s="2"/>
      <c r="U10" s="2"/>
      <c r="V10" s="2"/>
      <c r="W10" s="2"/>
      <c r="X10">
        <v>7</v>
      </c>
      <c r="AB10" s="569" t="s">
        <v>350</v>
      </c>
      <c r="AC10" s="569"/>
      <c r="AD10" s="86">
        <f>AD6+AD8+AD4</f>
        <v>3</v>
      </c>
    </row>
    <row r="11" spans="1:30" ht="30" customHeight="1" x14ac:dyDescent="0.25">
      <c r="A11" s="17"/>
      <c r="B11" s="164" t="s">
        <v>334</v>
      </c>
      <c r="C11" s="88"/>
      <c r="D11" s="572" t="str">
        <f>IFERROR(IF(C16=0,"Diminuir o diâmetro",IF(C17&lt;=1.5,"Aumentar diâmetro ou altitude","Ok")),"Pode diminuir o diâmetro")</f>
        <v>Pode diminuir o diâmetro</v>
      </c>
      <c r="E11" s="7"/>
      <c r="F11" s="7"/>
      <c r="G11" s="7"/>
      <c r="H11" s="7"/>
      <c r="I11" s="7"/>
      <c r="J11" s="7"/>
      <c r="K11">
        <v>8</v>
      </c>
      <c r="L11" s="2">
        <v>6000</v>
      </c>
      <c r="M11" s="2">
        <v>60</v>
      </c>
      <c r="N11" s="2">
        <v>22</v>
      </c>
      <c r="O11" s="2">
        <v>6.6</v>
      </c>
      <c r="P11" s="2">
        <v>2.2000000000000002</v>
      </c>
      <c r="Q11" s="2">
        <v>0.2</v>
      </c>
      <c r="R11" s="2">
        <v>7.0000000000000007E-2</v>
      </c>
      <c r="S11" s="2"/>
      <c r="T11" s="2"/>
      <c r="U11" s="2"/>
      <c r="V11" s="2"/>
      <c r="W11" s="2"/>
      <c r="X11">
        <v>8</v>
      </c>
      <c r="AB11" s="84" t="s">
        <v>349</v>
      </c>
      <c r="AC11" s="85" t="s">
        <v>348</v>
      </c>
      <c r="AD11" s="84" t="s">
        <v>347</v>
      </c>
    </row>
    <row r="12" spans="1:30" ht="30" customHeight="1" x14ac:dyDescent="0.25">
      <c r="A12" s="17"/>
      <c r="B12" s="164" t="s">
        <v>367</v>
      </c>
      <c r="C12" s="88"/>
      <c r="D12" s="573"/>
      <c r="E12" s="7"/>
      <c r="F12" s="7"/>
      <c r="G12" s="7"/>
      <c r="H12" s="7"/>
      <c r="I12" s="7"/>
      <c r="J12" s="7"/>
      <c r="K12">
        <v>9</v>
      </c>
      <c r="L12" s="2">
        <v>7998.0000000000009</v>
      </c>
      <c r="M12" s="2"/>
      <c r="N12" s="2">
        <v>37</v>
      </c>
      <c r="O12" s="2">
        <v>11.5</v>
      </c>
      <c r="P12" s="2">
        <v>3.9</v>
      </c>
      <c r="Q12" s="2">
        <v>0.35</v>
      </c>
      <c r="R12" s="2">
        <v>0.13</v>
      </c>
      <c r="S12" s="2"/>
      <c r="T12" s="2"/>
      <c r="U12" s="2"/>
      <c r="V12" s="2"/>
      <c r="W12" s="2"/>
      <c r="X12">
        <v>9</v>
      </c>
      <c r="AB12" s="81" t="s">
        <v>346</v>
      </c>
      <c r="AC12" s="80">
        <v>4</v>
      </c>
      <c r="AD12" s="79" t="e">
        <f>AC12*((0.786*LN(AC21))-1.845)</f>
        <v>#NUM!</v>
      </c>
    </row>
    <row r="13" spans="1:30" ht="30" customHeight="1" x14ac:dyDescent="0.25">
      <c r="A13" s="17"/>
      <c r="B13" s="164" t="s">
        <v>329</v>
      </c>
      <c r="C13" s="167">
        <f>(C11-C12)*-1</f>
        <v>0</v>
      </c>
      <c r="D13" s="573"/>
      <c r="E13" s="7"/>
      <c r="F13" s="7"/>
      <c r="G13" s="7"/>
      <c r="H13" s="7"/>
      <c r="I13" s="7"/>
      <c r="J13" s="7"/>
      <c r="K13">
        <v>10</v>
      </c>
      <c r="L13" s="2">
        <v>10002</v>
      </c>
      <c r="M13" s="2"/>
      <c r="N13" s="2">
        <v>56</v>
      </c>
      <c r="O13" s="2">
        <v>17</v>
      </c>
      <c r="P13" s="2">
        <v>5.7</v>
      </c>
      <c r="Q13" s="2">
        <v>0.5</v>
      </c>
      <c r="R13" s="2">
        <v>0.2</v>
      </c>
      <c r="S13" s="2">
        <v>0.06</v>
      </c>
      <c r="T13" s="2"/>
      <c r="U13" s="2"/>
      <c r="V13" s="2"/>
      <c r="W13" s="2"/>
      <c r="X13">
        <v>10</v>
      </c>
      <c r="AB13" s="81" t="s">
        <v>345</v>
      </c>
      <c r="AC13" s="80">
        <v>1</v>
      </c>
      <c r="AD13" s="82">
        <f>AC13*(0.12449*AC21-0.01819)</f>
        <v>-1.8190000000000001E-2</v>
      </c>
    </row>
    <row r="14" spans="1:30" ht="30" customHeight="1" x14ac:dyDescent="0.25">
      <c r="A14" s="17"/>
      <c r="B14" s="164" t="s">
        <v>327</v>
      </c>
      <c r="C14" s="88"/>
      <c r="D14" s="573"/>
      <c r="E14" s="7"/>
      <c r="F14" s="7"/>
      <c r="G14" s="7"/>
      <c r="H14" s="7"/>
      <c r="I14" s="7"/>
      <c r="J14" s="7"/>
      <c r="K14">
        <v>11</v>
      </c>
      <c r="L14" s="2">
        <v>12498</v>
      </c>
      <c r="M14" s="2"/>
      <c r="N14" s="2">
        <v>85</v>
      </c>
      <c r="O14" s="2">
        <v>26</v>
      </c>
      <c r="P14" s="2">
        <v>8.5</v>
      </c>
      <c r="Q14" s="2">
        <v>0.8</v>
      </c>
      <c r="R14" s="2">
        <v>0.28000000000000003</v>
      </c>
      <c r="S14" s="2">
        <v>0.09</v>
      </c>
      <c r="T14" s="2"/>
      <c r="U14" s="2"/>
      <c r="V14" s="2"/>
      <c r="W14" s="2"/>
      <c r="X14">
        <v>11</v>
      </c>
      <c r="AB14" s="81" t="s">
        <v>344</v>
      </c>
      <c r="AC14" s="80">
        <v>1</v>
      </c>
      <c r="AD14" s="82" t="e">
        <f>AC14*(15.3311*LN(AC21)-36.98)</f>
        <v>#NUM!</v>
      </c>
    </row>
    <row r="15" spans="1:30" ht="30" customHeight="1" x14ac:dyDescent="0.3">
      <c r="A15" s="17"/>
      <c r="B15" s="164" t="s">
        <v>324</v>
      </c>
      <c r="C15" s="88"/>
      <c r="D15" s="573"/>
      <c r="E15" s="7"/>
      <c r="F15" s="7"/>
      <c r="G15" s="7"/>
      <c r="H15" s="7"/>
      <c r="I15" s="7"/>
      <c r="J15" s="7"/>
      <c r="K15">
        <v>12</v>
      </c>
      <c r="L15" s="2">
        <v>15000</v>
      </c>
      <c r="M15" s="2"/>
      <c r="N15" s="2"/>
      <c r="O15" s="2">
        <v>37</v>
      </c>
      <c r="P15" s="2">
        <v>12.5</v>
      </c>
      <c r="Q15" s="2">
        <v>1.1000000000000001</v>
      </c>
      <c r="R15" s="2">
        <v>0.4</v>
      </c>
      <c r="S15" s="2">
        <v>0.13</v>
      </c>
      <c r="T15" s="2">
        <v>0.05</v>
      </c>
      <c r="U15" s="2"/>
      <c r="V15" s="2"/>
      <c r="W15" s="2"/>
      <c r="X15">
        <v>12</v>
      </c>
      <c r="AB15" s="81" t="s">
        <v>343</v>
      </c>
      <c r="AC15" s="80">
        <v>3</v>
      </c>
      <c r="AD15" s="83" t="e">
        <f>2.21*LN(AC21)-5.559</f>
        <v>#NUM!</v>
      </c>
    </row>
    <row r="16" spans="1:30" ht="30" customHeight="1" x14ac:dyDescent="0.25">
      <c r="A16" s="17"/>
      <c r="B16" s="164" t="s">
        <v>321</v>
      </c>
      <c r="C16" s="167" t="e">
        <f>HLOOKUP(C15,'Dimensionamento de água'!$L$3:$W$45,VLOOKUP(VLOOKUP((C4*50)/C5,'Dimensionamento de água'!$L$4:$L$45,1,1),'Dimensionamento de água'!$L$4:$X$45,13,0)+2,0)*(C14/100)</f>
        <v>#DIV/0!</v>
      </c>
      <c r="D16" s="573"/>
      <c r="E16" s="7"/>
      <c r="F16" s="7"/>
      <c r="G16" s="7"/>
      <c r="H16" s="7"/>
      <c r="I16" s="7"/>
      <c r="J16" s="7"/>
      <c r="K16">
        <v>13</v>
      </c>
      <c r="L16" s="2">
        <v>17502</v>
      </c>
      <c r="M16" s="2"/>
      <c r="N16" s="2"/>
      <c r="O16" s="2">
        <v>47</v>
      </c>
      <c r="P16" s="2">
        <v>16</v>
      </c>
      <c r="Q16" s="2">
        <v>1.4</v>
      </c>
      <c r="R16" s="2">
        <v>0.5</v>
      </c>
      <c r="S16" s="2">
        <v>0.17</v>
      </c>
      <c r="T16" s="2">
        <v>0.06</v>
      </c>
      <c r="U16" s="2"/>
      <c r="V16" s="2"/>
      <c r="W16" s="2"/>
      <c r="X16">
        <v>13</v>
      </c>
      <c r="AB16" s="81" t="s">
        <v>342</v>
      </c>
      <c r="AC16" s="80">
        <v>0</v>
      </c>
      <c r="AD16" s="82">
        <f>AC16*(0.3269*AC21+0.6384)</f>
        <v>0</v>
      </c>
    </row>
    <row r="17" spans="1:30" ht="30" customHeight="1" x14ac:dyDescent="0.25">
      <c r="A17" s="17"/>
      <c r="B17" s="164" t="s">
        <v>318</v>
      </c>
      <c r="C17" s="167" t="e">
        <f>C13-C16</f>
        <v>#DIV/0!</v>
      </c>
      <c r="D17" s="573"/>
      <c r="E17" s="7"/>
      <c r="F17" s="7"/>
      <c r="G17" s="7"/>
      <c r="H17" s="7"/>
      <c r="I17" s="7"/>
      <c r="J17" s="7"/>
      <c r="K17">
        <v>14</v>
      </c>
      <c r="L17" s="2">
        <v>19998</v>
      </c>
      <c r="M17" s="2"/>
      <c r="N17" s="2"/>
      <c r="O17" s="2">
        <v>63</v>
      </c>
      <c r="P17" s="2">
        <v>21.5</v>
      </c>
      <c r="Q17" s="2">
        <v>2</v>
      </c>
      <c r="R17" s="2">
        <v>0.7</v>
      </c>
      <c r="S17" s="2">
        <v>0.23</v>
      </c>
      <c r="T17" s="2">
        <v>0.09</v>
      </c>
      <c r="U17" s="2"/>
      <c r="V17" s="2"/>
      <c r="W17" s="2"/>
      <c r="X17">
        <v>14</v>
      </c>
      <c r="AB17" s="81" t="s">
        <v>341</v>
      </c>
      <c r="AC17" s="80">
        <v>0</v>
      </c>
      <c r="AD17" s="79" t="e">
        <f>AC17*(0.5269*LN(AC21)-1.3735)</f>
        <v>#NUM!</v>
      </c>
    </row>
    <row r="18" spans="1:30" ht="30" customHeight="1" x14ac:dyDescent="0.25">
      <c r="A18" s="17"/>
      <c r="B18" s="164" t="s">
        <v>316</v>
      </c>
      <c r="C18" s="167" t="e">
        <f>(C17+C16)*1.3</f>
        <v>#DIV/0!</v>
      </c>
      <c r="D18" s="574"/>
      <c r="E18" s="7"/>
      <c r="F18" s="7"/>
      <c r="G18" s="7"/>
      <c r="H18" s="7"/>
      <c r="I18" s="7"/>
      <c r="J18" s="7"/>
      <c r="K18">
        <v>15</v>
      </c>
      <c r="L18" s="2">
        <v>25002</v>
      </c>
      <c r="M18" s="2"/>
      <c r="N18" s="2"/>
      <c r="O18" s="2">
        <v>95</v>
      </c>
      <c r="P18" s="2">
        <v>33</v>
      </c>
      <c r="Q18" s="2">
        <v>3</v>
      </c>
      <c r="R18" s="2">
        <v>1.1000000000000001</v>
      </c>
      <c r="S18" s="2">
        <v>0.35</v>
      </c>
      <c r="T18" s="2">
        <v>0.13</v>
      </c>
      <c r="U18" s="2"/>
      <c r="V18" s="2"/>
      <c r="W18" s="2"/>
      <c r="X18">
        <v>15</v>
      </c>
      <c r="AB18" s="570" t="s">
        <v>340</v>
      </c>
      <c r="AC18" s="570"/>
      <c r="AD18" s="570"/>
    </row>
    <row r="19" spans="1:30" ht="45" customHeight="1" x14ac:dyDescent="0.25">
      <c r="A19" s="17"/>
      <c r="B19" s="7"/>
      <c r="C19" s="7"/>
      <c r="D19" s="7"/>
      <c r="E19" s="7"/>
      <c r="F19" s="7"/>
      <c r="G19" s="7"/>
      <c r="H19" s="7"/>
      <c r="I19" s="7"/>
      <c r="J19" s="7"/>
      <c r="K19">
        <v>16</v>
      </c>
      <c r="L19" s="2">
        <v>30000</v>
      </c>
      <c r="M19" s="2"/>
      <c r="N19" s="2"/>
      <c r="O19" s="2"/>
      <c r="P19" s="2">
        <v>45</v>
      </c>
      <c r="Q19" s="2">
        <v>4.2</v>
      </c>
      <c r="R19" s="2">
        <v>1.5</v>
      </c>
      <c r="S19" s="2">
        <v>0.5</v>
      </c>
      <c r="T19" s="2">
        <v>0.2</v>
      </c>
      <c r="U19" s="2">
        <v>0.05</v>
      </c>
      <c r="V19" s="2"/>
      <c r="W19" s="2"/>
      <c r="X19">
        <v>16</v>
      </c>
      <c r="AB19" s="68" t="s">
        <v>339</v>
      </c>
      <c r="AC19" s="68" t="e">
        <f>('Dimensionamento de água'!C4*50)/'Dimensionamento de água'!C5/60/60</f>
        <v>#DIV/0!</v>
      </c>
      <c r="AD19" s="68" t="s">
        <v>338</v>
      </c>
    </row>
    <row r="20" spans="1:30" ht="20.100000000000001" customHeight="1" x14ac:dyDescent="0.25">
      <c r="A20" s="17"/>
      <c r="B20" s="575" t="s">
        <v>337</v>
      </c>
      <c r="C20" s="575"/>
      <c r="D20" s="575"/>
      <c r="E20" s="7"/>
      <c r="F20" s="7"/>
      <c r="G20" s="7"/>
      <c r="H20" s="7"/>
      <c r="I20" s="7"/>
      <c r="J20" s="7"/>
      <c r="K20">
        <v>17</v>
      </c>
      <c r="L20" s="2">
        <v>34998</v>
      </c>
      <c r="M20" s="2"/>
      <c r="N20" s="2"/>
      <c r="O20" s="2"/>
      <c r="P20" s="2">
        <v>61</v>
      </c>
      <c r="Q20" s="2">
        <v>5.7</v>
      </c>
      <c r="R20" s="2">
        <v>2</v>
      </c>
      <c r="S20" s="2">
        <v>0.65</v>
      </c>
      <c r="T20" s="2">
        <v>0.24</v>
      </c>
      <c r="U20" s="2">
        <v>0.06</v>
      </c>
      <c r="V20" s="2"/>
      <c r="W20" s="2"/>
      <c r="X20">
        <v>17</v>
      </c>
      <c r="AB20" s="68" t="s">
        <v>336</v>
      </c>
      <c r="AC20" s="68" t="e">
        <f>AC19/1000</f>
        <v>#DIV/0!</v>
      </c>
      <c r="AD20" s="68" t="s">
        <v>335</v>
      </c>
    </row>
    <row r="21" spans="1:30" ht="30" customHeight="1" x14ac:dyDescent="0.25">
      <c r="A21" s="17"/>
      <c r="B21" s="164" t="s">
        <v>334</v>
      </c>
      <c r="C21" s="165">
        <f>C12</f>
        <v>0</v>
      </c>
      <c r="D21" s="572" t="str">
        <f>IFERROR(IF(C26=0,"Corrigir o diâmetro",IF(C27&lt;=1.5,"Aumentar diâmetro","Ok")),"Pode diminuir o diâmetro")</f>
        <v>Pode diminuir o diâmetro</v>
      </c>
      <c r="E21" s="7"/>
      <c r="F21" s="7"/>
      <c r="G21" s="7"/>
      <c r="H21" s="7"/>
      <c r="I21" s="7"/>
      <c r="J21" s="7"/>
      <c r="K21">
        <v>18</v>
      </c>
      <c r="L21" s="2">
        <v>40002</v>
      </c>
      <c r="M21" s="2"/>
      <c r="N21" s="2"/>
      <c r="O21" s="2"/>
      <c r="P21" s="2">
        <v>78</v>
      </c>
      <c r="Q21" s="2">
        <v>7</v>
      </c>
      <c r="R21" s="2">
        <v>2.5</v>
      </c>
      <c r="S21" s="2">
        <v>0.8</v>
      </c>
      <c r="T21" s="2">
        <v>0.3</v>
      </c>
      <c r="U21" s="2">
        <v>0.08</v>
      </c>
      <c r="V21" s="2"/>
      <c r="W21" s="2"/>
      <c r="X21">
        <v>18</v>
      </c>
      <c r="AB21" s="68" t="s">
        <v>333</v>
      </c>
      <c r="AC21" s="69">
        <f>'Dimensionamento de água'!C15</f>
        <v>0</v>
      </c>
      <c r="AD21" s="68" t="s">
        <v>128</v>
      </c>
    </row>
    <row r="22" spans="1:30" ht="30" customHeight="1" x14ac:dyDescent="0.25">
      <c r="A22" s="17"/>
      <c r="B22" s="164" t="s">
        <v>332</v>
      </c>
      <c r="C22" s="88"/>
      <c r="D22" s="573"/>
      <c r="E22" s="7"/>
      <c r="F22" s="7"/>
      <c r="G22" s="7"/>
      <c r="H22" s="7"/>
      <c r="I22" s="7"/>
      <c r="J22" s="7"/>
      <c r="K22">
        <v>19</v>
      </c>
      <c r="L22" s="2">
        <v>45000</v>
      </c>
      <c r="M22" s="2"/>
      <c r="N22" s="2"/>
      <c r="O22" s="2"/>
      <c r="P22" s="2">
        <v>100</v>
      </c>
      <c r="Q22" s="2">
        <v>9</v>
      </c>
      <c r="R22" s="2">
        <v>3.1</v>
      </c>
      <c r="S22" s="2">
        <v>1</v>
      </c>
      <c r="T22" s="2">
        <v>0.4</v>
      </c>
      <c r="U22" s="2">
        <v>0.1</v>
      </c>
      <c r="V22" s="2"/>
      <c r="W22" s="2"/>
      <c r="X22">
        <v>19</v>
      </c>
      <c r="AB22" s="68" t="s">
        <v>331</v>
      </c>
      <c r="AC22" s="68">
        <f>AC21/1000</f>
        <v>0</v>
      </c>
      <c r="AD22" s="68" t="s">
        <v>330</v>
      </c>
    </row>
    <row r="23" spans="1:30" ht="30" customHeight="1" x14ac:dyDescent="0.25">
      <c r="A23" s="17"/>
      <c r="B23" s="164" t="s">
        <v>329</v>
      </c>
      <c r="C23" s="165">
        <f>C21-C22</f>
        <v>0</v>
      </c>
      <c r="D23" s="573"/>
      <c r="E23" s="7"/>
      <c r="F23" s="7"/>
      <c r="G23" s="7"/>
      <c r="H23" s="7"/>
      <c r="I23" s="7"/>
      <c r="J23" s="7"/>
      <c r="K23">
        <v>20</v>
      </c>
      <c r="L23" s="2">
        <v>49998</v>
      </c>
      <c r="M23" s="2"/>
      <c r="N23" s="2"/>
      <c r="O23" s="2"/>
      <c r="P23" s="2"/>
      <c r="Q23" s="2">
        <v>11</v>
      </c>
      <c r="R23" s="2">
        <v>3.8</v>
      </c>
      <c r="S23" s="2">
        <v>1.25</v>
      </c>
      <c r="T23" s="2">
        <v>0.5</v>
      </c>
      <c r="U23" s="2">
        <v>0.12</v>
      </c>
      <c r="V23" s="2"/>
      <c r="W23" s="2"/>
      <c r="X23">
        <v>20</v>
      </c>
      <c r="AB23" s="571" t="s">
        <v>328</v>
      </c>
      <c r="AC23" s="571"/>
      <c r="AD23" s="571"/>
    </row>
    <row r="24" spans="1:30" ht="30" customHeight="1" x14ac:dyDescent="0.25">
      <c r="A24" s="17"/>
      <c r="B24" s="164" t="s">
        <v>327</v>
      </c>
      <c r="C24" s="88"/>
      <c r="D24" s="573"/>
      <c r="E24" s="7"/>
      <c r="F24" s="7"/>
      <c r="G24" s="7"/>
      <c r="H24" s="7"/>
      <c r="I24" s="7"/>
      <c r="J24" s="7"/>
      <c r="K24">
        <v>21</v>
      </c>
      <c r="L24" s="2">
        <v>60000</v>
      </c>
      <c r="M24" s="2"/>
      <c r="N24" s="2"/>
      <c r="O24" s="2"/>
      <c r="P24" s="2"/>
      <c r="Q24" s="2">
        <v>16</v>
      </c>
      <c r="R24" s="2">
        <v>5.5</v>
      </c>
      <c r="S24" s="2">
        <v>1.8</v>
      </c>
      <c r="T24" s="2">
        <v>0.7</v>
      </c>
      <c r="U24" s="2">
        <v>0.16</v>
      </c>
      <c r="V24" s="2">
        <v>0.05</v>
      </c>
      <c r="W24" s="2"/>
      <c r="X24">
        <v>21</v>
      </c>
      <c r="AB24" s="78" t="s">
        <v>326</v>
      </c>
      <c r="AC24" s="78">
        <v>1.127E-6</v>
      </c>
      <c r="AD24" s="78" t="s">
        <v>325</v>
      </c>
    </row>
    <row r="25" spans="1:30" ht="30" customHeight="1" x14ac:dyDescent="0.25">
      <c r="A25" s="17"/>
      <c r="B25" s="164" t="s">
        <v>324</v>
      </c>
      <c r="C25" s="88"/>
      <c r="D25" s="573"/>
      <c r="E25" s="7"/>
      <c r="F25" s="7"/>
      <c r="G25" s="7"/>
      <c r="H25" s="7"/>
      <c r="I25" s="7"/>
      <c r="J25" s="7"/>
      <c r="K25">
        <v>22</v>
      </c>
      <c r="L25" s="2">
        <v>70002</v>
      </c>
      <c r="M25" s="2"/>
      <c r="N25" s="2"/>
      <c r="O25" s="2"/>
      <c r="P25" s="2"/>
      <c r="Q25" s="2">
        <v>21</v>
      </c>
      <c r="R25" s="2">
        <v>7.2</v>
      </c>
      <c r="S25" s="2">
        <v>2.4</v>
      </c>
      <c r="T25" s="2">
        <v>0.9</v>
      </c>
      <c r="U25" s="2">
        <v>0.21</v>
      </c>
      <c r="V25" s="2">
        <v>7.0000000000000007E-2</v>
      </c>
      <c r="W25" s="2"/>
      <c r="X25">
        <v>22</v>
      </c>
      <c r="AB25" s="78" t="s">
        <v>323</v>
      </c>
      <c r="AC25" s="78">
        <v>1000</v>
      </c>
      <c r="AD25" s="78" t="s">
        <v>322</v>
      </c>
    </row>
    <row r="26" spans="1:30" ht="30" customHeight="1" x14ac:dyDescent="0.25">
      <c r="A26" s="17"/>
      <c r="B26" s="164" t="s">
        <v>321</v>
      </c>
      <c r="C26" s="165" t="e">
        <f>HLOOKUP(C25,'Dimensionamento de água'!$L$3:$W$45,VLOOKUP(VLOOKUP((C4*50)/12,'Dimensionamento de água'!$L$4:$L$45,1,1),'Dimensionamento de água'!$L$4:$X$45,13,0)+2,0)*(C24/100)</f>
        <v>#N/A</v>
      </c>
      <c r="D26" s="573"/>
      <c r="E26" s="7"/>
      <c r="F26" s="7"/>
      <c r="G26" s="7"/>
      <c r="H26" s="7"/>
      <c r="I26" s="7"/>
      <c r="J26" s="7"/>
      <c r="K26">
        <v>23</v>
      </c>
      <c r="L26" s="2">
        <v>79998</v>
      </c>
      <c r="M26" s="2"/>
      <c r="N26" s="2"/>
      <c r="O26" s="2"/>
      <c r="P26" s="2"/>
      <c r="Q26" s="2">
        <v>26.5</v>
      </c>
      <c r="R26" s="2">
        <v>9.1999999999999993</v>
      </c>
      <c r="S26" s="2">
        <v>3.1</v>
      </c>
      <c r="T26" s="2">
        <v>1.2</v>
      </c>
      <c r="U26" s="2">
        <v>0.27</v>
      </c>
      <c r="V26" s="2">
        <v>0.09</v>
      </c>
      <c r="W26" s="2"/>
      <c r="X26">
        <v>23</v>
      </c>
      <c r="AB26" s="78" t="s">
        <v>320</v>
      </c>
      <c r="AC26" s="78">
        <v>25</v>
      </c>
      <c r="AD26" s="77" t="s">
        <v>319</v>
      </c>
    </row>
    <row r="27" spans="1:30" ht="30" customHeight="1" x14ac:dyDescent="0.25">
      <c r="A27" s="17"/>
      <c r="B27" s="164" t="s">
        <v>318</v>
      </c>
      <c r="C27" s="165" t="e">
        <f>C23-C26</f>
        <v>#N/A</v>
      </c>
      <c r="D27" s="573"/>
      <c r="E27" s="7"/>
      <c r="F27" s="7"/>
      <c r="G27" s="7"/>
      <c r="H27" s="7"/>
      <c r="I27" s="7"/>
      <c r="J27" s="7"/>
      <c r="K27">
        <v>24</v>
      </c>
      <c r="L27" s="2">
        <v>90000</v>
      </c>
      <c r="M27" s="2"/>
      <c r="N27" s="2"/>
      <c r="O27" s="2"/>
      <c r="P27" s="2"/>
      <c r="Q27" s="2">
        <v>34</v>
      </c>
      <c r="R27" s="2">
        <v>12</v>
      </c>
      <c r="S27" s="2">
        <v>3.8</v>
      </c>
      <c r="T27" s="2">
        <v>1.4</v>
      </c>
      <c r="U27" s="2">
        <v>0.35</v>
      </c>
      <c r="V27" s="2">
        <v>0.12</v>
      </c>
      <c r="W27" s="2"/>
      <c r="X27">
        <v>24</v>
      </c>
      <c r="AB27" s="567" t="s">
        <v>317</v>
      </c>
      <c r="AC27" s="567"/>
      <c r="AD27" s="567"/>
    </row>
    <row r="28" spans="1:30" ht="30" customHeight="1" x14ac:dyDescent="0.25">
      <c r="A28" s="17"/>
      <c r="B28" s="164" t="s">
        <v>316</v>
      </c>
      <c r="C28" s="167" t="e">
        <f>(C27+C26)*1.3</f>
        <v>#N/A</v>
      </c>
      <c r="D28" s="574"/>
      <c r="E28" s="7"/>
      <c r="F28" s="7"/>
      <c r="G28" s="7"/>
      <c r="H28" s="7"/>
      <c r="I28" s="7"/>
      <c r="J28" s="7"/>
      <c r="K28">
        <v>25</v>
      </c>
      <c r="L28" s="2">
        <v>100002</v>
      </c>
      <c r="M28" s="2"/>
      <c r="N28" s="2"/>
      <c r="O28" s="2"/>
      <c r="P28" s="2"/>
      <c r="Q28" s="2">
        <v>40</v>
      </c>
      <c r="R28" s="2">
        <v>14</v>
      </c>
      <c r="S28" s="2">
        <v>4.7</v>
      </c>
      <c r="T28" s="2">
        <v>1.8</v>
      </c>
      <c r="U28" s="2">
        <v>0.42</v>
      </c>
      <c r="V28" s="2">
        <v>0.14000000000000001</v>
      </c>
      <c r="W28" s="2"/>
      <c r="X28">
        <v>25</v>
      </c>
      <c r="AB28" s="70" t="s">
        <v>315</v>
      </c>
      <c r="AC28" s="76" t="e">
        <f>AC20/AC29</f>
        <v>#DIV/0!</v>
      </c>
      <c r="AD28" s="70" t="s">
        <v>314</v>
      </c>
    </row>
    <row r="29" spans="1:30" x14ac:dyDescent="0.25">
      <c r="A29" s="17"/>
      <c r="B29" s="7"/>
      <c r="C29" s="7"/>
      <c r="D29" s="7"/>
      <c r="E29" s="7"/>
      <c r="F29" s="7"/>
      <c r="G29" s="7"/>
      <c r="H29" s="7"/>
      <c r="I29" s="7"/>
      <c r="J29" s="7"/>
      <c r="K29">
        <v>26</v>
      </c>
      <c r="L29" s="2">
        <v>120000</v>
      </c>
      <c r="M29" s="2"/>
      <c r="N29" s="2"/>
      <c r="O29" s="2"/>
      <c r="P29" s="2"/>
      <c r="Q29" s="2">
        <v>58</v>
      </c>
      <c r="R29" s="2">
        <v>20</v>
      </c>
      <c r="S29" s="2">
        <v>6.6</v>
      </c>
      <c r="T29" s="2">
        <v>2.5</v>
      </c>
      <c r="U29" s="2">
        <v>0.6</v>
      </c>
      <c r="V29" s="2">
        <v>0.2</v>
      </c>
      <c r="W29" s="2">
        <v>0.08</v>
      </c>
      <c r="X29">
        <v>26</v>
      </c>
      <c r="AB29" s="70" t="s">
        <v>313</v>
      </c>
      <c r="AC29" s="75">
        <f>(3.14*AC22^2)/4</f>
        <v>0</v>
      </c>
      <c r="AD29" s="70" t="s">
        <v>312</v>
      </c>
    </row>
    <row r="30" spans="1:30" x14ac:dyDescent="0.25">
      <c r="A30" s="17"/>
      <c r="B30" s="7"/>
      <c r="C30" s="7"/>
      <c r="D30" s="7"/>
      <c r="E30" s="7"/>
      <c r="F30" s="7"/>
      <c r="G30" s="7"/>
      <c r="H30" s="7"/>
      <c r="I30" s="7"/>
      <c r="J30" s="7"/>
      <c r="K30">
        <v>27</v>
      </c>
      <c r="L30" s="2">
        <v>139998</v>
      </c>
      <c r="M30" s="2"/>
      <c r="N30" s="2"/>
      <c r="O30" s="2"/>
      <c r="P30" s="2"/>
      <c r="Q30" s="2">
        <v>80</v>
      </c>
      <c r="R30" s="2">
        <v>27</v>
      </c>
      <c r="S30" s="2">
        <v>9</v>
      </c>
      <c r="T30" s="2">
        <v>3.3</v>
      </c>
      <c r="U30" s="2">
        <v>0.8</v>
      </c>
      <c r="V30" s="2">
        <v>0.26</v>
      </c>
      <c r="W30" s="2">
        <v>0.1</v>
      </c>
      <c r="X30">
        <v>27</v>
      </c>
      <c r="AB30" s="70" t="s">
        <v>311</v>
      </c>
      <c r="AC30" s="71" t="e">
        <f>AC28*AC22/0.000001127</f>
        <v>#DIV/0!</v>
      </c>
      <c r="AD30" s="70"/>
    </row>
    <row r="31" spans="1:30" ht="20.100000000000001" customHeight="1" x14ac:dyDescent="0.25">
      <c r="A31" s="17"/>
      <c r="B31" s="168" t="s">
        <v>310</v>
      </c>
      <c r="C31" s="74">
        <f>C4*0.05</f>
        <v>0</v>
      </c>
      <c r="D31" s="7"/>
      <c r="E31" s="7"/>
      <c r="F31" s="7"/>
      <c r="G31" s="7"/>
      <c r="H31" s="7"/>
      <c r="I31" s="7"/>
      <c r="J31" s="7"/>
      <c r="K31">
        <v>28</v>
      </c>
      <c r="L31" s="2">
        <v>160002</v>
      </c>
      <c r="M31" s="2"/>
      <c r="N31" s="2"/>
      <c r="O31" s="2"/>
      <c r="P31" s="2"/>
      <c r="Q31" s="2"/>
      <c r="R31" s="2">
        <v>35</v>
      </c>
      <c r="S31" s="2">
        <v>11.5</v>
      </c>
      <c r="T31" s="2">
        <v>4.25</v>
      </c>
      <c r="U31" s="2">
        <v>1</v>
      </c>
      <c r="V31" s="2">
        <v>0.34</v>
      </c>
      <c r="W31" s="2">
        <v>0.13</v>
      </c>
      <c r="X31">
        <v>28</v>
      </c>
      <c r="AB31" s="70" t="s">
        <v>309</v>
      </c>
      <c r="AC31" s="73" t="e">
        <f>0.222554*AC30^-0.216968</f>
        <v>#DIV/0!</v>
      </c>
      <c r="AD31" s="70"/>
    </row>
    <row r="32" spans="1:30" ht="20.100000000000001" customHeight="1" x14ac:dyDescent="0.25">
      <c r="A32" s="17"/>
      <c r="B32" s="168" t="s">
        <v>308</v>
      </c>
      <c r="C32" s="169">
        <f>C31/2</f>
        <v>0</v>
      </c>
      <c r="D32" s="7"/>
      <c r="E32" s="7"/>
      <c r="F32" s="7"/>
      <c r="G32" s="170"/>
      <c r="H32" s="7"/>
      <c r="I32" s="7"/>
      <c r="J32" s="7"/>
      <c r="K32">
        <v>29</v>
      </c>
      <c r="L32" s="2">
        <v>180000</v>
      </c>
      <c r="M32" s="2"/>
      <c r="N32" s="2"/>
      <c r="O32" s="2"/>
      <c r="P32" s="2"/>
      <c r="Q32" s="2"/>
      <c r="R32" s="2">
        <v>43</v>
      </c>
      <c r="S32" s="2">
        <v>14</v>
      </c>
      <c r="T32" s="2">
        <v>5.3</v>
      </c>
      <c r="U32" s="2">
        <v>1.25</v>
      </c>
      <c r="V32" s="2">
        <v>0.42</v>
      </c>
      <c r="W32" s="2">
        <v>0.17</v>
      </c>
      <c r="X32">
        <v>29</v>
      </c>
      <c r="AB32" s="2" t="s">
        <v>307</v>
      </c>
      <c r="AC32" s="2">
        <f>AD4+AD5+AD6+AD7+AD8+AD9</f>
        <v>5</v>
      </c>
      <c r="AD32" s="2" t="s">
        <v>301</v>
      </c>
    </row>
    <row r="33" spans="1:30" x14ac:dyDescent="0.25">
      <c r="A33" s="17"/>
      <c r="B33" s="7"/>
      <c r="C33" s="7"/>
      <c r="D33" s="7"/>
      <c r="E33" s="7"/>
      <c r="F33" s="7"/>
      <c r="G33" s="7"/>
      <c r="H33" s="7"/>
      <c r="I33" s="7"/>
      <c r="J33" s="7"/>
      <c r="K33">
        <v>30</v>
      </c>
      <c r="L33" s="2">
        <v>199998</v>
      </c>
      <c r="M33" s="2"/>
      <c r="N33" s="2"/>
      <c r="O33" s="2"/>
      <c r="P33" s="2"/>
      <c r="Q33" s="2"/>
      <c r="R33" s="2">
        <v>50</v>
      </c>
      <c r="S33" s="2">
        <v>17.5</v>
      </c>
      <c r="T33" s="2">
        <v>6.5</v>
      </c>
      <c r="U33" s="2">
        <v>1.5</v>
      </c>
      <c r="V33" s="2">
        <v>0.5</v>
      </c>
      <c r="W33" s="2">
        <v>0.2</v>
      </c>
      <c r="X33">
        <v>30</v>
      </c>
      <c r="AB33" s="70" t="s">
        <v>306</v>
      </c>
      <c r="AC33" s="71" t="e">
        <f>AD12+AD13+AD14+AD15+AD16+AD17</f>
        <v>#NUM!</v>
      </c>
      <c r="AD33" s="70" t="s">
        <v>301</v>
      </c>
    </row>
    <row r="34" spans="1:30" hidden="1" x14ac:dyDescent="0.25">
      <c r="A34" s="17"/>
      <c r="B34" s="7"/>
      <c r="C34" s="7"/>
      <c r="D34" s="7"/>
      <c r="E34" s="7"/>
      <c r="F34" s="7"/>
      <c r="G34" s="7"/>
      <c r="H34" s="7"/>
      <c r="I34" s="7"/>
      <c r="J34" s="7"/>
      <c r="K34">
        <v>31</v>
      </c>
      <c r="L34" s="2">
        <v>250002</v>
      </c>
      <c r="M34" s="2"/>
      <c r="N34" s="2"/>
      <c r="O34" s="2"/>
      <c r="P34" s="2"/>
      <c r="Q34" s="2"/>
      <c r="R34" s="2">
        <v>80</v>
      </c>
      <c r="S34" s="2">
        <v>26.5</v>
      </c>
      <c r="T34" s="2">
        <v>10</v>
      </c>
      <c r="U34" s="2">
        <v>2.2999999999999998</v>
      </c>
      <c r="V34" s="2">
        <v>0.8</v>
      </c>
      <c r="W34" s="2">
        <v>0.32</v>
      </c>
      <c r="X34">
        <v>31</v>
      </c>
      <c r="AB34" t="s">
        <v>305</v>
      </c>
      <c r="AC34" s="72" t="e">
        <f>AC32+AC33</f>
        <v>#NUM!</v>
      </c>
      <c r="AD34" s="2" t="s">
        <v>301</v>
      </c>
    </row>
    <row r="35" spans="1:30" hidden="1" x14ac:dyDescent="0.25">
      <c r="A35" s="17"/>
      <c r="B35" s="7"/>
      <c r="C35" s="7"/>
      <c r="D35" s="7"/>
      <c r="E35" s="7"/>
      <c r="F35" s="7"/>
      <c r="G35" s="7"/>
      <c r="H35" s="7"/>
      <c r="I35" s="7"/>
      <c r="J35" s="7"/>
      <c r="K35">
        <v>32</v>
      </c>
      <c r="L35" s="2">
        <v>300000</v>
      </c>
      <c r="M35" s="2"/>
      <c r="N35" s="2"/>
      <c r="O35" s="2"/>
      <c r="P35" s="2"/>
      <c r="Q35" s="2"/>
      <c r="R35" s="2"/>
      <c r="S35" s="2">
        <v>36</v>
      </c>
      <c r="T35" s="2">
        <v>14</v>
      </c>
      <c r="U35" s="2">
        <v>3.3</v>
      </c>
      <c r="V35" s="2">
        <v>1.1000000000000001</v>
      </c>
      <c r="W35" s="2">
        <v>0.45</v>
      </c>
      <c r="X35">
        <v>32</v>
      </c>
      <c r="AB35" s="70" t="s">
        <v>304</v>
      </c>
      <c r="AC35" s="71" t="e">
        <f>AC31*AC34*AC28*AC28/(2*AC22)</f>
        <v>#DIV/0!</v>
      </c>
      <c r="AD35" s="70" t="s">
        <v>303</v>
      </c>
    </row>
    <row r="36" spans="1:30" hidden="1" x14ac:dyDescent="0.25">
      <c r="A36" s="17"/>
      <c r="B36" s="7"/>
      <c r="C36" s="7"/>
      <c r="D36" s="7"/>
      <c r="E36" s="7"/>
      <c r="F36" s="7"/>
      <c r="G36" s="7"/>
      <c r="H36" s="7"/>
      <c r="I36" s="7"/>
      <c r="J36" s="7"/>
      <c r="K36">
        <v>33</v>
      </c>
      <c r="L36" s="2">
        <v>349998</v>
      </c>
      <c r="M36" s="2"/>
      <c r="N36" s="2"/>
      <c r="O36" s="2"/>
      <c r="P36" s="2"/>
      <c r="Q36" s="2"/>
      <c r="R36" s="2"/>
      <c r="S36" s="2"/>
      <c r="T36" s="2">
        <v>19</v>
      </c>
      <c r="U36" s="2">
        <v>4.5</v>
      </c>
      <c r="V36" s="2">
        <v>1.5</v>
      </c>
      <c r="W36" s="2">
        <v>0.6</v>
      </c>
      <c r="X36">
        <v>33</v>
      </c>
      <c r="AB36" s="68" t="s">
        <v>302</v>
      </c>
      <c r="AC36" s="69" t="e">
        <f>(AC35/9.81)+AD10</f>
        <v>#DIV/0!</v>
      </c>
      <c r="AD36" s="68" t="s">
        <v>301</v>
      </c>
    </row>
    <row r="37" spans="1:30" hidden="1" x14ac:dyDescent="0.25">
      <c r="A37" s="17"/>
      <c r="B37" s="7"/>
      <c r="C37" s="7"/>
      <c r="D37" s="7"/>
      <c r="E37" s="7"/>
      <c r="F37" s="7"/>
      <c r="G37" s="7"/>
      <c r="H37" s="7"/>
      <c r="I37" s="7"/>
      <c r="J37" s="7"/>
      <c r="K37">
        <v>34</v>
      </c>
      <c r="L37" s="2">
        <v>400002</v>
      </c>
      <c r="M37" s="2"/>
      <c r="N37" s="2"/>
      <c r="O37" s="2"/>
      <c r="P37" s="2"/>
      <c r="Q37" s="2"/>
      <c r="R37" s="2"/>
      <c r="S37" s="2"/>
      <c r="T37" s="2">
        <v>24</v>
      </c>
      <c r="U37" s="2">
        <v>5.8</v>
      </c>
      <c r="V37" s="2">
        <v>1.9</v>
      </c>
      <c r="W37" s="2">
        <v>0.8</v>
      </c>
      <c r="X37">
        <v>34</v>
      </c>
      <c r="AB37" s="70" t="s">
        <v>300</v>
      </c>
      <c r="AC37" s="70">
        <v>0.7</v>
      </c>
      <c r="AD37" s="70"/>
    </row>
    <row r="38" spans="1:30" hidden="1" x14ac:dyDescent="0.25">
      <c r="A38" s="17"/>
      <c r="B38" s="7"/>
      <c r="C38" s="7"/>
      <c r="D38" s="7"/>
      <c r="E38" s="7"/>
      <c r="F38" s="7"/>
      <c r="G38" s="7"/>
      <c r="H38" s="7"/>
      <c r="I38" s="7"/>
      <c r="J38" s="7"/>
      <c r="K38">
        <v>35</v>
      </c>
      <c r="L38" s="2">
        <v>450000</v>
      </c>
      <c r="M38" s="2"/>
      <c r="N38" s="2"/>
      <c r="O38" s="2"/>
      <c r="P38" s="2"/>
      <c r="Q38" s="2"/>
      <c r="R38" s="2"/>
      <c r="S38" s="2"/>
      <c r="T38" s="2"/>
      <c r="U38" s="2">
        <v>7</v>
      </c>
      <c r="V38" s="2">
        <v>2.4</v>
      </c>
      <c r="W38" s="2">
        <v>1</v>
      </c>
      <c r="X38">
        <v>35</v>
      </c>
      <c r="AB38" s="70" t="s">
        <v>299</v>
      </c>
      <c r="AC38" s="71" t="e">
        <f>AC19*(((AC28^2)/2)+(9.81*AD10)+(AC35))</f>
        <v>#DIV/0!</v>
      </c>
      <c r="AD38" s="70" t="s">
        <v>297</v>
      </c>
    </row>
    <row r="39" spans="1:30" hidden="1" x14ac:dyDescent="0.25">
      <c r="A39" s="17"/>
      <c r="B39" s="7"/>
      <c r="C39" s="7"/>
      <c r="D39" s="7"/>
      <c r="E39" s="7"/>
      <c r="F39" s="7"/>
      <c r="G39" s="7"/>
      <c r="H39" s="7"/>
      <c r="I39" s="7"/>
      <c r="J39" s="7"/>
      <c r="K39">
        <v>36</v>
      </c>
      <c r="L39" s="2">
        <v>499997.99999999994</v>
      </c>
      <c r="M39" s="2"/>
      <c r="N39" s="2"/>
      <c r="O39" s="2"/>
      <c r="P39" s="2"/>
      <c r="Q39" s="2"/>
      <c r="R39" s="2"/>
      <c r="S39" s="2"/>
      <c r="T39" s="2"/>
      <c r="U39" s="2">
        <v>8.5</v>
      </c>
      <c r="V39" s="2">
        <v>2.9</v>
      </c>
      <c r="W39" s="2">
        <v>1.2</v>
      </c>
      <c r="X39">
        <v>36</v>
      </c>
      <c r="AB39" s="68" t="s">
        <v>298</v>
      </c>
      <c r="AC39" s="69" t="e">
        <f>AC38/AC37</f>
        <v>#DIV/0!</v>
      </c>
      <c r="AD39" s="68" t="s">
        <v>297</v>
      </c>
    </row>
    <row r="40" spans="1:30" hidden="1" x14ac:dyDescent="0.25">
      <c r="A40" s="17"/>
      <c r="B40" s="7"/>
      <c r="C40" s="7"/>
      <c r="D40" s="7"/>
      <c r="E40" s="7"/>
      <c r="F40" s="7"/>
      <c r="G40" s="7"/>
      <c r="H40" s="7"/>
      <c r="I40" s="7"/>
      <c r="J40" s="7"/>
      <c r="K40">
        <v>37</v>
      </c>
      <c r="L40" s="2">
        <v>550002</v>
      </c>
      <c r="M40" s="2"/>
      <c r="N40" s="2"/>
      <c r="O40" s="2"/>
      <c r="P40" s="2"/>
      <c r="Q40" s="2"/>
      <c r="R40" s="2"/>
      <c r="S40" s="2"/>
      <c r="T40" s="2"/>
      <c r="U40" s="2">
        <v>10.199999999999999</v>
      </c>
      <c r="V40" s="2">
        <v>3.5</v>
      </c>
      <c r="W40" s="2">
        <v>1.5</v>
      </c>
      <c r="X40">
        <v>37</v>
      </c>
    </row>
    <row r="41" spans="1:30" hidden="1" x14ac:dyDescent="0.25">
      <c r="A41" s="17"/>
      <c r="B41" s="7"/>
      <c r="C41" s="7"/>
      <c r="D41" s="7"/>
      <c r="E41" s="7"/>
      <c r="F41" s="7"/>
      <c r="G41" s="7"/>
      <c r="H41" s="7"/>
      <c r="I41" s="7"/>
      <c r="J41" s="7"/>
      <c r="K41">
        <v>38</v>
      </c>
      <c r="L41" s="2">
        <v>600000</v>
      </c>
      <c r="M41" s="2"/>
      <c r="N41" s="2"/>
      <c r="O41" s="2"/>
      <c r="P41" s="2"/>
      <c r="Q41" s="2"/>
      <c r="R41" s="2"/>
      <c r="S41" s="2"/>
      <c r="T41" s="2"/>
      <c r="U41" s="2">
        <v>12</v>
      </c>
      <c r="V41" s="2">
        <v>4.0999999999999996</v>
      </c>
      <c r="W41" s="2">
        <v>1.75</v>
      </c>
      <c r="X41">
        <v>38</v>
      </c>
    </row>
    <row r="42" spans="1:30" hidden="1" x14ac:dyDescent="0.25">
      <c r="B42" s="7"/>
      <c r="C42" s="7"/>
      <c r="D42" s="1"/>
      <c r="E42" s="1"/>
      <c r="F42" s="1"/>
      <c r="G42" s="1"/>
      <c r="H42" s="1"/>
      <c r="I42" s="1"/>
      <c r="J42" s="1"/>
      <c r="K42">
        <v>39</v>
      </c>
      <c r="L42" s="2">
        <v>649998</v>
      </c>
      <c r="M42" s="2"/>
      <c r="N42" s="2"/>
      <c r="O42" s="2"/>
      <c r="P42" s="2"/>
      <c r="Q42" s="2"/>
      <c r="R42" s="2"/>
      <c r="S42" s="2"/>
      <c r="T42" s="2"/>
      <c r="U42" s="2">
        <v>14.5</v>
      </c>
      <c r="V42" s="2">
        <v>4.8</v>
      </c>
      <c r="W42" s="2">
        <v>2</v>
      </c>
      <c r="X42">
        <v>39</v>
      </c>
    </row>
    <row r="43" spans="1:30" hidden="1" x14ac:dyDescent="0.25">
      <c r="B43" s="1"/>
      <c r="C43" s="1"/>
      <c r="D43" s="1"/>
      <c r="E43" s="1"/>
      <c r="F43" s="1"/>
      <c r="G43" s="1"/>
      <c r="H43" s="1"/>
      <c r="I43" s="1"/>
      <c r="J43" s="1"/>
      <c r="K43">
        <v>40</v>
      </c>
      <c r="L43" s="2">
        <v>700002</v>
      </c>
      <c r="M43" s="2"/>
      <c r="N43" s="2"/>
      <c r="O43" s="2"/>
      <c r="P43" s="2"/>
      <c r="Q43" s="2"/>
      <c r="R43" s="2"/>
      <c r="S43" s="2"/>
      <c r="T43" s="2"/>
      <c r="U43" s="2">
        <v>16</v>
      </c>
      <c r="V43" s="2">
        <v>5.7</v>
      </c>
      <c r="W43" s="2">
        <v>2.2999999999999998</v>
      </c>
      <c r="X43">
        <v>40</v>
      </c>
    </row>
    <row r="44" spans="1:30" hidden="1" x14ac:dyDescent="0.25">
      <c r="B44" s="1"/>
      <c r="C44" s="1"/>
      <c r="D44" s="1"/>
      <c r="E44" s="1"/>
      <c r="F44" s="1"/>
      <c r="G44" s="1"/>
      <c r="H44" s="1"/>
      <c r="I44" s="1"/>
      <c r="J44" s="1"/>
      <c r="K44">
        <v>41</v>
      </c>
      <c r="L44" s="2">
        <v>750000</v>
      </c>
      <c r="M44" s="2"/>
      <c r="N44" s="2"/>
      <c r="O44" s="2"/>
      <c r="P44" s="2"/>
      <c r="Q44" s="2"/>
      <c r="R44" s="2"/>
      <c r="S44" s="2"/>
      <c r="T44" s="2"/>
      <c r="U44" s="2"/>
      <c r="V44" s="2">
        <v>8.4</v>
      </c>
      <c r="W44" s="2">
        <v>2.6</v>
      </c>
      <c r="X44">
        <v>41</v>
      </c>
    </row>
    <row r="45" spans="1:30" hidden="1" x14ac:dyDescent="0.25">
      <c r="B45" s="1"/>
      <c r="C45" s="1"/>
      <c r="D45" s="1"/>
      <c r="E45" s="1"/>
      <c r="F45" s="1"/>
      <c r="G45" s="1"/>
      <c r="H45" s="1"/>
      <c r="I45" s="1"/>
      <c r="J45" s="1"/>
      <c r="K45">
        <v>42</v>
      </c>
      <c r="L45" s="2">
        <v>799998</v>
      </c>
      <c r="M45" s="2"/>
      <c r="N45" s="2"/>
      <c r="O45" s="2"/>
      <c r="P45" s="2"/>
      <c r="Q45" s="2"/>
      <c r="R45" s="2"/>
      <c r="S45" s="2"/>
      <c r="T45" s="2"/>
      <c r="U45" s="2"/>
      <c r="V45" s="2">
        <v>7.1</v>
      </c>
      <c r="W45" s="2">
        <v>3</v>
      </c>
      <c r="X45">
        <v>42</v>
      </c>
    </row>
    <row r="46" spans="1:30" hidden="1" x14ac:dyDescent="0.25">
      <c r="B46" s="1"/>
      <c r="C46" s="1"/>
      <c r="D46" s="1"/>
      <c r="E46" s="1"/>
      <c r="F46" s="1"/>
      <c r="G46" s="1"/>
      <c r="H46" s="1"/>
      <c r="I46" s="1"/>
      <c r="J46" s="1"/>
      <c r="K46" s="1"/>
      <c r="L46" s="1"/>
    </row>
    <row r="47" spans="1:30" hidden="1" x14ac:dyDescent="0.25">
      <c r="B47" s="1"/>
      <c r="C47" s="1"/>
      <c r="D47" s="1"/>
      <c r="E47" s="1"/>
      <c r="F47" s="1"/>
      <c r="G47" s="1"/>
      <c r="H47" s="1"/>
      <c r="I47" s="1"/>
      <c r="J47" s="1"/>
      <c r="K47" s="1"/>
      <c r="L47" s="1"/>
    </row>
  </sheetData>
  <sheetProtection algorithmName="SHA-512" hashValue="Xpps+cUHxvTaz1UjSJyDK79keV10ZQ4PeC4ZM6yr3isuFl+B5S+Js0t9jr/cu422yhFIkQsJv/KexjkWWsVTNw==" saltValue="VRNmDj6CpPZqMyE2Sn/IEQ==" spinCount="100000" sheet="1" objects="1" scenarios="1" selectLockedCells="1"/>
  <mergeCells count="17">
    <mergeCell ref="D21:D28"/>
    <mergeCell ref="D11:D18"/>
    <mergeCell ref="B10:D10"/>
    <mergeCell ref="B3:C3"/>
    <mergeCell ref="B1:J1"/>
    <mergeCell ref="B20:D20"/>
    <mergeCell ref="AB27:AD27"/>
    <mergeCell ref="AB3:AC3"/>
    <mergeCell ref="AB4:AC4"/>
    <mergeCell ref="AB5:AC5"/>
    <mergeCell ref="AB6:AC6"/>
    <mergeCell ref="AB7:AC7"/>
    <mergeCell ref="AB8:AC8"/>
    <mergeCell ref="AB9:AC9"/>
    <mergeCell ref="AB10:AC10"/>
    <mergeCell ref="AB18:AD18"/>
    <mergeCell ref="AB23:AD23"/>
  </mergeCells>
  <conditionalFormatting sqref="D11:D18">
    <cfRule type="containsText" dxfId="62" priority="1" operator="containsText" text="diâmetro">
      <formula>NOT(ISERROR(SEARCH("diâmetro",D11)))</formula>
    </cfRule>
    <cfRule type="cellIs" dxfId="61" priority="2" operator="equal">
      <formula>"Ok"</formula>
    </cfRule>
  </conditionalFormatting>
  <conditionalFormatting sqref="D21:D28">
    <cfRule type="containsText" dxfId="60" priority="3" operator="containsText" text="diâmetro">
      <formula>NOT(ISERROR(SEARCH("diâmetro",D21)))</formula>
    </cfRule>
    <cfRule type="cellIs" dxfId="59" priority="4" operator="equal">
      <formula>"Ok"</formula>
    </cfRule>
  </conditionalFormatting>
  <dataValidations count="2">
    <dataValidation type="list" allowBlank="1" showInputMessage="1" showErrorMessage="1" sqref="C25 C15" xr:uid="{BBF4A8A4-A3C6-4E06-8CF5-10FC6F17ACBB}">
      <formula1>$M$3:$W$3</formula1>
    </dataValidation>
    <dataValidation type="whole" allowBlank="1" showInputMessage="1" showErrorMessage="1" errorTitle="Erro!" error="Valor apenas entre 0 e 11" promptTitle="Valores entre 0 e 11" prompt="Valores entre 0 e 11" sqref="C5" xr:uid="{723C7C05-B967-4A6D-A340-0CF5831B1E13}">
      <formula1>0</formula1>
      <formula2>11</formula2>
    </dataValidation>
  </dataValidations>
  <pageMargins left="0.511811024" right="0.511811024" top="0.78740157499999996" bottom="0.78740157499999996" header="0.31496062000000002" footer="0.31496062000000002"/>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CF434-9E28-479B-9658-268E537C673A}">
  <sheetPr codeName="Planilha9">
    <tabColor theme="7" tint="0.79998168889431442"/>
  </sheetPr>
  <dimension ref="A1:HG301"/>
  <sheetViews>
    <sheetView showGridLines="0" zoomScale="70" zoomScaleNormal="70" workbookViewId="0">
      <selection activeCell="G14" sqref="G14"/>
    </sheetView>
  </sheetViews>
  <sheetFormatPr defaultColWidth="0" defaultRowHeight="15" zeroHeight="1" x14ac:dyDescent="0.25"/>
  <cols>
    <col min="1" max="1" width="4.140625" style="262" customWidth="1"/>
    <col min="2" max="2" width="22" style="264" customWidth="1"/>
    <col min="3" max="3" width="18.7109375" style="264" customWidth="1"/>
    <col min="4" max="4" width="12.28515625" style="264" customWidth="1"/>
    <col min="5" max="5" width="20.7109375" style="264" customWidth="1"/>
    <col min="6" max="8" width="15.7109375" style="264" customWidth="1"/>
    <col min="9" max="9" width="12.42578125" style="264" customWidth="1"/>
    <col min="10" max="10" width="24.140625" style="264" customWidth="1"/>
    <col min="11" max="17" width="14.7109375" style="264" customWidth="1"/>
    <col min="18" max="18" width="18.85546875" style="264" customWidth="1"/>
    <col min="19" max="24" width="18.7109375" style="264" customWidth="1"/>
    <col min="25" max="25" width="16.42578125" style="264" customWidth="1"/>
    <col min="26" max="26" width="8.140625" style="264" customWidth="1"/>
    <col min="27" max="27" width="24.42578125" style="264" bestFit="1" customWidth="1"/>
    <col min="28" max="28" width="15.42578125" style="264" customWidth="1"/>
    <col min="29" max="29" width="14.5703125" style="262" customWidth="1"/>
    <col min="30" max="31" width="8.42578125" style="262" hidden="1" customWidth="1"/>
    <col min="32" max="32" width="15.28515625" style="262" hidden="1" customWidth="1"/>
    <col min="33" max="52" width="8.42578125" style="262" hidden="1" customWidth="1"/>
    <col min="53" max="16384" width="8.42578125" hidden="1"/>
  </cols>
  <sheetData>
    <row r="1" spans="1:214" ht="29.25" customHeight="1" x14ac:dyDescent="0.25">
      <c r="A1" s="261"/>
      <c r="B1" s="259"/>
      <c r="C1" s="260" t="s">
        <v>173</v>
      </c>
      <c r="D1" s="259"/>
      <c r="E1" s="259"/>
      <c r="F1" s="259"/>
      <c r="G1" s="259"/>
      <c r="H1" s="259"/>
      <c r="I1" s="259"/>
      <c r="J1" s="259"/>
      <c r="K1" s="259"/>
      <c r="L1" s="259"/>
      <c r="M1" s="259"/>
      <c r="N1" s="259"/>
      <c r="O1" s="259"/>
      <c r="P1" s="259"/>
      <c r="Q1" s="259"/>
      <c r="R1" s="259"/>
      <c r="S1" s="259"/>
      <c r="T1" s="259"/>
      <c r="U1" s="259"/>
      <c r="V1" s="259"/>
      <c r="W1" s="259"/>
      <c r="X1" s="259"/>
      <c r="Y1" s="259"/>
      <c r="Z1" s="259"/>
      <c r="AA1" s="259"/>
      <c r="AB1" s="259"/>
      <c r="AC1" s="259"/>
      <c r="AD1" s="259"/>
      <c r="AE1" s="259"/>
      <c r="AF1" s="259"/>
      <c r="AG1" s="259"/>
      <c r="AH1" s="259"/>
      <c r="AI1" s="259"/>
      <c r="AJ1" s="259"/>
      <c r="AK1" s="259"/>
      <c r="AL1" s="261"/>
      <c r="BA1" s="262"/>
      <c r="BB1" s="262"/>
      <c r="BC1" s="262"/>
      <c r="BD1" s="262"/>
      <c r="BE1" s="262"/>
      <c r="BF1" s="262"/>
      <c r="BG1" s="262"/>
      <c r="BH1" s="262"/>
      <c r="BI1" s="262"/>
      <c r="BJ1" s="262"/>
    </row>
    <row r="2" spans="1:214" x14ac:dyDescent="0.25">
      <c r="A2" s="267"/>
      <c r="B2" s="263"/>
      <c r="C2" s="263"/>
      <c r="D2" s="263"/>
      <c r="E2" s="263"/>
      <c r="F2" s="263"/>
      <c r="G2" s="263"/>
      <c r="H2" s="263"/>
      <c r="I2" s="263"/>
      <c r="J2" s="263"/>
      <c r="K2" s="263"/>
      <c r="L2" s="263"/>
      <c r="M2" s="263"/>
      <c r="N2" s="263"/>
      <c r="O2" s="263"/>
      <c r="P2" s="263"/>
      <c r="Q2" s="263"/>
      <c r="R2" s="263"/>
      <c r="S2" s="263"/>
      <c r="T2" s="263"/>
      <c r="U2" s="263"/>
      <c r="V2" s="263"/>
      <c r="W2" s="263"/>
      <c r="X2" s="263"/>
      <c r="Y2" s="263"/>
      <c r="Z2" s="263"/>
      <c r="AA2" s="263"/>
      <c r="AB2" s="263"/>
      <c r="AC2" s="263"/>
      <c r="AD2" s="263"/>
      <c r="AE2" s="263"/>
      <c r="AF2" s="263"/>
      <c r="AG2" s="263"/>
      <c r="AH2" s="263"/>
      <c r="AI2" s="263"/>
      <c r="AJ2" s="263"/>
      <c r="AK2" s="263"/>
      <c r="AL2" s="263"/>
      <c r="AM2" s="263"/>
      <c r="AN2" s="267"/>
      <c r="BA2" s="262"/>
      <c r="BB2" s="262"/>
      <c r="BC2" s="262"/>
      <c r="BD2" s="262"/>
      <c r="BE2" s="262"/>
      <c r="BF2" s="262"/>
      <c r="BG2" s="262"/>
      <c r="BH2" s="262"/>
    </row>
    <row r="3" spans="1:214" ht="38.25" customHeight="1" x14ac:dyDescent="0.25">
      <c r="A3" s="267"/>
      <c r="B3" s="263"/>
      <c r="C3" s="263"/>
      <c r="D3" s="263"/>
      <c r="E3" s="263"/>
      <c r="F3" s="263"/>
      <c r="G3" s="263"/>
      <c r="H3" s="265"/>
      <c r="I3" s="34"/>
      <c r="J3" s="263"/>
      <c r="K3" s="263"/>
      <c r="L3" s="263"/>
      <c r="M3" s="263"/>
      <c r="N3" s="263"/>
      <c r="O3" s="263"/>
      <c r="P3" s="263"/>
      <c r="Q3" s="263"/>
      <c r="R3" s="263"/>
      <c r="S3" s="263"/>
      <c r="T3" s="263"/>
      <c r="U3" s="263"/>
      <c r="V3" s="263"/>
      <c r="W3" s="263"/>
      <c r="X3" s="263"/>
      <c r="Y3" s="263"/>
      <c r="Z3" s="263"/>
      <c r="AA3" s="263"/>
      <c r="AB3" s="263"/>
      <c r="AC3" s="263"/>
      <c r="AD3" s="263"/>
      <c r="AE3" s="263"/>
      <c r="AF3" s="263"/>
      <c r="AG3" s="263"/>
      <c r="AH3" s="263"/>
      <c r="AI3" s="263"/>
      <c r="AJ3" s="263"/>
      <c r="AK3" s="263"/>
      <c r="AL3" s="263"/>
      <c r="AM3" s="263"/>
      <c r="AN3" s="267"/>
      <c r="AO3" s="264"/>
      <c r="BA3" s="262"/>
      <c r="FD3">
        <v>180</v>
      </c>
      <c r="FN3">
        <v>300</v>
      </c>
      <c r="FW3">
        <v>300</v>
      </c>
      <c r="GO3" t="s">
        <v>680</v>
      </c>
      <c r="GP3" t="s">
        <v>191</v>
      </c>
      <c r="GQ3" t="s">
        <v>681</v>
      </c>
      <c r="GR3" t="s">
        <v>682</v>
      </c>
      <c r="GS3" t="s">
        <v>683</v>
      </c>
      <c r="GT3" t="s">
        <v>684</v>
      </c>
      <c r="GU3" t="s">
        <v>685</v>
      </c>
      <c r="GV3" t="s">
        <v>686</v>
      </c>
      <c r="GW3" t="s">
        <v>687</v>
      </c>
      <c r="GX3" t="s">
        <v>688</v>
      </c>
      <c r="GY3" t="s">
        <v>689</v>
      </c>
      <c r="GZ3" t="s">
        <v>690</v>
      </c>
      <c r="HA3" t="s">
        <v>691</v>
      </c>
      <c r="HB3" t="s">
        <v>232</v>
      </c>
      <c r="HC3" t="s">
        <v>227</v>
      </c>
      <c r="HD3" t="s">
        <v>230</v>
      </c>
      <c r="HE3" t="s">
        <v>233</v>
      </c>
      <c r="HF3" t="s">
        <v>228</v>
      </c>
    </row>
    <row r="4" spans="1:214" ht="15.75" customHeight="1" x14ac:dyDescent="0.25">
      <c r="A4" s="267"/>
      <c r="B4" s="263"/>
      <c r="C4" s="263"/>
      <c r="D4" s="263"/>
      <c r="E4" s="263"/>
      <c r="F4" s="263"/>
      <c r="G4" s="263"/>
      <c r="H4" s="265"/>
      <c r="I4" s="34"/>
      <c r="J4" s="263"/>
      <c r="K4" s="263"/>
      <c r="L4" s="263"/>
      <c r="M4" s="263"/>
      <c r="N4" s="263"/>
      <c r="O4" s="263"/>
      <c r="P4" s="263"/>
      <c r="Q4" s="263"/>
      <c r="R4" s="263"/>
      <c r="S4" s="263"/>
      <c r="T4" s="263"/>
      <c r="U4" s="263"/>
      <c r="V4" s="263"/>
      <c r="W4" s="263"/>
      <c r="X4" s="263"/>
      <c r="Y4" s="263"/>
      <c r="Z4" s="263"/>
      <c r="AA4" s="263"/>
      <c r="AB4" s="263"/>
      <c r="AC4" s="263"/>
      <c r="AD4" s="263"/>
      <c r="AE4" s="263"/>
      <c r="AF4" s="263"/>
      <c r="AG4" s="263"/>
      <c r="AH4" s="263"/>
      <c r="AI4" s="263"/>
      <c r="AJ4" s="263"/>
      <c r="AK4" s="263"/>
      <c r="AL4" s="263"/>
      <c r="AM4" s="263"/>
      <c r="AN4" s="267"/>
      <c r="AO4" s="266"/>
      <c r="BA4" s="262"/>
      <c r="FD4" t="s">
        <v>630</v>
      </c>
      <c r="FE4" t="s">
        <v>631</v>
      </c>
      <c r="FF4" t="s">
        <v>209</v>
      </c>
      <c r="FG4" t="s">
        <v>178</v>
      </c>
      <c r="FH4" t="s">
        <v>179</v>
      </c>
      <c r="FI4" t="s">
        <v>180</v>
      </c>
      <c r="FN4" t="s">
        <v>630</v>
      </c>
      <c r="FO4" t="s">
        <v>631</v>
      </c>
      <c r="FP4" t="s">
        <v>209</v>
      </c>
      <c r="FQ4" t="s">
        <v>178</v>
      </c>
      <c r="FR4" t="s">
        <v>179</v>
      </c>
      <c r="FS4" t="s">
        <v>180</v>
      </c>
      <c r="FW4" t="s">
        <v>630</v>
      </c>
      <c r="FX4" t="s">
        <v>631</v>
      </c>
      <c r="FY4" t="s">
        <v>209</v>
      </c>
      <c r="FZ4" t="s">
        <v>178</v>
      </c>
      <c r="GA4" t="s">
        <v>179</v>
      </c>
      <c r="GB4" t="s">
        <v>180</v>
      </c>
      <c r="GO4" t="s">
        <v>692</v>
      </c>
      <c r="GP4" t="s">
        <v>693</v>
      </c>
      <c r="GQ4">
        <v>27.53</v>
      </c>
      <c r="GR4">
        <v>1.46</v>
      </c>
      <c r="GS4">
        <v>2.86</v>
      </c>
      <c r="GT4">
        <v>63.48</v>
      </c>
      <c r="GU4">
        <v>49.49</v>
      </c>
      <c r="GV4">
        <v>0.24</v>
      </c>
      <c r="GW4">
        <v>0.08</v>
      </c>
      <c r="GX4">
        <v>0.18</v>
      </c>
      <c r="GY4">
        <v>0.68</v>
      </c>
      <c r="GZ4">
        <v>0.03</v>
      </c>
      <c r="HA4">
        <v>0.06</v>
      </c>
      <c r="HB4">
        <v>0.54</v>
      </c>
      <c r="HC4">
        <v>5.85</v>
      </c>
      <c r="HD4">
        <v>49.57</v>
      </c>
      <c r="HF4">
        <v>21.18</v>
      </c>
    </row>
    <row r="5" spans="1:214" ht="15.75" customHeight="1" thickBot="1" x14ac:dyDescent="0.3">
      <c r="A5" s="267"/>
      <c r="B5" s="579" t="s">
        <v>655</v>
      </c>
      <c r="C5" s="579"/>
      <c r="D5" s="263"/>
      <c r="E5" s="579" t="s">
        <v>653</v>
      </c>
      <c r="F5" s="579"/>
      <c r="G5" s="579"/>
      <c r="H5" s="579"/>
      <c r="I5" s="265"/>
      <c r="J5" s="587" t="s">
        <v>650</v>
      </c>
      <c r="K5" s="587"/>
      <c r="L5" s="587"/>
      <c r="M5" s="587"/>
      <c r="N5" s="587"/>
      <c r="O5" s="587"/>
      <c r="P5" s="587"/>
      <c r="Q5" s="263"/>
      <c r="R5" s="584" t="s">
        <v>651</v>
      </c>
      <c r="S5" s="584"/>
      <c r="T5" s="584"/>
      <c r="U5" s="584"/>
      <c r="V5" s="584"/>
      <c r="W5" s="584"/>
      <c r="X5" s="584"/>
      <c r="Y5" s="263"/>
      <c r="Z5" s="579" t="s">
        <v>654</v>
      </c>
      <c r="AA5" s="579"/>
      <c r="AB5" s="579"/>
      <c r="AC5" s="263"/>
      <c r="AD5" s="267"/>
      <c r="AE5" s="263"/>
      <c r="AF5" s="263"/>
      <c r="AG5" s="263"/>
      <c r="AH5" s="459" t="s">
        <v>759</v>
      </c>
      <c r="AI5" s="263"/>
      <c r="AJ5" s="263"/>
      <c r="AK5" s="460" t="s">
        <v>760</v>
      </c>
      <c r="AL5" s="461"/>
      <c r="AM5" s="462"/>
      <c r="AN5" s="267"/>
      <c r="AO5" s="264"/>
      <c r="BA5" s="262"/>
      <c r="FD5" t="s">
        <v>632</v>
      </c>
      <c r="FE5" t="s">
        <v>633</v>
      </c>
      <c r="FF5" t="s">
        <v>634</v>
      </c>
      <c r="FH5">
        <v>5.5</v>
      </c>
      <c r="FI5">
        <v>6.05</v>
      </c>
      <c r="FJ5" s="413">
        <f>FI5/FH5</f>
        <v>1.0999999999999999</v>
      </c>
      <c r="FN5" t="s">
        <v>632</v>
      </c>
      <c r="FO5" t="s">
        <v>633</v>
      </c>
      <c r="FP5" t="s">
        <v>634</v>
      </c>
      <c r="FR5">
        <v>6.85</v>
      </c>
      <c r="FS5">
        <v>7.53</v>
      </c>
      <c r="FT5" s="413">
        <f>FS5/FR5</f>
        <v>1.0992700729927007</v>
      </c>
      <c r="FW5" t="s">
        <v>632</v>
      </c>
      <c r="FX5" t="s">
        <v>633</v>
      </c>
      <c r="FY5" t="s">
        <v>634</v>
      </c>
      <c r="GA5">
        <v>6.85</v>
      </c>
      <c r="GB5">
        <v>7.53</v>
      </c>
      <c r="GC5" s="413">
        <f>GB5/GA5</f>
        <v>1.0992700729927007</v>
      </c>
      <c r="GO5" t="s">
        <v>692</v>
      </c>
      <c r="GP5" t="s">
        <v>694</v>
      </c>
      <c r="GQ5">
        <v>25.55</v>
      </c>
      <c r="GR5">
        <v>2.15</v>
      </c>
      <c r="GS5">
        <v>4.49</v>
      </c>
      <c r="GT5">
        <v>53.56</v>
      </c>
      <c r="GU5">
        <v>70.13</v>
      </c>
      <c r="GV5">
        <v>0.04</v>
      </c>
    </row>
    <row r="6" spans="1:214" ht="15.75" customHeight="1" thickBot="1" x14ac:dyDescent="0.3">
      <c r="A6" s="267"/>
      <c r="B6" s="190" t="s">
        <v>669</v>
      </c>
      <c r="C6" s="371"/>
      <c r="D6" s="263"/>
      <c r="E6" s="270" t="s">
        <v>191</v>
      </c>
      <c r="F6" s="270" t="s">
        <v>192</v>
      </c>
      <c r="G6" s="270" t="s">
        <v>141</v>
      </c>
      <c r="H6" s="270" t="s">
        <v>193</v>
      </c>
      <c r="I6" s="265"/>
      <c r="J6" s="268" t="s">
        <v>177</v>
      </c>
      <c r="K6" s="268" t="s">
        <v>179</v>
      </c>
      <c r="L6" s="268" t="s">
        <v>180</v>
      </c>
      <c r="M6" s="268" t="s">
        <v>181</v>
      </c>
      <c r="N6" s="268" t="s">
        <v>127</v>
      </c>
      <c r="O6" s="268" t="s">
        <v>182</v>
      </c>
      <c r="P6" s="268" t="s">
        <v>382</v>
      </c>
      <c r="Q6" s="263"/>
      <c r="R6" s="269" t="s">
        <v>183</v>
      </c>
      <c r="S6" s="269" t="s">
        <v>184</v>
      </c>
      <c r="T6" s="269" t="s">
        <v>185</v>
      </c>
      <c r="U6" s="269" t="s">
        <v>186</v>
      </c>
      <c r="V6" s="269" t="s">
        <v>187</v>
      </c>
      <c r="W6" s="269" t="s">
        <v>674</v>
      </c>
      <c r="X6" s="269" t="s">
        <v>671</v>
      </c>
      <c r="Y6" s="263"/>
      <c r="Z6" s="580" t="s">
        <v>177</v>
      </c>
      <c r="AA6" s="580"/>
      <c r="AB6" s="464" t="s">
        <v>127</v>
      </c>
      <c r="AC6" s="271"/>
      <c r="AD6" s="272"/>
      <c r="AE6" s="449"/>
      <c r="AF6" s="459" t="s">
        <v>673</v>
      </c>
      <c r="AG6" s="263"/>
      <c r="AH6" s="459" t="s">
        <v>758</v>
      </c>
      <c r="AI6" s="263"/>
      <c r="AJ6" s="263"/>
      <c r="AK6" s="460" t="s">
        <v>633</v>
      </c>
      <c r="AL6" s="461" t="s">
        <v>190</v>
      </c>
      <c r="AM6" s="462" t="s">
        <v>480</v>
      </c>
      <c r="AN6" s="448"/>
      <c r="AO6" s="273"/>
      <c r="AQ6" s="273"/>
      <c r="AR6" s="273"/>
      <c r="AS6" s="273"/>
      <c r="AT6" s="273"/>
      <c r="AU6" s="273"/>
      <c r="BA6" s="262"/>
      <c r="FD6" t="s">
        <v>635</v>
      </c>
      <c r="FE6" t="s">
        <v>636</v>
      </c>
      <c r="FF6" t="s">
        <v>634</v>
      </c>
      <c r="FI6">
        <v>0.39</v>
      </c>
      <c r="FJ6" s="414">
        <f>FI6/$FD$3</f>
        <v>2.1666666666666666E-3</v>
      </c>
      <c r="FK6">
        <f>FI6/$FI$5</f>
        <v>6.4462809917355382E-2</v>
      </c>
      <c r="FN6" t="s">
        <v>635</v>
      </c>
      <c r="FO6" t="s">
        <v>636</v>
      </c>
      <c r="FP6" t="s">
        <v>634</v>
      </c>
      <c r="FS6">
        <v>0.48</v>
      </c>
      <c r="FT6" s="414">
        <f>FS6/FN$3</f>
        <v>1.5999999999999999E-3</v>
      </c>
      <c r="FU6">
        <f>FS6/FS$5</f>
        <v>6.3745019920318724E-2</v>
      </c>
      <c r="FW6" t="s">
        <v>635</v>
      </c>
      <c r="FX6" t="s">
        <v>636</v>
      </c>
      <c r="FY6" t="s">
        <v>634</v>
      </c>
      <c r="GB6">
        <v>0.48</v>
      </c>
      <c r="GC6" s="414">
        <f>GB6/FW$3</f>
        <v>1.5999999999999999E-3</v>
      </c>
      <c r="GD6">
        <f>GB6/GB$5</f>
        <v>6.3745019920318724E-2</v>
      </c>
      <c r="GO6" t="s">
        <v>692</v>
      </c>
      <c r="GP6" t="s">
        <v>695</v>
      </c>
      <c r="GQ6">
        <v>34.090000000000003</v>
      </c>
      <c r="GR6">
        <v>1.96</v>
      </c>
      <c r="GS6">
        <v>6.91</v>
      </c>
      <c r="GT6">
        <v>56.68</v>
      </c>
      <c r="GU6">
        <v>63.84</v>
      </c>
      <c r="GV6">
        <v>0.31</v>
      </c>
      <c r="GW6">
        <v>0.11</v>
      </c>
      <c r="GX6">
        <v>0.41</v>
      </c>
      <c r="GY6">
        <v>1.65</v>
      </c>
      <c r="GZ6">
        <v>0.02</v>
      </c>
      <c r="HA6">
        <v>0.09</v>
      </c>
      <c r="HB6">
        <v>7.0000000000000007E-2</v>
      </c>
      <c r="HC6">
        <v>3.48</v>
      </c>
      <c r="HD6">
        <v>103.19</v>
      </c>
      <c r="HF6">
        <v>26.4</v>
      </c>
    </row>
    <row r="7" spans="1:214" x14ac:dyDescent="0.25">
      <c r="A7" s="267"/>
      <c r="B7" s="190" t="s">
        <v>670</v>
      </c>
      <c r="C7" s="371"/>
      <c r="D7" s="263"/>
      <c r="E7" s="430"/>
      <c r="F7" s="431"/>
      <c r="G7" s="432"/>
      <c r="H7" s="433">
        <f t="shared" ref="H7:H11" si="0">G7*F7</f>
        <v>0</v>
      </c>
      <c r="I7" s="263"/>
      <c r="J7" s="274" t="s">
        <v>679</v>
      </c>
      <c r="K7" s="255" t="str">
        <f>IF(C8="","",((ROUND(IF(C10="Zebuíno",-2.1948+0.08338*C8^0.75+3.9328*C9-0.903*C9^2,IF(C11="Corte",-0.6273+0.06453*C8^0.75+3.871*C9-0.614*C9^2,-2.8836+0.08435*C8^0.75+4.5145*C9-0.9631*C9^2)),2))*L25)+(ROUND(IF(C10="Zebuíno",-2.1948+0.08338*C8^0.75+3.9328*C9-0.903*C9^2,IF(C11="Corte",-0.6273+0.06453*C8^0.75+3.871*C9-0.614*C9^2,-2.8836+0.08435*C8^0.75+4.5145*C9-0.9631*C9^2)),2)))</f>
        <v/>
      </c>
      <c r="L7" s="255" t="str">
        <f>IF(K7="","",(ROUND(IF(C10="Zebuíno",-2.1948+0.08338*C8^0.75+3.9328*C9-0.903*C9^2,IF(C11="Corte",-0.6273+0.06453*C8^0.75+3.871*C9-0.614*C9^2,-2.8836+0.08435*C8^0.75+4.5145*C9-0.9631*C9^2)),2))*1.1)</f>
        <v/>
      </c>
      <c r="M7" s="275">
        <f>IFERROR(T21,0)</f>
        <v>0</v>
      </c>
      <c r="N7" s="264" t="str">
        <f>IF(K7="","",IF(M7&gt;L7,"Reduzir",IF(M7&lt;K7,"Aumentar",IF(M7=K7,"Ok",IF(M7=L7,"Ok",IF(OR(M7&gt;=K7,M7&lt;=L7),"Ok"))))))</f>
        <v/>
      </c>
      <c r="O7" s="276" t="str">
        <f>IF(M7=0,"", $T$21/M7)</f>
        <v/>
      </c>
      <c r="P7" s="276" t="str">
        <f>IF(M7=0,"",K7/ $T$21)</f>
        <v/>
      </c>
      <c r="Q7" s="263"/>
      <c r="R7" s="277" t="str">
        <f>IF(C18="","",C18)</f>
        <v/>
      </c>
      <c r="S7" s="278" t="str">
        <f>IF(IFERROR((K7-(C8*C19*AH20))/VLOOKUP(C18,'Formulação de suplemento'!$B$29:$C$40,2,0),0)=0,"",IFERROR((K7-(C8*C19*AH20))/VLOOKUP(C18,'Formulação de suplemento'!$B$29:$C$40,2,0),0))</f>
        <v/>
      </c>
      <c r="T7" s="278" t="str">
        <f>IF(R7="","",IFERROR(S7*(VLOOKUP(R7,'Formulação de suplemento'!$B$29:$W$40,2,)),0))</f>
        <v/>
      </c>
      <c r="U7" s="237" t="str">
        <f t="shared" ref="U7:U18" si="1">IFERROR(T7/$C$8,"")</f>
        <v/>
      </c>
      <c r="V7" s="237" t="str">
        <f t="shared" ref="V7:V18" si="2">IFERROR(T7/$T$21,"")</f>
        <v/>
      </c>
      <c r="W7" s="441" t="str">
        <f>IFERROR(X7/$C$20,"")</f>
        <v/>
      </c>
      <c r="X7" s="441" t="str">
        <f t="shared" ref="X7:X18" si="3">IFERROR(S7*$C$16*$C$20,"")</f>
        <v/>
      </c>
      <c r="Y7" s="263"/>
      <c r="Z7" s="424" t="s">
        <v>677</v>
      </c>
      <c r="AA7" s="279"/>
      <c r="AB7" s="280" t="str">
        <f>IFERROR(C19*C8,"")</f>
        <v/>
      </c>
      <c r="AC7" s="263"/>
      <c r="AD7" s="281"/>
      <c r="AE7" s="449"/>
      <c r="AF7" s="451" t="str">
        <f>IFERROR(VLOOKUP(R7,'Formulação de suplemento'!$B$56:$W$68,22,0)*T7,"")</f>
        <v/>
      </c>
      <c r="AG7" s="263"/>
      <c r="AH7" s="454" t="str">
        <f>IF(E7="Ureia",F7,IFERROR(VLOOKUP(E7,'Formulação de suplemento'!$B$43:$C$54,2,0)*F7,""))</f>
        <v/>
      </c>
      <c r="AI7" s="263"/>
      <c r="AJ7" s="263"/>
      <c r="AK7" s="456" t="e">
        <f>VLOOKUP(R7,B29:E40,2,0)</f>
        <v>#N/A</v>
      </c>
      <c r="AL7" s="457" t="e">
        <f>VLOOKUP(R7,B29:E40,3,0)</f>
        <v>#N/A</v>
      </c>
      <c r="AM7" s="458" t="e">
        <f>VLOOKUP(R7,B29:E40,4,0)</f>
        <v>#N/A</v>
      </c>
      <c r="AN7" s="267"/>
      <c r="AV7" s="262">
        <v>3</v>
      </c>
      <c r="AW7" s="262">
        <f t="shared" ref="AW7:BM7" si="4">AV7+1</f>
        <v>4</v>
      </c>
      <c r="AX7" s="262">
        <f t="shared" si="4"/>
        <v>5</v>
      </c>
      <c r="AY7" s="262">
        <f t="shared" si="4"/>
        <v>6</v>
      </c>
      <c r="AZ7" s="262">
        <f t="shared" si="4"/>
        <v>7</v>
      </c>
      <c r="BA7" s="262">
        <f t="shared" si="4"/>
        <v>8</v>
      </c>
      <c r="BB7" s="262">
        <f t="shared" si="4"/>
        <v>9</v>
      </c>
      <c r="BC7" s="262">
        <f t="shared" si="4"/>
        <v>10</v>
      </c>
      <c r="BD7" s="262">
        <f t="shared" si="4"/>
        <v>11</v>
      </c>
      <c r="BE7" s="262">
        <f t="shared" si="4"/>
        <v>12</v>
      </c>
      <c r="BF7" s="262">
        <f t="shared" si="4"/>
        <v>13</v>
      </c>
      <c r="BG7" s="262">
        <f t="shared" si="4"/>
        <v>14</v>
      </c>
      <c r="BH7" s="262">
        <f t="shared" si="4"/>
        <v>15</v>
      </c>
      <c r="BI7" s="262">
        <f t="shared" si="4"/>
        <v>16</v>
      </c>
      <c r="BJ7" s="262">
        <f t="shared" si="4"/>
        <v>17</v>
      </c>
      <c r="BK7" s="262">
        <f t="shared" si="4"/>
        <v>18</v>
      </c>
      <c r="BL7" s="262">
        <f t="shared" si="4"/>
        <v>19</v>
      </c>
      <c r="BM7" s="262">
        <f t="shared" si="4"/>
        <v>20</v>
      </c>
      <c r="BR7" s="262"/>
      <c r="FD7" t="s">
        <v>637</v>
      </c>
      <c r="FE7" t="s">
        <v>638</v>
      </c>
      <c r="FF7" t="s">
        <v>634</v>
      </c>
      <c r="FI7">
        <v>4.4000000000000004</v>
      </c>
      <c r="FJ7" s="414">
        <f t="shared" ref="FJ7:FJ10" si="5">FI7/$FD$3</f>
        <v>2.4444444444444446E-2</v>
      </c>
      <c r="FK7">
        <f t="shared" ref="FK7:FK10" si="6">FI7/$FI$5</f>
        <v>0.7272727272727274</v>
      </c>
      <c r="FN7" t="s">
        <v>637</v>
      </c>
      <c r="FO7" t="s">
        <v>638</v>
      </c>
      <c r="FP7" t="s">
        <v>634</v>
      </c>
      <c r="FS7">
        <v>5.48</v>
      </c>
      <c r="FT7" s="414">
        <f t="shared" ref="FT7:FT10" si="7">FS7/FN$3</f>
        <v>1.8266666666666667E-2</v>
      </c>
      <c r="FU7">
        <f t="shared" ref="FU7:FU10" si="8">FS7/FS$5</f>
        <v>0.72775564409030546</v>
      </c>
      <c r="FW7" t="s">
        <v>637</v>
      </c>
      <c r="FX7" t="s">
        <v>638</v>
      </c>
      <c r="FY7" t="s">
        <v>634</v>
      </c>
      <c r="GB7">
        <v>5.48</v>
      </c>
      <c r="GC7" s="414">
        <f t="shared" ref="GC7:GC10" si="9">GB7/FW$3</f>
        <v>1.8266666666666667E-2</v>
      </c>
      <c r="GD7">
        <f t="shared" ref="GD7:GD10" si="10">GB7/GB$5</f>
        <v>0.72775564409030546</v>
      </c>
      <c r="GO7" t="s">
        <v>692</v>
      </c>
      <c r="GP7" t="s">
        <v>696</v>
      </c>
      <c r="GQ7">
        <v>33.24</v>
      </c>
      <c r="GR7">
        <v>1.95</v>
      </c>
      <c r="GS7">
        <v>7.68</v>
      </c>
      <c r="GT7">
        <v>55.52</v>
      </c>
      <c r="GU7">
        <v>64.150000000000006</v>
      </c>
      <c r="GV7">
        <v>0.28000000000000003</v>
      </c>
      <c r="GW7">
        <v>0.09</v>
      </c>
      <c r="GX7">
        <v>0.1</v>
      </c>
      <c r="GY7">
        <v>0.72</v>
      </c>
      <c r="GZ7">
        <v>0.02</v>
      </c>
      <c r="HA7">
        <v>0.03</v>
      </c>
      <c r="HB7">
        <v>0.46</v>
      </c>
      <c r="HC7">
        <v>15</v>
      </c>
      <c r="HD7">
        <v>56</v>
      </c>
      <c r="HF7">
        <v>10</v>
      </c>
    </row>
    <row r="8" spans="1:214" x14ac:dyDescent="0.25">
      <c r="A8" s="267"/>
      <c r="B8" s="190" t="s">
        <v>174</v>
      </c>
      <c r="C8" s="282" t="str">
        <f>IFERROR(AVERAGE(C6:C7),"")</f>
        <v/>
      </c>
      <c r="D8" s="283"/>
      <c r="E8" s="430"/>
      <c r="F8" s="434"/>
      <c r="G8" s="432"/>
      <c r="H8" s="433">
        <f t="shared" si="0"/>
        <v>0</v>
      </c>
      <c r="I8" s="263"/>
      <c r="J8" s="274" t="s">
        <v>384</v>
      </c>
      <c r="K8" s="255" t="str">
        <f>IF(C8="","","Não consta")</f>
        <v/>
      </c>
      <c r="L8" s="255" t="str">
        <f>IFERROR(L7*0.063,"")</f>
        <v/>
      </c>
      <c r="M8" s="275">
        <f>BB24/1000</f>
        <v>0</v>
      </c>
      <c r="N8" s="264" t="str">
        <f>IF(L8="","",IF(M8&gt;L8,"Reduzir","Ok"))</f>
        <v/>
      </c>
      <c r="O8" s="276" t="str">
        <f>IF(M8=0,"", M8/$M$7)</f>
        <v/>
      </c>
      <c r="P8" s="284" t="str">
        <f>IF(C8="","","Não consta")</f>
        <v/>
      </c>
      <c r="Q8" s="263"/>
      <c r="R8" s="277" t="str">
        <f>IF(F7=0,"",IF(E7="","",E7))</f>
        <v/>
      </c>
      <c r="S8" s="280" t="str">
        <f>IF(IF(R8="","",F7*$AB$7)=0,"",IF(R8="","",F7*$AB$7))</f>
        <v/>
      </c>
      <c r="T8" s="280" t="str">
        <f>IF(R8="Ureia",S8,IF(S8="","",IFERROR(S8*(VLOOKUP(R8,'Formulação de suplemento'!$B$42:$W$54,2,)),0)))</f>
        <v/>
      </c>
      <c r="U8" s="237" t="str">
        <f t="shared" si="1"/>
        <v/>
      </c>
      <c r="V8" s="237" t="str">
        <f t="shared" si="2"/>
        <v/>
      </c>
      <c r="W8" s="441" t="str">
        <f t="shared" ref="W8:W20" si="11">IFERROR(X8/$C$20,"")</f>
        <v/>
      </c>
      <c r="X8" s="441" t="str">
        <f t="shared" si="3"/>
        <v/>
      </c>
      <c r="Y8" s="263"/>
      <c r="Z8" s="424" t="s">
        <v>676</v>
      </c>
      <c r="AA8" s="279"/>
      <c r="AB8" s="427" t="str">
        <f>IFERROR(AB7*C20,"")</f>
        <v/>
      </c>
      <c r="AC8" s="263"/>
      <c r="AD8" s="281"/>
      <c r="AE8" s="449"/>
      <c r="AF8" s="451" t="str">
        <f>IFERROR(VLOOKUP(R8,'Formulação de suplemento'!$B$56:$W$68,22,0)*T8,"")</f>
        <v/>
      </c>
      <c r="AG8" s="263"/>
      <c r="AH8" s="454" t="str">
        <f>IF(E8="Ureia",F8,IFERROR(VLOOKUP(E8,'Formulação de suplemento'!$B$43:$C$54,2,0)*F8,""))</f>
        <v/>
      </c>
      <c r="AI8" s="263"/>
      <c r="AJ8" s="263"/>
      <c r="AK8" s="263"/>
      <c r="AL8" s="263"/>
      <c r="AM8" s="263"/>
      <c r="AN8" s="267"/>
      <c r="AV8" s="285" t="s">
        <v>234</v>
      </c>
      <c r="AW8" s="285" t="s">
        <v>235</v>
      </c>
      <c r="AX8" s="285" t="s">
        <v>236</v>
      </c>
      <c r="AY8" s="285" t="s">
        <v>237</v>
      </c>
      <c r="AZ8" s="285" t="s">
        <v>238</v>
      </c>
      <c r="BA8" s="285" t="s">
        <v>239</v>
      </c>
      <c r="BB8" s="285" t="s">
        <v>240</v>
      </c>
      <c r="BC8" s="285" t="s">
        <v>241</v>
      </c>
      <c r="BD8" s="285" t="s">
        <v>242</v>
      </c>
      <c r="BE8" s="285" t="s">
        <v>243</v>
      </c>
      <c r="BF8" s="285" t="s">
        <v>244</v>
      </c>
      <c r="BG8" s="285" t="s">
        <v>245</v>
      </c>
      <c r="BH8" s="285" t="s">
        <v>246</v>
      </c>
      <c r="BI8" s="285" t="s">
        <v>247</v>
      </c>
      <c r="BJ8" s="285" t="s">
        <v>248</v>
      </c>
      <c r="BK8" s="285" t="s">
        <v>249</v>
      </c>
      <c r="BL8" s="285" t="s">
        <v>250</v>
      </c>
      <c r="BM8" s="285" t="s">
        <v>251</v>
      </c>
      <c r="BR8" s="262"/>
      <c r="FD8" t="s">
        <v>639</v>
      </c>
      <c r="FE8" t="s">
        <v>189</v>
      </c>
      <c r="FF8" t="s">
        <v>634</v>
      </c>
      <c r="FG8">
        <v>1.38</v>
      </c>
      <c r="FI8">
        <v>2.38</v>
      </c>
      <c r="FJ8" s="414">
        <f t="shared" si="5"/>
        <v>1.3222222222222222E-2</v>
      </c>
      <c r="FK8">
        <f t="shared" si="6"/>
        <v>0.39338842975206612</v>
      </c>
      <c r="FL8">
        <f>FG8/FH5</f>
        <v>0.25090909090909091</v>
      </c>
      <c r="FN8" t="s">
        <v>639</v>
      </c>
      <c r="FO8" t="s">
        <v>189</v>
      </c>
      <c r="FP8" t="s">
        <v>634</v>
      </c>
      <c r="FQ8">
        <v>1.71</v>
      </c>
      <c r="FS8">
        <v>3.96</v>
      </c>
      <c r="FT8" s="414">
        <f t="shared" si="7"/>
        <v>1.32E-2</v>
      </c>
      <c r="FU8">
        <f t="shared" si="8"/>
        <v>0.52589641434262946</v>
      </c>
      <c r="FV8">
        <f>FQ8/FR5</f>
        <v>0.24963503649635038</v>
      </c>
      <c r="FW8" t="s">
        <v>639</v>
      </c>
      <c r="FX8" t="s">
        <v>189</v>
      </c>
      <c r="FY8" t="s">
        <v>634</v>
      </c>
      <c r="FZ8">
        <v>1.71</v>
      </c>
      <c r="GB8">
        <v>3.96</v>
      </c>
      <c r="GC8" s="414">
        <f t="shared" si="9"/>
        <v>1.32E-2</v>
      </c>
      <c r="GD8">
        <f t="shared" si="10"/>
        <v>0.52589641434262946</v>
      </c>
      <c r="GE8">
        <f>FZ8/GA5</f>
        <v>0.24963503649635038</v>
      </c>
      <c r="GO8" t="s">
        <v>692</v>
      </c>
      <c r="GP8" t="s">
        <v>697</v>
      </c>
      <c r="GQ8">
        <v>28.49</v>
      </c>
      <c r="GR8">
        <v>1.81</v>
      </c>
      <c r="GS8">
        <v>6.74</v>
      </c>
      <c r="GT8">
        <v>55.33</v>
      </c>
      <c r="GU8">
        <v>66.38</v>
      </c>
      <c r="GV8">
        <v>0.4</v>
      </c>
      <c r="GW8">
        <v>0.1</v>
      </c>
      <c r="GX8">
        <v>0.09</v>
      </c>
      <c r="GY8">
        <v>0.94</v>
      </c>
      <c r="GZ8">
        <v>0.01</v>
      </c>
      <c r="HA8">
        <v>0.04</v>
      </c>
      <c r="HB8">
        <v>0.28000000000000003</v>
      </c>
      <c r="HC8">
        <v>3.8</v>
      </c>
      <c r="HD8">
        <v>85</v>
      </c>
      <c r="HF8">
        <v>28</v>
      </c>
    </row>
    <row r="9" spans="1:214" x14ac:dyDescent="0.25">
      <c r="A9" s="267"/>
      <c r="B9" s="190" t="s">
        <v>668</v>
      </c>
      <c r="C9" s="239"/>
      <c r="D9" s="283"/>
      <c r="E9" s="430"/>
      <c r="F9" s="434"/>
      <c r="G9" s="432"/>
      <c r="H9" s="433">
        <f t="shared" si="0"/>
        <v>0</v>
      </c>
      <c r="I9" s="263"/>
      <c r="J9" s="274" t="s">
        <v>189</v>
      </c>
      <c r="K9" s="255" t="str">
        <f>IFERROR(ROUND(K7*0.25,2),"")</f>
        <v/>
      </c>
      <c r="L9" s="255" t="str">
        <f>IF(C8="","",ROUND(C8*1.32%,2))</f>
        <v/>
      </c>
      <c r="M9" s="275">
        <f>BA24</f>
        <v>0</v>
      </c>
      <c r="N9" s="264" t="str">
        <f>IF(K9="","",IF(M9&gt;L9,"Reduzir",IF(M9&lt;K9,"Aumentar",IF(M9=K9,"Ok",IF(M9=L9,"Ok",IF(OR(M9&gt;=K9,M9&lt;=L9),"Ok"))))))</f>
        <v/>
      </c>
      <c r="O9" s="276" t="str">
        <f>IF(M9=0,"", M9/$M$7)</f>
        <v/>
      </c>
      <c r="P9" s="284" t="str">
        <f>IF(M9=0,"", K9/$T$21)</f>
        <v/>
      </c>
      <c r="Q9" s="263"/>
      <c r="R9" s="277" t="str">
        <f>IF(F8=0,"",IF(E8="","",E8))</f>
        <v/>
      </c>
      <c r="S9" s="280" t="str">
        <f>IF(IF(R9="","",F8*$AB$7)=0,"",IF(R9="","",F8*$AB$7))</f>
        <v/>
      </c>
      <c r="T9" s="280" t="str">
        <f>IF(R9="Ureia",S9,IF(S9="","",IFERROR(S9*(VLOOKUP(R9,'Formulação de suplemento'!$B$42:$W$54,2,)),0)))</f>
        <v/>
      </c>
      <c r="U9" s="237" t="str">
        <f t="shared" si="1"/>
        <v/>
      </c>
      <c r="V9" s="237" t="str">
        <f t="shared" si="2"/>
        <v/>
      </c>
      <c r="W9" s="441" t="str">
        <f t="shared" si="11"/>
        <v/>
      </c>
      <c r="X9" s="441" t="str">
        <f t="shared" si="3"/>
        <v/>
      </c>
      <c r="Y9" s="263"/>
      <c r="Z9" s="424" t="s">
        <v>678</v>
      </c>
      <c r="AB9" s="428" t="str">
        <f>IFERROR(AB8*C16,"")</f>
        <v/>
      </c>
      <c r="AC9" s="263"/>
      <c r="AD9" s="281"/>
      <c r="AE9" s="449"/>
      <c r="AF9" s="451" t="str">
        <f>IFERROR(VLOOKUP(R9,'Formulação de suplemento'!$B$56:$W$68,22,0)*T9,"")</f>
        <v/>
      </c>
      <c r="AG9" s="263"/>
      <c r="AH9" s="454" t="str">
        <f>IF(E9="Ureia",F9,IFERROR(VLOOKUP(E9,'Formulação de suplemento'!$B$43:$C$54,2,0)*F9,""))</f>
        <v/>
      </c>
      <c r="AI9" s="263"/>
      <c r="AJ9" s="263"/>
      <c r="AK9" s="293" t="s">
        <v>761</v>
      </c>
      <c r="AL9" s="263"/>
      <c r="AM9" s="263"/>
      <c r="AN9" s="267"/>
      <c r="AV9" s="286">
        <f>IFERROR($T$7*(VLOOKUP($R$7,'Formulação de suplemento'!$B$29:$W$40,AV7,0)),0)</f>
        <v>0</v>
      </c>
      <c r="AW9" s="286">
        <f>IFERROR($T$7*(VLOOKUP($R$7,'Formulação de suplemento'!$B$29:$W$40,AW7,0)),0)</f>
        <v>0</v>
      </c>
      <c r="AX9" s="286">
        <f>IFERROR($T$7*(VLOOKUP($R$7,'Formulação de suplemento'!$B$29:$W$40,AX7,0)*1000),0)</f>
        <v>0</v>
      </c>
      <c r="AY9" s="286">
        <f>IFERROR($T$7*(VLOOKUP($R$7,'Formulação de suplemento'!$B$29:$W$40,AY7,0)*1000),0)</f>
        <v>0</v>
      </c>
      <c r="AZ9" s="286">
        <f>IFERROR($T$7*(VLOOKUP($R$7,'Formulação de suplemento'!$B$29:$W$40,AZ7,0)),0)</f>
        <v>0</v>
      </c>
      <c r="BA9" s="286">
        <f>IFERROR($T$7*(VLOOKUP($R$7,'Formulação de suplemento'!$B$29:$W$40,BA7,0)),0)</f>
        <v>0</v>
      </c>
      <c r="BB9" s="286">
        <f>IFERROR($T$7*(VLOOKUP($R$7,'Formulação de suplemento'!$B$29:$W$40,BB7,0)*1000),0)</f>
        <v>0</v>
      </c>
      <c r="BC9" s="286">
        <f>IFERROR($T$7*(VLOOKUP($R$7,'Formulação de suplemento'!$B$29:$W$40,BC7,0)*1000),0)</f>
        <v>0</v>
      </c>
      <c r="BD9" s="286">
        <f>IFERROR($T$7*(VLOOKUP($R$7,'Formulação de suplemento'!$B$29:$W$40,BD7,0)*1000),0)</f>
        <v>0</v>
      </c>
      <c r="BE9" s="286">
        <f>IFERROR($T$7*(VLOOKUP($R$7,'Formulação de suplemento'!$B$29:$W$40,BE7,0)*1000),0)</f>
        <v>0</v>
      </c>
      <c r="BF9" s="286">
        <f>IFERROR($T$7*(VLOOKUP($R$7,'Formulação de suplemento'!$B$29:$W$40,BF7,0)*1000),0)</f>
        <v>0</v>
      </c>
      <c r="BG9" s="286">
        <f>IFERROR($T$7*(VLOOKUP($R$7,'Formulação de suplemento'!$B$29:$W$40,BG7,0)),0)</f>
        <v>0</v>
      </c>
      <c r="BH9" s="286">
        <f>IFERROR($T$7*(VLOOKUP($R$7,'Formulação de suplemento'!$B$29:$W$40,BH7,0)),0)</f>
        <v>0</v>
      </c>
      <c r="BI9" s="286">
        <f>IFERROR($T$7*(VLOOKUP($R$7,'Formulação de suplemento'!$B$29:$W$40,BI7,0)),0)</f>
        <v>0</v>
      </c>
      <c r="BJ9" s="286">
        <f>IFERROR($T$7*(VLOOKUP($R$7,'Formulação de suplemento'!$B$29:$W$40,BJ7,0)),0)</f>
        <v>0</v>
      </c>
      <c r="BK9" s="286">
        <f>IFERROR($T$7*(VLOOKUP($R$7,'Formulação de suplemento'!$B$29:$W$40,BK7,0)),0)</f>
        <v>0</v>
      </c>
      <c r="BL9" s="286">
        <f>IFERROR($T$7*(VLOOKUP($R$7,'Formulação de suplemento'!$B$29:$W$40,BL7,0)),0)</f>
        <v>0</v>
      </c>
      <c r="BM9" s="286">
        <f>IFERROR($T$7*(VLOOKUP($R$7,'Formulação de suplemento'!$B$29:$W$40,BM7,0)),0)</f>
        <v>0</v>
      </c>
      <c r="BR9" s="262"/>
      <c r="FD9" t="s">
        <v>640</v>
      </c>
      <c r="FE9" t="s">
        <v>641</v>
      </c>
      <c r="FF9" t="s">
        <v>634</v>
      </c>
      <c r="FG9">
        <v>2.4500000000000002</v>
      </c>
      <c r="FI9">
        <v>6.2</v>
      </c>
      <c r="FJ9" s="414">
        <f t="shared" si="5"/>
        <v>3.4444444444444444E-2</v>
      </c>
      <c r="FK9">
        <f t="shared" si="6"/>
        <v>1.0247933884297522</v>
      </c>
      <c r="FN9" t="s">
        <v>640</v>
      </c>
      <c r="FO9" t="s">
        <v>641</v>
      </c>
      <c r="FP9" t="s">
        <v>634</v>
      </c>
      <c r="FQ9">
        <v>2.4500000000000002</v>
      </c>
      <c r="FS9">
        <v>6.2</v>
      </c>
      <c r="FT9" s="414">
        <f t="shared" si="7"/>
        <v>2.0666666666666667E-2</v>
      </c>
      <c r="FU9">
        <f t="shared" si="8"/>
        <v>0.82337317397078358</v>
      </c>
      <c r="FW9" t="s">
        <v>640</v>
      </c>
      <c r="FX9" t="s">
        <v>641</v>
      </c>
      <c r="FY9" t="s">
        <v>634</v>
      </c>
      <c r="FZ9">
        <v>2.4500000000000002</v>
      </c>
      <c r="GB9">
        <v>6.2</v>
      </c>
      <c r="GC9" s="414">
        <f t="shared" si="9"/>
        <v>2.0666666666666667E-2</v>
      </c>
      <c r="GD9">
        <f t="shared" si="10"/>
        <v>0.82337317397078358</v>
      </c>
      <c r="GO9" t="s">
        <v>692</v>
      </c>
      <c r="GP9" t="s">
        <v>698</v>
      </c>
      <c r="GQ9">
        <v>28.12</v>
      </c>
      <c r="GR9">
        <v>2.4500000000000002</v>
      </c>
      <c r="GS9">
        <v>7.38</v>
      </c>
      <c r="GT9">
        <v>56.61</v>
      </c>
      <c r="GU9">
        <v>71.86</v>
      </c>
      <c r="GV9">
        <v>0.38</v>
      </c>
      <c r="GW9">
        <v>0.12</v>
      </c>
      <c r="GX9">
        <v>0.2</v>
      </c>
      <c r="GY9">
        <v>1.99</v>
      </c>
      <c r="GZ9">
        <v>0.02</v>
      </c>
      <c r="HA9">
        <v>0.04</v>
      </c>
      <c r="HB9">
        <v>0.09</v>
      </c>
      <c r="HC9">
        <v>13.32</v>
      </c>
      <c r="HD9">
        <v>93.82</v>
      </c>
      <c r="HF9">
        <v>19</v>
      </c>
    </row>
    <row r="10" spans="1:214" x14ac:dyDescent="0.25">
      <c r="A10" s="267"/>
      <c r="B10" s="583" t="s">
        <v>197</v>
      </c>
      <c r="C10" s="240"/>
      <c r="D10" s="265"/>
      <c r="E10" s="430"/>
      <c r="F10" s="434"/>
      <c r="G10" s="432"/>
      <c r="H10" s="433">
        <f t="shared" si="0"/>
        <v>0</v>
      </c>
      <c r="I10" s="263"/>
      <c r="J10" s="274" t="s">
        <v>190</v>
      </c>
      <c r="K10" s="255" t="str">
        <f>IFERROR(IF(C8="","",ROUND(BJ90/4.4,2)),"")</f>
        <v/>
      </c>
      <c r="L10" s="255" t="str">
        <f>IFERROR(K10*1.05,"")</f>
        <v/>
      </c>
      <c r="M10" s="275">
        <f>AV24</f>
        <v>0</v>
      </c>
      <c r="N10" s="264" t="str">
        <f t="shared" ref="N10:N22" si="12">IF(K10="","",IF(M10&gt;L10,"Reduzir",IF(M10&lt;K10,"Aumentar",IF(M10=K10,"Ok",IF(M10=L10,"Ok",IF(OR(M10&gt;=K10,M10&lt;=L10),"Ok"))))))</f>
        <v/>
      </c>
      <c r="O10" s="276" t="str">
        <f>IF(M10=0,"", M10/$M$7)</f>
        <v/>
      </c>
      <c r="P10" s="284" t="str">
        <f>IF(M10=0,"", K10/$T$21)</f>
        <v/>
      </c>
      <c r="Q10" s="263"/>
      <c r="R10" s="277" t="str">
        <f>IF(F9=0,"",IF(E9="","",E9))</f>
        <v/>
      </c>
      <c r="S10" s="280" t="str">
        <f>IF(IF(R10="","",F9*$AB$7)=0,"",IF(R10="","",F9*$AB$7))</f>
        <v/>
      </c>
      <c r="T10" s="280" t="str">
        <f>IF(R10="Ureia",S10,IF(S10="","",IFERROR(S10*(VLOOKUP(R10,'Formulação de suplemento'!$B$42:$W$54,2,)),0)))</f>
        <v/>
      </c>
      <c r="U10" s="237" t="str">
        <f t="shared" si="1"/>
        <v/>
      </c>
      <c r="V10" s="237" t="str">
        <f t="shared" si="2"/>
        <v/>
      </c>
      <c r="W10" s="441" t="str">
        <f t="shared" si="11"/>
        <v/>
      </c>
      <c r="X10" s="441" t="str">
        <f t="shared" si="3"/>
        <v/>
      </c>
      <c r="Y10" s="263"/>
      <c r="Z10" s="424" t="s">
        <v>656</v>
      </c>
      <c r="AA10" s="279"/>
      <c r="AB10" s="287" t="str">
        <f>IFERROR(AB7*H23,"")</f>
        <v/>
      </c>
      <c r="AC10" s="263"/>
      <c r="AD10" s="272"/>
      <c r="AE10" s="449"/>
      <c r="AF10" s="451" t="str">
        <f>IFERROR(VLOOKUP(R10,'Formulação de suplemento'!$B$56:$W$68,22,0)*T10,"")</f>
        <v/>
      </c>
      <c r="AG10" s="263"/>
      <c r="AH10" s="454" t="str">
        <f>IF(E10="Ureia",F10,IFERROR(VLOOKUP(E10,'Formulação de suplemento'!$B$43:$C$54,2,0)*F10,""))</f>
        <v/>
      </c>
      <c r="AI10" s="263"/>
      <c r="AJ10" s="263"/>
      <c r="AK10" s="293" t="s">
        <v>762</v>
      </c>
      <c r="AL10" s="463">
        <v>0.3</v>
      </c>
      <c r="AM10" s="263"/>
      <c r="AN10" s="267"/>
      <c r="AV10" s="286"/>
      <c r="AW10" s="286"/>
      <c r="AX10" s="286"/>
      <c r="AY10" s="286"/>
      <c r="AZ10" s="286"/>
      <c r="BA10" s="286"/>
      <c r="BB10" s="286"/>
      <c r="BC10" s="286"/>
      <c r="BD10" s="286"/>
      <c r="BE10" s="286"/>
      <c r="BF10" s="286"/>
      <c r="BG10" s="286"/>
      <c r="BH10" s="286"/>
      <c r="BI10" s="286"/>
      <c r="BJ10" s="286"/>
      <c r="BK10" s="286"/>
      <c r="BL10" s="286"/>
      <c r="BM10" s="286"/>
      <c r="BR10" s="262"/>
      <c r="FD10" t="s">
        <v>642</v>
      </c>
      <c r="FE10" t="s">
        <v>643</v>
      </c>
      <c r="FF10" t="s">
        <v>634</v>
      </c>
      <c r="FG10">
        <v>2.4500000000000002</v>
      </c>
      <c r="FI10">
        <v>6.2</v>
      </c>
      <c r="FJ10" s="414">
        <f t="shared" si="5"/>
        <v>3.4444444444444444E-2</v>
      </c>
      <c r="FK10">
        <f t="shared" si="6"/>
        <v>1.0247933884297522</v>
      </c>
      <c r="FN10" t="s">
        <v>642</v>
      </c>
      <c r="FO10" t="s">
        <v>643</v>
      </c>
      <c r="FP10" t="s">
        <v>634</v>
      </c>
      <c r="FQ10">
        <v>2.4500000000000002</v>
      </c>
      <c r="FS10">
        <v>6.2</v>
      </c>
      <c r="FT10" s="414">
        <f t="shared" si="7"/>
        <v>2.0666666666666667E-2</v>
      </c>
      <c r="FU10">
        <f t="shared" si="8"/>
        <v>0.82337317397078358</v>
      </c>
      <c r="FW10" t="s">
        <v>642</v>
      </c>
      <c r="FX10" t="s">
        <v>643</v>
      </c>
      <c r="FY10" t="s">
        <v>634</v>
      </c>
      <c r="FZ10">
        <v>2.4500000000000002</v>
      </c>
      <c r="GB10">
        <v>6.2</v>
      </c>
      <c r="GC10" s="414">
        <f t="shared" si="9"/>
        <v>2.0666666666666667E-2</v>
      </c>
      <c r="GD10">
        <f t="shared" si="10"/>
        <v>0.82337317397078358</v>
      </c>
      <c r="GO10" t="s">
        <v>692</v>
      </c>
      <c r="GP10" t="s">
        <v>699</v>
      </c>
      <c r="GQ10">
        <v>27.72</v>
      </c>
      <c r="GR10">
        <v>1.3</v>
      </c>
      <c r="GS10">
        <v>6.92</v>
      </c>
      <c r="GT10">
        <v>56.68</v>
      </c>
      <c r="GU10">
        <v>72.290000000000006</v>
      </c>
      <c r="GV10">
        <v>0.24</v>
      </c>
      <c r="GW10">
        <v>7.0000000000000007E-2</v>
      </c>
      <c r="GX10">
        <v>0.14000000000000001</v>
      </c>
      <c r="GY10">
        <v>0.67</v>
      </c>
      <c r="GZ10">
        <v>0.02</v>
      </c>
    </row>
    <row r="11" spans="1:214" x14ac:dyDescent="0.25">
      <c r="A11" s="267"/>
      <c r="B11" s="583"/>
      <c r="C11" s="241"/>
      <c r="D11" s="34"/>
      <c r="E11" s="430"/>
      <c r="F11" s="434"/>
      <c r="G11" s="432"/>
      <c r="H11" s="433">
        <f t="shared" si="0"/>
        <v>0</v>
      </c>
      <c r="I11" s="263"/>
      <c r="J11" s="274" t="s">
        <v>383</v>
      </c>
      <c r="K11" s="256" t="str">
        <f>IFERROR(ROUND(((BN58-(BN59*0.64))/0.8)+BN60,1),"")</f>
        <v/>
      </c>
      <c r="L11" s="256" t="str">
        <f>IFERROR(K11*1.1,"")</f>
        <v/>
      </c>
      <c r="M11" s="288">
        <f>IFERROR(AW24*1000,0)</f>
        <v>0</v>
      </c>
      <c r="N11" s="264" t="str">
        <f t="shared" si="12"/>
        <v/>
      </c>
      <c r="O11" s="284" t="str">
        <f t="shared" ref="O11:O17" si="13">IF(M11=0,"",(M11/1000)/$T$21)</f>
        <v/>
      </c>
      <c r="P11" s="284" t="str">
        <f t="shared" ref="P11:P17" si="14">IF(M11=0,"",(K11/1000)/$T$21)</f>
        <v/>
      </c>
      <c r="Q11" s="263"/>
      <c r="R11" s="277" t="str">
        <f>IF(F10=0,"",IF(E10="","",E10))</f>
        <v/>
      </c>
      <c r="S11" s="280" t="str">
        <f>IF(IF(R11="","",F10*$AB$7)=0,"",IF(R11="","",F10*$AB$7))</f>
        <v/>
      </c>
      <c r="T11" s="280" t="str">
        <f>IF(R11="Ureia",S11,IF(S11="","",IFERROR(S11*(VLOOKUP(R11,'Formulação de suplemento'!$B$42:$W$54,2,)),0)))</f>
        <v/>
      </c>
      <c r="U11" s="237" t="str">
        <f t="shared" si="1"/>
        <v/>
      </c>
      <c r="V11" s="237" t="str">
        <f t="shared" si="2"/>
        <v/>
      </c>
      <c r="W11" s="441" t="str">
        <f t="shared" si="11"/>
        <v/>
      </c>
      <c r="X11" s="441" t="str">
        <f t="shared" si="3"/>
        <v/>
      </c>
      <c r="Y11" s="263"/>
      <c r="Z11" s="424" t="s">
        <v>657</v>
      </c>
      <c r="AA11" s="279"/>
      <c r="AB11" s="287" t="str">
        <f>IFERROR((AB10+C21),"")</f>
        <v/>
      </c>
      <c r="AC11" s="263"/>
      <c r="AD11" s="272"/>
      <c r="AE11" s="324"/>
      <c r="AF11" s="451" t="str">
        <f>IFERROR(VLOOKUP(R11,'Formulação de suplemento'!$B$56:$W$68,22,0)*T11,"")</f>
        <v/>
      </c>
      <c r="AG11" s="263"/>
      <c r="AH11" s="454" t="str">
        <f>IF(E11="Ureia",F11,IFERROR(VLOOKUP(E11,'Formulação de suplemento'!$B$43:$C$54,2,0)*F11,""))</f>
        <v/>
      </c>
      <c r="AI11" s="263"/>
      <c r="AJ11" s="263"/>
      <c r="AK11" s="293" t="s">
        <v>763</v>
      </c>
      <c r="AL11" s="463">
        <v>0.5</v>
      </c>
      <c r="AM11" s="263"/>
      <c r="AN11" s="267"/>
      <c r="AV11" s="286">
        <f>IFERROR($T8*(VLOOKUP($R8,'Formulação de suplemento'!$B$42:$W$54,AV$7,0)),0)</f>
        <v>0</v>
      </c>
      <c r="AW11" s="286">
        <f>IFERROR($T8*(VLOOKUP($R8,'Formulação de suplemento'!$B$42:$W$54,AW$7,0)),0)</f>
        <v>0</v>
      </c>
      <c r="AX11" s="286">
        <f>IFERROR($T8*(VLOOKUP($R8,'Formulação de suplemento'!$B$42:$W$54,AX$7,0)*1000),0)</f>
        <v>0</v>
      </c>
      <c r="AY11" s="286">
        <f>IFERROR($T8*(VLOOKUP($R8,'Formulação de suplemento'!$B$42:$W$54,AY$7,0)*1000),0)</f>
        <v>0</v>
      </c>
      <c r="AZ11" s="286">
        <f>IFERROR($T8*(VLOOKUP($R8,'Formulação de suplemento'!$B$42:$W$54,AZ$7,0)),0)</f>
        <v>0</v>
      </c>
      <c r="BA11" s="286">
        <f>IFERROR($T8*(VLOOKUP($R8,'Formulação de suplemento'!$B$42:$W$54,BA$7,0)),0)</f>
        <v>0</v>
      </c>
      <c r="BB11" s="286">
        <f>IFERROR($T8*(VLOOKUP($R8,'Formulação de suplemento'!$B$42:$W$54,BB$7,0)*1000),0)</f>
        <v>0</v>
      </c>
      <c r="BC11" s="286">
        <f>IFERROR($T8*(VLOOKUP($R8,'Formulação de suplemento'!$B$42:$W$54,BC$7,0)*1000),0)</f>
        <v>0</v>
      </c>
      <c r="BD11" s="286">
        <f>IFERROR($T8*(VLOOKUP($R8,'Formulação de suplemento'!$B$42:$W$54,BD$7,0)*1000),0)</f>
        <v>0</v>
      </c>
      <c r="BE11" s="286">
        <f>IFERROR($T8*(VLOOKUP($R8,'Formulação de suplemento'!$B$42:$W$54,BE$7,0)*1000),0)</f>
        <v>0</v>
      </c>
      <c r="BF11" s="286">
        <f>IFERROR($T8*(VLOOKUP($R8,'Formulação de suplemento'!$B$42:$W$54,BF$7,0)*1000),0)</f>
        <v>0</v>
      </c>
      <c r="BG11" s="286">
        <f>IFERROR($T8*(VLOOKUP($R8,'Formulação de suplemento'!$B$42:$W$54,BG$7,0)),0)</f>
        <v>0</v>
      </c>
      <c r="BH11" s="286">
        <f>IFERROR($T8*(VLOOKUP($R8,'Formulação de suplemento'!$B$42:$W$54,BH$7,0)),0)</f>
        <v>0</v>
      </c>
      <c r="BI11" s="286">
        <f>IFERROR($T8*(VLOOKUP($R8,'Formulação de suplemento'!$B$42:$W$54,BI$7,0)),0)</f>
        <v>0</v>
      </c>
      <c r="BJ11" s="286">
        <f>IFERROR($T8*(VLOOKUP($R8,'Formulação de suplemento'!$B$42:$W$54,BJ$7,0)),0)</f>
        <v>0</v>
      </c>
      <c r="BK11" s="286">
        <f>IFERROR($T8*(VLOOKUP($R8,'Formulação de suplemento'!$B$42:$W$54,BK$7,0)),0)</f>
        <v>0</v>
      </c>
      <c r="BL11" s="286">
        <f>IFERROR($T8*(VLOOKUP($R8,'Formulação de suplemento'!$B$42:$W$54,BL$7,0)),0)</f>
        <v>0</v>
      </c>
      <c r="BM11" s="286">
        <f>IFERROR($T8*(VLOOKUP($R8,'Formulação de suplemento'!$B$42:$W$54,BM$7,0)),0)</f>
        <v>0</v>
      </c>
      <c r="BR11" s="262"/>
      <c r="FD11" t="s">
        <v>644</v>
      </c>
      <c r="FE11" t="s">
        <v>190</v>
      </c>
      <c r="FF11" t="s">
        <v>634</v>
      </c>
      <c r="FG11">
        <v>3.99</v>
      </c>
      <c r="FH11">
        <v>3.99</v>
      </c>
      <c r="FI11">
        <v>4.1900000000000004</v>
      </c>
      <c r="FJ11" s="413">
        <f t="shared" ref="FJ11:FJ24" si="15">FI11/FH11</f>
        <v>1.050125313283208</v>
      </c>
      <c r="FN11" t="s">
        <v>644</v>
      </c>
      <c r="FO11" t="s">
        <v>190</v>
      </c>
      <c r="FP11" t="s">
        <v>634</v>
      </c>
      <c r="FQ11">
        <v>4.2300000000000004</v>
      </c>
      <c r="FR11">
        <v>4.2300000000000004</v>
      </c>
      <c r="FS11">
        <v>4.45</v>
      </c>
      <c r="FT11" s="413">
        <f t="shared" ref="FT11:FT24" si="16">FS11/FR11</f>
        <v>1.0520094562647753</v>
      </c>
      <c r="FW11" t="s">
        <v>644</v>
      </c>
      <c r="FX11" t="s">
        <v>190</v>
      </c>
      <c r="FY11" t="s">
        <v>634</v>
      </c>
      <c r="FZ11">
        <v>4.3499999999999996</v>
      </c>
      <c r="GA11">
        <v>4.3499999999999996</v>
      </c>
      <c r="GB11">
        <v>4.5599999999999996</v>
      </c>
      <c r="GC11" s="413">
        <f t="shared" ref="GC11:GC24" si="17">GB11/GA11</f>
        <v>1.0482758620689656</v>
      </c>
      <c r="GO11" t="s">
        <v>692</v>
      </c>
      <c r="GP11" t="s">
        <v>700</v>
      </c>
      <c r="GQ11">
        <v>29.48</v>
      </c>
      <c r="GR11">
        <v>2.06</v>
      </c>
      <c r="GS11">
        <v>7.99</v>
      </c>
      <c r="GT11">
        <v>56.2</v>
      </c>
      <c r="GU11">
        <v>70.02</v>
      </c>
    </row>
    <row r="12" spans="1:214" x14ac:dyDescent="0.25">
      <c r="A12" s="267"/>
      <c r="B12" s="190" t="s">
        <v>629</v>
      </c>
      <c r="C12" s="240"/>
      <c r="D12" s="34"/>
      <c r="E12" s="430"/>
      <c r="F12" s="434"/>
      <c r="G12" s="432"/>
      <c r="H12" s="433">
        <f t="shared" ref="H12" si="18">G12*F12</f>
        <v>0</v>
      </c>
      <c r="I12" s="263"/>
      <c r="J12" s="274" t="s">
        <v>195</v>
      </c>
      <c r="K12" s="256" t="str">
        <f>IFERROR(ROUND(BJ116,1),"")</f>
        <v/>
      </c>
      <c r="L12" s="256" t="str">
        <f>IFERROR(K12*2,"")</f>
        <v/>
      </c>
      <c r="M12" s="288">
        <f>AX24</f>
        <v>0</v>
      </c>
      <c r="N12" s="264" t="str">
        <f t="shared" si="12"/>
        <v/>
      </c>
      <c r="O12" s="284" t="str">
        <f t="shared" si="13"/>
        <v/>
      </c>
      <c r="P12" s="284" t="str">
        <f t="shared" si="14"/>
        <v/>
      </c>
      <c r="Q12" s="263"/>
      <c r="R12" s="277" t="str">
        <f>IF(F11=0,"",IF(E11="","",E11))</f>
        <v/>
      </c>
      <c r="S12" s="280" t="str">
        <f>IF(IF(R12="","",F11*$AB$7)=0,"",IF(R12="","",F11*$AB$7))</f>
        <v/>
      </c>
      <c r="T12" s="280" t="str">
        <f>IF(R12="Ureia",S12,IF(S12="","",IFERROR(S12*(VLOOKUP(R12,'Formulação de suplemento'!$B$42:$W$54,2,)),0)))</f>
        <v/>
      </c>
      <c r="U12" s="237" t="str">
        <f t="shared" si="1"/>
        <v/>
      </c>
      <c r="V12" s="237" t="str">
        <f t="shared" si="2"/>
        <v/>
      </c>
      <c r="W12" s="441" t="str">
        <f t="shared" si="11"/>
        <v/>
      </c>
      <c r="X12" s="441" t="str">
        <f t="shared" si="3"/>
        <v/>
      </c>
      <c r="Y12" s="263"/>
      <c r="Z12" s="274" t="s">
        <v>95</v>
      </c>
      <c r="AA12" s="279"/>
      <c r="AB12" s="429" t="str">
        <f>IFERROR(AB11*30.4,"")</f>
        <v/>
      </c>
      <c r="AC12" s="263"/>
      <c r="AD12" s="272"/>
      <c r="AE12" s="450"/>
      <c r="AF12" s="451" t="str">
        <f>IFERROR(VLOOKUP(R12,'Formulação de suplemento'!$B$56:$W$68,22,0)*T12,"")</f>
        <v/>
      </c>
      <c r="AG12" s="263"/>
      <c r="AH12" s="454" t="str">
        <f>IF(E13="Ureia",F13,IFERROR(VLOOKUP(E13,'Formulação de suplemento'!$B$43:$C$54,2,0)*F13,""))</f>
        <v/>
      </c>
      <c r="AI12" s="263"/>
      <c r="AJ12" s="263"/>
      <c r="AK12" s="293" t="s">
        <v>757</v>
      </c>
      <c r="AL12" s="463">
        <v>0.7</v>
      </c>
      <c r="AM12" s="263"/>
      <c r="AN12" s="267"/>
      <c r="AV12" s="286">
        <f>IFERROR($T9*(VLOOKUP($R9,'Formulação de suplemento'!$B$42:$W$54,AV$7,0)),0)</f>
        <v>0</v>
      </c>
      <c r="AW12" s="286">
        <f>IFERROR($T9*(VLOOKUP($R9,'Formulação de suplemento'!$B$42:$W$54,AW$7,0)),0)</f>
        <v>0</v>
      </c>
      <c r="AX12" s="286">
        <f>IFERROR($T9*(VLOOKUP($R9,'Formulação de suplemento'!$B$42:$W$54,AX$7,0)*1000),0)</f>
        <v>0</v>
      </c>
      <c r="AY12" s="286">
        <f>IFERROR($T9*(VLOOKUP($R9,'Formulação de suplemento'!$B$42:$W$54,AY$7,0)*1000),0)</f>
        <v>0</v>
      </c>
      <c r="AZ12" s="286">
        <f>IFERROR($T9*(VLOOKUP($R9,'Formulação de suplemento'!$B$42:$W$54,AZ$7,0)),0)</f>
        <v>0</v>
      </c>
      <c r="BA12" s="286">
        <f>IFERROR($T9*(VLOOKUP($R9,'Formulação de suplemento'!$B$42:$W$54,BA$7,0)),0)</f>
        <v>0</v>
      </c>
      <c r="BB12" s="286">
        <f>IFERROR($T9*(VLOOKUP($R9,'Formulação de suplemento'!$B$42:$W$54,BB$7,0)*1000),0)</f>
        <v>0</v>
      </c>
      <c r="BC12" s="286">
        <f>IFERROR($T9*(VLOOKUP($R9,'Formulação de suplemento'!$B$42:$W$54,BC$7,0)*1000),0)</f>
        <v>0</v>
      </c>
      <c r="BD12" s="286">
        <f>IFERROR($T9*(VLOOKUP($R9,'Formulação de suplemento'!$B$42:$W$54,BD$7,0)*1000),0)</f>
        <v>0</v>
      </c>
      <c r="BE12" s="286">
        <f>IFERROR($T9*(VLOOKUP($R9,'Formulação de suplemento'!$B$42:$W$54,BE$7,0)*1000),0)</f>
        <v>0</v>
      </c>
      <c r="BF12" s="286">
        <f>IFERROR($T9*(VLOOKUP($R9,'Formulação de suplemento'!$B$42:$W$54,BF$7,0)*1000),0)</f>
        <v>0</v>
      </c>
      <c r="BG12" s="286">
        <f>IFERROR($T9*(VLOOKUP($R9,'Formulação de suplemento'!$B$42:$W$54,BG$7,0)),0)</f>
        <v>0</v>
      </c>
      <c r="BH12" s="286">
        <f>IFERROR($T9*(VLOOKUP($R9,'Formulação de suplemento'!$B$42:$W$54,BH$7,0)),0)</f>
        <v>0</v>
      </c>
      <c r="BI12" s="286">
        <f>IFERROR($T9*(VLOOKUP($R9,'Formulação de suplemento'!$B$42:$W$54,BI$7,0)),0)</f>
        <v>0</v>
      </c>
      <c r="BJ12" s="286">
        <f>IFERROR($T9*(VLOOKUP($R9,'Formulação de suplemento'!$B$42:$W$54,BJ$7,0)),0)</f>
        <v>0</v>
      </c>
      <c r="BK12" s="286">
        <f>IFERROR($T9*(VLOOKUP($R9,'Formulação de suplemento'!$B$42:$W$54,BK$7,0)),0)</f>
        <v>0</v>
      </c>
      <c r="BL12" s="286">
        <f>IFERROR($T9*(VLOOKUP($R9,'Formulação de suplemento'!$B$42:$W$54,BL$7,0)),0)</f>
        <v>0</v>
      </c>
      <c r="BM12" s="286">
        <f>IFERROR($T9*(VLOOKUP($R9,'Formulação de suplemento'!$B$42:$W$54,BM$7,0)),0)</f>
        <v>0</v>
      </c>
      <c r="BR12" s="262"/>
      <c r="FD12" t="s">
        <v>646</v>
      </c>
      <c r="FE12" t="s">
        <v>480</v>
      </c>
      <c r="FF12" t="s">
        <v>645</v>
      </c>
      <c r="FG12">
        <v>686.93</v>
      </c>
      <c r="FH12">
        <v>686.93</v>
      </c>
      <c r="FI12">
        <v>755.63</v>
      </c>
      <c r="FJ12" s="413">
        <f t="shared" si="15"/>
        <v>1.1000101902668395</v>
      </c>
      <c r="FN12" t="s">
        <v>646</v>
      </c>
      <c r="FO12" t="s">
        <v>480</v>
      </c>
      <c r="FP12" t="s">
        <v>645</v>
      </c>
      <c r="FQ12">
        <v>777.14</v>
      </c>
      <c r="FR12">
        <v>777.14</v>
      </c>
      <c r="FS12">
        <v>854.85</v>
      </c>
      <c r="FT12" s="413">
        <f t="shared" si="16"/>
        <v>1.0999948529222534</v>
      </c>
      <c r="FW12" t="s">
        <v>646</v>
      </c>
      <c r="FX12" t="s">
        <v>480</v>
      </c>
      <c r="FY12" t="s">
        <v>645</v>
      </c>
      <c r="FZ12">
        <v>754.82</v>
      </c>
      <c r="GA12">
        <v>754.82</v>
      </c>
      <c r="GB12">
        <v>830.4</v>
      </c>
      <c r="GC12" s="413">
        <f t="shared" si="17"/>
        <v>1.1001298322778941</v>
      </c>
      <c r="GO12" t="s">
        <v>692</v>
      </c>
      <c r="GP12" t="s">
        <v>701</v>
      </c>
      <c r="GQ12">
        <v>27</v>
      </c>
      <c r="GR12">
        <v>1.73</v>
      </c>
      <c r="GS12">
        <v>11.05</v>
      </c>
      <c r="GT12">
        <v>54.74</v>
      </c>
      <c r="GU12">
        <v>66.2</v>
      </c>
      <c r="GV12">
        <v>0.74</v>
      </c>
      <c r="GW12">
        <v>0.19</v>
      </c>
      <c r="GX12">
        <v>0.2</v>
      </c>
      <c r="GY12">
        <v>2.74</v>
      </c>
      <c r="GZ12">
        <v>0.01</v>
      </c>
      <c r="HA12">
        <v>0.14000000000000001</v>
      </c>
      <c r="HB12">
        <v>0.41</v>
      </c>
      <c r="HC12">
        <v>10.07</v>
      </c>
      <c r="HD12">
        <v>99.99</v>
      </c>
      <c r="HF12">
        <v>26.81</v>
      </c>
    </row>
    <row r="13" spans="1:214" ht="18.75" customHeight="1" thickBot="1" x14ac:dyDescent="0.3">
      <c r="A13" s="267"/>
      <c r="B13" s="290" t="s">
        <v>435</v>
      </c>
      <c r="C13" s="242"/>
      <c r="D13" s="34"/>
      <c r="E13" s="437"/>
      <c r="F13" s="438"/>
      <c r="G13" s="439"/>
      <c r="H13" s="440">
        <f t="shared" ref="H13:H20" si="19">G13*F13</f>
        <v>0</v>
      </c>
      <c r="I13" s="263"/>
      <c r="J13" s="274" t="s">
        <v>196</v>
      </c>
      <c r="K13" s="256" t="str">
        <f>IFERROR(ROUND(BJ123,1),"")</f>
        <v/>
      </c>
      <c r="L13" s="256" t="str">
        <f>IFERROR(K13*2,"")</f>
        <v/>
      </c>
      <c r="M13" s="288">
        <f>AY24</f>
        <v>0</v>
      </c>
      <c r="N13" s="264" t="str">
        <f t="shared" si="12"/>
        <v/>
      </c>
      <c r="O13" s="284" t="str">
        <f t="shared" si="13"/>
        <v/>
      </c>
      <c r="P13" s="284" t="str">
        <f t="shared" si="14"/>
        <v/>
      </c>
      <c r="Q13" s="263"/>
      <c r="R13" s="291" t="str">
        <f t="shared" ref="R13:R20" si="20">IF(F13=0,"",IF(E13="","",E13))</f>
        <v/>
      </c>
      <c r="S13" s="292" t="str">
        <f t="shared" ref="S13:S20" si="21">IF(IF(R13="","",F13*$AB$7)=0,"",IF(R13="","",F13*$AB$7))</f>
        <v/>
      </c>
      <c r="T13" s="292" t="str">
        <f>IF(R13="Ureia",S13,IF(S13="","",IFERROR(S13*(VLOOKUP(R13,'Formulação de suplemento'!$B$42:$W$54,2,)),0)))</f>
        <v/>
      </c>
      <c r="U13" s="254" t="str">
        <f t="shared" si="1"/>
        <v/>
      </c>
      <c r="V13" s="254" t="str">
        <f t="shared" si="2"/>
        <v/>
      </c>
      <c r="W13" s="442" t="str">
        <f t="shared" si="11"/>
        <v/>
      </c>
      <c r="X13" s="442" t="str">
        <f t="shared" si="3"/>
        <v/>
      </c>
      <c r="Y13" s="263"/>
      <c r="Z13" s="424" t="s">
        <v>658</v>
      </c>
      <c r="AB13" s="425" t="str">
        <f>IFERROR(AB11/(C17/30),"")</f>
        <v/>
      </c>
      <c r="AC13" s="263"/>
      <c r="AD13" s="272"/>
      <c r="AE13" s="263"/>
      <c r="AF13" s="451" t="str">
        <f>IFERROR(VLOOKUP(R13,'Formulação de suplemento'!$B$56:$W$68,22,0)*T13,"")</f>
        <v/>
      </c>
      <c r="AG13" s="263"/>
      <c r="AH13" s="454" t="str">
        <f>IFERROR(VLOOKUP(E14,'Formulação de suplemento'!$B$57:$C$68,2,0)*F14,"")</f>
        <v/>
      </c>
      <c r="AI13" s="263"/>
      <c r="AJ13" s="263"/>
      <c r="AK13" s="293" t="s">
        <v>756</v>
      </c>
      <c r="AL13" s="463">
        <v>0.95</v>
      </c>
      <c r="AM13" s="263"/>
      <c r="AN13" s="267"/>
      <c r="AV13" s="286">
        <f>IFERROR($T10*(VLOOKUP($R10,'Formulação de suplemento'!$B$42:$W$54,AV$7,0)),0)</f>
        <v>0</v>
      </c>
      <c r="AW13" s="286">
        <f>IFERROR($T10*(VLOOKUP($R10,'Formulação de suplemento'!$B$42:$W$54,AW$7,0)),0)</f>
        <v>0</v>
      </c>
      <c r="AX13" s="286">
        <f>IFERROR($T10*(VLOOKUP($R10,'Formulação de suplemento'!$B$42:$W$54,AX$7,0)*1000),0)</f>
        <v>0</v>
      </c>
      <c r="AY13" s="286">
        <f>IFERROR($T10*(VLOOKUP($R10,'Formulação de suplemento'!$B$42:$W$54,AY$7,0)*1000),0)</f>
        <v>0</v>
      </c>
      <c r="AZ13" s="286">
        <f>IFERROR($T10*(VLOOKUP($R10,'Formulação de suplemento'!$B$42:$W$54,AZ$7,0)),0)</f>
        <v>0</v>
      </c>
      <c r="BA13" s="286">
        <f>IFERROR($T10*(VLOOKUP($R10,'Formulação de suplemento'!$B$42:$W$54,BA$7,0)),0)</f>
        <v>0</v>
      </c>
      <c r="BB13" s="286">
        <f>IFERROR($T10*(VLOOKUP($R10,'Formulação de suplemento'!$B$42:$W$54,BB$7,0)*1000),0)</f>
        <v>0</v>
      </c>
      <c r="BC13" s="286">
        <f>IFERROR($T10*(VLOOKUP($R10,'Formulação de suplemento'!$B$42:$W$54,BC$7,0)*1000),0)</f>
        <v>0</v>
      </c>
      <c r="BD13" s="286">
        <f>IFERROR($T10*(VLOOKUP($R10,'Formulação de suplemento'!$B$42:$W$54,BD$7,0)*1000),0)</f>
        <v>0</v>
      </c>
      <c r="BE13" s="286">
        <f>IFERROR($T10*(VLOOKUP($R10,'Formulação de suplemento'!$B$42:$W$54,BE$7,0)*1000),0)</f>
        <v>0</v>
      </c>
      <c r="BF13" s="286">
        <f>IFERROR($T10*(VLOOKUP($R10,'Formulação de suplemento'!$B$42:$W$54,BF$7,0)*1000),0)</f>
        <v>0</v>
      </c>
      <c r="BG13" s="286">
        <f>IFERROR($T10*(VLOOKUP($R10,'Formulação de suplemento'!$B$42:$W$54,BG$7,0)),0)</f>
        <v>0</v>
      </c>
      <c r="BH13" s="286">
        <f>IFERROR($T10*(VLOOKUP($R10,'Formulação de suplemento'!$B$42:$W$54,BH$7,0)),0)</f>
        <v>0</v>
      </c>
      <c r="BI13" s="286">
        <f>IFERROR($T10*(VLOOKUP($R10,'Formulação de suplemento'!$B$42:$W$54,BI$7,0)),0)</f>
        <v>0</v>
      </c>
      <c r="BJ13" s="286">
        <f>IFERROR($T10*(VLOOKUP($R10,'Formulação de suplemento'!$B$42:$W$54,BJ$7,0)),0)</f>
        <v>0</v>
      </c>
      <c r="BK13" s="286">
        <f>IFERROR($T10*(VLOOKUP($R10,'Formulação de suplemento'!$B$42:$W$54,BK$7,0)),0)</f>
        <v>0</v>
      </c>
      <c r="BL13" s="286">
        <f>IFERROR($T10*(VLOOKUP($R10,'Formulação de suplemento'!$B$42:$W$54,BL$7,0)),0)</f>
        <v>0</v>
      </c>
      <c r="BM13" s="286">
        <f>IFERROR($T10*(VLOOKUP($R10,'Formulação de suplemento'!$B$42:$W$54,BM$7,0)),0)</f>
        <v>0</v>
      </c>
      <c r="BR13" s="262"/>
      <c r="FD13" t="s">
        <v>513</v>
      </c>
      <c r="FE13" t="s">
        <v>438</v>
      </c>
      <c r="FF13" t="s">
        <v>645</v>
      </c>
      <c r="FG13">
        <v>33.1</v>
      </c>
      <c r="FH13">
        <v>33.1</v>
      </c>
      <c r="FI13">
        <v>66.209999999999994</v>
      </c>
      <c r="FJ13" s="413">
        <f t="shared" si="15"/>
        <v>2.0003021148036253</v>
      </c>
      <c r="FN13" t="s">
        <v>513</v>
      </c>
      <c r="FO13" t="s">
        <v>438</v>
      </c>
      <c r="FP13" t="s">
        <v>645</v>
      </c>
      <c r="FQ13">
        <v>22</v>
      </c>
      <c r="FR13">
        <v>22</v>
      </c>
      <c r="FS13">
        <v>43.99</v>
      </c>
      <c r="FT13" s="413">
        <f t="shared" si="16"/>
        <v>1.9995454545454547</v>
      </c>
      <c r="FW13" t="s">
        <v>513</v>
      </c>
      <c r="FX13" t="s">
        <v>438</v>
      </c>
      <c r="FY13" t="s">
        <v>645</v>
      </c>
      <c r="FZ13">
        <v>21.77</v>
      </c>
      <c r="GA13">
        <v>21.77</v>
      </c>
      <c r="GB13">
        <v>43.54</v>
      </c>
      <c r="GC13" s="413">
        <f t="shared" si="17"/>
        <v>2</v>
      </c>
      <c r="GO13" t="s">
        <v>692</v>
      </c>
      <c r="GP13" t="s">
        <v>702</v>
      </c>
      <c r="GQ13">
        <v>26.96</v>
      </c>
      <c r="GR13">
        <v>2</v>
      </c>
      <c r="GS13">
        <v>12.91</v>
      </c>
      <c r="GT13">
        <v>56.23</v>
      </c>
      <c r="GU13">
        <v>48.83</v>
      </c>
      <c r="GV13">
        <v>0.54</v>
      </c>
      <c r="GW13">
        <v>0.5</v>
      </c>
      <c r="GX13">
        <v>0.17</v>
      </c>
      <c r="GY13">
        <v>1.28</v>
      </c>
      <c r="HA13">
        <v>0.18</v>
      </c>
      <c r="HC13">
        <v>10.35</v>
      </c>
      <c r="HD13">
        <v>305</v>
      </c>
      <c r="HF13">
        <v>32.22</v>
      </c>
    </row>
    <row r="14" spans="1:214" x14ac:dyDescent="0.25">
      <c r="A14" s="267"/>
      <c r="B14" s="34"/>
      <c r="C14" s="34"/>
      <c r="D14" s="34"/>
      <c r="E14" s="430"/>
      <c r="F14" s="434"/>
      <c r="G14" s="432"/>
      <c r="H14" s="433">
        <f t="shared" si="19"/>
        <v>0</v>
      </c>
      <c r="I14" s="263"/>
      <c r="J14" s="274" t="s">
        <v>199</v>
      </c>
      <c r="K14" s="256" t="str">
        <f>IF(C8="","",IFERROR(ROUND(BJ132,1),""))</f>
        <v/>
      </c>
      <c r="L14" s="256" t="str">
        <f>IFERROR(K14*3,"")</f>
        <v/>
      </c>
      <c r="M14" s="288">
        <f>BC24</f>
        <v>0</v>
      </c>
      <c r="N14" s="264" t="str">
        <f t="shared" si="12"/>
        <v/>
      </c>
      <c r="O14" s="284" t="str">
        <f t="shared" si="13"/>
        <v/>
      </c>
      <c r="P14" s="284" t="str">
        <f t="shared" si="14"/>
        <v/>
      </c>
      <c r="Q14" s="263"/>
      <c r="R14" s="277" t="str">
        <f t="shared" si="20"/>
        <v/>
      </c>
      <c r="S14" s="280" t="str">
        <f t="shared" si="21"/>
        <v/>
      </c>
      <c r="T14" s="280" t="str">
        <f>IF(S14="","",IFERROR(S14*(VLOOKUP(R14,'Formulação de suplemento'!$B$56:$W$68,2,)),0))</f>
        <v/>
      </c>
      <c r="U14" s="237" t="str">
        <f t="shared" si="1"/>
        <v/>
      </c>
      <c r="V14" s="237" t="str">
        <f t="shared" si="2"/>
        <v/>
      </c>
      <c r="W14" s="441" t="str">
        <f t="shared" si="11"/>
        <v/>
      </c>
      <c r="X14" s="441" t="str">
        <f t="shared" si="3"/>
        <v/>
      </c>
      <c r="Y14" s="263"/>
      <c r="Z14" s="424" t="s">
        <v>659</v>
      </c>
      <c r="AB14" s="425" t="str">
        <f>IFERROR(ROUND((AB12/30.4)/(C17/15),3),"")</f>
        <v/>
      </c>
      <c r="AC14" s="263"/>
      <c r="AD14" s="293"/>
      <c r="AE14" s="263"/>
      <c r="AF14" s="452" t="str">
        <f>IFERROR(VLOOKUP(R14,'Formulação de suplemento'!$B$56:$W$68,22,0)*T14,"")</f>
        <v/>
      </c>
      <c r="AG14" s="263"/>
      <c r="AH14" s="454" t="str">
        <f>IFERROR(VLOOKUP(E15,'Formulação de suplemento'!$B$57:$C$68,2,0)*F15,"")</f>
        <v/>
      </c>
      <c r="AI14" s="263"/>
      <c r="AJ14" s="263"/>
      <c r="AK14" s="293" t="s">
        <v>764</v>
      </c>
      <c r="AL14" s="463">
        <v>0.8</v>
      </c>
      <c r="AM14" s="263"/>
      <c r="AN14" s="267"/>
      <c r="AV14" s="286">
        <f>IFERROR($T11*(VLOOKUP($R11,'Formulação de suplemento'!$B$42:$W$54,AV$7,0)),0)</f>
        <v>0</v>
      </c>
      <c r="AW14" s="286">
        <f>IFERROR($T11*(VLOOKUP($R11,'Formulação de suplemento'!$B$42:$W$54,AW$7,0)),0)</f>
        <v>0</v>
      </c>
      <c r="AX14" s="286">
        <f>IFERROR($T11*(VLOOKUP($R11,'Formulação de suplemento'!$B$42:$W$54,AX$7,0)*1000),0)</f>
        <v>0</v>
      </c>
      <c r="AY14" s="286">
        <f>IFERROR($T11*(VLOOKUP($R11,'Formulação de suplemento'!$B$42:$W$54,AY$7,0)*1000),0)</f>
        <v>0</v>
      </c>
      <c r="AZ14" s="286">
        <f>IFERROR($T11*(VLOOKUP($R11,'Formulação de suplemento'!$B$42:$W$54,AZ$7,0)),0)</f>
        <v>0</v>
      </c>
      <c r="BA14" s="286">
        <f>IFERROR($T11*(VLOOKUP($R11,'Formulação de suplemento'!$B$42:$W$54,BA$7,0)),0)</f>
        <v>0</v>
      </c>
      <c r="BB14" s="286">
        <f>IFERROR($T11*(VLOOKUP($R11,'Formulação de suplemento'!$B$42:$W$54,BB$7,0)*1000),0)</f>
        <v>0</v>
      </c>
      <c r="BC14" s="286">
        <f>IFERROR($T11*(VLOOKUP($R11,'Formulação de suplemento'!$B$42:$W$54,BC$7,0)*1000),0)</f>
        <v>0</v>
      </c>
      <c r="BD14" s="286">
        <f>IFERROR($T11*(VLOOKUP($R11,'Formulação de suplemento'!$B$42:$W$54,BD$7,0)*1000),0)</f>
        <v>0</v>
      </c>
      <c r="BE14" s="286">
        <f>IFERROR($T11*(VLOOKUP($R11,'Formulação de suplemento'!$B$42:$W$54,BE$7,0)*1000),0)</f>
        <v>0</v>
      </c>
      <c r="BF14" s="286">
        <f>IFERROR($T11*(VLOOKUP($R11,'Formulação de suplemento'!$B$42:$W$54,BF$7,0)*1000),0)</f>
        <v>0</v>
      </c>
      <c r="BG14" s="286">
        <f>IFERROR($T11*(VLOOKUP($R11,'Formulação de suplemento'!$B$42:$W$54,BG$7,0)),0)</f>
        <v>0</v>
      </c>
      <c r="BH14" s="286">
        <f>IFERROR($T11*(VLOOKUP($R11,'Formulação de suplemento'!$B$42:$W$54,BH$7,0)),0)</f>
        <v>0</v>
      </c>
      <c r="BI14" s="286">
        <f>IFERROR($T11*(VLOOKUP($R11,'Formulação de suplemento'!$B$42:$W$54,BI$7,0)),0)</f>
        <v>0</v>
      </c>
      <c r="BJ14" s="286">
        <f>IFERROR($T11*(VLOOKUP($R11,'Formulação de suplemento'!$B$42:$W$54,BJ$7,0)),0)</f>
        <v>0</v>
      </c>
      <c r="BK14" s="286">
        <f>IFERROR($T11*(VLOOKUP($R11,'Formulação de suplemento'!$B$42:$W$54,BK$7,0)),0)</f>
        <v>0</v>
      </c>
      <c r="BL14" s="286">
        <f>IFERROR($T11*(VLOOKUP($R11,'Formulação de suplemento'!$B$42:$W$54,BL$7,0)),0)</f>
        <v>0</v>
      </c>
      <c r="BM14" s="286">
        <f>IFERROR($T11*(VLOOKUP($R11,'Formulação de suplemento'!$B$42:$W$54,BM$7,0)),0)</f>
        <v>0</v>
      </c>
      <c r="BR14" s="262"/>
      <c r="FD14" t="s">
        <v>61</v>
      </c>
      <c r="FE14" t="s">
        <v>443</v>
      </c>
      <c r="FF14" t="s">
        <v>645</v>
      </c>
      <c r="FG14">
        <v>17.04</v>
      </c>
      <c r="FH14">
        <v>17.04</v>
      </c>
      <c r="FI14">
        <v>34.08</v>
      </c>
      <c r="FJ14" s="413">
        <f t="shared" si="15"/>
        <v>2</v>
      </c>
      <c r="FN14" t="s">
        <v>61</v>
      </c>
      <c r="FO14" t="s">
        <v>443</v>
      </c>
      <c r="FP14" t="s">
        <v>645</v>
      </c>
      <c r="FQ14">
        <v>13.5</v>
      </c>
      <c r="FR14">
        <v>13.5</v>
      </c>
      <c r="FS14">
        <v>27.01</v>
      </c>
      <c r="FT14" s="413">
        <f t="shared" si="16"/>
        <v>2.0007407407407407</v>
      </c>
      <c r="FW14" t="s">
        <v>61</v>
      </c>
      <c r="FX14" t="s">
        <v>443</v>
      </c>
      <c r="FY14" t="s">
        <v>645</v>
      </c>
      <c r="FZ14">
        <v>13.43</v>
      </c>
      <c r="GA14">
        <v>13.43</v>
      </c>
      <c r="GB14">
        <v>26.85</v>
      </c>
      <c r="GC14" s="413">
        <f t="shared" si="17"/>
        <v>1.9992553983618766</v>
      </c>
      <c r="GO14" t="s">
        <v>692</v>
      </c>
      <c r="GP14" t="s">
        <v>703</v>
      </c>
      <c r="GQ14">
        <v>19.829999999999998</v>
      </c>
      <c r="GR14">
        <v>3.06</v>
      </c>
      <c r="GS14">
        <v>12.23</v>
      </c>
      <c r="GT14">
        <v>58.77</v>
      </c>
      <c r="GU14">
        <v>63.62</v>
      </c>
      <c r="GV14">
        <v>0.72</v>
      </c>
      <c r="GW14">
        <v>0.26</v>
      </c>
    </row>
    <row r="15" spans="1:214" ht="19.5" thickBot="1" x14ac:dyDescent="0.3">
      <c r="A15" s="267"/>
      <c r="B15" s="579" t="s">
        <v>364</v>
      </c>
      <c r="C15" s="579"/>
      <c r="D15" s="34"/>
      <c r="E15" s="430"/>
      <c r="F15" s="434"/>
      <c r="G15" s="432"/>
      <c r="H15" s="433">
        <f t="shared" si="19"/>
        <v>0</v>
      </c>
      <c r="I15" s="263"/>
      <c r="J15" s="274" t="s">
        <v>200</v>
      </c>
      <c r="K15" s="256" t="str">
        <f>IF(C8="","",ROUND(BJ146,1))</f>
        <v/>
      </c>
      <c r="L15" s="256" t="str">
        <f>IFERROR(K15*3,"")</f>
        <v/>
      </c>
      <c r="M15" s="288">
        <f>BE24</f>
        <v>0</v>
      </c>
      <c r="N15" s="264" t="str">
        <f t="shared" si="12"/>
        <v/>
      </c>
      <c r="O15" s="284" t="str">
        <f t="shared" si="13"/>
        <v/>
      </c>
      <c r="P15" s="284" t="str">
        <f t="shared" si="14"/>
        <v/>
      </c>
      <c r="Q15" s="263"/>
      <c r="R15" s="277" t="str">
        <f t="shared" si="20"/>
        <v/>
      </c>
      <c r="S15" s="280" t="str">
        <f t="shared" si="21"/>
        <v/>
      </c>
      <c r="T15" s="280" t="str">
        <f>IF(S15="","",IFERROR(S15*(VLOOKUP(R15,'Formulação de suplemento'!$B$56:$W$68,2,)),0))</f>
        <v/>
      </c>
      <c r="U15" s="237" t="str">
        <f t="shared" si="1"/>
        <v/>
      </c>
      <c r="V15" s="237" t="str">
        <f t="shared" si="2"/>
        <v/>
      </c>
      <c r="W15" s="441" t="str">
        <f t="shared" si="11"/>
        <v/>
      </c>
      <c r="X15" s="441" t="str">
        <f t="shared" si="3"/>
        <v/>
      </c>
      <c r="Y15" s="263"/>
      <c r="Z15" s="424" t="s">
        <v>660</v>
      </c>
      <c r="AB15" s="287" t="str">
        <f>IFERROR(((30/C9)/30.4)*AB12,"")</f>
        <v/>
      </c>
      <c r="AC15" s="263"/>
      <c r="AD15" s="272"/>
      <c r="AE15" s="263"/>
      <c r="AF15" s="451" t="str">
        <f>IFERROR(VLOOKUP(R15,'Formulação de suplemento'!$B$56:$W$68,22,0)*T15,"")</f>
        <v/>
      </c>
      <c r="AG15" s="263"/>
      <c r="AH15" s="454" t="str">
        <f>IFERROR(VLOOKUP(E16,'Formulação de suplemento'!$B$57:$C$68,2,0)*F16,"")</f>
        <v/>
      </c>
      <c r="AI15" s="263"/>
      <c r="AJ15" s="263"/>
      <c r="AK15" s="263"/>
      <c r="AL15" s="263"/>
      <c r="AM15" s="263"/>
      <c r="AN15" s="267"/>
      <c r="AV15" s="286">
        <f>IFERROR($T12*(VLOOKUP($R12,'Formulação de suplemento'!$B$42:$W$54,AV$7,0)),0)</f>
        <v>0</v>
      </c>
      <c r="AW15" s="286">
        <f>IFERROR($T12*(VLOOKUP($R12,'Formulação de suplemento'!$B$42:$W$54,AW$7,0)),0)</f>
        <v>0</v>
      </c>
      <c r="AX15" s="286">
        <f>IFERROR($T12*(VLOOKUP($R12,'Formulação de suplemento'!$B$42:$W$54,AX$7,0)*1000),0)</f>
        <v>0</v>
      </c>
      <c r="AY15" s="286">
        <f>IFERROR($T12*(VLOOKUP($R12,'Formulação de suplemento'!$B$42:$W$54,AY$7,0)*1000),0)</f>
        <v>0</v>
      </c>
      <c r="AZ15" s="286">
        <f>IFERROR($T12*(VLOOKUP($R12,'Formulação de suplemento'!$B$42:$W$54,AZ$7,0)),0)</f>
        <v>0</v>
      </c>
      <c r="BA15" s="286">
        <f>IFERROR($T12*(VLOOKUP($R12,'Formulação de suplemento'!$B$42:$W$54,BA$7,0)),0)</f>
        <v>0</v>
      </c>
      <c r="BB15" s="286">
        <f>IFERROR($T12*(VLOOKUP($R12,'Formulação de suplemento'!$B$42:$W$54,BB$7,0)*1000),0)</f>
        <v>0</v>
      </c>
      <c r="BC15" s="286">
        <f>IFERROR($T12*(VLOOKUP($R12,'Formulação de suplemento'!$B$42:$W$54,BC$7,0)*1000),0)</f>
        <v>0</v>
      </c>
      <c r="BD15" s="286">
        <f>IFERROR($T12*(VLOOKUP($R12,'Formulação de suplemento'!$B$42:$W$54,BD$7,0)*1000),0)</f>
        <v>0</v>
      </c>
      <c r="BE15" s="286">
        <f>IFERROR($T12*(VLOOKUP($R12,'Formulação de suplemento'!$B$42:$W$54,BE$7,0)*1000),0)</f>
        <v>0</v>
      </c>
      <c r="BF15" s="286">
        <f>IFERROR($T12*(VLOOKUP($R12,'Formulação de suplemento'!$B$42:$W$54,BF$7,0)*1000),0)</f>
        <v>0</v>
      </c>
      <c r="BG15" s="286">
        <f>IFERROR($T12*(VLOOKUP($R12,'Formulação de suplemento'!$B$42:$W$54,BG$7,0)),0)</f>
        <v>0</v>
      </c>
      <c r="BH15" s="286">
        <f>IFERROR($T12*(VLOOKUP($R12,'Formulação de suplemento'!$B$42:$W$54,BH$7,0)),0)</f>
        <v>0</v>
      </c>
      <c r="BI15" s="286">
        <f>IFERROR($T12*(VLOOKUP($R12,'Formulação de suplemento'!$B$42:$W$54,BI$7,0)),0)</f>
        <v>0</v>
      </c>
      <c r="BJ15" s="286">
        <f>IFERROR($T12*(VLOOKUP($R12,'Formulação de suplemento'!$B$42:$W$54,BJ$7,0)),0)</f>
        <v>0</v>
      </c>
      <c r="BK15" s="286">
        <f>IFERROR($T12*(VLOOKUP($R12,'Formulação de suplemento'!$B$42:$W$54,BK$7,0)),0)</f>
        <v>0</v>
      </c>
      <c r="BL15" s="286">
        <f>IFERROR($T12*(VLOOKUP($R12,'Formulação de suplemento'!$B$42:$W$54,BL$7,0)),0)</f>
        <v>0</v>
      </c>
      <c r="BM15" s="286">
        <f>IFERROR($T12*(VLOOKUP($R12,'Formulação de suplemento'!$B$42:$W$54,BM$7,0)),0)</f>
        <v>0</v>
      </c>
      <c r="BR15" s="262"/>
      <c r="FD15" t="s">
        <v>527</v>
      </c>
      <c r="FE15" t="s">
        <v>450</v>
      </c>
      <c r="FF15" t="s">
        <v>645</v>
      </c>
      <c r="FG15">
        <v>4.13</v>
      </c>
      <c r="FH15">
        <v>4.13</v>
      </c>
      <c r="FI15">
        <v>12.38</v>
      </c>
      <c r="FJ15" s="413">
        <f t="shared" si="15"/>
        <v>2.9975786924939469</v>
      </c>
      <c r="FN15" t="s">
        <v>527</v>
      </c>
      <c r="FO15" t="s">
        <v>450</v>
      </c>
      <c r="FP15" t="s">
        <v>645</v>
      </c>
      <c r="FQ15">
        <v>5.99</v>
      </c>
      <c r="FR15">
        <v>5.99</v>
      </c>
      <c r="FS15">
        <v>17.96</v>
      </c>
      <c r="FT15" s="413">
        <f t="shared" si="16"/>
        <v>2.998330550918197</v>
      </c>
      <c r="FW15" t="s">
        <v>527</v>
      </c>
      <c r="FX15" t="s">
        <v>450</v>
      </c>
      <c r="FY15" t="s">
        <v>645</v>
      </c>
      <c r="FZ15">
        <v>5.99</v>
      </c>
      <c r="GA15">
        <v>5.99</v>
      </c>
      <c r="GB15">
        <v>17.96</v>
      </c>
      <c r="GC15" s="413">
        <f t="shared" si="17"/>
        <v>2.998330550918197</v>
      </c>
      <c r="GO15" t="s">
        <v>692</v>
      </c>
      <c r="GP15" t="s">
        <v>704</v>
      </c>
      <c r="GQ15">
        <v>24.11</v>
      </c>
      <c r="GR15">
        <v>3.04</v>
      </c>
      <c r="GS15">
        <v>6.84</v>
      </c>
      <c r="GT15">
        <v>57.9</v>
      </c>
      <c r="GU15">
        <v>63.35</v>
      </c>
      <c r="GV15">
        <v>0.13</v>
      </c>
      <c r="GW15">
        <v>0.13</v>
      </c>
      <c r="GX15">
        <v>0.26</v>
      </c>
    </row>
    <row r="16" spans="1:214" ht="18.75" customHeight="1" x14ac:dyDescent="0.25">
      <c r="A16" s="267"/>
      <c r="B16" s="190" t="s">
        <v>281</v>
      </c>
      <c r="C16" s="294" t="str">
        <f>IFERROR((C7-C6)/C9,"")</f>
        <v/>
      </c>
      <c r="D16" s="34"/>
      <c r="E16" s="430"/>
      <c r="F16" s="434"/>
      <c r="G16" s="432"/>
      <c r="H16" s="433">
        <f t="shared" si="19"/>
        <v>0</v>
      </c>
      <c r="I16" s="263"/>
      <c r="J16" s="274" t="s">
        <v>201</v>
      </c>
      <c r="K16" s="256" t="str">
        <f>IF(C8="","",ROUND(BJ139,1))</f>
        <v/>
      </c>
      <c r="L16" s="256" t="str">
        <f>IFERROR(K16*6,"")</f>
        <v/>
      </c>
      <c r="M16" s="288">
        <f>BD24</f>
        <v>0</v>
      </c>
      <c r="N16" s="264" t="str">
        <f t="shared" si="12"/>
        <v/>
      </c>
      <c r="O16" s="284" t="str">
        <f t="shared" si="13"/>
        <v/>
      </c>
      <c r="P16" s="284" t="str">
        <f t="shared" si="14"/>
        <v/>
      </c>
      <c r="Q16" s="263"/>
      <c r="R16" s="277" t="str">
        <f t="shared" si="20"/>
        <v/>
      </c>
      <c r="S16" s="280" t="str">
        <f t="shared" si="21"/>
        <v/>
      </c>
      <c r="T16" s="280" t="str">
        <f>IF(S16="","",IFERROR(S16*(VLOOKUP(R16,'Formulação de suplemento'!$B$56:$W$68,2,)),0))</f>
        <v/>
      </c>
      <c r="U16" s="237" t="str">
        <f t="shared" si="1"/>
        <v/>
      </c>
      <c r="V16" s="237" t="str">
        <f t="shared" si="2"/>
        <v/>
      </c>
      <c r="W16" s="441" t="str">
        <f t="shared" si="11"/>
        <v/>
      </c>
      <c r="X16" s="441" t="str">
        <f t="shared" si="3"/>
        <v/>
      </c>
      <c r="Y16" s="263"/>
      <c r="Z16" s="465" t="s">
        <v>661</v>
      </c>
      <c r="AB16" s="426" t="str">
        <f>IFERROR(30/C9,"")</f>
        <v/>
      </c>
      <c r="AC16" s="263"/>
      <c r="AD16" s="272"/>
      <c r="AE16" s="324"/>
      <c r="AF16" s="451" t="str">
        <f>IFERROR(VLOOKUP(R16,'Formulação de suplemento'!$B$56:$W$68,22,0)*T16,"")</f>
        <v/>
      </c>
      <c r="AG16" s="263"/>
      <c r="AH16" s="454" t="str">
        <f>IFERROR(VLOOKUP(E17,'Formulação de suplemento'!$B$57:$C$68,2,0)*F17,"")</f>
        <v/>
      </c>
      <c r="AI16" s="263"/>
      <c r="AJ16" s="263"/>
      <c r="AK16" s="263"/>
      <c r="AL16" s="263"/>
      <c r="AM16" s="263"/>
      <c r="AN16" s="267"/>
      <c r="AV16" s="286">
        <f>IFERROR($T13*(VLOOKUP($R13,'Formulação de suplemento'!$B$42:$W$54,AV$7,0)),0)</f>
        <v>0</v>
      </c>
      <c r="AW16" s="286">
        <f>IFERROR($T13*(VLOOKUP($R13,'Formulação de suplemento'!$B$42:$W$54,AW$7,0)),0)</f>
        <v>0</v>
      </c>
      <c r="AX16" s="286">
        <f>IFERROR($T13*(VLOOKUP($R13,'Formulação de suplemento'!$B$42:$W$54,AX$7,0)*1000),0)</f>
        <v>0</v>
      </c>
      <c r="AY16" s="286">
        <f>IFERROR($T13*(VLOOKUP($R13,'Formulação de suplemento'!$B$42:$W$54,AY$7,0)*1000),0)</f>
        <v>0</v>
      </c>
      <c r="AZ16" s="286">
        <f>IFERROR($T13*(VLOOKUP($R13,'Formulação de suplemento'!$B$42:$W$54,AZ$7,0)),0)</f>
        <v>0</v>
      </c>
      <c r="BA16" s="286">
        <f>IFERROR($T13*(VLOOKUP($R13,'Formulação de suplemento'!$B$42:$W$54,BA$7,0)),0)</f>
        <v>0</v>
      </c>
      <c r="BB16" s="286">
        <f>IFERROR($T13*(VLOOKUP($R13,'Formulação de suplemento'!$B$42:$W$54,BB$7,0)*1000),0)</f>
        <v>0</v>
      </c>
      <c r="BC16" s="286">
        <f>IFERROR($T13*(VLOOKUP($R13,'Formulação de suplemento'!$B$42:$W$54,BC$7,0)*1000),0)</f>
        <v>0</v>
      </c>
      <c r="BD16" s="286">
        <f>IFERROR($T13*(VLOOKUP($R13,'Formulação de suplemento'!$B$42:$W$54,BD$7,0)*1000),0)</f>
        <v>0</v>
      </c>
      <c r="BE16" s="286">
        <f>IFERROR($T13*(VLOOKUP($R13,'Formulação de suplemento'!$B$42:$W$54,BE$7,0)*1000),0)</f>
        <v>0</v>
      </c>
      <c r="BF16" s="286">
        <f>IFERROR($T13*(VLOOKUP($R13,'Formulação de suplemento'!$B$42:$W$54,BF$7,0)*1000),0)</f>
        <v>0</v>
      </c>
      <c r="BG16" s="286">
        <f>IFERROR($T13*(VLOOKUP($R13,'Formulação de suplemento'!$B$42:$W$54,BG$7,0)),0)</f>
        <v>0</v>
      </c>
      <c r="BH16" s="286">
        <f>IFERROR($T13*(VLOOKUP($R13,'Formulação de suplemento'!$B$42:$W$54,BH$7,0)),0)</f>
        <v>0</v>
      </c>
      <c r="BI16" s="286">
        <f>IFERROR($T13*(VLOOKUP($R13,'Formulação de suplemento'!$B$42:$W$54,BI$7,0)),0)</f>
        <v>0</v>
      </c>
      <c r="BJ16" s="286">
        <f>IFERROR($T13*(VLOOKUP($R13,'Formulação de suplemento'!$B$42:$W$54,BJ$7,0)),0)</f>
        <v>0</v>
      </c>
      <c r="BK16" s="286">
        <f>IFERROR($T13*(VLOOKUP($R13,'Formulação de suplemento'!$B$42:$W$54,BK$7,0)),0)</f>
        <v>0</v>
      </c>
      <c r="BL16" s="286">
        <f>IFERROR($T13*(VLOOKUP($R13,'Formulação de suplemento'!$B$42:$W$54,BL$7,0)),0)</f>
        <v>0</v>
      </c>
      <c r="BM16" s="286">
        <f>IFERROR($T13*(VLOOKUP($R13,'Formulação de suplemento'!$B$42:$W$54,BM$7,0)),0)</f>
        <v>0</v>
      </c>
      <c r="BR16" s="262"/>
      <c r="FD16" t="s">
        <v>60</v>
      </c>
      <c r="FE16" t="s">
        <v>457</v>
      </c>
      <c r="FF16" t="s">
        <v>645</v>
      </c>
      <c r="FG16">
        <v>13.15</v>
      </c>
      <c r="FH16">
        <v>13.15</v>
      </c>
      <c r="FI16">
        <v>39.450000000000003</v>
      </c>
      <c r="FJ16" s="413">
        <f t="shared" si="15"/>
        <v>3</v>
      </c>
      <c r="FN16" t="s">
        <v>60</v>
      </c>
      <c r="FO16" t="s">
        <v>457</v>
      </c>
      <c r="FP16" t="s">
        <v>645</v>
      </c>
      <c r="FQ16">
        <v>18.25</v>
      </c>
      <c r="FR16">
        <v>18.25</v>
      </c>
      <c r="FS16">
        <v>54.74</v>
      </c>
      <c r="FT16" s="413">
        <f t="shared" si="16"/>
        <v>2.9994520547945207</v>
      </c>
      <c r="FW16" t="s">
        <v>60</v>
      </c>
      <c r="FX16" t="s">
        <v>457</v>
      </c>
      <c r="FY16" t="s">
        <v>645</v>
      </c>
      <c r="FZ16">
        <v>18.260000000000002</v>
      </c>
      <c r="GA16">
        <v>18.260000000000002</v>
      </c>
      <c r="GB16">
        <v>54.78</v>
      </c>
      <c r="GC16" s="413">
        <f t="shared" si="17"/>
        <v>3</v>
      </c>
      <c r="GO16" t="s">
        <v>705</v>
      </c>
      <c r="GP16" t="s">
        <v>706</v>
      </c>
      <c r="GQ16">
        <v>87.99</v>
      </c>
      <c r="GR16">
        <v>1.22</v>
      </c>
      <c r="GS16">
        <v>4.1900000000000004</v>
      </c>
      <c r="GT16">
        <v>54.11</v>
      </c>
      <c r="GU16">
        <v>77.52</v>
      </c>
      <c r="GV16">
        <v>0.33</v>
      </c>
      <c r="GW16">
        <v>0.11</v>
      </c>
      <c r="GX16">
        <v>0.21</v>
      </c>
      <c r="GY16">
        <v>0.88</v>
      </c>
      <c r="GZ16">
        <v>0.03</v>
      </c>
    </row>
    <row r="17" spans="1:214" x14ac:dyDescent="0.25">
      <c r="A17" s="267"/>
      <c r="B17" s="190" t="s">
        <v>75</v>
      </c>
      <c r="C17" s="234"/>
      <c r="D17" s="34"/>
      <c r="E17" s="430"/>
      <c r="F17" s="434"/>
      <c r="G17" s="432"/>
      <c r="H17" s="433">
        <f t="shared" si="19"/>
        <v>0</v>
      </c>
      <c r="I17" s="263"/>
      <c r="J17" s="274" t="s">
        <v>202</v>
      </c>
      <c r="K17" s="256" t="str">
        <f>IF(C8="","",ROUND(BJ152,1))</f>
        <v/>
      </c>
      <c r="L17" s="256" t="str">
        <f>IFERROR(K17*3,"")</f>
        <v/>
      </c>
      <c r="M17" s="288">
        <f>BF24</f>
        <v>0</v>
      </c>
      <c r="N17" s="264" t="str">
        <f t="shared" si="12"/>
        <v/>
      </c>
      <c r="O17" s="284" t="str">
        <f t="shared" si="13"/>
        <v/>
      </c>
      <c r="P17" s="284" t="str">
        <f t="shared" si="14"/>
        <v/>
      </c>
      <c r="Q17" s="263"/>
      <c r="R17" s="277" t="str">
        <f t="shared" si="20"/>
        <v/>
      </c>
      <c r="S17" s="280" t="str">
        <f t="shared" si="21"/>
        <v/>
      </c>
      <c r="T17" s="280" t="str">
        <f>IF(S17="","",IFERROR(S17*(VLOOKUP(R17,'Formulação de suplemento'!$B$56:$W$68,2,)),0))</f>
        <v/>
      </c>
      <c r="U17" s="237" t="str">
        <f t="shared" si="1"/>
        <v/>
      </c>
      <c r="V17" s="237" t="str">
        <f t="shared" si="2"/>
        <v/>
      </c>
      <c r="W17" s="441" t="str">
        <f t="shared" si="11"/>
        <v/>
      </c>
      <c r="X17" s="441" t="str">
        <f t="shared" si="3"/>
        <v/>
      </c>
      <c r="Y17" s="263"/>
      <c r="Z17" s="424" t="s">
        <v>663</v>
      </c>
      <c r="AB17" s="287">
        <f>(C9/30)*C17</f>
        <v>0</v>
      </c>
      <c r="AC17" s="263"/>
      <c r="AD17" s="295"/>
      <c r="AE17" s="450"/>
      <c r="AF17" s="451" t="str">
        <f>IFERROR(VLOOKUP(R17,'Formulação de suplemento'!$B$56:$W$68,22,0)*T17,"")</f>
        <v/>
      </c>
      <c r="AG17" s="263"/>
      <c r="AH17" s="454" t="str">
        <f>IFERROR(VLOOKUP(E18,'Formulação de suplemento'!$B$57:$C$68,2,0)*F18,"")</f>
        <v/>
      </c>
      <c r="AI17" s="263"/>
      <c r="AJ17" s="263"/>
      <c r="AK17" s="263"/>
      <c r="AL17" s="263"/>
      <c r="AM17" s="263"/>
      <c r="AN17" s="267"/>
      <c r="AV17" s="286"/>
      <c r="AW17" s="286"/>
      <c r="AX17" s="286"/>
      <c r="AY17" s="286"/>
      <c r="AZ17" s="286"/>
      <c r="BA17" s="286"/>
      <c r="BB17" s="286"/>
      <c r="BC17" s="286"/>
      <c r="BD17" s="286"/>
      <c r="BE17" s="286"/>
      <c r="BF17" s="286"/>
      <c r="BG17" s="286"/>
      <c r="BH17" s="286"/>
      <c r="BI17" s="286"/>
      <c r="BJ17" s="286"/>
      <c r="BK17" s="286"/>
      <c r="BL17" s="286"/>
      <c r="BM17" s="286"/>
      <c r="BR17" s="262"/>
      <c r="FD17" t="s">
        <v>533</v>
      </c>
      <c r="FE17" t="s">
        <v>454</v>
      </c>
      <c r="FF17" t="s">
        <v>645</v>
      </c>
      <c r="FG17">
        <v>8.07</v>
      </c>
      <c r="FH17">
        <v>8.07</v>
      </c>
      <c r="FI17">
        <v>48.39</v>
      </c>
      <c r="FJ17" s="413">
        <f t="shared" si="15"/>
        <v>5.996282527881041</v>
      </c>
      <c r="FN17" t="s">
        <v>533</v>
      </c>
      <c r="FO17" t="s">
        <v>454</v>
      </c>
      <c r="FP17" t="s">
        <v>645</v>
      </c>
      <c r="FQ17">
        <v>7.87</v>
      </c>
      <c r="FR17">
        <v>7.87</v>
      </c>
      <c r="FS17">
        <v>47.24</v>
      </c>
      <c r="FT17" s="413">
        <f t="shared" si="16"/>
        <v>6.0025412960609916</v>
      </c>
      <c r="FW17" t="s">
        <v>533</v>
      </c>
      <c r="FX17" t="s">
        <v>454</v>
      </c>
      <c r="FY17" t="s">
        <v>645</v>
      </c>
      <c r="FZ17">
        <v>7.85</v>
      </c>
      <c r="GA17">
        <v>7.85</v>
      </c>
      <c r="GB17">
        <v>47.1</v>
      </c>
      <c r="GC17" s="413">
        <f t="shared" si="17"/>
        <v>6.0000000000000009</v>
      </c>
      <c r="GO17" t="s">
        <v>707</v>
      </c>
      <c r="GP17" t="s">
        <v>708</v>
      </c>
      <c r="GQ17">
        <v>25.68</v>
      </c>
      <c r="GR17">
        <v>1.7</v>
      </c>
      <c r="GS17">
        <v>3.47</v>
      </c>
      <c r="GT17">
        <v>58.75</v>
      </c>
      <c r="GU17">
        <v>62.02</v>
      </c>
      <c r="GV17">
        <v>0.3</v>
      </c>
      <c r="GW17">
        <v>0.05</v>
      </c>
    </row>
    <row r="18" spans="1:214" ht="18.75" customHeight="1" x14ac:dyDescent="0.25">
      <c r="A18" s="267"/>
      <c r="B18" s="190" t="s">
        <v>176</v>
      </c>
      <c r="C18" s="235"/>
      <c r="D18" s="34"/>
      <c r="E18" s="430"/>
      <c r="F18" s="434"/>
      <c r="G18" s="432"/>
      <c r="H18" s="433">
        <f t="shared" si="19"/>
        <v>0</v>
      </c>
      <c r="I18" s="263"/>
      <c r="J18" s="274" t="s">
        <v>204</v>
      </c>
      <c r="K18" s="257" t="str">
        <f>IF(C8="","",ROUND(BJ164,0))</f>
        <v/>
      </c>
      <c r="L18" s="257" t="str">
        <f>IFERROR(K18*20,"")</f>
        <v/>
      </c>
      <c r="M18" s="296">
        <f>BL24</f>
        <v>0</v>
      </c>
      <c r="N18" s="264" t="str">
        <f t="shared" si="12"/>
        <v/>
      </c>
      <c r="O18" s="297" t="str">
        <f>IF(M18=0,"",(M18/1000000)/$T$21)</f>
        <v/>
      </c>
      <c r="P18" s="297" t="str">
        <f>IF(M18=0,"",(K18/1000000)/T$21)</f>
        <v/>
      </c>
      <c r="Q18" s="263"/>
      <c r="R18" s="277" t="str">
        <f t="shared" si="20"/>
        <v/>
      </c>
      <c r="S18" s="280" t="str">
        <f t="shared" si="21"/>
        <v/>
      </c>
      <c r="T18" s="280" t="str">
        <f>IF(S18="","",IFERROR(S18*(VLOOKUP(R18,'Formulação de suplemento'!$B$56:$W$68,2,)),0))</f>
        <v/>
      </c>
      <c r="U18" s="237" t="str">
        <f t="shared" si="1"/>
        <v/>
      </c>
      <c r="V18" s="237" t="str">
        <f t="shared" si="2"/>
        <v/>
      </c>
      <c r="W18" s="441" t="str">
        <f t="shared" si="11"/>
        <v/>
      </c>
      <c r="X18" s="441" t="str">
        <f t="shared" si="3"/>
        <v/>
      </c>
      <c r="Y18" s="263"/>
      <c r="Z18" s="424" t="s">
        <v>664</v>
      </c>
      <c r="AB18" s="287" t="str">
        <f>IFERROR(AB17-AB11,"")</f>
        <v/>
      </c>
      <c r="AC18" s="263"/>
      <c r="AD18" s="263"/>
      <c r="AE18" s="263"/>
      <c r="AF18" s="451" t="str">
        <f>IFERROR(VLOOKUP(R18,'Formulação de suplemento'!$B$56:$W$68,22,0)*T18,"")</f>
        <v/>
      </c>
      <c r="AG18" s="263"/>
      <c r="AH18" s="454" t="str">
        <f>IFERROR(VLOOKUP(E19,'Formulação de suplemento'!$B$57:$C$68,2,0)*F19,"")</f>
        <v/>
      </c>
      <c r="AI18" s="263"/>
      <c r="AJ18" s="263"/>
      <c r="AK18" s="263"/>
      <c r="AL18" s="263"/>
      <c r="AM18" s="263"/>
      <c r="AN18" s="267"/>
      <c r="AV18" s="286">
        <f>IFERROR($T14*(VLOOKUP($R14,'Formulação de suplemento'!$B$56:$W$68,AV$7,0))/1000,0)</f>
        <v>0</v>
      </c>
      <c r="AW18" s="286">
        <f>IFERROR($T14*(VLOOKUP($R14,'Formulação de suplemento'!$B$56:$W$68,AW$7,0))/1000,0)</f>
        <v>0</v>
      </c>
      <c r="AX18" s="286">
        <f>IFERROR($T14*(VLOOKUP($R14,'Formulação de suplemento'!$B$56:$W$68,AX$7,0)),0)</f>
        <v>0</v>
      </c>
      <c r="AY18" s="286">
        <f>IFERROR($T14*(VLOOKUP($R14,'Formulação de suplemento'!$B$56:$W$68,AY$7,0)),0)</f>
        <v>0</v>
      </c>
      <c r="AZ18" s="286">
        <f>IFERROR($T14*(VLOOKUP($R14,'Formulação de suplemento'!$B$56:$W$68,AZ$7,0)),0)</f>
        <v>0</v>
      </c>
      <c r="BA18" s="286">
        <f>IFERROR($T14*(VLOOKUP($R14,'Formulação de suplemento'!$B$56:$W$68,BA$7,0)),0)</f>
        <v>0</v>
      </c>
      <c r="BB18" s="286">
        <f>IFERROR($T14*(VLOOKUP($R14,'Formulação de suplemento'!$B$56:$W$68,BB$7,0)),0)</f>
        <v>0</v>
      </c>
      <c r="BC18" s="286">
        <f>IFERROR($T14*(VLOOKUP($R14,'Formulação de suplemento'!$B$56:$W$68,BC$7,0)),0)</f>
        <v>0</v>
      </c>
      <c r="BD18" s="286">
        <f>IFERROR($T14*(VLOOKUP($R14,'Formulação de suplemento'!$B$56:$W$68,BD$7,0)),0)</f>
        <v>0</v>
      </c>
      <c r="BE18" s="286">
        <f>IFERROR($T14*(VLOOKUP($R14,'Formulação de suplemento'!$B$56:$W$68,BE$7,0)),0)</f>
        <v>0</v>
      </c>
      <c r="BF18" s="286">
        <f>IFERROR($T14*(VLOOKUP($R14,'Formulação de suplemento'!$B$56:$W$68,BF$7,0)),0)</f>
        <v>0</v>
      </c>
      <c r="BG18" s="286">
        <f>IFERROR($T14*(VLOOKUP($R14,'Formulação de suplemento'!$B$56:$W$68,BG$7,0)),0)</f>
        <v>0</v>
      </c>
      <c r="BH18" s="286">
        <f>IFERROR($T14*(VLOOKUP($R14,'Formulação de suplemento'!$B$56:$W$68,BH$7,0)),0)</f>
        <v>0</v>
      </c>
      <c r="BI18" s="286">
        <f>IFERROR($T14*(VLOOKUP($R14,'Formulação de suplemento'!$B$56:$W$68,BI$7,0)),0)</f>
        <v>0</v>
      </c>
      <c r="BJ18" s="286">
        <f>IFERROR($T14*(VLOOKUP($R14,'Formulação de suplemento'!$B$56:$W$68,BJ$7,0)),0)</f>
        <v>0</v>
      </c>
      <c r="BK18" s="286">
        <f>IFERROR($T14*(VLOOKUP($R14,'Formulação de suplemento'!$B$56:$W$68,BK$7,0)),0)</f>
        <v>0</v>
      </c>
      <c r="BL18" s="286">
        <f>IFERROR($T14*(VLOOKUP($R14,'Formulação de suplemento'!$B$56:$W$68,BL$7,0)),0)</f>
        <v>0</v>
      </c>
      <c r="BM18" s="286">
        <f>IFERROR($T14*(VLOOKUP($R14,'Formulação de suplemento'!$B$56:$W$68,BM$7,0)),0)</f>
        <v>0</v>
      </c>
      <c r="BR18" s="262"/>
      <c r="FD18" t="s">
        <v>544</v>
      </c>
      <c r="FE18" t="s">
        <v>459</v>
      </c>
      <c r="FF18" t="s">
        <v>645</v>
      </c>
      <c r="FG18">
        <v>6.63</v>
      </c>
      <c r="FH18">
        <v>6.63</v>
      </c>
      <c r="FI18">
        <v>19.899999999999999</v>
      </c>
      <c r="FJ18" s="413">
        <f t="shared" si="15"/>
        <v>3.0015082956259427</v>
      </c>
      <c r="FN18" t="s">
        <v>544</v>
      </c>
      <c r="FO18" t="s">
        <v>459</v>
      </c>
      <c r="FP18" t="s">
        <v>645</v>
      </c>
      <c r="FQ18">
        <v>9.09</v>
      </c>
      <c r="FR18">
        <v>9.09</v>
      </c>
      <c r="FS18">
        <v>27.28</v>
      </c>
      <c r="FT18" s="413">
        <f t="shared" si="16"/>
        <v>3.0011001100110013</v>
      </c>
      <c r="FW18" t="s">
        <v>544</v>
      </c>
      <c r="FX18" t="s">
        <v>459</v>
      </c>
      <c r="FY18" t="s">
        <v>645</v>
      </c>
      <c r="FZ18">
        <v>9.23</v>
      </c>
      <c r="GA18">
        <v>9.23</v>
      </c>
      <c r="GB18">
        <v>27.68</v>
      </c>
      <c r="GC18" s="413">
        <f t="shared" si="17"/>
        <v>2.9989165763813648</v>
      </c>
      <c r="GO18" t="s">
        <v>707</v>
      </c>
      <c r="GP18" t="s">
        <v>709</v>
      </c>
      <c r="GQ18">
        <v>27.53</v>
      </c>
      <c r="GR18">
        <v>2.2200000000000002</v>
      </c>
      <c r="GS18">
        <v>5.52</v>
      </c>
      <c r="GT18">
        <v>52.28</v>
      </c>
      <c r="GU18">
        <v>68.3</v>
      </c>
      <c r="GV18">
        <v>0.31</v>
      </c>
      <c r="GW18">
        <v>0.2</v>
      </c>
      <c r="GX18">
        <v>0.2</v>
      </c>
      <c r="GY18">
        <v>3</v>
      </c>
      <c r="GZ18">
        <v>0.02</v>
      </c>
    </row>
    <row r="19" spans="1:214" ht="17.25" customHeight="1" thickBot="1" x14ac:dyDescent="0.3">
      <c r="A19" s="267"/>
      <c r="B19" s="190" t="s">
        <v>175</v>
      </c>
      <c r="C19" s="423"/>
      <c r="D19" s="34"/>
      <c r="E19" s="430"/>
      <c r="F19" s="434"/>
      <c r="G19" s="432"/>
      <c r="H19" s="433">
        <f t="shared" si="19"/>
        <v>0</v>
      </c>
      <c r="I19" s="263"/>
      <c r="J19" s="274" t="s">
        <v>205</v>
      </c>
      <c r="K19" s="257" t="str">
        <f>IF(C8="","",ROUND(BJ158,0))</f>
        <v/>
      </c>
      <c r="L19" s="257" t="str">
        <f>IFERROR(K19*3,"")</f>
        <v/>
      </c>
      <c r="M19" s="296">
        <f>BG24</f>
        <v>0</v>
      </c>
      <c r="N19" s="264" t="str">
        <f t="shared" si="12"/>
        <v/>
      </c>
      <c r="O19" s="297" t="str">
        <f>IF(M19=0,"",(M19/1000000)/$T$21)</f>
        <v/>
      </c>
      <c r="P19" s="297" t="str">
        <f>IF(M19=0,"",(K19/1000000)/T$21)</f>
        <v/>
      </c>
      <c r="Q19" s="263"/>
      <c r="R19" s="277" t="str">
        <f t="shared" si="20"/>
        <v/>
      </c>
      <c r="S19" s="280" t="str">
        <f t="shared" si="21"/>
        <v/>
      </c>
      <c r="T19" s="280" t="str">
        <f>IF(S19="","",IFERROR(S19*(VLOOKUP(R19,'Formulação de suplemento'!$B$56:$W$68,2,)),0))</f>
        <v/>
      </c>
      <c r="U19" s="237" t="str">
        <f t="shared" ref="U19:U20" si="22">IFERROR(T19/$C$8,"")</f>
        <v/>
      </c>
      <c r="V19" s="237" t="str">
        <f t="shared" ref="V19:V20" si="23">IFERROR(T19/$T$21,"")</f>
        <v/>
      </c>
      <c r="W19" s="441" t="str">
        <f t="shared" si="11"/>
        <v/>
      </c>
      <c r="X19" s="441" t="str">
        <f t="shared" ref="X19:X20" si="24">IFERROR(S19*$C$16*$C$20,"")</f>
        <v/>
      </c>
      <c r="Y19" s="263"/>
      <c r="Z19" s="465" t="s">
        <v>665</v>
      </c>
      <c r="AB19" s="466" t="str">
        <f>IFERROR(AB18*30.4,"")</f>
        <v/>
      </c>
      <c r="AC19" s="263"/>
      <c r="AD19" s="263"/>
      <c r="AE19" s="263"/>
      <c r="AF19" s="453" t="str">
        <f>IFERROR(VLOOKUP(R19,'Formulação de suplemento'!$B$56:$W$68,22,0)*T19,"")</f>
        <v/>
      </c>
      <c r="AG19" s="263"/>
      <c r="AH19" s="454" t="str">
        <f>IFERROR(VLOOKUP(E20,'Formulação de suplemento'!$B$57:$C$68,2,0)*F20,"")</f>
        <v/>
      </c>
      <c r="AI19" s="263"/>
      <c r="AJ19" s="263"/>
      <c r="AK19" s="263"/>
      <c r="AL19" s="263"/>
      <c r="AM19" s="263"/>
      <c r="AN19" s="267"/>
      <c r="AV19" s="286">
        <f>IFERROR($T15*(VLOOKUP($R15,'Formulação de suplemento'!$B$56:$W$68,AV$7,0))/1000,0)</f>
        <v>0</v>
      </c>
      <c r="AW19" s="286">
        <f>IFERROR($T15*(VLOOKUP($R15,'Formulação de suplemento'!$B$56:$W$68,AW$7,0))/1000,0)</f>
        <v>0</v>
      </c>
      <c r="AX19" s="286">
        <f>IFERROR($T15*(VLOOKUP($R15,'Formulação de suplemento'!$B$56:$W$68,AX$7,0)),0)</f>
        <v>0</v>
      </c>
      <c r="AY19" s="286">
        <f>IFERROR($T15*(VLOOKUP($R15,'Formulação de suplemento'!$B$56:$W$68,AY$7,0)),0)</f>
        <v>0</v>
      </c>
      <c r="AZ19" s="286">
        <f>IFERROR($T15*(VLOOKUP($R15,'Formulação de suplemento'!$B$56:$W$68,AZ$7,0)),0)</f>
        <v>0</v>
      </c>
      <c r="BA19" s="286">
        <f>IFERROR($T15*(VLOOKUP($R15,'Formulação de suplemento'!$B$56:$W$68,BA$7,0)),0)</f>
        <v>0</v>
      </c>
      <c r="BB19" s="286">
        <f>IFERROR($T15*(VLOOKUP($R15,'Formulação de suplemento'!$B$56:$W$68,BB$7,0)),0)</f>
        <v>0</v>
      </c>
      <c r="BC19" s="286">
        <f>IFERROR($T15*(VLOOKUP($R15,'Formulação de suplemento'!$B$56:$W$68,BC$7,0)),0)</f>
        <v>0</v>
      </c>
      <c r="BD19" s="286">
        <f>IFERROR($T15*(VLOOKUP($R15,'Formulação de suplemento'!$B$56:$W$68,BD$7,0)),0)</f>
        <v>0</v>
      </c>
      <c r="BE19" s="286">
        <f>IFERROR($T15*(VLOOKUP($R15,'Formulação de suplemento'!$B$56:$W$68,BE$7,0)),0)</f>
        <v>0</v>
      </c>
      <c r="BF19" s="286">
        <f>IFERROR($T15*(VLOOKUP($R15,'Formulação de suplemento'!$B$56:$W$68,BF$7,0)),0)</f>
        <v>0</v>
      </c>
      <c r="BG19" s="286">
        <f>IFERROR($T15*(VLOOKUP($R15,'Formulação de suplemento'!$B$56:$W$68,BG$7,0)),0)</f>
        <v>0</v>
      </c>
      <c r="BH19" s="286">
        <f>IFERROR($T15*(VLOOKUP($R15,'Formulação de suplemento'!$B$56:$W$68,BH$7,0)),0)</f>
        <v>0</v>
      </c>
      <c r="BI19" s="286">
        <f>IFERROR($T15*(VLOOKUP($R15,'Formulação de suplemento'!$B$56:$W$68,BI$7,0)),0)</f>
        <v>0</v>
      </c>
      <c r="BJ19" s="286">
        <f>IFERROR($T15*(VLOOKUP($R15,'Formulação de suplemento'!$B$56:$W$68,BJ$7,0)),0)</f>
        <v>0</v>
      </c>
      <c r="BK19" s="286">
        <f>IFERROR($T15*(VLOOKUP($R15,'Formulação de suplemento'!$B$56:$W$68,BK$7,0)),0)</f>
        <v>0</v>
      </c>
      <c r="BL19" s="286">
        <f>IFERROR($T15*(VLOOKUP($R15,'Formulação de suplemento'!$B$56:$W$68,BL$7,0)),0)</f>
        <v>0</v>
      </c>
      <c r="BM19" s="286">
        <f>IFERROR($T15*(VLOOKUP($R15,'Formulação de suplemento'!$B$56:$W$68,BM$7,0)),0)</f>
        <v>0</v>
      </c>
      <c r="BR19" s="262"/>
      <c r="FD19" t="s">
        <v>554</v>
      </c>
      <c r="FE19" t="s">
        <v>468</v>
      </c>
      <c r="FF19" t="s">
        <v>647</v>
      </c>
      <c r="FG19">
        <v>2.82</v>
      </c>
      <c r="FH19">
        <v>2.82</v>
      </c>
      <c r="FI19">
        <v>56.4</v>
      </c>
      <c r="FJ19" s="413">
        <f t="shared" si="15"/>
        <v>20</v>
      </c>
      <c r="FN19" t="s">
        <v>554</v>
      </c>
      <c r="FO19" t="s">
        <v>468</v>
      </c>
      <c r="FP19" t="s">
        <v>647</v>
      </c>
      <c r="FQ19">
        <v>4.68</v>
      </c>
      <c r="FR19">
        <v>4.68</v>
      </c>
      <c r="FS19">
        <v>93.6</v>
      </c>
      <c r="FT19" s="413">
        <f t="shared" si="16"/>
        <v>20</v>
      </c>
      <c r="FW19" t="s">
        <v>554</v>
      </c>
      <c r="FX19" t="s">
        <v>468</v>
      </c>
      <c r="FY19" t="s">
        <v>647</v>
      </c>
      <c r="FZ19">
        <v>4.68</v>
      </c>
      <c r="GA19">
        <v>4.68</v>
      </c>
      <c r="GB19">
        <v>93.6</v>
      </c>
      <c r="GC19" s="413">
        <f t="shared" si="17"/>
        <v>20</v>
      </c>
      <c r="GO19" t="s">
        <v>707</v>
      </c>
      <c r="GP19" t="s">
        <v>710</v>
      </c>
      <c r="GQ19">
        <v>24.41</v>
      </c>
      <c r="GR19">
        <v>1.71</v>
      </c>
      <c r="GS19">
        <v>7.36</v>
      </c>
      <c r="GT19">
        <v>50.38</v>
      </c>
      <c r="GU19">
        <v>71.489999999999995</v>
      </c>
      <c r="GV19">
        <v>0.44</v>
      </c>
      <c r="GW19">
        <v>0.12</v>
      </c>
    </row>
    <row r="20" spans="1:214" ht="15.75" customHeight="1" thickBot="1" x14ac:dyDescent="0.3">
      <c r="A20" s="267"/>
      <c r="B20" s="190" t="s">
        <v>672</v>
      </c>
      <c r="C20" s="250"/>
      <c r="D20" s="34"/>
      <c r="E20" s="444"/>
      <c r="F20" s="445"/>
      <c r="G20" s="446"/>
      <c r="H20" s="447">
        <f t="shared" si="19"/>
        <v>0</v>
      </c>
      <c r="I20" s="263"/>
      <c r="J20" s="274" t="s">
        <v>206</v>
      </c>
      <c r="K20" s="257" t="str">
        <f>IF(C8="","",ROUND(BJ182,0))</f>
        <v/>
      </c>
      <c r="L20" s="257" t="str">
        <f>IFERROR(K20*3,"")</f>
        <v/>
      </c>
      <c r="M20" s="296">
        <f>BJ24</f>
        <v>0</v>
      </c>
      <c r="N20" s="264" t="str">
        <f t="shared" si="12"/>
        <v/>
      </c>
      <c r="O20" s="297" t="str">
        <f>IF(M20=0,"",(M20/1000000)/$T$21)</f>
        <v/>
      </c>
      <c r="P20" s="297" t="str">
        <f>IF(M20=0,"",(K20/1000000)/T$21)</f>
        <v/>
      </c>
      <c r="Q20" s="263"/>
      <c r="R20" s="299" t="str">
        <f t="shared" si="20"/>
        <v/>
      </c>
      <c r="S20" s="300" t="str">
        <f t="shared" si="21"/>
        <v/>
      </c>
      <c r="T20" s="300" t="str">
        <f>IF(S20="","",IFERROR(S20*(VLOOKUP(R20,'Formulação de suplemento'!$B$56:$W$68,2,)),0))</f>
        <v/>
      </c>
      <c r="U20" s="251" t="str">
        <f t="shared" si="22"/>
        <v/>
      </c>
      <c r="V20" s="251" t="str">
        <f t="shared" si="23"/>
        <v/>
      </c>
      <c r="W20" s="443" t="str">
        <f t="shared" si="11"/>
        <v/>
      </c>
      <c r="X20" s="443" t="str">
        <f t="shared" si="24"/>
        <v/>
      </c>
      <c r="Y20" s="263"/>
      <c r="Z20" s="577" t="s">
        <v>667</v>
      </c>
      <c r="AA20" s="577"/>
      <c r="AB20" s="577"/>
      <c r="AC20" s="263"/>
      <c r="AD20" s="263"/>
      <c r="AE20" s="263"/>
      <c r="AF20" s="453" t="str">
        <f>IFERROR(VLOOKUP(R20,'Formulação de suplemento'!$B$56:$W$68,22,0)*T20,"")</f>
        <v/>
      </c>
      <c r="AG20" s="263"/>
      <c r="AH20" s="455">
        <f>SUM(AH7:AH19)</f>
        <v>0</v>
      </c>
      <c r="AI20" s="263"/>
      <c r="AJ20" s="263"/>
      <c r="AK20" s="263"/>
      <c r="AL20" s="263"/>
      <c r="AM20" s="263"/>
      <c r="AN20" s="267"/>
      <c r="AV20" s="286">
        <f>IFERROR($T16*(VLOOKUP($R16,'Formulação de suplemento'!$B$56:$W$68,AV$7,0))/1000,0)</f>
        <v>0</v>
      </c>
      <c r="AW20" s="286">
        <f>IFERROR($T16*(VLOOKUP($R16,'Formulação de suplemento'!$B$56:$W$68,AW$7,0))/1000,0)</f>
        <v>0</v>
      </c>
      <c r="AX20" s="286">
        <f>IFERROR($T16*(VLOOKUP($R16,'Formulação de suplemento'!$B$56:$W$68,AX$7,0)),0)</f>
        <v>0</v>
      </c>
      <c r="AY20" s="286">
        <f>IFERROR($T16*(VLOOKUP($R16,'Formulação de suplemento'!$B$56:$W$68,AY$7,0)),0)</f>
        <v>0</v>
      </c>
      <c r="AZ20" s="286">
        <f>IFERROR($T16*(VLOOKUP($R16,'Formulação de suplemento'!$B$56:$W$68,AZ$7,0)),0)</f>
        <v>0</v>
      </c>
      <c r="BA20" s="286">
        <f>IFERROR($T16*(VLOOKUP($R16,'Formulação de suplemento'!$B$56:$W$68,BA$7,0)),0)</f>
        <v>0</v>
      </c>
      <c r="BB20" s="286">
        <f>IFERROR($T16*(VLOOKUP($R16,'Formulação de suplemento'!$B$56:$W$68,BB$7,0)),0)</f>
        <v>0</v>
      </c>
      <c r="BC20" s="286">
        <f>IFERROR($T16*(VLOOKUP($R16,'Formulação de suplemento'!$B$56:$W$68,BC$7,0)),0)</f>
        <v>0</v>
      </c>
      <c r="BD20" s="286">
        <f>IFERROR($T16*(VLOOKUP($R16,'Formulação de suplemento'!$B$56:$W$68,BD$7,0)),0)</f>
        <v>0</v>
      </c>
      <c r="BE20" s="286">
        <f>IFERROR($T16*(VLOOKUP($R16,'Formulação de suplemento'!$B$56:$W$68,BE$7,0)),0)</f>
        <v>0</v>
      </c>
      <c r="BF20" s="286">
        <f>IFERROR($T16*(VLOOKUP($R16,'Formulação de suplemento'!$B$56:$W$68,BF$7,0)),0)</f>
        <v>0</v>
      </c>
      <c r="BG20" s="286">
        <f>IFERROR($T16*(VLOOKUP($R16,'Formulação de suplemento'!$B$56:$W$68,BG$7,0)),0)</f>
        <v>0</v>
      </c>
      <c r="BH20" s="286">
        <f>IFERROR($T16*(VLOOKUP($R16,'Formulação de suplemento'!$B$56:$W$68,BH$7,0)),0)</f>
        <v>0</v>
      </c>
      <c r="BI20" s="286">
        <f>IFERROR($T16*(VLOOKUP($R16,'Formulação de suplemento'!$B$56:$W$68,BI$7,0)),0)</f>
        <v>0</v>
      </c>
      <c r="BJ20" s="286">
        <f>IFERROR($T16*(VLOOKUP($R16,'Formulação de suplemento'!$B$56:$W$68,BJ$7,0)),0)</f>
        <v>0</v>
      </c>
      <c r="BK20" s="286">
        <f>IFERROR($T16*(VLOOKUP($R16,'Formulação de suplemento'!$B$56:$W$68,BK$7,0)),0)</f>
        <v>0</v>
      </c>
      <c r="BL20" s="286">
        <f>IFERROR($T16*(VLOOKUP($R16,'Formulação de suplemento'!$B$56:$W$68,BL$7,0)),0)</f>
        <v>0</v>
      </c>
      <c r="BM20" s="286">
        <f>IFERROR($T16*(VLOOKUP($R16,'Formulação de suplemento'!$B$56:$W$68,BM$7,0)),0)</f>
        <v>0</v>
      </c>
      <c r="BR20" s="262"/>
      <c r="FD20" t="s">
        <v>549</v>
      </c>
      <c r="FE20" t="s">
        <v>464</v>
      </c>
      <c r="FF20" t="s">
        <v>647</v>
      </c>
      <c r="FG20">
        <v>34.58</v>
      </c>
      <c r="FH20">
        <v>34.58</v>
      </c>
      <c r="FI20">
        <v>103.73</v>
      </c>
      <c r="FJ20" s="413">
        <f t="shared" si="15"/>
        <v>2.9997108155002894</v>
      </c>
      <c r="FN20" t="s">
        <v>549</v>
      </c>
      <c r="FO20" t="s">
        <v>464</v>
      </c>
      <c r="FP20" t="s">
        <v>647</v>
      </c>
      <c r="FQ20">
        <v>49.13</v>
      </c>
      <c r="FR20">
        <v>49.13</v>
      </c>
      <c r="FS20">
        <v>147.38</v>
      </c>
      <c r="FT20" s="413">
        <f t="shared" si="16"/>
        <v>2.9997964583757377</v>
      </c>
      <c r="FW20" t="s">
        <v>549</v>
      </c>
      <c r="FX20" t="s">
        <v>464</v>
      </c>
      <c r="FY20" t="s">
        <v>647</v>
      </c>
      <c r="FZ20">
        <v>49.22</v>
      </c>
      <c r="GA20">
        <v>49.22</v>
      </c>
      <c r="GB20">
        <v>147.66999999999999</v>
      </c>
      <c r="GC20" s="413">
        <f t="shared" si="17"/>
        <v>3.0002031694433153</v>
      </c>
      <c r="GO20" t="s">
        <v>707</v>
      </c>
      <c r="GP20" t="s">
        <v>711</v>
      </c>
      <c r="GQ20">
        <v>31.02</v>
      </c>
      <c r="GR20">
        <v>2.77</v>
      </c>
      <c r="GS20">
        <v>7.12</v>
      </c>
      <c r="GT20">
        <v>64.86</v>
      </c>
      <c r="GU20">
        <v>47.51</v>
      </c>
      <c r="GV20">
        <v>0.28000000000000003</v>
      </c>
      <c r="GW20">
        <v>0.19</v>
      </c>
      <c r="GX20">
        <v>0.14000000000000001</v>
      </c>
      <c r="GY20">
        <v>0.96</v>
      </c>
      <c r="GZ20">
        <v>0.04</v>
      </c>
      <c r="HA20">
        <v>0.08</v>
      </c>
      <c r="HB20">
        <v>0.2</v>
      </c>
      <c r="HC20">
        <v>5.6</v>
      </c>
      <c r="HD20">
        <v>26.07</v>
      </c>
      <c r="HE20">
        <v>0.03</v>
      </c>
      <c r="HF20">
        <v>19.41</v>
      </c>
    </row>
    <row r="21" spans="1:214" ht="15.75" thickBot="1" x14ac:dyDescent="0.3">
      <c r="A21" s="267"/>
      <c r="B21" s="290" t="s">
        <v>652</v>
      </c>
      <c r="C21" s="238"/>
      <c r="D21" s="34"/>
      <c r="E21" s="435" t="s">
        <v>42</v>
      </c>
      <c r="F21" s="588">
        <f>SUM(F7:F20)</f>
        <v>0</v>
      </c>
      <c r="G21" s="588"/>
      <c r="H21" s="436">
        <f>SUM(H7:H20)</f>
        <v>0</v>
      </c>
      <c r="I21" s="263"/>
      <c r="J21" s="274" t="s">
        <v>207</v>
      </c>
      <c r="K21" s="257" t="str">
        <f>IF(C8="","",ROUND(BJ194,0))</f>
        <v/>
      </c>
      <c r="L21" s="257" t="str">
        <f>IFERROR(K21*20,"")</f>
        <v/>
      </c>
      <c r="M21" s="296">
        <f>BM24</f>
        <v>0</v>
      </c>
      <c r="N21" s="264" t="str">
        <f t="shared" si="12"/>
        <v/>
      </c>
      <c r="O21" s="297" t="str">
        <f>IF(M21=0,"",(M21/1000000)/$T$21)</f>
        <v/>
      </c>
      <c r="P21" s="297" t="str">
        <f>IF(M21=0,"",(K21/1000000)/T$21)</f>
        <v/>
      </c>
      <c r="Q21" s="263"/>
      <c r="R21" s="301" t="s">
        <v>42</v>
      </c>
      <c r="S21" s="302">
        <f t="shared" ref="S21:X21" si="25">SUM(S7:S19)</f>
        <v>0</v>
      </c>
      <c r="T21" s="302">
        <f t="shared" si="25"/>
        <v>0</v>
      </c>
      <c r="U21" s="252">
        <f t="shared" si="25"/>
        <v>0</v>
      </c>
      <c r="V21" s="253">
        <f t="shared" si="25"/>
        <v>0</v>
      </c>
      <c r="W21" s="303">
        <f t="shared" si="25"/>
        <v>0</v>
      </c>
      <c r="X21" s="303">
        <f t="shared" si="25"/>
        <v>0</v>
      </c>
      <c r="Y21" s="263"/>
      <c r="Z21" s="578"/>
      <c r="AA21" s="578"/>
      <c r="AB21" s="578"/>
      <c r="AC21" s="263"/>
      <c r="AD21" s="263"/>
      <c r="AE21" s="263"/>
      <c r="AF21" s="35"/>
      <c r="AG21" s="263"/>
      <c r="AH21" s="263"/>
      <c r="AI21" s="263"/>
      <c r="AJ21" s="263"/>
      <c r="AK21" s="263"/>
      <c r="AL21" s="263"/>
      <c r="AM21" s="263"/>
      <c r="AN21" s="267"/>
      <c r="AV21" s="286">
        <f>IFERROR($T17*(VLOOKUP($R17,'Formulação de suplemento'!$B$56:$W$68,AV$7,0))/1000,0)</f>
        <v>0</v>
      </c>
      <c r="AW21" s="286">
        <f>IFERROR($T17*(VLOOKUP($R17,'Formulação de suplemento'!$B$56:$W$68,AW$7,0))/1000,0)</f>
        <v>0</v>
      </c>
      <c r="AX21" s="286">
        <f>IFERROR($T17*(VLOOKUP($R17,'Formulação de suplemento'!$B$56:$W$68,AX$7,0)),0)</f>
        <v>0</v>
      </c>
      <c r="AY21" s="286">
        <f>IFERROR($T17*(VLOOKUP($R17,'Formulação de suplemento'!$B$56:$W$68,AY$7,0)),0)</f>
        <v>0</v>
      </c>
      <c r="AZ21" s="286">
        <f>IFERROR($T17*(VLOOKUP($R17,'Formulação de suplemento'!$B$56:$W$68,AZ$7,0)),0)</f>
        <v>0</v>
      </c>
      <c r="BA21" s="286">
        <f>IFERROR($T17*(VLOOKUP($R17,'Formulação de suplemento'!$B$56:$W$68,BA$7,0)),0)</f>
        <v>0</v>
      </c>
      <c r="BB21" s="286">
        <f>IFERROR($T17*(VLOOKUP($R17,'Formulação de suplemento'!$B$56:$W$68,BB$7,0)),0)</f>
        <v>0</v>
      </c>
      <c r="BC21" s="286">
        <f>IFERROR($T17*(VLOOKUP($R17,'Formulação de suplemento'!$B$56:$W$68,BC$7,0)),0)</f>
        <v>0</v>
      </c>
      <c r="BD21" s="286">
        <f>IFERROR($T17*(VLOOKUP($R17,'Formulação de suplemento'!$B$56:$W$68,BD$7,0)),0)</f>
        <v>0</v>
      </c>
      <c r="BE21" s="286">
        <f>IFERROR($T17*(VLOOKUP($R17,'Formulação de suplemento'!$B$56:$W$68,BE$7,0)),0)</f>
        <v>0</v>
      </c>
      <c r="BF21" s="286">
        <f>IFERROR($T17*(VLOOKUP($R17,'Formulação de suplemento'!$B$56:$W$68,BF$7,0)),0)</f>
        <v>0</v>
      </c>
      <c r="BG21" s="286">
        <f>IFERROR($T17*(VLOOKUP($R17,'Formulação de suplemento'!$B$56:$W$68,BG$7,0)),0)</f>
        <v>0</v>
      </c>
      <c r="BH21" s="286">
        <f>IFERROR($T17*(VLOOKUP($R17,'Formulação de suplemento'!$B$56:$W$68,BH$7,0)),0)</f>
        <v>0</v>
      </c>
      <c r="BI21" s="286">
        <f>IFERROR($T17*(VLOOKUP($R17,'Formulação de suplemento'!$B$56:$W$68,BI$7,0)),0)</f>
        <v>0</v>
      </c>
      <c r="BJ21" s="286">
        <f>IFERROR($T17*(VLOOKUP($R17,'Formulação de suplemento'!$B$56:$W$68,BJ$7,0)),0)</f>
        <v>0</v>
      </c>
      <c r="BK21" s="286">
        <f>IFERROR($T17*(VLOOKUP($R17,'Formulação de suplemento'!$B$56:$W$68,BK$7,0)),0)</f>
        <v>0</v>
      </c>
      <c r="BL21" s="286">
        <f>IFERROR($T17*(VLOOKUP($R17,'Formulação de suplemento'!$B$56:$W$68,BL$7,0)),0)</f>
        <v>0</v>
      </c>
      <c r="BM21" s="286">
        <f>IFERROR($T17*(VLOOKUP($R17,'Formulação de suplemento'!$B$56:$W$68,BM$7,0)),0)</f>
        <v>0</v>
      </c>
      <c r="BR21" s="262"/>
      <c r="FD21" t="s">
        <v>648</v>
      </c>
      <c r="FE21" t="s">
        <v>649</v>
      </c>
      <c r="FF21" t="s">
        <v>647</v>
      </c>
      <c r="FG21">
        <v>2.75</v>
      </c>
      <c r="FH21">
        <v>2.75</v>
      </c>
      <c r="FI21">
        <v>55.03</v>
      </c>
      <c r="FJ21" s="413">
        <f t="shared" si="15"/>
        <v>20.010909090909092</v>
      </c>
      <c r="FN21" t="s">
        <v>648</v>
      </c>
      <c r="FO21" t="s">
        <v>649</v>
      </c>
      <c r="FP21" t="s">
        <v>647</v>
      </c>
      <c r="FQ21">
        <v>3.42</v>
      </c>
      <c r="FR21">
        <v>3.42</v>
      </c>
      <c r="FS21">
        <v>68.45</v>
      </c>
      <c r="FT21" s="413">
        <f t="shared" si="16"/>
        <v>20.014619883040936</v>
      </c>
      <c r="FW21" t="s">
        <v>648</v>
      </c>
      <c r="FX21" t="s">
        <v>649</v>
      </c>
      <c r="FY21" t="s">
        <v>647</v>
      </c>
      <c r="FZ21">
        <v>3.42</v>
      </c>
      <c r="GA21">
        <v>3.42</v>
      </c>
      <c r="GB21">
        <v>68.45</v>
      </c>
      <c r="GC21" s="413">
        <f t="shared" si="17"/>
        <v>20.014619883040936</v>
      </c>
      <c r="GO21" t="s">
        <v>707</v>
      </c>
      <c r="GP21" t="s">
        <v>712</v>
      </c>
      <c r="GQ21">
        <v>21.3</v>
      </c>
      <c r="GR21">
        <v>1.36</v>
      </c>
      <c r="GS21">
        <v>6.39</v>
      </c>
      <c r="GT21">
        <v>53.43</v>
      </c>
      <c r="GU21">
        <v>65.900000000000006</v>
      </c>
    </row>
    <row r="22" spans="1:214" ht="15.75" customHeight="1" thickBot="1" x14ac:dyDescent="0.3">
      <c r="A22" s="267"/>
      <c r="B22" s="34"/>
      <c r="C22" s="34"/>
      <c r="D22" s="34"/>
      <c r="E22" s="304"/>
      <c r="F22" s="304"/>
      <c r="G22" s="304"/>
      <c r="H22" s="304"/>
      <c r="I22" s="263"/>
      <c r="J22" s="274" t="s">
        <v>208</v>
      </c>
      <c r="K22" s="257" t="str">
        <f>IF(C8="","",ROUND(BJ200,0))</f>
        <v/>
      </c>
      <c r="L22" s="257" t="str">
        <f>IFERROR(K22*3,"")</f>
        <v/>
      </c>
      <c r="M22" s="296">
        <f>BH24</f>
        <v>0</v>
      </c>
      <c r="N22" s="264" t="str">
        <f t="shared" si="12"/>
        <v/>
      </c>
      <c r="O22" s="297" t="str">
        <f>IF(M22=0,"",(M22/1000000)/$T$21)</f>
        <v/>
      </c>
      <c r="P22" s="297" t="str">
        <f>IF(M22=0,"",(K22/1000000)/T$21)</f>
        <v/>
      </c>
      <c r="Q22" s="263"/>
      <c r="R22" s="586" t="str">
        <f>"*% de concentrado na dieta "&amp;ROUND(SUM(V8:V19)*100,1)&amp;"%."</f>
        <v>*% de concentrado na dieta 0%.</v>
      </c>
      <c r="S22" s="586"/>
      <c r="T22" s="586"/>
      <c r="U22" s="586"/>
      <c r="V22" s="586"/>
      <c r="W22" s="586"/>
      <c r="X22" s="586"/>
      <c r="Y22" s="305"/>
      <c r="Z22" s="263"/>
      <c r="AA22" s="263"/>
      <c r="AB22" s="263"/>
      <c r="AC22" s="263"/>
      <c r="AD22" s="263"/>
      <c r="AE22" s="263"/>
      <c r="AF22" s="263"/>
      <c r="AG22" s="263"/>
      <c r="AH22" s="263"/>
      <c r="AI22" s="263"/>
      <c r="AJ22" s="263"/>
      <c r="AK22" s="263"/>
      <c r="AL22" s="263"/>
      <c r="AM22" s="263"/>
      <c r="AN22" s="267"/>
      <c r="AV22" s="286">
        <f>IFERROR($T18*(VLOOKUP($R18,'Formulação de suplemento'!$B$56:$W$68,AV$7,0))/1000,0)</f>
        <v>0</v>
      </c>
      <c r="AW22" s="286">
        <f>IFERROR($T18*(VLOOKUP($R18,'Formulação de suplemento'!$B$56:$W$68,AW$7,0))/1000,0)</f>
        <v>0</v>
      </c>
      <c r="AX22" s="286">
        <f>IFERROR($T18*(VLOOKUP($R18,'Formulação de suplemento'!$B$56:$W$68,AX$7,0)),0)</f>
        <v>0</v>
      </c>
      <c r="AY22" s="286">
        <f>IFERROR($T18*(VLOOKUP($R18,'Formulação de suplemento'!$B$56:$W$68,AY$7,0)),0)</f>
        <v>0</v>
      </c>
      <c r="AZ22" s="286">
        <f>IFERROR($T18*(VLOOKUP($R18,'Formulação de suplemento'!$B$56:$W$68,AZ$7,0)),0)</f>
        <v>0</v>
      </c>
      <c r="BA22" s="286">
        <f>IFERROR($T18*(VLOOKUP($R18,'Formulação de suplemento'!$B$56:$W$68,BA$7,0)),0)</f>
        <v>0</v>
      </c>
      <c r="BB22" s="286">
        <f>IFERROR($T18*(VLOOKUP($R18,'Formulação de suplemento'!$B$56:$W$68,BB$7,0)),0)</f>
        <v>0</v>
      </c>
      <c r="BC22" s="286">
        <f>IFERROR($T18*(VLOOKUP($R18,'Formulação de suplemento'!$B$56:$W$68,BC$7,0)),0)</f>
        <v>0</v>
      </c>
      <c r="BD22" s="286">
        <f>IFERROR($T18*(VLOOKUP($R18,'Formulação de suplemento'!$B$56:$W$68,BD$7,0)),0)</f>
        <v>0</v>
      </c>
      <c r="BE22" s="286">
        <f>IFERROR($T18*(VLOOKUP($R18,'Formulação de suplemento'!$B$56:$W$68,BE$7,0)),0)</f>
        <v>0</v>
      </c>
      <c r="BF22" s="286">
        <f>IFERROR($T18*(VLOOKUP($R18,'Formulação de suplemento'!$B$56:$W$68,BF$7,0)),0)</f>
        <v>0</v>
      </c>
      <c r="BG22" s="286">
        <f>IFERROR($T18*(VLOOKUP($R18,'Formulação de suplemento'!$B$56:$W$68,BG$7,0)),0)</f>
        <v>0</v>
      </c>
      <c r="BH22" s="286">
        <f>IFERROR($T18*(VLOOKUP($R18,'Formulação de suplemento'!$B$56:$W$68,BH$7,0)),0)</f>
        <v>0</v>
      </c>
      <c r="BI22" s="286">
        <f>IFERROR($T18*(VLOOKUP($R18,'Formulação de suplemento'!$B$56:$W$68,BI$7,0)),0)</f>
        <v>0</v>
      </c>
      <c r="BJ22" s="286">
        <f>IFERROR($T18*(VLOOKUP($R18,'Formulação de suplemento'!$B$56:$W$68,BJ$7,0)),0)</f>
        <v>0</v>
      </c>
      <c r="BK22" s="286">
        <f>IFERROR($T18*(VLOOKUP($R18,'Formulação de suplemento'!$B$56:$W$68,BK$7,0)),0)</f>
        <v>0</v>
      </c>
      <c r="BL22" s="286">
        <f>IFERROR($T18*(VLOOKUP($R18,'Formulação de suplemento'!$B$56:$W$68,BL$7,0)),0)</f>
        <v>0</v>
      </c>
      <c r="BM22" s="286">
        <f>IFERROR($T18*(VLOOKUP($R18,'Formulação de suplemento'!$B$56:$W$68,BM$7,0)),0)</f>
        <v>0</v>
      </c>
      <c r="BR22" s="262"/>
      <c r="FD22" t="s">
        <v>569</v>
      </c>
      <c r="FE22" t="s">
        <v>479</v>
      </c>
      <c r="FF22" t="s">
        <v>647</v>
      </c>
      <c r="FG22">
        <v>86.84</v>
      </c>
      <c r="FH22">
        <v>86.84</v>
      </c>
      <c r="FI22">
        <v>260.52</v>
      </c>
      <c r="FJ22" s="413">
        <f t="shared" si="15"/>
        <v>2.9999999999999996</v>
      </c>
      <c r="FN22" t="s">
        <v>569</v>
      </c>
      <c r="FO22" t="s">
        <v>479</v>
      </c>
      <c r="FP22" t="s">
        <v>647</v>
      </c>
      <c r="FQ22">
        <v>139.01</v>
      </c>
      <c r="FR22">
        <v>139.01</v>
      </c>
      <c r="FS22">
        <v>417.03</v>
      </c>
      <c r="FT22" s="413">
        <f t="shared" si="16"/>
        <v>3</v>
      </c>
      <c r="FW22" t="s">
        <v>569</v>
      </c>
      <c r="FX22" t="s">
        <v>479</v>
      </c>
      <c r="FY22" t="s">
        <v>647</v>
      </c>
      <c r="FZ22">
        <v>139.31</v>
      </c>
      <c r="GA22">
        <v>139.31</v>
      </c>
      <c r="GB22">
        <v>417.92</v>
      </c>
      <c r="GC22" s="413">
        <f t="shared" si="17"/>
        <v>2.9999282176441033</v>
      </c>
      <c r="GO22" t="s">
        <v>707</v>
      </c>
      <c r="GP22" t="s">
        <v>713</v>
      </c>
      <c r="GQ22">
        <v>29.65</v>
      </c>
      <c r="GR22">
        <v>2.58</v>
      </c>
      <c r="GS22">
        <v>6.45</v>
      </c>
      <c r="GT22">
        <v>61.44</v>
      </c>
      <c r="GU22">
        <v>57.6</v>
      </c>
      <c r="GV22">
        <v>0.32</v>
      </c>
      <c r="GW22">
        <v>0.18</v>
      </c>
      <c r="GX22">
        <v>0.28999999999999998</v>
      </c>
      <c r="GY22">
        <v>1.2</v>
      </c>
      <c r="GZ22">
        <v>0.03</v>
      </c>
    </row>
    <row r="23" spans="1:214" ht="15.75" customHeight="1" thickBot="1" x14ac:dyDescent="0.3">
      <c r="A23" s="267"/>
      <c r="B23" s="34"/>
      <c r="C23" s="34"/>
      <c r="D23" s="34"/>
      <c r="E23" s="290" t="s">
        <v>210</v>
      </c>
      <c r="F23" s="236"/>
      <c r="G23" s="290" t="s">
        <v>212</v>
      </c>
      <c r="H23" s="298">
        <f>F23+H21</f>
        <v>0</v>
      </c>
      <c r="I23" s="263"/>
      <c r="J23" s="306" t="s">
        <v>165</v>
      </c>
      <c r="K23" s="258" t="str">
        <f>IF(C8="","","Não consta")</f>
        <v/>
      </c>
      <c r="L23" s="258" t="str">
        <f>IF(C8="","", M7*0.01*1000)</f>
        <v/>
      </c>
      <c r="M23" s="307">
        <f>IFERROR((SUMIFS(S7:S20,R7:R20,"Ureia")+SUM(AF14:AF20))*1000,0)</f>
        <v>0</v>
      </c>
      <c r="N23" s="510" t="str">
        <f>IF(L23="","",IF(M23&gt;L23,"Reduzir","Ok"))</f>
        <v/>
      </c>
      <c r="O23" s="308" t="str">
        <f>IF(M23=0,"",(M23/1000)/T21)</f>
        <v/>
      </c>
      <c r="P23" s="308" t="str">
        <f>IF(C8="","","Não consta")</f>
        <v/>
      </c>
      <c r="Q23" s="263"/>
      <c r="R23" s="586" t="s">
        <v>662</v>
      </c>
      <c r="S23" s="586"/>
      <c r="T23" s="586"/>
      <c r="U23" s="586"/>
      <c r="V23" s="586"/>
      <c r="W23" s="586"/>
      <c r="X23" s="586"/>
      <c r="Y23" s="305"/>
      <c r="Z23" s="263"/>
      <c r="AA23" s="263"/>
      <c r="AB23" s="263"/>
      <c r="AC23" s="267"/>
      <c r="AD23" s="267"/>
      <c r="AE23" s="263"/>
      <c r="AF23" s="263"/>
      <c r="AG23" s="263"/>
      <c r="AH23" s="263"/>
      <c r="AI23" s="263"/>
      <c r="AJ23" s="263"/>
      <c r="AK23" s="263"/>
      <c r="AL23" s="263"/>
      <c r="AM23" s="263"/>
      <c r="AN23" s="267"/>
      <c r="AV23" s="286">
        <f>IFERROR($T19*(VLOOKUP($R19,'Formulação de suplemento'!$B$56:$W$68,AV$7,0))/1000,0)</f>
        <v>0</v>
      </c>
      <c r="AW23" s="286">
        <f>IFERROR($T19*(VLOOKUP($R19,'Formulação de suplemento'!$B$56:$W$68,AW$7,0))/1000,0)</f>
        <v>0</v>
      </c>
      <c r="AX23" s="286">
        <f>IFERROR($T19*(VLOOKUP($R19,'Formulação de suplemento'!$B$56:$W$68,AX$7,0)),0)</f>
        <v>0</v>
      </c>
      <c r="AY23" s="286">
        <f>IFERROR($T19*(VLOOKUP($R19,'Formulação de suplemento'!$B$56:$W$68,AY$7,0)),0)</f>
        <v>0</v>
      </c>
      <c r="AZ23" s="286">
        <f>IFERROR($T19*(VLOOKUP($R19,'Formulação de suplemento'!$B$56:$W$68,AZ$7,0)),0)</f>
        <v>0</v>
      </c>
      <c r="BA23" s="286">
        <f>IFERROR($T19*(VLOOKUP($R19,'Formulação de suplemento'!$B$56:$W$68,BA$7,0)),0)</f>
        <v>0</v>
      </c>
      <c r="BB23" s="286">
        <f>IFERROR($T19*(VLOOKUP($R19,'Formulação de suplemento'!$B$56:$W$68,BB$7,0)),0)</f>
        <v>0</v>
      </c>
      <c r="BC23" s="286">
        <f>IFERROR($T19*(VLOOKUP($R19,'Formulação de suplemento'!$B$56:$W$68,BC$7,0)),0)</f>
        <v>0</v>
      </c>
      <c r="BD23" s="286">
        <f>IFERROR($T19*(VLOOKUP($R19,'Formulação de suplemento'!$B$56:$W$68,BD$7,0)),0)</f>
        <v>0</v>
      </c>
      <c r="BE23" s="286">
        <f>IFERROR($T19*(VLOOKUP($R19,'Formulação de suplemento'!$B$56:$W$68,BE$7,0)),0)</f>
        <v>0</v>
      </c>
      <c r="BF23" s="286">
        <f>IFERROR($T19*(VLOOKUP($R19,'Formulação de suplemento'!$B$56:$W$68,BF$7,0)),0)</f>
        <v>0</v>
      </c>
      <c r="BG23" s="286">
        <f>IFERROR($T19*(VLOOKUP($R19,'Formulação de suplemento'!$B$56:$W$68,BG$7,0)),0)</f>
        <v>0</v>
      </c>
      <c r="BH23" s="286">
        <f>IFERROR($T19*(VLOOKUP($R19,'Formulação de suplemento'!$B$56:$W$68,BH$7,0)),0)</f>
        <v>0</v>
      </c>
      <c r="BI23" s="286">
        <f>IFERROR($T19*(VLOOKUP($R19,'Formulação de suplemento'!$B$56:$W$68,BI$7,0)),0)</f>
        <v>0</v>
      </c>
      <c r="BJ23" s="286">
        <f>IFERROR($T19*(VLOOKUP($R19,'Formulação de suplemento'!$B$56:$W$68,BJ$7,0)),0)</f>
        <v>0</v>
      </c>
      <c r="BK23" s="286">
        <f>IFERROR($T19*(VLOOKUP($R19,'Formulação de suplemento'!$B$56:$W$68,BK$7,0)),0)</f>
        <v>0</v>
      </c>
      <c r="BL23" s="286">
        <f>IFERROR($T19*(VLOOKUP($R19,'Formulação de suplemento'!$B$56:$W$68,BL$7,0)),0)</f>
        <v>0</v>
      </c>
      <c r="BM23" s="286">
        <f>IFERROR($T19*(VLOOKUP($R19,'Formulação de suplemento'!$B$56:$W$68,BM$7,0)),0)</f>
        <v>0</v>
      </c>
      <c r="BR23" s="262"/>
      <c r="FD23" t="s">
        <v>579</v>
      </c>
      <c r="FE23" t="s">
        <v>484</v>
      </c>
      <c r="FF23" t="s">
        <v>647</v>
      </c>
      <c r="FG23">
        <v>3.32</v>
      </c>
      <c r="FH23">
        <v>3.32</v>
      </c>
      <c r="FI23">
        <v>66.39</v>
      </c>
      <c r="FJ23" s="413">
        <f t="shared" si="15"/>
        <v>19.996987951807231</v>
      </c>
      <c r="FN23" t="s">
        <v>579</v>
      </c>
      <c r="FO23" t="s">
        <v>484</v>
      </c>
      <c r="FP23" t="s">
        <v>647</v>
      </c>
      <c r="FQ23">
        <v>3.73</v>
      </c>
      <c r="FR23">
        <v>3.73</v>
      </c>
      <c r="FS23">
        <v>74.599999999999994</v>
      </c>
      <c r="FT23" s="413">
        <f t="shared" si="16"/>
        <v>20</v>
      </c>
      <c r="FW23" t="s">
        <v>579</v>
      </c>
      <c r="FX23" t="s">
        <v>484</v>
      </c>
      <c r="FY23" t="s">
        <v>647</v>
      </c>
      <c r="FZ23">
        <v>3.73</v>
      </c>
      <c r="GA23">
        <v>3.73</v>
      </c>
      <c r="GB23">
        <v>74.540000000000006</v>
      </c>
      <c r="GC23" s="413">
        <f t="shared" si="17"/>
        <v>19.983914209115284</v>
      </c>
      <c r="GO23" t="s">
        <v>714</v>
      </c>
      <c r="GP23" t="s">
        <v>715</v>
      </c>
      <c r="GQ23">
        <v>87.88</v>
      </c>
      <c r="GR23">
        <v>4</v>
      </c>
      <c r="GS23">
        <v>8.9600000000000009</v>
      </c>
      <c r="GT23">
        <v>86.92</v>
      </c>
      <c r="GU23">
        <v>12.39</v>
      </c>
      <c r="GV23">
        <v>0.03</v>
      </c>
      <c r="GW23">
        <v>0.26</v>
      </c>
      <c r="GX23">
        <v>0.11</v>
      </c>
      <c r="GY23">
        <v>0.35</v>
      </c>
      <c r="GZ23">
        <v>0.03</v>
      </c>
      <c r="HA23">
        <v>0.04</v>
      </c>
      <c r="HB23">
        <v>0.02</v>
      </c>
      <c r="HC23">
        <v>3.48</v>
      </c>
      <c r="HD23">
        <v>8.8000000000000007</v>
      </c>
      <c r="HE23">
        <v>7.0000000000000007E-2</v>
      </c>
      <c r="HF23">
        <v>18.850000000000001</v>
      </c>
    </row>
    <row r="24" spans="1:214" ht="15.75" thickBot="1" x14ac:dyDescent="0.3">
      <c r="A24" s="267"/>
      <c r="B24" s="34"/>
      <c r="C24" s="34"/>
      <c r="D24" s="34"/>
      <c r="E24" s="309" t="str">
        <f>IF(IFERROR("*suplemento consumo de "&amp;C19*100&amp;"% P.V | Estimativa de "&amp;ROUND((AX27/SUM(T8:T19))*100,1)&amp;"% de PB e "&amp;ROUND((AW27/SUM(T8:T19)*100),1)&amp;"% de NDT","Tabela do suplemento formulado")="Tabela do suplemento formulado","",IFERROR("*suplemento consumo de "&amp;C19*100&amp;"% P.V | Estimativa de "&amp;ROUND((AX27/SUM(T8:T19))*100,1)&amp;"% de PB e "&amp;ROUND((AW27/SUM(T8:T19)*100),1)&amp;"% de NDT","Tabela do suplemento formulado"))</f>
        <v/>
      </c>
      <c r="F24" s="34"/>
      <c r="G24" s="310"/>
      <c r="H24" s="243"/>
      <c r="I24" s="265"/>
      <c r="J24" s="311"/>
      <c r="K24" s="263"/>
      <c r="L24" s="311"/>
      <c r="M24" s="263"/>
      <c r="N24" s="263"/>
      <c r="O24" s="263"/>
      <c r="P24" s="263"/>
      <c r="Q24" s="263"/>
      <c r="R24" s="586" t="s">
        <v>675</v>
      </c>
      <c r="S24" s="586"/>
      <c r="T24" s="586"/>
      <c r="U24" s="586"/>
      <c r="V24" s="586"/>
      <c r="W24" s="586"/>
      <c r="X24" s="586"/>
      <c r="Y24" s="263"/>
      <c r="Z24" s="263"/>
      <c r="AA24" s="263"/>
      <c r="AB24" s="263"/>
      <c r="AC24" s="267"/>
      <c r="AD24" s="267"/>
      <c r="AE24" s="263"/>
      <c r="AF24" s="263"/>
      <c r="AG24" s="263"/>
      <c r="AH24" s="263"/>
      <c r="AI24" s="263"/>
      <c r="AJ24" s="263"/>
      <c r="AK24" s="263"/>
      <c r="AL24" s="263"/>
      <c r="AM24" s="263"/>
      <c r="AN24" s="267"/>
      <c r="AV24" s="312">
        <f>SUM(AV9:AV23)</f>
        <v>0</v>
      </c>
      <c r="AW24" s="312">
        <f>SUM(AW9:AW23)+(((M23*280)/100)/1000)</f>
        <v>0</v>
      </c>
      <c r="AX24" s="312">
        <f t="shared" ref="AX24:BM24" si="26">SUM(AX9:AX23)</f>
        <v>0</v>
      </c>
      <c r="AY24" s="312">
        <f t="shared" si="26"/>
        <v>0</v>
      </c>
      <c r="AZ24" s="312">
        <f t="shared" si="26"/>
        <v>0</v>
      </c>
      <c r="BA24" s="312">
        <f t="shared" si="26"/>
        <v>0</v>
      </c>
      <c r="BB24" s="312">
        <f t="shared" si="26"/>
        <v>0</v>
      </c>
      <c r="BC24" s="312">
        <f t="shared" si="26"/>
        <v>0</v>
      </c>
      <c r="BD24" s="312">
        <f t="shared" si="26"/>
        <v>0</v>
      </c>
      <c r="BE24" s="312">
        <f t="shared" si="26"/>
        <v>0</v>
      </c>
      <c r="BF24" s="312">
        <f t="shared" si="26"/>
        <v>0</v>
      </c>
      <c r="BG24" s="312">
        <f t="shared" si="26"/>
        <v>0</v>
      </c>
      <c r="BH24" s="312">
        <f t="shared" si="26"/>
        <v>0</v>
      </c>
      <c r="BI24" s="312">
        <f t="shared" si="26"/>
        <v>0</v>
      </c>
      <c r="BJ24" s="312">
        <f t="shared" si="26"/>
        <v>0</v>
      </c>
      <c r="BK24" s="312">
        <f t="shared" si="26"/>
        <v>0</v>
      </c>
      <c r="BL24" s="312">
        <f t="shared" si="26"/>
        <v>0</v>
      </c>
      <c r="BM24" s="312">
        <f t="shared" si="26"/>
        <v>0</v>
      </c>
      <c r="BR24" s="262"/>
      <c r="FD24" t="s">
        <v>584</v>
      </c>
      <c r="FE24" t="s">
        <v>486</v>
      </c>
      <c r="FF24" t="s">
        <v>647</v>
      </c>
      <c r="FG24">
        <v>252.29</v>
      </c>
      <c r="FH24">
        <v>252.29</v>
      </c>
      <c r="FI24">
        <v>756.87</v>
      </c>
      <c r="FJ24" s="413">
        <f t="shared" si="15"/>
        <v>3</v>
      </c>
      <c r="FN24" t="s">
        <v>584</v>
      </c>
      <c r="FO24" t="s">
        <v>486</v>
      </c>
      <c r="FP24" t="s">
        <v>647</v>
      </c>
      <c r="FQ24">
        <v>342.02</v>
      </c>
      <c r="FR24">
        <v>342.02</v>
      </c>
      <c r="FS24" s="415">
        <v>1026.05</v>
      </c>
      <c r="FT24" s="413">
        <f t="shared" si="16"/>
        <v>2.9999707619437461</v>
      </c>
      <c r="FW24" t="s">
        <v>584</v>
      </c>
      <c r="FX24" t="s">
        <v>486</v>
      </c>
      <c r="FY24" t="s">
        <v>647</v>
      </c>
      <c r="FZ24">
        <v>346.88</v>
      </c>
      <c r="GA24">
        <v>346.88</v>
      </c>
      <c r="GB24" s="415">
        <v>1040.6300000000001</v>
      </c>
      <c r="GC24" s="413">
        <f t="shared" si="17"/>
        <v>2.9999711715867163</v>
      </c>
      <c r="GO24" t="s">
        <v>714</v>
      </c>
      <c r="GP24" t="s">
        <v>716</v>
      </c>
      <c r="GQ24">
        <v>90.1</v>
      </c>
      <c r="GR24">
        <v>2.2200000000000002</v>
      </c>
      <c r="GS24">
        <v>12.67</v>
      </c>
      <c r="GT24">
        <v>73.11</v>
      </c>
      <c r="GU24">
        <v>60.98</v>
      </c>
      <c r="GV24">
        <v>0.52</v>
      </c>
      <c r="GW24">
        <v>0.16</v>
      </c>
      <c r="GX24">
        <v>0.34</v>
      </c>
      <c r="GY24">
        <v>0.87</v>
      </c>
      <c r="GZ24">
        <v>0.08</v>
      </c>
      <c r="HA24">
        <v>0.09</v>
      </c>
      <c r="HB24">
        <v>5.01</v>
      </c>
      <c r="HC24">
        <v>6.46</v>
      </c>
      <c r="HD24">
        <v>17.55</v>
      </c>
      <c r="HF24">
        <v>48.07</v>
      </c>
    </row>
    <row r="25" spans="1:214" ht="15.75" thickBot="1" x14ac:dyDescent="0.3">
      <c r="A25" s="34"/>
      <c r="B25" s="34"/>
      <c r="C25" s="34"/>
      <c r="D25" s="34"/>
      <c r="E25" s="309" t="str">
        <f>IFERROR("**consumo médio do suplemento de "&amp;ROUND(C19*C8,3)&amp;" kg/cab/dia","")</f>
        <v/>
      </c>
      <c r="F25" s="34"/>
      <c r="G25" s="310"/>
      <c r="H25" s="244"/>
      <c r="I25" s="265"/>
      <c r="J25" s="582" t="s">
        <v>666</v>
      </c>
      <c r="K25" s="582"/>
      <c r="L25" s="412">
        <v>0</v>
      </c>
      <c r="M25" s="34"/>
      <c r="N25" s="34"/>
      <c r="O25" s="34"/>
      <c r="P25" s="34"/>
      <c r="Q25" s="263"/>
      <c r="R25" s="263"/>
      <c r="S25" s="263"/>
      <c r="T25" s="263"/>
      <c r="U25" s="265"/>
      <c r="V25" s="265"/>
      <c r="W25" s="265"/>
      <c r="X25" s="313"/>
      <c r="Y25" s="263"/>
      <c r="Z25" s="263"/>
      <c r="AA25" s="263"/>
      <c r="AB25" s="263"/>
      <c r="AC25" s="267"/>
      <c r="AD25" s="267"/>
      <c r="AE25" s="263"/>
      <c r="AF25" s="263"/>
      <c r="AG25" s="263"/>
      <c r="AH25" s="263"/>
      <c r="AI25" s="263"/>
      <c r="AJ25" s="263"/>
      <c r="AK25" s="263"/>
      <c r="AL25" s="263"/>
      <c r="AM25" s="263"/>
      <c r="AN25" s="267"/>
      <c r="BA25" s="262"/>
      <c r="BB25" s="262"/>
      <c r="BC25" s="262"/>
      <c r="BD25" s="262"/>
      <c r="BE25" s="262"/>
      <c r="BF25" s="262"/>
      <c r="BG25" s="262"/>
      <c r="BH25" s="262"/>
      <c r="BI25" s="262"/>
      <c r="BJ25" s="262"/>
      <c r="BK25" s="262"/>
      <c r="BL25" s="262"/>
      <c r="BM25" s="262"/>
      <c r="BR25" s="262"/>
      <c r="GO25" t="s">
        <v>714</v>
      </c>
      <c r="GP25" t="s">
        <v>717</v>
      </c>
      <c r="GQ25">
        <v>88.01</v>
      </c>
      <c r="GR25">
        <v>2.91</v>
      </c>
      <c r="GS25">
        <v>9.33</v>
      </c>
      <c r="GT25">
        <v>84.19</v>
      </c>
      <c r="GU25">
        <v>10.58</v>
      </c>
      <c r="GV25">
        <v>7.0000000000000007E-2</v>
      </c>
      <c r="GW25">
        <v>0.28999999999999998</v>
      </c>
      <c r="GX25">
        <v>0.19</v>
      </c>
      <c r="GY25">
        <v>0.73</v>
      </c>
      <c r="GZ25">
        <v>0.03</v>
      </c>
      <c r="HA25">
        <v>0.03</v>
      </c>
      <c r="HB25">
        <v>0.04</v>
      </c>
      <c r="HC25">
        <v>4.87</v>
      </c>
      <c r="HD25">
        <v>17.14</v>
      </c>
      <c r="HE25">
        <v>0.06</v>
      </c>
      <c r="HF25">
        <v>15.5</v>
      </c>
    </row>
    <row r="26" spans="1:214" ht="33" customHeight="1" x14ac:dyDescent="0.25">
      <c r="A26" s="267"/>
      <c r="B26" s="34"/>
      <c r="C26" s="263"/>
      <c r="D26" s="35"/>
      <c r="E26" s="263"/>
      <c r="F26" s="34"/>
      <c r="G26" s="34"/>
      <c r="H26" s="265"/>
      <c r="I26" s="265"/>
      <c r="J26" s="265"/>
      <c r="K26" s="265"/>
      <c r="L26" s="265"/>
      <c r="M26" s="265"/>
      <c r="N26" s="265"/>
      <c r="O26" s="265"/>
      <c r="P26" s="265"/>
      <c r="Q26" s="263"/>
      <c r="R26" s="263"/>
      <c r="S26" s="245"/>
      <c r="T26" s="263"/>
      <c r="U26" s="263"/>
      <c r="V26" s="263"/>
      <c r="W26" s="263"/>
      <c r="X26" s="263"/>
      <c r="Y26" s="263"/>
      <c r="Z26" s="263"/>
      <c r="AA26" s="263"/>
      <c r="AB26" s="263"/>
      <c r="AC26" s="267"/>
      <c r="AD26" s="267"/>
      <c r="AE26" s="263"/>
      <c r="AF26" s="263"/>
      <c r="AG26" s="263"/>
      <c r="AH26" s="263"/>
      <c r="AI26" s="263"/>
      <c r="AJ26" s="263"/>
      <c r="AK26" s="263"/>
      <c r="AL26" s="263"/>
      <c r="AM26" s="263"/>
      <c r="AN26" s="267"/>
      <c r="BA26" s="262"/>
      <c r="BB26" s="262"/>
      <c r="BC26" s="262"/>
      <c r="BD26" s="262"/>
      <c r="BE26" s="262"/>
      <c r="BF26" s="262"/>
      <c r="BG26" s="262"/>
      <c r="BH26" s="262"/>
      <c r="BI26" s="262"/>
      <c r="BJ26" s="262"/>
      <c r="BK26" s="262"/>
      <c r="BL26" s="262"/>
      <c r="BM26" s="262"/>
      <c r="BN26" s="262"/>
      <c r="BR26" s="262"/>
      <c r="GO26" t="s">
        <v>718</v>
      </c>
      <c r="GP26" t="s">
        <v>719</v>
      </c>
      <c r="GQ26">
        <v>90.66</v>
      </c>
      <c r="GR26">
        <v>20.059999999999999</v>
      </c>
      <c r="GS26">
        <v>22.94</v>
      </c>
      <c r="GT26">
        <v>95.62</v>
      </c>
      <c r="GU26">
        <v>41.7</v>
      </c>
      <c r="GV26">
        <v>0.27</v>
      </c>
      <c r="GW26">
        <v>0.74</v>
      </c>
      <c r="GX26">
        <v>0.52</v>
      </c>
      <c r="GY26">
        <v>0.91</v>
      </c>
      <c r="GZ26">
        <v>0.12</v>
      </c>
    </row>
    <row r="27" spans="1:214" ht="24" thickBot="1" x14ac:dyDescent="0.3">
      <c r="A27" s="267"/>
      <c r="B27" s="585" t="s">
        <v>214</v>
      </c>
      <c r="C27" s="585"/>
      <c r="D27" s="585"/>
      <c r="E27" s="585"/>
      <c r="F27" s="585"/>
      <c r="G27" s="585"/>
      <c r="H27" s="585"/>
      <c r="I27" s="585"/>
      <c r="J27" s="585"/>
      <c r="K27" s="585"/>
      <c r="L27" s="585"/>
      <c r="M27" s="585"/>
      <c r="N27" s="585"/>
      <c r="O27" s="585"/>
      <c r="P27" s="585"/>
      <c r="Q27" s="585"/>
      <c r="R27" s="585"/>
      <c r="S27" s="585"/>
      <c r="T27" s="585"/>
      <c r="U27" s="585"/>
      <c r="V27" s="263"/>
      <c r="W27" s="263"/>
      <c r="X27" s="263"/>
      <c r="Y27" s="315"/>
      <c r="Z27" s="314"/>
      <c r="AA27" s="314"/>
      <c r="AB27" s="263"/>
      <c r="AC27" s="263"/>
      <c r="AD27" s="263"/>
      <c r="AE27" s="263"/>
      <c r="AF27" s="263"/>
      <c r="AG27" s="263"/>
      <c r="AH27" s="263"/>
      <c r="AI27" s="263"/>
      <c r="AJ27" s="263"/>
      <c r="AK27" s="263"/>
      <c r="AL27" s="263"/>
      <c r="AM27" s="263"/>
      <c r="AN27" s="267"/>
      <c r="AW27" s="273">
        <f>AV24-AV9</f>
        <v>0</v>
      </c>
      <c r="AX27" s="273">
        <f>AW24-AW9</f>
        <v>0</v>
      </c>
      <c r="BA27" s="262"/>
      <c r="BB27" s="262"/>
      <c r="BC27" s="262"/>
      <c r="BD27" s="262"/>
      <c r="BE27" s="262"/>
      <c r="BF27" s="262"/>
      <c r="BG27" s="262"/>
      <c r="BH27" s="262"/>
      <c r="BI27" s="262"/>
      <c r="BJ27" s="262"/>
      <c r="BK27" s="262"/>
      <c r="BL27" s="262"/>
      <c r="BM27" s="262"/>
      <c r="BN27" s="262"/>
      <c r="BO27" s="262"/>
      <c r="BP27" s="262"/>
      <c r="BQ27" s="262"/>
      <c r="BR27" s="262"/>
      <c r="BS27" s="262"/>
      <c r="GO27" t="s">
        <v>718</v>
      </c>
      <c r="GP27" t="s">
        <v>720</v>
      </c>
      <c r="GQ27">
        <v>89.71</v>
      </c>
      <c r="GR27">
        <v>1.99</v>
      </c>
      <c r="GS27">
        <v>31.48</v>
      </c>
      <c r="GT27">
        <v>77.08</v>
      </c>
      <c r="GU27">
        <v>33.26</v>
      </c>
      <c r="GV27">
        <v>0.26</v>
      </c>
      <c r="GW27">
        <v>0.78</v>
      </c>
      <c r="GX27">
        <v>0.54</v>
      </c>
      <c r="GY27">
        <v>1.27</v>
      </c>
      <c r="GZ27">
        <v>0.04</v>
      </c>
      <c r="HA27">
        <v>0.22</v>
      </c>
      <c r="HB27">
        <v>0.51</v>
      </c>
      <c r="HC27">
        <v>18.79</v>
      </c>
      <c r="HD27">
        <v>23.68</v>
      </c>
      <c r="HF27">
        <v>62.42</v>
      </c>
    </row>
    <row r="28" spans="1:214" ht="18" customHeight="1" thickBot="1" x14ac:dyDescent="0.3">
      <c r="A28" s="267"/>
      <c r="B28" s="316" t="s">
        <v>176</v>
      </c>
      <c r="C28" s="316" t="s">
        <v>215</v>
      </c>
      <c r="D28" s="316" t="s">
        <v>216</v>
      </c>
      <c r="E28" s="316" t="s">
        <v>217</v>
      </c>
      <c r="F28" s="316" t="s">
        <v>218</v>
      </c>
      <c r="G28" s="316" t="s">
        <v>219</v>
      </c>
      <c r="H28" s="316" t="s">
        <v>220</v>
      </c>
      <c r="I28" s="316" t="s">
        <v>221</v>
      </c>
      <c r="J28" s="316" t="s">
        <v>222</v>
      </c>
      <c r="K28" s="316" t="s">
        <v>223</v>
      </c>
      <c r="L28" s="316" t="s">
        <v>224</v>
      </c>
      <c r="M28" s="316" t="s">
        <v>225</v>
      </c>
      <c r="N28" s="316" t="s">
        <v>226</v>
      </c>
      <c r="O28" s="316" t="s">
        <v>227</v>
      </c>
      <c r="P28" s="316" t="s">
        <v>228</v>
      </c>
      <c r="Q28" s="316" t="s">
        <v>229</v>
      </c>
      <c r="R28" s="316" t="s">
        <v>230</v>
      </c>
      <c r="S28" s="316" t="s">
        <v>231</v>
      </c>
      <c r="T28" s="316" t="s">
        <v>232</v>
      </c>
      <c r="U28" s="316" t="s">
        <v>233</v>
      </c>
      <c r="V28" s="263"/>
      <c r="W28" s="263"/>
      <c r="X28" s="263"/>
      <c r="Y28" s="263"/>
      <c r="Z28" s="263"/>
      <c r="AA28" s="263"/>
      <c r="AB28" s="293"/>
      <c r="AC28" s="263"/>
      <c r="AD28" s="263"/>
      <c r="AE28" s="263"/>
      <c r="AF28" s="263"/>
      <c r="AG28" s="263"/>
      <c r="AH28" s="263"/>
      <c r="AI28" s="267"/>
      <c r="AJ28" s="267"/>
      <c r="AK28" s="267"/>
      <c r="AL28" s="267"/>
      <c r="AM28" s="267"/>
      <c r="AN28" s="267"/>
      <c r="AP28" s="264"/>
      <c r="BA28" s="262"/>
      <c r="BB28" s="262"/>
      <c r="BC28" s="262"/>
      <c r="GO28" t="s">
        <v>718</v>
      </c>
      <c r="GP28" t="s">
        <v>721</v>
      </c>
      <c r="GQ28">
        <v>89.74</v>
      </c>
      <c r="GR28">
        <v>1.46</v>
      </c>
      <c r="GS28">
        <v>39.630000000000003</v>
      </c>
      <c r="GT28">
        <v>75.709999999999994</v>
      </c>
      <c r="GU28">
        <v>29.46</v>
      </c>
      <c r="GV28">
        <v>0.24</v>
      </c>
      <c r="GW28">
        <v>0.97</v>
      </c>
      <c r="HC28">
        <v>11.19</v>
      </c>
      <c r="HD28">
        <v>33.93</v>
      </c>
      <c r="HF28">
        <v>11.8</v>
      </c>
    </row>
    <row r="29" spans="1:214" x14ac:dyDescent="0.25">
      <c r="A29" s="267"/>
      <c r="B29" s="389" t="s">
        <v>694</v>
      </c>
      <c r="C29" s="372">
        <v>0.2555</v>
      </c>
      <c r="D29" s="372">
        <v>0.53560000000000008</v>
      </c>
      <c r="E29" s="372">
        <v>4.4900000000000002E-2</v>
      </c>
      <c r="F29" s="372">
        <v>4.0000000000000002E-4</v>
      </c>
      <c r="G29" s="372">
        <v>0</v>
      </c>
      <c r="H29" s="372"/>
      <c r="I29" s="372">
        <v>0.70129999999999992</v>
      </c>
      <c r="J29" s="372">
        <v>2.1499999999999998E-2</v>
      </c>
      <c r="K29" s="372">
        <v>0</v>
      </c>
      <c r="L29" s="372">
        <v>0</v>
      </c>
      <c r="M29" s="372">
        <v>0</v>
      </c>
      <c r="N29" s="372">
        <v>0</v>
      </c>
      <c r="O29" s="373">
        <v>0</v>
      </c>
      <c r="P29" s="373">
        <v>0</v>
      </c>
      <c r="Q29" s="373"/>
      <c r="R29" s="373">
        <v>0</v>
      </c>
      <c r="S29" s="373"/>
      <c r="T29" s="373">
        <v>0</v>
      </c>
      <c r="U29" s="373"/>
      <c r="V29" s="263"/>
      <c r="W29" s="263"/>
      <c r="X29" s="263"/>
      <c r="Y29" s="263"/>
      <c r="Z29" s="263"/>
      <c r="AA29" s="263"/>
      <c r="AB29" s="317"/>
      <c r="AC29" s="317"/>
      <c r="AD29" s="317"/>
      <c r="AE29" s="293"/>
      <c r="AF29" s="263"/>
      <c r="AG29" s="293"/>
      <c r="AH29" s="263"/>
      <c r="AI29" s="263"/>
      <c r="AJ29" s="263"/>
      <c r="AK29" s="263"/>
      <c r="AL29" s="263"/>
      <c r="AM29" s="263"/>
      <c r="AN29" s="267"/>
      <c r="BA29" s="262"/>
      <c r="BB29" s="262"/>
      <c r="BC29" s="262"/>
      <c r="BD29" s="262"/>
      <c r="BE29" s="262"/>
      <c r="BF29" s="262"/>
      <c r="BG29" s="262"/>
      <c r="BH29" s="262"/>
      <c r="BN29" s="318"/>
      <c r="BO29" s="319"/>
      <c r="BP29" s="320"/>
      <c r="BQ29" s="321"/>
      <c r="BR29" s="322"/>
      <c r="BS29" s="322"/>
      <c r="BT29" s="322"/>
      <c r="BU29" s="264"/>
      <c r="BV29" s="264"/>
      <c r="BW29" s="323"/>
      <c r="BX29" s="264"/>
      <c r="BY29" s="264"/>
      <c r="CC29" s="323"/>
      <c r="CD29" s="323"/>
      <c r="CE29" s="323"/>
      <c r="CF29" s="323"/>
      <c r="CG29" s="323"/>
      <c r="CH29" s="323"/>
      <c r="CI29" s="323"/>
      <c r="CJ29" s="323"/>
      <c r="CK29" s="323"/>
      <c r="CL29" s="323"/>
      <c r="CM29" s="323"/>
      <c r="CN29" s="323"/>
      <c r="CO29" s="323"/>
      <c r="CP29" s="323"/>
      <c r="CQ29" s="323"/>
      <c r="CR29" s="323"/>
      <c r="CS29" s="323"/>
      <c r="CT29" s="323"/>
      <c r="CU29" s="323"/>
      <c r="CV29" s="323"/>
      <c r="CW29" s="323"/>
      <c r="GO29" t="s">
        <v>718</v>
      </c>
      <c r="GP29" t="s">
        <v>722</v>
      </c>
      <c r="GQ29">
        <v>90.48</v>
      </c>
      <c r="GR29">
        <v>9.3000000000000007</v>
      </c>
      <c r="GS29">
        <v>29.72</v>
      </c>
      <c r="GT29">
        <v>81.88</v>
      </c>
      <c r="GU29">
        <v>45.21</v>
      </c>
      <c r="GV29">
        <v>0.28000000000000003</v>
      </c>
      <c r="GW29">
        <v>0.57999999999999996</v>
      </c>
    </row>
    <row r="30" spans="1:214" x14ac:dyDescent="0.25">
      <c r="A30" s="267"/>
      <c r="B30" s="389" t="s">
        <v>730</v>
      </c>
      <c r="C30" s="372">
        <v>0.34090000000000004</v>
      </c>
      <c r="D30" s="372">
        <v>0.56679999999999997</v>
      </c>
      <c r="E30" s="372">
        <v>6.9099999999999995E-2</v>
      </c>
      <c r="F30" s="372">
        <v>3.0999999999999999E-3</v>
      </c>
      <c r="G30" s="372">
        <v>1.1000000000000001E-3</v>
      </c>
      <c r="H30" s="372"/>
      <c r="I30" s="372">
        <v>0.63840000000000008</v>
      </c>
      <c r="J30" s="372">
        <v>1.9599999999999999E-2</v>
      </c>
      <c r="K30" s="372">
        <v>4.0999999999999995E-3</v>
      </c>
      <c r="L30" s="372">
        <v>2.0000000000000001E-4</v>
      </c>
      <c r="M30" s="372">
        <v>1.6500000000000001E-2</v>
      </c>
      <c r="N30" s="372">
        <v>8.9999999999999998E-4</v>
      </c>
      <c r="O30" s="373">
        <v>3.4799999999999995</v>
      </c>
      <c r="P30" s="373">
        <v>26.400000000000002</v>
      </c>
      <c r="Q30" s="373"/>
      <c r="R30" s="373">
        <v>103.19</v>
      </c>
      <c r="S30" s="373"/>
      <c r="T30" s="373">
        <v>7.0000000000000007E-2</v>
      </c>
      <c r="U30" s="373"/>
      <c r="V30" s="263"/>
      <c r="W30" s="263"/>
      <c r="X30" s="263"/>
      <c r="Y30" s="263"/>
      <c r="Z30" s="263"/>
      <c r="AA30" s="263"/>
      <c r="AB30" s="317"/>
      <c r="AC30" s="317"/>
      <c r="AD30" s="317"/>
      <c r="AE30" s="317"/>
      <c r="AF30" s="293"/>
      <c r="AG30" s="263"/>
      <c r="AH30" s="263"/>
      <c r="AI30" s="263"/>
      <c r="AJ30" s="263"/>
      <c r="AK30" s="263"/>
      <c r="AL30" s="263"/>
      <c r="AM30" s="263"/>
      <c r="AN30" s="263"/>
      <c r="BA30" s="262"/>
      <c r="BB30" s="262"/>
      <c r="BC30" s="262"/>
      <c r="BD30" s="262"/>
      <c r="BE30" s="262"/>
      <c r="BF30" s="262"/>
      <c r="BG30" s="262"/>
      <c r="BH30" s="262"/>
      <c r="BI30" s="262"/>
      <c r="BN30" s="318"/>
      <c r="BO30" s="319"/>
      <c r="BP30" s="320"/>
      <c r="BQ30" s="321"/>
      <c r="BR30" s="322"/>
      <c r="BS30" s="322"/>
      <c r="BT30" s="322"/>
      <c r="BU30" s="322"/>
      <c r="BV30" s="264"/>
      <c r="BW30" s="264"/>
      <c r="BX30" s="323"/>
      <c r="BY30" s="264"/>
      <c r="BZ30" s="264"/>
      <c r="CD30" s="323"/>
      <c r="CE30" s="323"/>
      <c r="CF30" s="323"/>
      <c r="CG30" s="323"/>
      <c r="CH30" s="323"/>
      <c r="CI30" s="323"/>
      <c r="CJ30" s="323"/>
      <c r="CK30" s="323"/>
      <c r="CL30" s="323"/>
      <c r="CM30" s="323"/>
      <c r="CN30" s="323"/>
      <c r="CO30" s="323"/>
      <c r="CP30" s="323"/>
      <c r="CQ30" s="323"/>
      <c r="CR30" s="323"/>
      <c r="CS30" s="323"/>
      <c r="CT30" s="323"/>
      <c r="CU30" s="323"/>
      <c r="CV30" s="323"/>
      <c r="CW30" s="323"/>
      <c r="CX30" s="323"/>
      <c r="GO30" t="s">
        <v>718</v>
      </c>
      <c r="GP30" t="s">
        <v>723</v>
      </c>
      <c r="GQ30">
        <v>89.28</v>
      </c>
      <c r="GR30">
        <v>8.61</v>
      </c>
      <c r="GS30">
        <v>17.93</v>
      </c>
      <c r="GT30">
        <v>81.09</v>
      </c>
      <c r="GU30">
        <v>42.67</v>
      </c>
      <c r="GV30">
        <v>0.04</v>
      </c>
      <c r="GW30">
        <v>0.67</v>
      </c>
    </row>
    <row r="31" spans="1:214" x14ac:dyDescent="0.25">
      <c r="A31" s="267"/>
      <c r="B31" s="389" t="s">
        <v>731</v>
      </c>
      <c r="C31" s="372">
        <v>0.33240000000000003</v>
      </c>
      <c r="D31" s="372">
        <v>0.55520000000000003</v>
      </c>
      <c r="E31" s="372">
        <v>7.6799999999999993E-2</v>
      </c>
      <c r="F31" s="372">
        <v>2.8000000000000004E-3</v>
      </c>
      <c r="G31" s="372">
        <v>8.9999999999999998E-4</v>
      </c>
      <c r="H31" s="372"/>
      <c r="I31" s="372">
        <v>0.64150000000000007</v>
      </c>
      <c r="J31" s="372">
        <v>1.95E-2</v>
      </c>
      <c r="K31" s="372">
        <v>1E-3</v>
      </c>
      <c r="L31" s="372">
        <v>2.0000000000000001E-4</v>
      </c>
      <c r="M31" s="372">
        <v>7.1999999999999998E-3</v>
      </c>
      <c r="N31" s="372">
        <v>2.9999999999999997E-4</v>
      </c>
      <c r="O31" s="373">
        <v>15</v>
      </c>
      <c r="P31" s="373">
        <v>10</v>
      </c>
      <c r="Q31" s="373"/>
      <c r="R31" s="373">
        <v>56.000000000000007</v>
      </c>
      <c r="S31" s="373"/>
      <c r="T31" s="373">
        <v>0.45999999999999996</v>
      </c>
      <c r="U31" s="373"/>
      <c r="V31" s="263"/>
      <c r="W31" s="263"/>
      <c r="X31" s="263"/>
      <c r="Y31" s="263"/>
      <c r="Z31" s="263"/>
      <c r="AA31" s="263"/>
      <c r="AB31" s="246"/>
      <c r="AC31" s="324"/>
      <c r="AD31" s="263"/>
      <c r="AE31" s="263"/>
      <c r="AF31" s="293"/>
      <c r="AG31" s="263"/>
      <c r="AH31" s="263"/>
      <c r="AI31" s="263"/>
      <c r="AJ31" s="263"/>
      <c r="AK31" s="263"/>
      <c r="AL31" s="263"/>
      <c r="AM31" s="263"/>
      <c r="AN31" s="263"/>
      <c r="AU31" s="60"/>
      <c r="AW31" s="60"/>
      <c r="BA31" s="262"/>
      <c r="BB31" s="262"/>
      <c r="BC31" s="262"/>
      <c r="BD31" s="262"/>
      <c r="BE31" s="262"/>
      <c r="BF31" s="262"/>
      <c r="BG31" s="262"/>
      <c r="BH31" s="262"/>
      <c r="BI31" s="262"/>
      <c r="BN31" s="318"/>
      <c r="BO31" s="319"/>
      <c r="BP31" s="320"/>
      <c r="BQ31" s="321"/>
      <c r="BR31" s="322"/>
      <c r="BS31" s="322"/>
      <c r="BT31" s="322"/>
      <c r="BU31" s="322"/>
      <c r="BV31" s="325"/>
      <c r="BW31" s="325"/>
      <c r="BX31" s="325"/>
      <c r="BY31" s="325"/>
      <c r="BZ31" s="264"/>
      <c r="CD31" s="247"/>
      <c r="CE31" s="247"/>
      <c r="CF31" s="247"/>
      <c r="CG31" s="247"/>
      <c r="CH31" s="247"/>
      <c r="CI31" s="247"/>
      <c r="CJ31" s="247"/>
      <c r="CK31" s="247"/>
      <c r="CL31" s="247"/>
      <c r="CM31" s="247"/>
      <c r="CN31" s="247"/>
      <c r="CO31" s="323"/>
      <c r="CP31" s="323"/>
      <c r="CQ31" s="323"/>
      <c r="CR31" s="323"/>
      <c r="CS31" s="323"/>
      <c r="CT31" s="581"/>
      <c r="CU31" s="581"/>
      <c r="CV31" s="323"/>
      <c r="CW31" s="323"/>
      <c r="CX31" s="323"/>
      <c r="GO31" t="s">
        <v>718</v>
      </c>
      <c r="GP31" t="s">
        <v>724</v>
      </c>
      <c r="GQ31">
        <v>88.56</v>
      </c>
      <c r="GR31">
        <v>5.28</v>
      </c>
      <c r="GS31">
        <v>32.270000000000003</v>
      </c>
      <c r="GT31">
        <v>74.09</v>
      </c>
      <c r="GU31">
        <v>52.39</v>
      </c>
      <c r="GV31">
        <v>2.25</v>
      </c>
      <c r="GW31">
        <v>0.34</v>
      </c>
    </row>
    <row r="32" spans="1:214" x14ac:dyDescent="0.25">
      <c r="A32" s="267"/>
      <c r="B32" s="389" t="s">
        <v>732</v>
      </c>
      <c r="C32" s="372">
        <v>0.28489999999999999</v>
      </c>
      <c r="D32" s="372">
        <v>0.55330000000000001</v>
      </c>
      <c r="E32" s="372">
        <v>6.7400000000000002E-2</v>
      </c>
      <c r="F32" s="372">
        <v>4.0000000000000001E-3</v>
      </c>
      <c r="G32" s="372">
        <v>1E-3</v>
      </c>
      <c r="H32" s="372"/>
      <c r="I32" s="372">
        <v>0.66379999999999995</v>
      </c>
      <c r="J32" s="372">
        <v>1.8100000000000002E-2</v>
      </c>
      <c r="K32" s="372">
        <v>8.9999999999999998E-4</v>
      </c>
      <c r="L32" s="372">
        <v>1E-4</v>
      </c>
      <c r="M32" s="372">
        <v>9.3999999999999986E-3</v>
      </c>
      <c r="N32" s="372">
        <v>4.0000000000000002E-4</v>
      </c>
      <c r="O32" s="373">
        <v>3.8</v>
      </c>
      <c r="P32" s="373">
        <v>28.000000000000004</v>
      </c>
      <c r="Q32" s="373"/>
      <c r="R32" s="373">
        <v>85</v>
      </c>
      <c r="S32" s="373"/>
      <c r="T32" s="373">
        <v>0.28000000000000003</v>
      </c>
      <c r="U32" s="373"/>
      <c r="V32" s="263"/>
      <c r="W32" s="263"/>
      <c r="X32" s="263"/>
      <c r="Y32" s="263"/>
      <c r="Z32" s="263"/>
      <c r="AA32" s="263"/>
      <c r="AB32" s="263"/>
      <c r="AC32" s="263"/>
      <c r="AD32" s="263"/>
      <c r="AE32" s="263"/>
      <c r="AF32" s="263"/>
      <c r="AG32" s="263"/>
      <c r="AH32" s="263"/>
      <c r="AI32" s="263"/>
      <c r="AJ32" s="263"/>
      <c r="AK32" s="263"/>
      <c r="AL32" s="263"/>
      <c r="AM32" s="263"/>
      <c r="AN32" s="263"/>
      <c r="AO32" s="264"/>
      <c r="AP32" s="264"/>
      <c r="AQ32" s="264"/>
      <c r="AR32" s="264"/>
      <c r="AS32" s="264"/>
      <c r="AT32" s="264"/>
      <c r="AU32" s="264"/>
      <c r="AV32" s="264"/>
      <c r="AW32" s="264"/>
      <c r="AX32" s="264"/>
      <c r="BA32" s="262"/>
      <c r="BG32" s="318"/>
      <c r="BH32" s="319"/>
      <c r="BI32" s="320"/>
      <c r="BJ32" s="321"/>
      <c r="BK32" s="321"/>
      <c r="BL32" s="321"/>
      <c r="BN32" s="318"/>
      <c r="BO32" s="319"/>
      <c r="BP32" s="320"/>
      <c r="BQ32" s="321"/>
      <c r="BR32" s="322"/>
      <c r="BS32" s="323"/>
      <c r="BT32" s="323"/>
      <c r="BU32" s="247"/>
      <c r="BV32" s="247"/>
      <c r="BW32" s="247"/>
      <c r="BX32" s="247"/>
      <c r="BY32" s="247"/>
      <c r="BZ32" s="247"/>
      <c r="CA32" s="247"/>
      <c r="CB32" s="247"/>
      <c r="CC32" s="247"/>
      <c r="CD32" s="247"/>
      <c r="CE32" s="247"/>
      <c r="CF32" s="247"/>
      <c r="CG32" s="323"/>
      <c r="CH32" s="323"/>
      <c r="CI32" s="323"/>
      <c r="CJ32" s="323"/>
      <c r="CK32" s="323"/>
      <c r="CL32" s="289">
        <v>0.3</v>
      </c>
      <c r="CM32" s="289"/>
      <c r="CN32" s="323"/>
      <c r="CO32" s="323"/>
      <c r="CP32" s="323"/>
      <c r="GO32" t="s">
        <v>718</v>
      </c>
      <c r="GP32" t="s">
        <v>198</v>
      </c>
      <c r="GQ32">
        <v>88.65</v>
      </c>
      <c r="GR32">
        <v>1.93</v>
      </c>
      <c r="GS32">
        <v>48.85</v>
      </c>
      <c r="GT32">
        <v>79.45</v>
      </c>
      <c r="GU32">
        <v>13.1</v>
      </c>
      <c r="GV32">
        <v>0.34</v>
      </c>
      <c r="GW32">
        <v>0.59</v>
      </c>
      <c r="GX32">
        <v>0.28999999999999998</v>
      </c>
      <c r="GY32">
        <v>2.02</v>
      </c>
      <c r="GZ32">
        <v>0.06</v>
      </c>
      <c r="HA32">
        <v>0.26</v>
      </c>
      <c r="HB32">
        <v>0.27</v>
      </c>
      <c r="HC32">
        <v>18.96</v>
      </c>
      <c r="HD32">
        <v>35.380000000000003</v>
      </c>
      <c r="HE32">
        <v>0.13</v>
      </c>
      <c r="HF32">
        <v>53.79</v>
      </c>
    </row>
    <row r="33" spans="1:215" x14ac:dyDescent="0.25">
      <c r="A33" s="267"/>
      <c r="B33" s="389" t="s">
        <v>733</v>
      </c>
      <c r="C33" s="372">
        <v>0.28120000000000001</v>
      </c>
      <c r="D33" s="372">
        <v>0.56610000000000005</v>
      </c>
      <c r="E33" s="372">
        <v>7.3800000000000004E-2</v>
      </c>
      <c r="F33" s="372">
        <v>3.8E-3</v>
      </c>
      <c r="G33" s="372">
        <v>1.1999999999999999E-3</v>
      </c>
      <c r="H33" s="372"/>
      <c r="I33" s="372">
        <v>0.71860000000000002</v>
      </c>
      <c r="J33" s="372">
        <v>2.4500000000000001E-2</v>
      </c>
      <c r="K33" s="372">
        <v>2E-3</v>
      </c>
      <c r="L33" s="372">
        <v>2.0000000000000001E-4</v>
      </c>
      <c r="M33" s="372">
        <v>1.9900000000000001E-2</v>
      </c>
      <c r="N33" s="372">
        <v>4.0000000000000002E-4</v>
      </c>
      <c r="O33" s="373">
        <v>13.320000000000002</v>
      </c>
      <c r="P33" s="373">
        <v>19</v>
      </c>
      <c r="Q33" s="373"/>
      <c r="R33" s="373">
        <v>93.82</v>
      </c>
      <c r="S33" s="373"/>
      <c r="T33" s="373">
        <v>0.09</v>
      </c>
      <c r="U33" s="373"/>
      <c r="V33" s="263"/>
      <c r="W33" s="263"/>
      <c r="X33" s="263"/>
      <c r="Y33" s="263"/>
      <c r="Z33" s="263"/>
      <c r="AA33" s="263"/>
      <c r="AB33" s="263"/>
      <c r="AC33" s="267"/>
      <c r="AD33" s="267"/>
      <c r="AE33" s="267"/>
      <c r="AF33" s="267"/>
      <c r="AG33" s="267"/>
      <c r="AH33" s="263"/>
      <c r="AI33" s="267"/>
      <c r="AJ33" s="267"/>
      <c r="AK33" s="267"/>
      <c r="AL33" s="267"/>
      <c r="AM33" s="267"/>
      <c r="AN33" s="267"/>
      <c r="BA33" s="262"/>
      <c r="BG33" s="321"/>
      <c r="BH33" s="319"/>
      <c r="BI33" s="319"/>
      <c r="BJ33" s="321"/>
      <c r="BK33" s="321"/>
      <c r="BL33" s="321"/>
      <c r="BM33" s="326" t="s">
        <v>446</v>
      </c>
      <c r="BN33" s="327" t="e">
        <f>IF(C13="Pasto",0.075*BJ70^0.75,IF(C10="Zebuíno",0.075*BJ70^0.75,0.075*BJ70^0.75))</f>
        <v>#VALUE!</v>
      </c>
      <c r="BO33" s="323" t="s">
        <v>447</v>
      </c>
      <c r="BP33" s="328"/>
      <c r="BQ33" s="321"/>
      <c r="BR33" s="322"/>
      <c r="BS33" s="323"/>
      <c r="BT33" s="323"/>
      <c r="BU33" s="247"/>
      <c r="BV33" s="247"/>
      <c r="BW33" s="247"/>
      <c r="BX33" s="247"/>
      <c r="BY33" s="247"/>
      <c r="BZ33" s="247"/>
      <c r="CA33" s="247"/>
      <c r="CB33" s="247"/>
      <c r="CC33" s="247"/>
      <c r="CD33" s="247"/>
      <c r="CE33" s="247"/>
      <c r="CF33" s="247"/>
      <c r="CG33" s="248"/>
      <c r="CH33" s="248"/>
      <c r="CI33" s="248"/>
      <c r="CJ33" s="248"/>
      <c r="CK33" s="248"/>
      <c r="CL33" s="329" t="e">
        <f>((120*K10)+(BN58-(120*K10)*0.64)/0.8)/1000</f>
        <v>#VALUE!</v>
      </c>
      <c r="CM33" s="330" t="e">
        <f>-53.07 + (304.89 * (CL33)) + (90.79 *K10) - (3.13 * K10*K10)</f>
        <v>#VALUE!</v>
      </c>
      <c r="CN33" s="323"/>
      <c r="CO33" s="323"/>
      <c r="CP33" s="323"/>
      <c r="GO33" t="s">
        <v>718</v>
      </c>
      <c r="GP33" t="s">
        <v>725</v>
      </c>
      <c r="GQ33">
        <v>96.73</v>
      </c>
      <c r="GR33">
        <v>10.6</v>
      </c>
      <c r="GS33">
        <v>40.98</v>
      </c>
      <c r="GT33">
        <v>88.76</v>
      </c>
      <c r="GU33">
        <v>11.8</v>
      </c>
      <c r="GV33">
        <v>7.0000000000000007E-2</v>
      </c>
      <c r="GW33">
        <v>0.56999999999999995</v>
      </c>
      <c r="GY33">
        <v>1.9</v>
      </c>
      <c r="GZ33">
        <v>0.06</v>
      </c>
    </row>
    <row r="34" spans="1:215" x14ac:dyDescent="0.25">
      <c r="A34" s="267"/>
      <c r="B34" s="389" t="s">
        <v>699</v>
      </c>
      <c r="C34" s="372">
        <v>0.2772</v>
      </c>
      <c r="D34" s="372">
        <v>0.56679999999999997</v>
      </c>
      <c r="E34" s="372">
        <v>6.9199999999999998E-2</v>
      </c>
      <c r="F34" s="372">
        <v>2.3999999999999998E-3</v>
      </c>
      <c r="G34" s="372">
        <v>7.000000000000001E-4</v>
      </c>
      <c r="H34" s="372"/>
      <c r="I34" s="372">
        <v>0.7229000000000001</v>
      </c>
      <c r="J34" s="372">
        <v>1.3000000000000001E-2</v>
      </c>
      <c r="K34" s="372">
        <v>1.4000000000000002E-3</v>
      </c>
      <c r="L34" s="372">
        <v>2.0000000000000001E-4</v>
      </c>
      <c r="M34" s="372">
        <v>6.7000000000000002E-3</v>
      </c>
      <c r="N34" s="372">
        <v>0</v>
      </c>
      <c r="O34" s="373">
        <v>0</v>
      </c>
      <c r="P34" s="373">
        <v>0</v>
      </c>
      <c r="Q34" s="373"/>
      <c r="R34" s="373">
        <v>0</v>
      </c>
      <c r="S34" s="373"/>
      <c r="T34" s="373">
        <v>0</v>
      </c>
      <c r="U34" s="373"/>
      <c r="V34" s="263"/>
      <c r="W34" s="263"/>
      <c r="X34" s="263"/>
      <c r="Y34" s="263"/>
      <c r="Z34" s="263"/>
      <c r="AA34" s="263"/>
      <c r="AB34" s="263"/>
      <c r="AC34" s="267"/>
      <c r="AD34" s="267"/>
      <c r="AE34" s="267"/>
      <c r="AF34" s="267"/>
      <c r="AG34" s="267"/>
      <c r="AH34" s="263"/>
      <c r="AI34" s="267"/>
      <c r="AJ34" s="267"/>
      <c r="AK34" s="267"/>
      <c r="AL34" s="267"/>
      <c r="AM34" s="267"/>
      <c r="AN34" s="267"/>
      <c r="BA34" s="262"/>
      <c r="BG34" s="331"/>
      <c r="BH34" s="319"/>
      <c r="BI34" s="319"/>
      <c r="BJ34" s="321"/>
      <c r="BK34" s="321"/>
      <c r="BL34" s="321"/>
      <c r="BM34" s="326" t="s">
        <v>449</v>
      </c>
      <c r="BN34" s="327" t="e">
        <f>IF(C13="pasto",BJ79,BJ78)</f>
        <v>#VALUE!</v>
      </c>
      <c r="BO34" s="323" t="s">
        <v>447</v>
      </c>
      <c r="BP34" s="328"/>
      <c r="BQ34" s="321"/>
      <c r="BR34" s="322"/>
      <c r="BS34" s="323"/>
      <c r="BT34" s="248"/>
      <c r="BU34" s="247"/>
      <c r="BV34" s="247"/>
      <c r="BW34" s="247"/>
      <c r="BX34" s="247"/>
      <c r="BY34" s="247"/>
      <c r="BZ34" s="247"/>
      <c r="CA34" s="247"/>
      <c r="CB34" s="247"/>
      <c r="CC34" s="247"/>
      <c r="CD34" s="247"/>
      <c r="CE34" s="247"/>
      <c r="CF34" s="247"/>
      <c r="CG34" s="248"/>
      <c r="CH34" s="248"/>
      <c r="CI34" s="248"/>
      <c r="CJ34" s="323"/>
      <c r="CK34" s="323"/>
      <c r="CL34" s="332" t="e">
        <f>(CM33+(BN58-(CM33*0.64))/0.8)/1000</f>
        <v>#VALUE!</v>
      </c>
      <c r="CM34" s="330" t="e">
        <f>-53.07 + (304.89 * (CL34)) + (90.79 *K10) - (3.13 * K10*K10)</f>
        <v>#VALUE!</v>
      </c>
      <c r="CN34" s="323"/>
      <c r="CO34" s="323"/>
      <c r="CP34" s="323"/>
      <c r="GO34" t="s">
        <v>726</v>
      </c>
      <c r="GP34" t="s">
        <v>727</v>
      </c>
      <c r="GQ34">
        <v>100</v>
      </c>
      <c r="GV34">
        <v>20.53</v>
      </c>
      <c r="GW34">
        <v>9.77</v>
      </c>
    </row>
    <row r="35" spans="1:215" ht="15" customHeight="1" x14ac:dyDescent="0.25">
      <c r="A35" s="267"/>
      <c r="B35" s="389" t="s">
        <v>700</v>
      </c>
      <c r="C35" s="372">
        <v>0.29480000000000001</v>
      </c>
      <c r="D35" s="372">
        <v>0.56200000000000006</v>
      </c>
      <c r="E35" s="372">
        <v>7.9899999999999999E-2</v>
      </c>
      <c r="F35" s="372">
        <v>0</v>
      </c>
      <c r="G35" s="372">
        <v>0</v>
      </c>
      <c r="H35" s="372"/>
      <c r="I35" s="372">
        <v>0.70019999999999993</v>
      </c>
      <c r="J35" s="372">
        <v>2.06E-2</v>
      </c>
      <c r="K35" s="372">
        <v>0</v>
      </c>
      <c r="L35" s="372">
        <v>0</v>
      </c>
      <c r="M35" s="372">
        <v>0</v>
      </c>
      <c r="N35" s="372">
        <v>0</v>
      </c>
      <c r="O35" s="373">
        <v>0</v>
      </c>
      <c r="P35" s="373">
        <v>0</v>
      </c>
      <c r="Q35" s="373"/>
      <c r="R35" s="373">
        <v>0</v>
      </c>
      <c r="S35" s="373"/>
      <c r="T35" s="373">
        <v>0</v>
      </c>
      <c r="U35" s="373"/>
      <c r="V35" s="263"/>
      <c r="W35" s="263"/>
      <c r="X35" s="263"/>
      <c r="Y35" s="263"/>
      <c r="Z35" s="263"/>
      <c r="AA35" s="263"/>
      <c r="AB35" s="263"/>
      <c r="AC35" s="267"/>
      <c r="AD35" s="267"/>
      <c r="AE35" s="267"/>
      <c r="BA35" s="262"/>
      <c r="BG35" s="331"/>
      <c r="BH35" s="319"/>
      <c r="BI35" s="319"/>
      <c r="BJ35" s="321"/>
      <c r="BK35" s="321"/>
      <c r="BL35" s="321"/>
      <c r="BM35" s="326" t="s">
        <v>451</v>
      </c>
      <c r="BN35" s="333" t="e">
        <f>BN34+BN33</f>
        <v>#VALUE!</v>
      </c>
      <c r="BO35" s="323" t="s">
        <v>447</v>
      </c>
      <c r="BP35" s="328"/>
      <c r="BQ35" s="321"/>
      <c r="BR35" s="322"/>
      <c r="BS35" s="323"/>
      <c r="BT35" s="248"/>
      <c r="BU35" s="247"/>
      <c r="BV35" s="247"/>
      <c r="BW35" s="247"/>
      <c r="BX35" s="247"/>
      <c r="BY35" s="247"/>
      <c r="BZ35" s="247"/>
      <c r="CA35" s="247"/>
      <c r="CB35" s="247"/>
      <c r="CC35" s="247"/>
      <c r="CD35" s="247"/>
      <c r="CE35" s="247"/>
      <c r="CF35" s="247"/>
      <c r="CG35" s="323"/>
      <c r="CH35" s="323"/>
      <c r="CI35" s="323"/>
      <c r="CJ35" s="323"/>
      <c r="CK35" s="323"/>
      <c r="CL35" s="332" t="e">
        <f>(CM34+(BN58-(CM34*0.64))/0.8)/1000</f>
        <v>#VALUE!</v>
      </c>
      <c r="CM35" s="330" t="e">
        <f>-53.07 + (304.89 * (CL35)) + (90.79 *K10) - (3.13 * K10*K10)</f>
        <v>#VALUE!</v>
      </c>
      <c r="CN35" s="323"/>
      <c r="CO35" s="323"/>
      <c r="CP35" s="323"/>
      <c r="GO35" t="s">
        <v>726</v>
      </c>
      <c r="GP35" t="s">
        <v>728</v>
      </c>
      <c r="GQ35">
        <v>100</v>
      </c>
      <c r="GW35">
        <v>15.31</v>
      </c>
      <c r="GX35">
        <v>20.27</v>
      </c>
    </row>
    <row r="36" spans="1:215" ht="15" customHeight="1" x14ac:dyDescent="0.25">
      <c r="A36" s="267"/>
      <c r="B36" s="389" t="s">
        <v>701</v>
      </c>
      <c r="C36" s="372">
        <v>0.27</v>
      </c>
      <c r="D36" s="372">
        <v>0.59</v>
      </c>
      <c r="E36" s="372">
        <v>0.12</v>
      </c>
      <c r="F36" s="372">
        <v>7.4000000000000003E-3</v>
      </c>
      <c r="G36" s="372">
        <v>1.9E-3</v>
      </c>
      <c r="H36" s="372"/>
      <c r="I36" s="372">
        <v>0.55000000000000004</v>
      </c>
      <c r="J36" s="372">
        <v>1.7299999999999999E-2</v>
      </c>
      <c r="K36" s="372">
        <v>2E-3</v>
      </c>
      <c r="L36" s="372">
        <v>1E-4</v>
      </c>
      <c r="M36" s="372">
        <v>2.7400000000000001E-2</v>
      </c>
      <c r="N36" s="372">
        <v>1.4000000000000002E-3</v>
      </c>
      <c r="O36" s="373">
        <v>10.07</v>
      </c>
      <c r="P36" s="373">
        <v>26.810000000000002</v>
      </c>
      <c r="Q36" s="373"/>
      <c r="R36" s="373">
        <v>99.99</v>
      </c>
      <c r="S36" s="373"/>
      <c r="T36" s="373">
        <v>0.40999999999999992</v>
      </c>
      <c r="U36" s="373"/>
      <c r="V36" s="263"/>
      <c r="W36" s="263"/>
      <c r="X36" s="263"/>
      <c r="Y36" s="263"/>
      <c r="Z36" s="263"/>
      <c r="AA36" s="263"/>
      <c r="AB36" s="263"/>
      <c r="AC36" s="267"/>
      <c r="AD36" s="267"/>
      <c r="AE36" s="267"/>
      <c r="BA36" s="262"/>
      <c r="BG36" s="331"/>
      <c r="BH36" s="319"/>
      <c r="BI36" s="319"/>
      <c r="BJ36" s="321"/>
      <c r="BK36" s="321"/>
      <c r="BL36" s="321"/>
      <c r="BM36" s="326" t="s">
        <v>453</v>
      </c>
      <c r="BN36" s="333" t="e">
        <f>BN33/BJ86</f>
        <v>#VALUE!</v>
      </c>
      <c r="BO36" s="323" t="s">
        <v>447</v>
      </c>
      <c r="BP36" s="328"/>
      <c r="BQ36" s="321"/>
      <c r="BR36" s="322"/>
      <c r="BS36" s="323"/>
      <c r="BT36" s="335"/>
      <c r="BU36" s="335"/>
      <c r="BV36" s="335"/>
      <c r="BW36" s="335"/>
      <c r="BX36" s="248"/>
      <c r="BY36" s="335"/>
      <c r="BZ36" s="335"/>
      <c r="CA36" s="335"/>
      <c r="CB36" s="335"/>
      <c r="CC36" s="335"/>
      <c r="CD36" s="248"/>
      <c r="CE36" s="335" t="s">
        <v>628</v>
      </c>
      <c r="CF36" s="335"/>
      <c r="CG36" s="335"/>
      <c r="CH36" s="335"/>
      <c r="CI36" s="335"/>
      <c r="CJ36" s="323"/>
      <c r="CK36" s="323"/>
      <c r="CL36" s="332" t="e">
        <f>(CM35+(BN58-(CM35*0.64))/0.8)/1000</f>
        <v>#VALUE!</v>
      </c>
      <c r="CM36" s="330" t="e">
        <f>-53.07 + (304.89 * (CL36)) + (90.79 *K10) - (3.13 * K10*K10)</f>
        <v>#VALUE!</v>
      </c>
      <c r="CN36" s="323"/>
      <c r="CO36" s="323"/>
      <c r="CP36" s="323"/>
      <c r="GO36" t="s">
        <v>726</v>
      </c>
      <c r="GP36" t="s">
        <v>729</v>
      </c>
      <c r="GQ36">
        <v>99.02</v>
      </c>
      <c r="GX36">
        <v>0.3</v>
      </c>
      <c r="GZ36">
        <v>0.06</v>
      </c>
      <c r="HA36">
        <v>39.549999999999997</v>
      </c>
      <c r="HD36">
        <v>1.34</v>
      </c>
      <c r="HE36">
        <v>2.71</v>
      </c>
    </row>
    <row r="37" spans="1:215" x14ac:dyDescent="0.25">
      <c r="A37" s="267"/>
      <c r="B37" s="389" t="s">
        <v>702</v>
      </c>
      <c r="C37" s="372">
        <v>0.26960000000000001</v>
      </c>
      <c r="D37" s="372">
        <v>0.56230000000000002</v>
      </c>
      <c r="E37" s="372">
        <v>0.12909999999999999</v>
      </c>
      <c r="F37" s="372">
        <v>5.4000000000000003E-3</v>
      </c>
      <c r="G37" s="372">
        <v>5.0000000000000001E-3</v>
      </c>
      <c r="H37" s="372"/>
      <c r="I37" s="372">
        <v>0.48829999999999996</v>
      </c>
      <c r="J37" s="372">
        <v>0.02</v>
      </c>
      <c r="K37" s="372">
        <v>1.7000000000000001E-3</v>
      </c>
      <c r="L37" s="372">
        <v>0</v>
      </c>
      <c r="M37" s="372">
        <v>1.2800000000000001E-2</v>
      </c>
      <c r="N37" s="372">
        <v>1.8E-3</v>
      </c>
      <c r="O37" s="373">
        <v>10.35</v>
      </c>
      <c r="P37" s="373">
        <v>32.22</v>
      </c>
      <c r="Q37" s="373"/>
      <c r="R37" s="373">
        <v>305</v>
      </c>
      <c r="S37" s="373"/>
      <c r="T37" s="373">
        <v>0</v>
      </c>
      <c r="U37" s="373"/>
      <c r="V37" s="263"/>
      <c r="W37" s="263"/>
      <c r="X37" s="263"/>
      <c r="Y37" s="263"/>
      <c r="Z37" s="263"/>
      <c r="AA37" s="263"/>
      <c r="AB37" s="263"/>
      <c r="AC37" s="267"/>
      <c r="AD37" s="267"/>
      <c r="AE37" s="267"/>
      <c r="BA37" s="262"/>
      <c r="BG37" s="331"/>
      <c r="BH37" s="319"/>
      <c r="BI37" s="319"/>
      <c r="BJ37" s="321"/>
      <c r="BK37" s="321"/>
      <c r="BL37" s="321"/>
      <c r="BM37" s="326" t="s">
        <v>455</v>
      </c>
      <c r="BN37" s="333" t="e">
        <f>BN34/BJ83</f>
        <v>#VALUE!</v>
      </c>
      <c r="BO37" s="323" t="s">
        <v>447</v>
      </c>
      <c r="BP37" s="328"/>
      <c r="BQ37" s="321"/>
      <c r="BR37" s="322"/>
      <c r="BS37" s="323"/>
      <c r="BT37" s="335"/>
      <c r="BU37" s="335"/>
      <c r="BV37" s="335"/>
      <c r="BW37" s="335"/>
      <c r="BX37" s="279"/>
      <c r="BY37" s="335"/>
      <c r="BZ37" s="335"/>
      <c r="CA37" s="335"/>
      <c r="CB37" s="335"/>
      <c r="CC37" s="335"/>
      <c r="CD37" s="279"/>
      <c r="CE37" s="335"/>
      <c r="CF37" s="335"/>
      <c r="CG37" s="335"/>
      <c r="CH37" s="335"/>
      <c r="CI37" s="335"/>
      <c r="CJ37" s="323"/>
      <c r="CK37" s="323"/>
      <c r="CL37" s="332" t="e">
        <f>(CM36+(BN58-(CM36*0.64))/0.8)/1000</f>
        <v>#VALUE!</v>
      </c>
      <c r="CM37" s="330" t="e">
        <f>-53.07 + (304.89 * (CL37)) + (90.79 *K10) - (3.13 * K10*K10)</f>
        <v>#VALUE!</v>
      </c>
      <c r="CN37" s="323"/>
      <c r="CO37" s="323"/>
      <c r="CP37" s="323"/>
    </row>
    <row r="38" spans="1:215" x14ac:dyDescent="0.25">
      <c r="A38" s="267"/>
      <c r="B38" s="389" t="s">
        <v>703</v>
      </c>
      <c r="C38" s="372">
        <v>0.19829999999999998</v>
      </c>
      <c r="D38" s="372">
        <v>0.5877</v>
      </c>
      <c r="E38" s="372">
        <v>0.12230000000000001</v>
      </c>
      <c r="F38" s="372">
        <v>7.1999999999999998E-3</v>
      </c>
      <c r="G38" s="372">
        <v>2.5999999999999999E-3</v>
      </c>
      <c r="H38" s="372"/>
      <c r="I38" s="372">
        <v>0.63619999999999999</v>
      </c>
      <c r="J38" s="372">
        <v>3.0600000000000002E-2</v>
      </c>
      <c r="K38" s="372">
        <v>0</v>
      </c>
      <c r="L38" s="372">
        <v>0</v>
      </c>
      <c r="M38" s="372">
        <v>0</v>
      </c>
      <c r="N38" s="372">
        <v>0</v>
      </c>
      <c r="O38" s="373">
        <v>0</v>
      </c>
      <c r="P38" s="373">
        <v>0</v>
      </c>
      <c r="Q38" s="373"/>
      <c r="R38" s="373">
        <v>0</v>
      </c>
      <c r="S38" s="373"/>
      <c r="T38" s="373">
        <v>0</v>
      </c>
      <c r="U38" s="373"/>
      <c r="V38" s="263"/>
      <c r="W38" s="263"/>
      <c r="X38" s="263"/>
      <c r="Y38" s="263"/>
      <c r="Z38" s="263"/>
      <c r="AA38" s="263"/>
      <c r="AB38" s="263"/>
      <c r="AC38" s="267"/>
      <c r="AD38" s="267"/>
      <c r="AE38" s="267"/>
      <c r="BA38" s="262"/>
      <c r="BG38" s="321"/>
      <c r="BH38" s="319"/>
      <c r="BI38" s="319"/>
      <c r="BJ38" s="321"/>
      <c r="BK38" s="321"/>
      <c r="BL38" s="321"/>
      <c r="BM38" s="326" t="s">
        <v>188</v>
      </c>
      <c r="BN38" s="333" t="e">
        <f>BN37+BN36</f>
        <v>#VALUE!</v>
      </c>
      <c r="BO38" s="323" t="s">
        <v>447</v>
      </c>
      <c r="BP38" s="328"/>
      <c r="BQ38" s="321"/>
      <c r="BR38" s="322"/>
      <c r="BS38" s="323"/>
      <c r="BT38" s="323"/>
      <c r="BU38" s="326"/>
      <c r="BW38" s="323"/>
      <c r="BX38" s="323"/>
      <c r="BY38" s="337"/>
      <c r="CA38" s="338"/>
      <c r="CC38" s="274"/>
      <c r="CD38" s="323"/>
      <c r="CE38" s="337" t="s">
        <v>440</v>
      </c>
      <c r="CF38" s="325" t="s">
        <v>441</v>
      </c>
      <c r="CG38" s="338" t="s">
        <v>442</v>
      </c>
      <c r="CH38" s="339" t="e">
        <f>BJ211</f>
        <v>#VALUE!</v>
      </c>
      <c r="CI38" s="274" t="s">
        <v>211</v>
      </c>
      <c r="CJ38" s="323"/>
      <c r="CK38" s="323"/>
      <c r="CL38" s="332" t="e">
        <f>(CM37+(BN58-(CM37*0.64))/0.8)/1000</f>
        <v>#VALUE!</v>
      </c>
      <c r="CM38" s="330" t="e">
        <f>-53.07 + (304.89 * (CL38)) + (90.79 *K10) - (3.13 * K10*K10)</f>
        <v>#VALUE!</v>
      </c>
      <c r="CN38" s="323"/>
      <c r="CO38" s="323"/>
      <c r="CP38" s="323"/>
      <c r="HG38">
        <v>9.94</v>
      </c>
    </row>
    <row r="39" spans="1:215" x14ac:dyDescent="0.25">
      <c r="A39" s="267"/>
      <c r="B39" s="389" t="s">
        <v>704</v>
      </c>
      <c r="C39" s="372">
        <v>0.24109999999999998</v>
      </c>
      <c r="D39" s="372">
        <v>0.57899999999999996</v>
      </c>
      <c r="E39" s="372">
        <v>6.8400000000000002E-2</v>
      </c>
      <c r="F39" s="372">
        <v>1.2999999999999999E-3</v>
      </c>
      <c r="G39" s="372">
        <v>1.2999999999999999E-3</v>
      </c>
      <c r="H39" s="372"/>
      <c r="I39" s="372">
        <v>0.63350000000000006</v>
      </c>
      <c r="J39" s="372">
        <v>3.04E-2</v>
      </c>
      <c r="K39" s="372">
        <v>2.5999999999999999E-3</v>
      </c>
      <c r="L39" s="372">
        <v>0</v>
      </c>
      <c r="M39" s="372">
        <v>0</v>
      </c>
      <c r="N39" s="372">
        <v>0</v>
      </c>
      <c r="O39" s="373">
        <v>0</v>
      </c>
      <c r="P39" s="373">
        <v>0</v>
      </c>
      <c r="Q39" s="373"/>
      <c r="R39" s="373">
        <v>0</v>
      </c>
      <c r="S39" s="373"/>
      <c r="T39" s="373">
        <v>0</v>
      </c>
      <c r="U39" s="373"/>
      <c r="V39" s="263"/>
      <c r="W39" s="263"/>
      <c r="X39" s="263"/>
      <c r="Y39" s="263"/>
      <c r="Z39" s="263"/>
      <c r="AA39" s="263"/>
      <c r="AB39" s="263"/>
      <c r="AC39" s="267"/>
      <c r="AD39" s="267"/>
      <c r="AE39" s="267"/>
      <c r="BA39" s="262"/>
      <c r="BG39" s="321"/>
      <c r="BH39" s="319"/>
      <c r="BI39" s="319"/>
      <c r="BJ39" s="321"/>
      <c r="BK39" s="321"/>
      <c r="BL39" s="321"/>
      <c r="BN39" s="340"/>
      <c r="BO39" s="341"/>
      <c r="BP39" s="328"/>
      <c r="BQ39" s="321"/>
      <c r="BR39" s="322"/>
      <c r="BS39" s="323"/>
      <c r="BT39" s="323"/>
      <c r="BU39" s="274"/>
      <c r="BV39" s="342"/>
      <c r="BW39" s="323"/>
      <c r="BX39" s="323"/>
      <c r="BY39" s="337"/>
      <c r="CC39" s="274"/>
      <c r="CD39" s="323"/>
      <c r="CE39" s="337"/>
      <c r="CF39" s="325"/>
      <c r="CG39" s="343">
        <v>0.56000000000000005</v>
      </c>
      <c r="CH39" s="339"/>
      <c r="CI39" s="274"/>
      <c r="CJ39" s="323"/>
      <c r="CK39" s="323"/>
      <c r="CL39" s="332" t="e">
        <f>(CM38+(BN58-(CM38*0.64))/0.8)/1000</f>
        <v>#VALUE!</v>
      </c>
      <c r="CM39" s="330" t="e">
        <f>-53.07 + (304.89 * (CL39)) + (90.79 *K10) - (3.13 * K10*K10)</f>
        <v>#VALUE!</v>
      </c>
      <c r="CN39" s="323"/>
      <c r="CO39" s="323"/>
      <c r="CP39" s="323"/>
    </row>
    <row r="40" spans="1:215" ht="15.75" thickBot="1" x14ac:dyDescent="0.3">
      <c r="A40" s="267"/>
      <c r="B40" s="390"/>
      <c r="C40" s="374"/>
      <c r="D40" s="374"/>
      <c r="E40" s="374"/>
      <c r="F40" s="374"/>
      <c r="G40" s="374"/>
      <c r="H40" s="374"/>
      <c r="I40" s="374"/>
      <c r="J40" s="374"/>
      <c r="K40" s="374"/>
      <c r="L40" s="374"/>
      <c r="M40" s="374"/>
      <c r="N40" s="374"/>
      <c r="O40" s="375"/>
      <c r="P40" s="375"/>
      <c r="Q40" s="375"/>
      <c r="R40" s="375"/>
      <c r="S40" s="375"/>
      <c r="T40" s="375"/>
      <c r="U40" s="375"/>
      <c r="V40" s="263"/>
      <c r="W40" s="263"/>
      <c r="X40" s="263"/>
      <c r="Y40" s="263"/>
      <c r="Z40" s="263"/>
      <c r="AA40" s="263"/>
      <c r="AB40" s="263"/>
      <c r="AC40" s="267"/>
      <c r="AD40" s="267"/>
      <c r="AE40" s="267"/>
      <c r="BA40" s="262"/>
      <c r="BG40" s="321"/>
      <c r="BH40" s="319"/>
      <c r="BI40" s="319"/>
      <c r="BJ40" s="321"/>
      <c r="BK40" s="321"/>
      <c r="BL40" s="321"/>
      <c r="BM40" s="325" t="s">
        <v>438</v>
      </c>
      <c r="BN40" s="343">
        <v>0.56799999999999995</v>
      </c>
      <c r="BO40" s="341"/>
      <c r="BP40" s="328"/>
      <c r="BQ40" s="321"/>
      <c r="BR40" s="322"/>
      <c r="BS40" s="323"/>
      <c r="BT40" s="323"/>
      <c r="BU40" s="274"/>
      <c r="BV40" s="342"/>
      <c r="BW40" s="323"/>
      <c r="BX40" s="323"/>
      <c r="BY40" s="337"/>
      <c r="CC40" s="274"/>
      <c r="CD40" s="323"/>
      <c r="CE40" s="337"/>
      <c r="CF40" s="325" t="s">
        <v>444</v>
      </c>
      <c r="CG40" s="338" t="s">
        <v>442</v>
      </c>
      <c r="CH40" s="339" t="e">
        <f>BJ216</f>
        <v>#VALUE!</v>
      </c>
      <c r="CI40" s="274" t="s">
        <v>211</v>
      </c>
      <c r="CJ40" s="323"/>
      <c r="CK40" s="323"/>
      <c r="CL40" s="332" t="e">
        <f>(CM39+(BN58-(CM39*0.64))/0.8)/1000</f>
        <v>#VALUE!</v>
      </c>
      <c r="CM40" s="330" t="e">
        <f>-53.07 + (304.89 * (CL40)) + (90.79 *K10) - (3.13 * K10*K10)</f>
        <v>#VALUE!</v>
      </c>
      <c r="CN40" s="323"/>
      <c r="CO40" s="323"/>
      <c r="CP40" s="323"/>
    </row>
    <row r="41" spans="1:215" ht="27.75" customHeight="1" thickBot="1" x14ac:dyDescent="0.3">
      <c r="A41" s="267"/>
      <c r="B41" s="334"/>
      <c r="C41" s="334"/>
      <c r="D41" s="334"/>
      <c r="E41" s="334"/>
      <c r="F41" s="334"/>
      <c r="G41" s="334"/>
      <c r="H41" s="334"/>
      <c r="I41" s="334"/>
      <c r="J41" s="334"/>
      <c r="K41" s="334"/>
      <c r="L41" s="334"/>
      <c r="M41" s="334"/>
      <c r="N41" s="334"/>
      <c r="O41" s="334"/>
      <c r="P41" s="334"/>
      <c r="Q41" s="334"/>
      <c r="R41" s="334"/>
      <c r="S41" s="334"/>
      <c r="T41" s="334"/>
      <c r="U41" s="334"/>
      <c r="V41" s="347"/>
      <c r="W41" s="347"/>
      <c r="X41" s="347"/>
      <c r="Y41" s="263"/>
      <c r="Z41" s="263"/>
      <c r="AA41" s="263"/>
      <c r="AB41" s="263"/>
      <c r="AC41" s="267"/>
      <c r="AD41" s="267"/>
      <c r="AE41" s="267"/>
      <c r="BA41" s="262"/>
      <c r="BG41" s="321"/>
      <c r="BH41" s="319"/>
      <c r="BI41" s="319"/>
      <c r="BJ41" s="321"/>
      <c r="BK41" s="321"/>
      <c r="BL41" s="321"/>
      <c r="BM41" s="325" t="s">
        <v>443</v>
      </c>
      <c r="BN41" s="343">
        <v>0.67800000000000005</v>
      </c>
      <c r="BO41" s="341"/>
      <c r="BP41" s="328"/>
      <c r="BQ41" s="321"/>
      <c r="BR41" s="322"/>
      <c r="BS41" s="323"/>
      <c r="BT41" s="323"/>
      <c r="BU41" s="274"/>
      <c r="BV41" s="323"/>
      <c r="BW41" s="323"/>
      <c r="BX41" s="323"/>
      <c r="BY41" s="337"/>
      <c r="CC41" s="274"/>
      <c r="CD41" s="323"/>
      <c r="CE41" s="337"/>
      <c r="CF41" s="325"/>
      <c r="CG41" s="343">
        <v>0.62</v>
      </c>
      <c r="CH41" s="339"/>
      <c r="CI41" s="274"/>
      <c r="CJ41" s="323"/>
      <c r="CK41" s="323"/>
      <c r="CL41" s="332" t="e">
        <f>(CM40+(BN58-(CM40*0.64))/0.8)/1000</f>
        <v>#VALUE!</v>
      </c>
      <c r="CM41" s="330" t="e">
        <f>-53.07 + (304.89 * (CL41)) + (90.79 *K10) - (3.13 * K10*K10)</f>
        <v>#VALUE!</v>
      </c>
      <c r="CN41" s="323"/>
      <c r="CO41" s="323"/>
      <c r="CP41" s="323"/>
    </row>
    <row r="42" spans="1:215" ht="15.75" thickBot="1" x14ac:dyDescent="0.3">
      <c r="A42" s="267"/>
      <c r="B42" s="336" t="s">
        <v>252</v>
      </c>
      <c r="C42" s="336" t="s">
        <v>253</v>
      </c>
      <c r="D42" s="336" t="s">
        <v>216</v>
      </c>
      <c r="E42" s="336" t="s">
        <v>217</v>
      </c>
      <c r="F42" s="336" t="s">
        <v>218</v>
      </c>
      <c r="G42" s="336" t="s">
        <v>219</v>
      </c>
      <c r="H42" s="336" t="s">
        <v>254</v>
      </c>
      <c r="I42" s="336" t="s">
        <v>255</v>
      </c>
      <c r="J42" s="336" t="s">
        <v>256</v>
      </c>
      <c r="K42" s="336" t="s">
        <v>257</v>
      </c>
      <c r="L42" s="336" t="s">
        <v>258</v>
      </c>
      <c r="M42" s="336" t="s">
        <v>259</v>
      </c>
      <c r="N42" s="336" t="s">
        <v>260</v>
      </c>
      <c r="O42" s="336" t="s">
        <v>245</v>
      </c>
      <c r="P42" s="336" t="s">
        <v>246</v>
      </c>
      <c r="Q42" s="336" t="s">
        <v>247</v>
      </c>
      <c r="R42" s="336" t="s">
        <v>248</v>
      </c>
      <c r="S42" s="336" t="s">
        <v>249</v>
      </c>
      <c r="T42" s="336" t="s">
        <v>250</v>
      </c>
      <c r="U42" s="336" t="s">
        <v>251</v>
      </c>
      <c r="V42" s="416" t="s">
        <v>141</v>
      </c>
      <c r="W42" s="336" t="s">
        <v>753</v>
      </c>
      <c r="X42" s="336" t="s">
        <v>754</v>
      </c>
      <c r="Y42" s="263"/>
      <c r="Z42" s="263"/>
      <c r="AA42" s="263"/>
      <c r="AB42" s="263"/>
      <c r="AC42" s="267"/>
      <c r="AD42" s="267"/>
      <c r="AE42" s="267"/>
      <c r="BA42" s="262"/>
      <c r="BG42" s="318"/>
      <c r="BH42" s="319"/>
      <c r="BI42" s="320"/>
      <c r="BJ42" s="321"/>
      <c r="BK42" s="321"/>
      <c r="BL42" s="321"/>
      <c r="BM42" s="325" t="s">
        <v>450</v>
      </c>
      <c r="BN42" s="343">
        <v>0.35499999999999998</v>
      </c>
      <c r="BO42" s="341"/>
      <c r="BP42" s="328"/>
      <c r="BQ42" s="321"/>
      <c r="BR42" s="322"/>
      <c r="BS42" s="323"/>
      <c r="BT42" s="344"/>
      <c r="BX42" s="323"/>
      <c r="BY42" s="337"/>
      <c r="CB42" s="345"/>
      <c r="CC42" s="345"/>
      <c r="CD42" s="323"/>
      <c r="CE42" s="337"/>
      <c r="CF42" s="325" t="s">
        <v>448</v>
      </c>
      <c r="CG42" s="338" t="s">
        <v>442</v>
      </c>
      <c r="CH42" s="339" t="e">
        <f>BJ221</f>
        <v>#VALUE!</v>
      </c>
      <c r="CI42" s="274" t="s">
        <v>211</v>
      </c>
      <c r="CJ42" s="323"/>
      <c r="CK42" s="323"/>
      <c r="CL42" s="332" t="e">
        <f>(CM41+(BN58-(CM41*0.64))/0.8)/1000</f>
        <v>#VALUE!</v>
      </c>
      <c r="CM42" s="330" t="e">
        <f>-53.07 + (304.89 * (CL42)) + (90.79 *K10) - (3.13 * K10*K10)</f>
        <v>#VALUE!</v>
      </c>
      <c r="CN42" s="323"/>
      <c r="CO42" s="323"/>
      <c r="CP42" s="323"/>
    </row>
    <row r="43" spans="1:215" ht="15" customHeight="1" x14ac:dyDescent="0.25">
      <c r="A43" s="267"/>
      <c r="B43" s="389" t="s">
        <v>194</v>
      </c>
      <c r="C43" s="372">
        <v>0.87879999999999991</v>
      </c>
      <c r="D43" s="372">
        <v>0.86919999999999997</v>
      </c>
      <c r="E43" s="372">
        <v>8.9600000000000013E-2</v>
      </c>
      <c r="F43" s="372">
        <v>2.9999999999999997E-4</v>
      </c>
      <c r="G43" s="372">
        <v>2.5999999999999999E-3</v>
      </c>
      <c r="H43" s="372"/>
      <c r="I43" s="372">
        <v>0.12390000000000001</v>
      </c>
      <c r="J43" s="372">
        <v>0.04</v>
      </c>
      <c r="K43" s="372">
        <v>1.1000000000000001E-3</v>
      </c>
      <c r="L43" s="372">
        <v>2.9999999999999997E-4</v>
      </c>
      <c r="M43" s="372">
        <v>3.4999999999999996E-3</v>
      </c>
      <c r="N43" s="372">
        <v>4.0000000000000002E-4</v>
      </c>
      <c r="O43" s="373">
        <v>3.48</v>
      </c>
      <c r="P43" s="373">
        <v>18.850000000000001</v>
      </c>
      <c r="Q43" s="373"/>
      <c r="R43" s="373">
        <v>8.8000000000000007</v>
      </c>
      <c r="S43" s="373"/>
      <c r="T43" s="373">
        <v>0.02</v>
      </c>
      <c r="U43" s="373">
        <v>7.0000000000000007E-2</v>
      </c>
      <c r="V43" s="417"/>
      <c r="W43" s="419" t="str">
        <f>IFERROR(IF(V43/D43=0,"",V43/D43),"")</f>
        <v/>
      </c>
      <c r="X43" s="419" t="str">
        <f>IFERROR(IF(V43/E43=0,"",V43/E43),"")</f>
        <v/>
      </c>
      <c r="Y43" s="263"/>
      <c r="Z43" s="263"/>
      <c r="AA43" s="263"/>
      <c r="AB43" s="263"/>
      <c r="AC43" s="267"/>
      <c r="AD43" s="267"/>
      <c r="AE43" s="267"/>
      <c r="BA43" s="262"/>
      <c r="BG43" s="318"/>
      <c r="BH43" s="319"/>
      <c r="BI43" s="320"/>
      <c r="BJ43" s="321"/>
      <c r="BK43" s="321"/>
      <c r="BL43" s="321"/>
      <c r="BM43" s="325" t="s">
        <v>454</v>
      </c>
      <c r="BN43" s="343">
        <v>0.371</v>
      </c>
      <c r="BO43" s="341"/>
      <c r="BP43" s="328"/>
      <c r="BQ43" s="321"/>
      <c r="BR43" s="322"/>
      <c r="BS43" s="323"/>
      <c r="BT43" s="344"/>
      <c r="BX43" s="323"/>
      <c r="BY43" s="337"/>
      <c r="CC43" s="274"/>
      <c r="CD43" s="323"/>
      <c r="CE43" s="337"/>
      <c r="CF43" s="325"/>
      <c r="CG43" s="343">
        <v>0.3</v>
      </c>
      <c r="CH43" s="339"/>
      <c r="CI43" s="274"/>
      <c r="CJ43" s="323"/>
      <c r="CK43" s="323"/>
      <c r="CL43" s="332" t="e">
        <f>(CM42+(BN58-(CM42*0.64))/0.8)/1000</f>
        <v>#VALUE!</v>
      </c>
      <c r="CM43" s="330" t="e">
        <f>-53.07 + (304.89 * (CL43)) + (90.79 *K10) - (3.13 * K10*K10)</f>
        <v>#VALUE!</v>
      </c>
      <c r="CN43" s="323"/>
      <c r="CO43" s="323"/>
      <c r="CP43" s="323"/>
    </row>
    <row r="44" spans="1:215" ht="15" customHeight="1" x14ac:dyDescent="0.25">
      <c r="A44" s="267"/>
      <c r="B44" s="389" t="s">
        <v>716</v>
      </c>
      <c r="C44" s="372">
        <v>0.90099999999999991</v>
      </c>
      <c r="D44" s="372">
        <v>0.73109999999999997</v>
      </c>
      <c r="E44" s="372">
        <v>0.12670000000000001</v>
      </c>
      <c r="F44" s="372">
        <v>5.1999999999999998E-3</v>
      </c>
      <c r="G44" s="372">
        <v>1.6000000000000001E-3</v>
      </c>
      <c r="H44" s="372"/>
      <c r="I44" s="372">
        <v>0.60980000000000001</v>
      </c>
      <c r="J44" s="372">
        <v>2.2200000000000001E-2</v>
      </c>
      <c r="K44" s="372">
        <v>3.4000000000000002E-3</v>
      </c>
      <c r="L44" s="372">
        <v>8.0000000000000004E-4</v>
      </c>
      <c r="M44" s="372">
        <v>8.6999999999999994E-3</v>
      </c>
      <c r="N44" s="372">
        <v>8.9999999999999998E-4</v>
      </c>
      <c r="O44" s="373">
        <v>6.46</v>
      </c>
      <c r="P44" s="373">
        <v>48.07</v>
      </c>
      <c r="Q44" s="373"/>
      <c r="R44" s="373">
        <v>17.55</v>
      </c>
      <c r="S44" s="373"/>
      <c r="T44" s="373">
        <v>5.01</v>
      </c>
      <c r="U44" s="373"/>
      <c r="V44" s="417"/>
      <c r="W44" s="419" t="str">
        <f>IFERROR(IF(V44/D44=0,"",V44/D44),"")</f>
        <v/>
      </c>
      <c r="X44" s="419" t="str">
        <f t="shared" ref="X44:X54" si="27">IFERROR(IF(V44/E44=0,"",V44/E44),"")</f>
        <v/>
      </c>
      <c r="Y44" s="263"/>
      <c r="Z44" s="263"/>
      <c r="AA44" s="263"/>
      <c r="AB44" s="263"/>
      <c r="AC44" s="267"/>
      <c r="AD44" s="267"/>
      <c r="AE44" s="267"/>
      <c r="BA44" s="262"/>
      <c r="BG44" s="318"/>
      <c r="BH44" s="319"/>
      <c r="BI44" s="320"/>
      <c r="BJ44" s="321"/>
      <c r="BK44" s="321"/>
      <c r="BL44" s="321"/>
      <c r="BM44" s="325" t="s">
        <v>457</v>
      </c>
      <c r="BN44" s="343">
        <v>0.48399999999999999</v>
      </c>
      <c r="BO44" s="341"/>
      <c r="BP44" s="328"/>
      <c r="BQ44" s="321"/>
      <c r="BR44" s="322"/>
      <c r="BS44" s="323"/>
      <c r="BT44" s="344"/>
      <c r="BX44" s="323"/>
      <c r="BY44" s="337"/>
      <c r="CC44" s="274"/>
      <c r="CD44" s="323"/>
      <c r="CE44" s="337"/>
      <c r="CF44" s="325" t="s">
        <v>452</v>
      </c>
      <c r="CG44" s="338" t="s">
        <v>442</v>
      </c>
      <c r="CH44" s="339" t="e">
        <f>BJ226</f>
        <v>#VALUE!</v>
      </c>
      <c r="CI44" s="274" t="s">
        <v>211</v>
      </c>
      <c r="CJ44" s="323"/>
      <c r="CK44" s="323"/>
      <c r="CL44" s="332" t="e">
        <f>(CM43+(BN58-(CM43*0.64))/0.8)/1000</f>
        <v>#VALUE!</v>
      </c>
      <c r="CM44" s="330" t="e">
        <f>-53.07 + (304.89 * (CL44)) + (90.79 *K10) - (3.13 * K10*K10)</f>
        <v>#VALUE!</v>
      </c>
      <c r="CN44" s="323"/>
      <c r="CO44" s="323"/>
      <c r="CP44" s="323"/>
    </row>
    <row r="45" spans="1:215" ht="15" customHeight="1" x14ac:dyDescent="0.25">
      <c r="A45" s="267"/>
      <c r="B45" s="389" t="s">
        <v>717</v>
      </c>
      <c r="C45" s="372">
        <v>0.8801000000000001</v>
      </c>
      <c r="D45" s="372">
        <v>0.84189999999999998</v>
      </c>
      <c r="E45" s="372">
        <v>9.3299999999999994E-2</v>
      </c>
      <c r="F45" s="372">
        <v>7.000000000000001E-4</v>
      </c>
      <c r="G45" s="372">
        <v>2.8999999999999998E-3</v>
      </c>
      <c r="H45" s="372"/>
      <c r="I45" s="372">
        <v>0.10580000000000001</v>
      </c>
      <c r="J45" s="372">
        <v>2.9100000000000001E-2</v>
      </c>
      <c r="K45" s="372">
        <v>1.9E-3</v>
      </c>
      <c r="L45" s="372">
        <v>2.9999999999999997E-4</v>
      </c>
      <c r="M45" s="372">
        <v>7.3000000000000001E-3</v>
      </c>
      <c r="N45" s="372">
        <v>2.9999999999999997E-4</v>
      </c>
      <c r="O45" s="373">
        <v>4.87</v>
      </c>
      <c r="P45" s="373">
        <v>15.5</v>
      </c>
      <c r="Q45" s="373"/>
      <c r="R45" s="373">
        <v>17.14</v>
      </c>
      <c r="S45" s="373"/>
      <c r="T45" s="373">
        <v>0.04</v>
      </c>
      <c r="U45" s="373">
        <v>0.06</v>
      </c>
      <c r="V45" s="417"/>
      <c r="W45" s="419" t="str">
        <f t="shared" ref="W45:W54" si="28">IFERROR(IF(V45/D45=0,"",V45/D45),"")</f>
        <v/>
      </c>
      <c r="X45" s="419" t="str">
        <f t="shared" si="27"/>
        <v/>
      </c>
      <c r="Y45" s="263"/>
      <c r="Z45" s="263"/>
      <c r="AA45" s="263"/>
      <c r="AB45" s="263"/>
      <c r="AC45" s="267"/>
      <c r="AD45" s="267"/>
      <c r="AE45" s="267"/>
      <c r="AZ45" s="348"/>
      <c r="BA45" s="262"/>
      <c r="BG45" s="318"/>
      <c r="BH45" s="319"/>
      <c r="BI45" s="320"/>
      <c r="BJ45" s="321"/>
      <c r="BK45" s="321"/>
      <c r="BL45" s="321"/>
      <c r="BM45" s="325" t="s">
        <v>459</v>
      </c>
      <c r="BN45" s="343">
        <v>0.77300000000000002</v>
      </c>
      <c r="BO45" s="341"/>
      <c r="BP45" s="328"/>
      <c r="BQ45" s="321"/>
      <c r="BR45" s="322"/>
      <c r="BS45" s="323"/>
      <c r="BT45" s="344"/>
      <c r="BX45" s="323"/>
      <c r="BY45" s="337"/>
      <c r="CC45" s="274"/>
      <c r="CD45" s="323"/>
      <c r="CE45" s="337"/>
      <c r="CF45" s="325"/>
      <c r="CG45" s="343">
        <v>0.3</v>
      </c>
      <c r="CH45" s="339"/>
      <c r="CI45" s="274"/>
      <c r="CJ45" s="323"/>
      <c r="CK45" s="323"/>
      <c r="CL45" s="332" t="e">
        <f>(CM44+(BN58-(CM44*0.64))/0.8)/1000</f>
        <v>#VALUE!</v>
      </c>
      <c r="CM45" s="330" t="e">
        <f>-53.07 + (304.89 * (CL45)) + (90.79 *K10) - (3.13 * K10*K10)</f>
        <v>#VALUE!</v>
      </c>
      <c r="CN45" s="323"/>
      <c r="CO45" s="323"/>
      <c r="CP45" s="323"/>
    </row>
    <row r="46" spans="1:215" ht="15" customHeight="1" x14ac:dyDescent="0.25">
      <c r="A46" s="267"/>
      <c r="B46" s="391" t="s">
        <v>719</v>
      </c>
      <c r="C46" s="376">
        <v>0.90659999999999996</v>
      </c>
      <c r="D46" s="376">
        <v>0.95620000000000005</v>
      </c>
      <c r="E46" s="376">
        <v>0.22940000000000002</v>
      </c>
      <c r="F46" s="376">
        <v>2.7000000000000001E-3</v>
      </c>
      <c r="G46" s="376">
        <v>7.4000000000000003E-3</v>
      </c>
      <c r="H46" s="376"/>
      <c r="I46" s="376">
        <v>0.41700000000000004</v>
      </c>
      <c r="J46" s="376">
        <v>0.2006</v>
      </c>
      <c r="K46" s="376">
        <v>5.1999999999999998E-3</v>
      </c>
      <c r="L46" s="376">
        <v>1.1999999999999999E-3</v>
      </c>
      <c r="M46" s="376">
        <v>9.1000000000000004E-3</v>
      </c>
      <c r="N46" s="376">
        <v>0</v>
      </c>
      <c r="O46" s="377"/>
      <c r="P46" s="377"/>
      <c r="Q46" s="377"/>
      <c r="R46" s="377"/>
      <c r="S46" s="377"/>
      <c r="T46" s="377"/>
      <c r="U46" s="377"/>
      <c r="V46" s="418"/>
      <c r="W46" s="419" t="str">
        <f t="shared" si="28"/>
        <v/>
      </c>
      <c r="X46" s="419" t="str">
        <f t="shared" si="27"/>
        <v/>
      </c>
      <c r="Y46" s="263"/>
      <c r="Z46" s="263"/>
      <c r="AA46" s="263"/>
      <c r="AB46" s="263"/>
      <c r="AC46" s="267"/>
      <c r="AD46" s="267"/>
      <c r="AE46" s="267"/>
      <c r="BA46" s="262"/>
      <c r="BG46" s="318"/>
      <c r="BH46" s="319"/>
      <c r="BI46" s="320"/>
      <c r="BJ46" s="321"/>
      <c r="BK46" s="321"/>
      <c r="BL46" s="321"/>
      <c r="BM46" s="325" t="s">
        <v>464</v>
      </c>
      <c r="BN46" s="343">
        <v>0.73499999999999999</v>
      </c>
      <c r="BO46" s="341"/>
      <c r="BP46" s="328"/>
      <c r="BQ46" s="321"/>
      <c r="BR46" s="322"/>
      <c r="BS46" s="323"/>
      <c r="BT46" s="344"/>
      <c r="BX46" s="323"/>
      <c r="BY46" s="337"/>
      <c r="CB46" s="339"/>
      <c r="CC46" s="274"/>
      <c r="CD46" s="323"/>
      <c r="CE46" s="337"/>
      <c r="CF46" s="325" t="s">
        <v>456</v>
      </c>
      <c r="CG46" s="338" t="s">
        <v>442</v>
      </c>
      <c r="CH46" s="339" t="e">
        <f>BJ231</f>
        <v>#VALUE!</v>
      </c>
      <c r="CI46" s="274" t="s">
        <v>211</v>
      </c>
      <c r="CJ46" s="323"/>
      <c r="CK46" s="323"/>
      <c r="CL46" s="332" t="e">
        <f>(CM45+(BN58-(CM45*0.64))/0.8)/1000</f>
        <v>#VALUE!</v>
      </c>
      <c r="CM46" s="330" t="e">
        <f>-53.07 + (304.89 * (CL46)) + (90.79 *K10) - (3.13 * K10*K10)</f>
        <v>#VALUE!</v>
      </c>
      <c r="CN46" s="323"/>
      <c r="CO46" s="323"/>
      <c r="CP46" s="323"/>
    </row>
    <row r="47" spans="1:215" ht="15" customHeight="1" x14ac:dyDescent="0.25">
      <c r="A47" s="267"/>
      <c r="B47" s="391" t="s">
        <v>720</v>
      </c>
      <c r="C47" s="376">
        <v>0.8970999999999999</v>
      </c>
      <c r="D47" s="376">
        <v>0.77079999999999993</v>
      </c>
      <c r="E47" s="376">
        <v>0.31480000000000002</v>
      </c>
      <c r="F47" s="376">
        <v>2.5999999999999999E-3</v>
      </c>
      <c r="G47" s="376">
        <v>7.8000000000000005E-3</v>
      </c>
      <c r="H47" s="376"/>
      <c r="I47" s="376">
        <v>0.33260000000000001</v>
      </c>
      <c r="J47" s="376">
        <v>1.9900000000000001E-2</v>
      </c>
      <c r="K47" s="376">
        <v>5.4000000000000003E-3</v>
      </c>
      <c r="L47" s="376">
        <v>4.0000000000000002E-4</v>
      </c>
      <c r="M47" s="376">
        <v>1.2699999999999999E-2</v>
      </c>
      <c r="N47" s="376">
        <v>2.2000000000000001E-3</v>
      </c>
      <c r="O47" s="377">
        <v>18.79</v>
      </c>
      <c r="P47" s="377">
        <v>62.42</v>
      </c>
      <c r="Q47" s="377"/>
      <c r="R47" s="377">
        <v>23.68</v>
      </c>
      <c r="S47" s="377"/>
      <c r="T47" s="377">
        <v>0.51</v>
      </c>
      <c r="U47" s="377"/>
      <c r="V47" s="418"/>
      <c r="W47" s="419" t="str">
        <f t="shared" si="28"/>
        <v/>
      </c>
      <c r="X47" s="419" t="str">
        <f t="shared" si="27"/>
        <v/>
      </c>
      <c r="Y47" s="263"/>
      <c r="Z47" s="263"/>
      <c r="AA47" s="263"/>
      <c r="AB47" s="263"/>
      <c r="AC47" s="267"/>
      <c r="AD47" s="267"/>
      <c r="AE47" s="267"/>
      <c r="BA47" s="262"/>
      <c r="BG47" s="321"/>
      <c r="BH47" s="321"/>
      <c r="BI47" s="321"/>
      <c r="BJ47" s="321"/>
      <c r="BK47" s="321"/>
      <c r="BL47" s="321"/>
      <c r="BM47" s="325" t="s">
        <v>468</v>
      </c>
      <c r="BN47" s="343">
        <v>0.86799999999999999</v>
      </c>
      <c r="BO47" s="341"/>
      <c r="BP47" s="328"/>
      <c r="BQ47" s="321"/>
      <c r="BR47" s="322"/>
      <c r="BS47" s="323"/>
      <c r="BT47" s="344"/>
      <c r="BX47" s="323"/>
      <c r="BY47" s="337"/>
      <c r="CC47" s="274"/>
      <c r="CD47" s="323"/>
      <c r="CE47" s="337"/>
      <c r="CF47" s="325"/>
      <c r="CG47" s="343">
        <v>0.37</v>
      </c>
      <c r="CH47" s="339"/>
      <c r="CI47" s="274"/>
      <c r="CJ47" s="323"/>
      <c r="CK47" s="323"/>
      <c r="CL47" s="332" t="e">
        <f>(CM46+(BN58-(CM46*0.64))/0.8)/1000</f>
        <v>#VALUE!</v>
      </c>
      <c r="CM47" s="330" t="e">
        <f>-53.07 + (304.89 * (CL47)) + (90.79 *K10) - (3.13 * K10*K10)</f>
        <v>#VALUE!</v>
      </c>
      <c r="CN47" s="323"/>
      <c r="CO47" s="323"/>
      <c r="CP47" s="323"/>
    </row>
    <row r="48" spans="1:215" ht="15" customHeight="1" x14ac:dyDescent="0.25">
      <c r="A48" s="267"/>
      <c r="B48" s="391" t="s">
        <v>721</v>
      </c>
      <c r="C48" s="376">
        <v>0.89739999999999998</v>
      </c>
      <c r="D48" s="376">
        <v>0.75709999999999988</v>
      </c>
      <c r="E48" s="376">
        <v>0.39630000000000004</v>
      </c>
      <c r="F48" s="376">
        <v>2.3999999999999998E-3</v>
      </c>
      <c r="G48" s="376">
        <v>9.7000000000000003E-3</v>
      </c>
      <c r="H48" s="376"/>
      <c r="I48" s="376">
        <v>0.29460000000000003</v>
      </c>
      <c r="J48" s="376">
        <v>1.46E-2</v>
      </c>
      <c r="K48" s="376"/>
      <c r="L48" s="376"/>
      <c r="M48" s="376"/>
      <c r="N48" s="376"/>
      <c r="O48" s="377">
        <v>11.19</v>
      </c>
      <c r="P48" s="377">
        <v>11.8</v>
      </c>
      <c r="Q48" s="377"/>
      <c r="R48" s="377">
        <v>33.93</v>
      </c>
      <c r="S48" s="377"/>
      <c r="T48" s="377"/>
      <c r="U48" s="377"/>
      <c r="V48" s="418"/>
      <c r="W48" s="419" t="str">
        <f t="shared" si="28"/>
        <v/>
      </c>
      <c r="X48" s="419" t="str">
        <f t="shared" si="27"/>
        <v/>
      </c>
      <c r="Y48" s="263"/>
      <c r="Z48" s="263"/>
      <c r="AA48" s="263"/>
      <c r="AB48" s="263"/>
      <c r="AC48" s="267"/>
      <c r="AD48" s="267"/>
      <c r="AE48" s="267"/>
      <c r="BA48" s="262"/>
      <c r="BG48" s="318"/>
      <c r="BH48" s="319"/>
      <c r="BI48" s="320"/>
      <c r="BJ48" s="321"/>
      <c r="BK48" s="321"/>
      <c r="BL48" s="321"/>
      <c r="BM48" s="325" t="s">
        <v>472</v>
      </c>
      <c r="BN48" s="343">
        <v>0.78400000000000003</v>
      </c>
      <c r="BO48" s="341"/>
      <c r="BP48" s="328"/>
      <c r="BQ48" s="321"/>
      <c r="BR48" s="322"/>
      <c r="BS48" s="323"/>
      <c r="BT48" s="344"/>
      <c r="BU48" s="326"/>
      <c r="BW48" s="323"/>
      <c r="BX48" s="323"/>
      <c r="BY48" s="337"/>
      <c r="CB48" s="339"/>
      <c r="CC48" s="274"/>
      <c r="CD48" s="323"/>
      <c r="CE48" s="337"/>
      <c r="CF48" s="325" t="s">
        <v>458</v>
      </c>
      <c r="CG48" s="338" t="s">
        <v>442</v>
      </c>
      <c r="CH48" s="339" t="e">
        <f>BJ236</f>
        <v>#VALUE!</v>
      </c>
      <c r="CI48" s="274" t="s">
        <v>211</v>
      </c>
      <c r="CJ48" s="323"/>
      <c r="CK48" s="323"/>
      <c r="CL48" s="332" t="e">
        <f>(CM47+(BN58-(CM47*0.64))/0.8)/1000</f>
        <v>#VALUE!</v>
      </c>
      <c r="CM48" s="330" t="e">
        <f>-53.07 + (304.89 * (CL48)) + (90.79 *K10) - (3.13 * K10*K10)</f>
        <v>#VALUE!</v>
      </c>
      <c r="CN48" s="323"/>
      <c r="CO48" s="323"/>
      <c r="CP48" s="323"/>
    </row>
    <row r="49" spans="1:94" ht="15" customHeight="1" x14ac:dyDescent="0.25">
      <c r="A49" s="267"/>
      <c r="B49" s="391" t="s">
        <v>722</v>
      </c>
      <c r="C49" s="376">
        <v>0.90480000000000005</v>
      </c>
      <c r="D49" s="376">
        <v>0.81879999999999997</v>
      </c>
      <c r="E49" s="376">
        <v>0.29719999999999996</v>
      </c>
      <c r="F49" s="376">
        <v>2.8000000000000004E-3</v>
      </c>
      <c r="G49" s="376">
        <v>5.7999999999999996E-3</v>
      </c>
      <c r="H49" s="376"/>
      <c r="I49" s="376">
        <v>0.4521</v>
      </c>
      <c r="J49" s="376">
        <v>9.3000000000000013E-2</v>
      </c>
      <c r="K49" s="376"/>
      <c r="L49" s="376"/>
      <c r="M49" s="376"/>
      <c r="N49" s="376"/>
      <c r="O49" s="377"/>
      <c r="P49" s="377"/>
      <c r="Q49" s="377"/>
      <c r="R49" s="377"/>
      <c r="S49" s="377"/>
      <c r="T49" s="377"/>
      <c r="U49" s="377"/>
      <c r="V49" s="418"/>
      <c r="W49" s="419" t="str">
        <f t="shared" si="28"/>
        <v/>
      </c>
      <c r="X49" s="419" t="str">
        <f t="shared" si="27"/>
        <v/>
      </c>
      <c r="Y49" s="263"/>
      <c r="Z49" s="263"/>
      <c r="AA49" s="263"/>
      <c r="AB49" s="263"/>
      <c r="AC49" s="267"/>
      <c r="AD49" s="267"/>
      <c r="AE49" s="267"/>
      <c r="BA49" s="262"/>
      <c r="BG49" s="318"/>
      <c r="BH49" s="319"/>
      <c r="BI49" s="319"/>
      <c r="BJ49" s="321"/>
      <c r="BK49" s="321"/>
      <c r="BL49" s="321"/>
      <c r="BM49" s="325" t="s">
        <v>475</v>
      </c>
      <c r="BN49" s="343">
        <v>0.73399999999999999</v>
      </c>
      <c r="BO49" s="341"/>
      <c r="BP49" s="328"/>
      <c r="BQ49" s="321"/>
      <c r="BR49" s="322"/>
      <c r="BS49" s="350"/>
      <c r="BT49" s="344"/>
      <c r="BU49" s="326"/>
      <c r="BV49" s="333"/>
      <c r="BW49" s="323"/>
      <c r="BX49" s="350"/>
      <c r="BY49" s="337"/>
      <c r="CC49" s="274"/>
      <c r="CD49" s="350"/>
      <c r="CE49" s="337"/>
      <c r="CF49" s="325"/>
      <c r="CG49" s="343">
        <v>0.57999999999999996</v>
      </c>
      <c r="CH49" s="339"/>
      <c r="CI49" s="274"/>
      <c r="CJ49" s="350"/>
      <c r="CK49" s="350"/>
      <c r="CL49" s="332" t="e">
        <f>(CM48+(BN58-(CM48*0.64))/0.8)/1000</f>
        <v>#VALUE!</v>
      </c>
      <c r="CM49" s="330" t="e">
        <f>-53.07 + (304.89 * (CL49)) + (90.79 *K10) - (3.13 * K10*K10)</f>
        <v>#VALUE!</v>
      </c>
      <c r="CN49" s="350"/>
      <c r="CO49" s="350"/>
      <c r="CP49" s="350"/>
    </row>
    <row r="50" spans="1:94" ht="15" customHeight="1" x14ac:dyDescent="0.25">
      <c r="A50" s="267"/>
      <c r="B50" s="391" t="s">
        <v>734</v>
      </c>
      <c r="C50" s="376">
        <v>0.89280000000000004</v>
      </c>
      <c r="D50" s="376">
        <v>0.81090000000000007</v>
      </c>
      <c r="E50" s="376">
        <v>0.17929999999999999</v>
      </c>
      <c r="F50" s="376">
        <v>4.0000000000000002E-4</v>
      </c>
      <c r="G50" s="376">
        <v>6.7000000000000002E-3</v>
      </c>
      <c r="H50" s="376"/>
      <c r="I50" s="376">
        <v>0.42670000000000002</v>
      </c>
      <c r="J50" s="376">
        <v>8.6099999999999996E-2</v>
      </c>
      <c r="K50" s="376"/>
      <c r="L50" s="376"/>
      <c r="M50" s="376"/>
      <c r="N50" s="376"/>
      <c r="O50" s="377"/>
      <c r="P50" s="377"/>
      <c r="Q50" s="377"/>
      <c r="R50" s="377"/>
      <c r="S50" s="377"/>
      <c r="T50" s="377"/>
      <c r="U50" s="377"/>
      <c r="V50" s="418"/>
      <c r="W50" s="419" t="str">
        <f t="shared" si="28"/>
        <v/>
      </c>
      <c r="X50" s="419" t="str">
        <f t="shared" si="27"/>
        <v/>
      </c>
      <c r="Y50" s="263"/>
      <c r="Z50" s="263"/>
      <c r="AA50" s="263"/>
      <c r="AB50" s="263"/>
      <c r="AC50" s="267"/>
      <c r="AD50" s="267"/>
      <c r="AE50" s="267"/>
      <c r="BA50" s="262"/>
      <c r="BG50" s="318"/>
      <c r="BH50" s="351"/>
      <c r="BI50" s="351"/>
      <c r="BJ50" s="352"/>
      <c r="BK50" s="321"/>
      <c r="BL50" s="321"/>
      <c r="BM50" s="325" t="s">
        <v>479</v>
      </c>
      <c r="BN50" s="343">
        <v>0.439</v>
      </c>
      <c r="BO50" s="341"/>
      <c r="BP50" s="328"/>
      <c r="BQ50" s="321"/>
      <c r="BR50" s="322"/>
      <c r="BS50" s="323"/>
      <c r="BT50" s="323"/>
      <c r="BU50" s="274"/>
      <c r="BV50" s="323"/>
      <c r="BW50" s="323"/>
      <c r="BX50" s="323"/>
      <c r="BY50" s="337"/>
      <c r="CB50" s="339"/>
      <c r="CC50" s="274"/>
      <c r="CD50" s="323"/>
      <c r="CE50" s="337"/>
      <c r="CF50" s="325" t="s">
        <v>461</v>
      </c>
      <c r="CG50" s="338" t="s">
        <v>442</v>
      </c>
      <c r="CH50" s="339" t="e">
        <f>BJ241</f>
        <v>#VALUE!</v>
      </c>
      <c r="CI50" s="274" t="s">
        <v>211</v>
      </c>
      <c r="CJ50" s="323"/>
      <c r="CK50" s="323"/>
      <c r="CL50" s="332" t="e">
        <f>(CM49+(BN58-(CM49*0.64))/0.8)/1000</f>
        <v>#VALUE!</v>
      </c>
      <c r="CM50" s="330" t="e">
        <f>-53.07 + (304.89 * (CL50)) + (90.79 *K10) - (3.13 * K10*K10)</f>
        <v>#VALUE!</v>
      </c>
      <c r="CN50" s="323"/>
      <c r="CO50" s="323"/>
      <c r="CP50" s="323"/>
    </row>
    <row r="51" spans="1:94" ht="15" customHeight="1" x14ac:dyDescent="0.25">
      <c r="A51" s="267"/>
      <c r="B51" s="391" t="s">
        <v>735</v>
      </c>
      <c r="C51" s="376">
        <v>0.88560000000000005</v>
      </c>
      <c r="D51" s="376">
        <v>0.7409</v>
      </c>
      <c r="E51" s="376">
        <v>0.32270000000000004</v>
      </c>
      <c r="F51" s="376">
        <v>2.2499999999999999E-2</v>
      </c>
      <c r="G51" s="376">
        <v>3.4000000000000002E-3</v>
      </c>
      <c r="H51" s="376"/>
      <c r="I51" s="376">
        <v>0.52390000000000003</v>
      </c>
      <c r="J51" s="376">
        <v>5.28E-2</v>
      </c>
      <c r="K51" s="376"/>
      <c r="L51" s="376"/>
      <c r="M51" s="376"/>
      <c r="N51" s="376"/>
      <c r="O51" s="377"/>
      <c r="P51" s="377"/>
      <c r="Q51" s="377"/>
      <c r="R51" s="377"/>
      <c r="S51" s="377"/>
      <c r="T51" s="377"/>
      <c r="U51" s="377"/>
      <c r="V51" s="418"/>
      <c r="W51" s="419" t="str">
        <f t="shared" si="28"/>
        <v/>
      </c>
      <c r="X51" s="419" t="str">
        <f t="shared" si="27"/>
        <v/>
      </c>
      <c r="Y51" s="263"/>
      <c r="Z51" s="263"/>
      <c r="AA51" s="263"/>
      <c r="AB51" s="263"/>
      <c r="AC51" s="267"/>
      <c r="AD51" s="267"/>
      <c r="AE51" s="267"/>
      <c r="BA51" s="262"/>
      <c r="BG51" s="318"/>
      <c r="BH51" s="319"/>
      <c r="BI51" s="320"/>
      <c r="BJ51" s="321"/>
      <c r="BK51" s="321"/>
      <c r="BL51" s="321"/>
      <c r="BM51" s="325" t="s">
        <v>482</v>
      </c>
      <c r="BN51" s="343">
        <v>0.497</v>
      </c>
      <c r="BO51" s="341"/>
      <c r="BP51" s="328"/>
      <c r="BQ51" s="321"/>
      <c r="BR51" s="322"/>
      <c r="BS51" s="323"/>
      <c r="BT51" s="323"/>
      <c r="BU51" s="274"/>
      <c r="BV51" s="323"/>
      <c r="BW51" s="323"/>
      <c r="BX51" s="323"/>
      <c r="BY51" s="323"/>
      <c r="CB51" s="323"/>
      <c r="CC51" s="323"/>
      <c r="CD51" s="323"/>
      <c r="CE51" s="337"/>
      <c r="CF51" s="325"/>
      <c r="CG51" s="343">
        <v>0.31</v>
      </c>
      <c r="CH51" s="339"/>
      <c r="CI51" s="274"/>
      <c r="CJ51" s="323"/>
      <c r="CK51" s="323"/>
      <c r="CL51" s="332" t="e">
        <f>(CM50+(BN58-(CM50*0.64))/0.8)/1000</f>
        <v>#VALUE!</v>
      </c>
      <c r="CM51" s="330" t="e">
        <f>-53.07 + (304.89 * (CL51)) + (90.79 *K10) - (3.13 * K10*K10)</f>
        <v>#VALUE!</v>
      </c>
      <c r="CN51" s="323"/>
      <c r="CO51" s="323"/>
      <c r="CP51" s="323"/>
    </row>
    <row r="52" spans="1:94" ht="15" customHeight="1" x14ac:dyDescent="0.25">
      <c r="A52" s="267"/>
      <c r="B52" s="389" t="s">
        <v>198</v>
      </c>
      <c r="C52" s="372">
        <v>0.88650000000000007</v>
      </c>
      <c r="D52" s="372">
        <v>0.79449999999999998</v>
      </c>
      <c r="E52" s="372">
        <v>0.48849999999999999</v>
      </c>
      <c r="F52" s="372">
        <v>3.4000000000000002E-3</v>
      </c>
      <c r="G52" s="372">
        <v>5.8999999999999999E-3</v>
      </c>
      <c r="H52" s="372"/>
      <c r="I52" s="372">
        <v>0.13100000000000001</v>
      </c>
      <c r="J52" s="372">
        <v>1.9299999999999998E-2</v>
      </c>
      <c r="K52" s="372">
        <v>2.8999999999999998E-3</v>
      </c>
      <c r="L52" s="372">
        <v>5.9999999999999995E-4</v>
      </c>
      <c r="M52" s="372">
        <v>2.0199999999999999E-2</v>
      </c>
      <c r="N52" s="372">
        <v>2.5999999999999999E-3</v>
      </c>
      <c r="O52" s="373">
        <v>18.96</v>
      </c>
      <c r="P52" s="373">
        <v>53.79</v>
      </c>
      <c r="Q52" s="373"/>
      <c r="R52" s="373">
        <v>35.380000000000003</v>
      </c>
      <c r="S52" s="373"/>
      <c r="T52" s="373">
        <v>0.27</v>
      </c>
      <c r="U52" s="373">
        <v>0.13</v>
      </c>
      <c r="V52" s="417"/>
      <c r="W52" s="419" t="str">
        <f t="shared" si="28"/>
        <v/>
      </c>
      <c r="X52" s="419" t="str">
        <f t="shared" si="27"/>
        <v/>
      </c>
      <c r="Y52" s="263"/>
      <c r="Z52" s="263"/>
      <c r="AA52" s="263"/>
      <c r="AB52" s="263"/>
      <c r="AC52" s="267"/>
      <c r="AD52" s="267"/>
      <c r="AE52" s="267"/>
      <c r="BA52" s="262"/>
      <c r="BG52" s="318"/>
      <c r="BH52" s="319"/>
      <c r="BI52" s="319"/>
      <c r="BJ52" s="321"/>
      <c r="BK52" s="321"/>
      <c r="BL52" s="321"/>
      <c r="BM52" s="325" t="s">
        <v>484</v>
      </c>
      <c r="BN52" s="343">
        <v>0.48699999999999999</v>
      </c>
      <c r="BO52" s="341"/>
      <c r="BP52" s="328"/>
      <c r="BQ52" s="321"/>
      <c r="BR52" s="322"/>
      <c r="BS52" s="323"/>
      <c r="BT52" s="344"/>
      <c r="BX52" s="323"/>
      <c r="BY52" s="337"/>
      <c r="CD52" s="323"/>
      <c r="CE52" s="337"/>
      <c r="CF52" s="325" t="s">
        <v>465</v>
      </c>
      <c r="CG52" s="338" t="s">
        <v>442</v>
      </c>
      <c r="CH52" s="339" t="e">
        <f>BJ246</f>
        <v>#VALUE!</v>
      </c>
      <c r="CI52" s="274" t="s">
        <v>211</v>
      </c>
      <c r="CJ52" s="323"/>
      <c r="CK52" s="323"/>
      <c r="CL52" s="332" t="e">
        <f>(CM51+(BN58-(CM51*0.64))/0.8)/1000</f>
        <v>#VALUE!</v>
      </c>
      <c r="CM52" s="330" t="e">
        <f>-53.07 + (304.89 * (CL52)) + (90.79 *K10) - (3.13 * K10*K10)</f>
        <v>#VALUE!</v>
      </c>
      <c r="CN52" s="323"/>
      <c r="CO52" s="323"/>
      <c r="CP52" s="323"/>
    </row>
    <row r="53" spans="1:94" ht="15" customHeight="1" x14ac:dyDescent="0.25">
      <c r="A53" s="267"/>
      <c r="B53" s="389" t="s">
        <v>736</v>
      </c>
      <c r="C53" s="372">
        <v>0.99</v>
      </c>
      <c r="D53" s="372"/>
      <c r="E53" s="372"/>
      <c r="F53" s="372"/>
      <c r="G53" s="372"/>
      <c r="H53" s="372"/>
      <c r="I53" s="372"/>
      <c r="J53" s="372"/>
      <c r="K53" s="372"/>
      <c r="L53" s="372">
        <v>0.39</v>
      </c>
      <c r="M53" s="372"/>
      <c r="N53" s="372"/>
      <c r="O53" s="373">
        <v>1.34</v>
      </c>
      <c r="P53" s="373">
        <v>9.9</v>
      </c>
      <c r="Q53" s="373"/>
      <c r="R53" s="373">
        <v>2.71</v>
      </c>
      <c r="S53" s="373"/>
      <c r="T53" s="373"/>
      <c r="U53" s="373"/>
      <c r="V53" s="417"/>
      <c r="W53" s="419" t="str">
        <f t="shared" si="28"/>
        <v/>
      </c>
      <c r="X53" s="419" t="str">
        <f t="shared" si="27"/>
        <v/>
      </c>
      <c r="Y53" s="263"/>
      <c r="Z53" s="263"/>
      <c r="AA53" s="263"/>
      <c r="AB53" s="263"/>
      <c r="AC53" s="267"/>
      <c r="AD53" s="267"/>
      <c r="AE53" s="267"/>
      <c r="BA53" s="262"/>
      <c r="BG53" s="318"/>
      <c r="BH53" s="319"/>
      <c r="BI53" s="319"/>
      <c r="BJ53" s="321"/>
      <c r="BK53" s="321"/>
      <c r="BL53" s="321"/>
      <c r="BM53" s="325" t="s">
        <v>486</v>
      </c>
      <c r="BN53" s="343">
        <v>0.66800000000000004</v>
      </c>
      <c r="BO53" s="341"/>
      <c r="BP53" s="328"/>
      <c r="BQ53" s="321"/>
      <c r="BR53" s="322"/>
      <c r="BS53" s="323"/>
      <c r="BT53" s="344"/>
      <c r="BX53" s="323"/>
      <c r="BY53" s="337"/>
      <c r="BZ53" s="323"/>
      <c r="CA53" s="323"/>
      <c r="CB53" s="339"/>
      <c r="CC53" s="274"/>
      <c r="CD53" s="323"/>
      <c r="CE53" s="337"/>
      <c r="CF53" s="325"/>
      <c r="CG53" s="343">
        <v>0.34</v>
      </c>
      <c r="CH53" s="339"/>
      <c r="CI53" s="274"/>
      <c r="CJ53" s="323"/>
      <c r="CK53" s="323"/>
      <c r="CL53" s="332" t="e">
        <f>(CM52+(BN58-(CM52*0.64))/0.8)/1000</f>
        <v>#VALUE!</v>
      </c>
      <c r="CM53" s="330" t="e">
        <f>-53.07 + (304.89 * (CL53)) + (90.79 *K10) - (3.13 * K10*K10)</f>
        <v>#VALUE!</v>
      </c>
      <c r="CN53" s="323"/>
      <c r="CO53" s="323"/>
      <c r="CP53" s="323"/>
    </row>
    <row r="54" spans="1:94" ht="15" customHeight="1" thickBot="1" x14ac:dyDescent="0.3">
      <c r="A54" s="267"/>
      <c r="B54" s="467"/>
      <c r="C54" s="468"/>
      <c r="D54" s="468"/>
      <c r="E54" s="468"/>
      <c r="F54" s="468"/>
      <c r="G54" s="468"/>
      <c r="H54" s="468"/>
      <c r="I54" s="468"/>
      <c r="J54" s="468"/>
      <c r="K54" s="468"/>
      <c r="L54" s="468"/>
      <c r="M54" s="468"/>
      <c r="N54" s="468"/>
      <c r="O54" s="469"/>
      <c r="P54" s="469"/>
      <c r="Q54" s="469"/>
      <c r="R54" s="469"/>
      <c r="S54" s="469"/>
      <c r="T54" s="469"/>
      <c r="U54" s="469"/>
      <c r="V54" s="470"/>
      <c r="W54" s="471" t="str">
        <f t="shared" si="28"/>
        <v/>
      </c>
      <c r="X54" s="471" t="str">
        <f t="shared" si="27"/>
        <v/>
      </c>
      <c r="Y54" s="263"/>
      <c r="Z54" s="263"/>
      <c r="AA54" s="263"/>
      <c r="AB54" s="263"/>
      <c r="AC54" s="267"/>
      <c r="AD54" s="267"/>
      <c r="AE54" s="267"/>
      <c r="BA54" s="262"/>
      <c r="BG54" s="318"/>
      <c r="BH54" s="319"/>
      <c r="BI54" s="320"/>
      <c r="BJ54" s="321"/>
      <c r="BK54" s="321"/>
      <c r="BL54" s="321"/>
      <c r="BN54" s="340"/>
      <c r="BO54" s="341"/>
      <c r="BP54" s="328"/>
      <c r="BQ54" s="321"/>
      <c r="BR54" s="322"/>
      <c r="BS54" s="323"/>
      <c r="BT54" s="344"/>
      <c r="BX54" s="323"/>
      <c r="BY54" s="337"/>
      <c r="BZ54" s="323"/>
      <c r="CA54" s="323"/>
      <c r="CD54" s="323"/>
      <c r="CE54" s="337"/>
      <c r="CF54" s="325" t="s">
        <v>469</v>
      </c>
      <c r="CG54" s="338" t="s">
        <v>442</v>
      </c>
      <c r="CH54" s="339" t="e">
        <f>BJ251</f>
        <v>#VALUE!</v>
      </c>
      <c r="CI54" s="274" t="s">
        <v>211</v>
      </c>
      <c r="CJ54" s="323"/>
      <c r="CK54" s="323"/>
      <c r="CL54" s="332" t="e">
        <f>(CM53+(BN58-(CM53*0.64))/0.8)/1000</f>
        <v>#VALUE!</v>
      </c>
      <c r="CM54" s="330" t="e">
        <f>-53.07 + (304.89 * (CL54)) + (90.79 *K10) - (3.13 * K10*K10)</f>
        <v>#VALUE!</v>
      </c>
      <c r="CN54" s="323"/>
      <c r="CO54" s="323"/>
      <c r="CP54" s="323"/>
    </row>
    <row r="55" spans="1:94" ht="29.25" customHeight="1" thickBot="1" x14ac:dyDescent="0.3">
      <c r="A55" s="267"/>
      <c r="B55" s="346" t="s">
        <v>165</v>
      </c>
      <c r="C55" s="347"/>
      <c r="D55" s="347"/>
      <c r="E55" s="347"/>
      <c r="F55" s="347"/>
      <c r="G55" s="347"/>
      <c r="H55" s="347"/>
      <c r="I55" s="347"/>
      <c r="J55" s="347"/>
      <c r="K55" s="347"/>
      <c r="L55" s="347"/>
      <c r="M55" s="347"/>
      <c r="N55" s="347"/>
      <c r="O55" s="347"/>
      <c r="P55" s="347"/>
      <c r="Q55" s="347"/>
      <c r="R55" s="347"/>
      <c r="S55" s="347"/>
      <c r="T55" s="347"/>
      <c r="U55" s="347"/>
      <c r="V55" s="347"/>
      <c r="W55" s="347"/>
      <c r="X55" s="263"/>
      <c r="Y55" s="263"/>
      <c r="Z55" s="263"/>
      <c r="AA55" s="263"/>
      <c r="AB55" s="263"/>
      <c r="AC55" s="267"/>
      <c r="AD55" s="267"/>
      <c r="AE55" s="267"/>
      <c r="BA55" s="262"/>
      <c r="BG55" s="318"/>
      <c r="BH55" s="319"/>
      <c r="BI55" s="319"/>
      <c r="BJ55" s="321"/>
      <c r="BK55" s="321"/>
      <c r="BL55" s="321"/>
      <c r="BM55" s="326" t="s">
        <v>463</v>
      </c>
      <c r="BN55" s="353" t="e">
        <f>IF(C13="Pasto",3.9*BJ69^0.75,3.6*BJ69^0.75)</f>
        <v>#VALUE!</v>
      </c>
      <c r="BO55" s="323" t="s">
        <v>211</v>
      </c>
      <c r="BP55" s="323"/>
      <c r="BQ55" s="354"/>
      <c r="BR55" s="264"/>
      <c r="BS55" s="323"/>
      <c r="BT55" s="344"/>
      <c r="BX55" s="323"/>
      <c r="BY55" s="337"/>
      <c r="BZ55" s="323"/>
      <c r="CA55" s="323"/>
      <c r="CB55" s="339"/>
      <c r="CC55" s="274"/>
      <c r="CD55" s="323"/>
      <c r="CE55" s="337"/>
      <c r="CF55" s="325"/>
      <c r="CG55" s="343">
        <v>0.39</v>
      </c>
      <c r="CH55" s="339"/>
      <c r="CI55" s="274"/>
      <c r="CJ55" s="323"/>
      <c r="CK55" s="323"/>
      <c r="CL55" s="332" t="e">
        <f>(CM54+(BN58-(CM54*0.64))/0.8)/1000</f>
        <v>#VALUE!</v>
      </c>
      <c r="CM55" s="330" t="e">
        <f>-53.07 + (304.89 * (CL55)) + (90.79 *K10) - (3.13 * K10*K10)</f>
        <v>#VALUE!</v>
      </c>
      <c r="CN55" s="323"/>
      <c r="CO55" s="323"/>
      <c r="CP55" s="323"/>
    </row>
    <row r="56" spans="1:94" ht="15.75" thickBot="1" x14ac:dyDescent="0.3">
      <c r="A56" s="267"/>
      <c r="B56" s="349" t="s">
        <v>261</v>
      </c>
      <c r="C56" s="349" t="s">
        <v>262</v>
      </c>
      <c r="D56" s="349" t="s">
        <v>263</v>
      </c>
      <c r="E56" s="349" t="s">
        <v>264</v>
      </c>
      <c r="F56" s="349" t="s">
        <v>265</v>
      </c>
      <c r="G56" s="349" t="s">
        <v>266</v>
      </c>
      <c r="H56" s="349" t="s">
        <v>267</v>
      </c>
      <c r="I56" s="349" t="s">
        <v>268</v>
      </c>
      <c r="J56" s="349" t="s">
        <v>269</v>
      </c>
      <c r="K56" s="349" t="s">
        <v>270</v>
      </c>
      <c r="L56" s="349" t="s">
        <v>271</v>
      </c>
      <c r="M56" s="349" t="s">
        <v>272</v>
      </c>
      <c r="N56" s="349" t="s">
        <v>273</v>
      </c>
      <c r="O56" s="349" t="s">
        <v>227</v>
      </c>
      <c r="P56" s="349" t="s">
        <v>228</v>
      </c>
      <c r="Q56" s="349" t="s">
        <v>274</v>
      </c>
      <c r="R56" s="349" t="s">
        <v>230</v>
      </c>
      <c r="S56" s="349" t="s">
        <v>231</v>
      </c>
      <c r="T56" s="349" t="s">
        <v>232</v>
      </c>
      <c r="U56" s="349" t="s">
        <v>233</v>
      </c>
      <c r="V56" s="349" t="s">
        <v>275</v>
      </c>
      <c r="W56" s="349" t="s">
        <v>276</v>
      </c>
      <c r="X56" s="263"/>
      <c r="Y56" s="263"/>
      <c r="Z56" s="263"/>
      <c r="AA56" s="263"/>
      <c r="AB56" s="263"/>
      <c r="AC56" s="267"/>
      <c r="AD56" s="267"/>
      <c r="AE56" s="267"/>
      <c r="BA56" s="262"/>
      <c r="BG56" s="318"/>
      <c r="BH56" s="319"/>
      <c r="BI56" s="319"/>
      <c r="BJ56" s="352"/>
      <c r="BK56" s="321"/>
      <c r="BL56" s="321"/>
      <c r="BM56" s="326" t="s">
        <v>466</v>
      </c>
      <c r="BN56" s="353" t="e">
        <f>176.01*BJ71-0.381*BJ75^0.75*BJ71^1.035</f>
        <v>#VALUE!</v>
      </c>
      <c r="BO56" s="323" t="s">
        <v>211</v>
      </c>
      <c r="BP56" s="323"/>
      <c r="BQ56" s="356"/>
      <c r="BR56" s="357"/>
      <c r="BS56" s="323"/>
      <c r="BT56" s="344"/>
      <c r="BX56" s="323"/>
      <c r="BY56" s="337"/>
      <c r="BZ56" s="323"/>
      <c r="CA56" s="323"/>
      <c r="CD56" s="323"/>
      <c r="CE56" s="337"/>
      <c r="CF56" s="325" t="s">
        <v>473</v>
      </c>
      <c r="CG56" s="338" t="s">
        <v>442</v>
      </c>
      <c r="CH56" s="339" t="e">
        <f>BJ256</f>
        <v>#VALUE!</v>
      </c>
      <c r="CI56" s="274" t="s">
        <v>211</v>
      </c>
      <c r="CJ56" s="323"/>
      <c r="CK56" s="323"/>
      <c r="CL56" s="332" t="e">
        <f>(CM55+(BN58-(CM55*0.64))/0.8)/1000</f>
        <v>#VALUE!</v>
      </c>
      <c r="CM56" s="330" t="e">
        <f>-53.07 + (304.89 * (CL56)) + (90.79 *K10) - (3.13 * K10*K10)</f>
        <v>#VALUE!</v>
      </c>
      <c r="CN56" s="323"/>
      <c r="CO56" s="323"/>
      <c r="CP56" s="323"/>
    </row>
    <row r="57" spans="1:94" x14ac:dyDescent="0.25">
      <c r="A57" s="267"/>
      <c r="B57" s="378" t="s">
        <v>203</v>
      </c>
      <c r="C57" s="379">
        <v>1</v>
      </c>
      <c r="D57" s="373"/>
      <c r="E57" s="373"/>
      <c r="F57" s="380">
        <v>160</v>
      </c>
      <c r="G57" s="380">
        <v>120</v>
      </c>
      <c r="H57" s="380"/>
      <c r="I57" s="380"/>
      <c r="J57" s="380"/>
      <c r="K57" s="380"/>
      <c r="L57" s="380"/>
      <c r="M57" s="380"/>
      <c r="N57" s="380">
        <v>80</v>
      </c>
      <c r="O57" s="380">
        <v>1250</v>
      </c>
      <c r="P57" s="380">
        <v>5000</v>
      </c>
      <c r="Q57" s="380"/>
      <c r="R57" s="380">
        <v>2500</v>
      </c>
      <c r="S57" s="380">
        <v>0.62</v>
      </c>
      <c r="T57" s="380">
        <v>12.5</v>
      </c>
      <c r="U57" s="380">
        <v>25</v>
      </c>
      <c r="V57" s="381"/>
      <c r="W57" s="420" t="str">
        <f>IF('Formulação de suplemento'!$V57/28.125/100=0,"",'Formulação de suplemento'!$V57/28.125/100)</f>
        <v/>
      </c>
      <c r="X57" s="263"/>
      <c r="Y57" s="263"/>
      <c r="Z57" s="263"/>
      <c r="AA57" s="263"/>
      <c r="AB57" s="263"/>
      <c r="AC57" s="267"/>
      <c r="AD57" s="267"/>
      <c r="AE57" s="267"/>
      <c r="BA57" s="262"/>
      <c r="BG57" s="318"/>
      <c r="BH57" s="319"/>
      <c r="BI57" s="319"/>
      <c r="BJ57" s="352"/>
      <c r="BK57" s="321"/>
      <c r="BL57" s="321"/>
      <c r="BM57" s="326" t="s">
        <v>467</v>
      </c>
      <c r="BN57" s="353" t="e">
        <f>BN56/IF(BJ69&lt;=340,84.665-0.1179*BJ75,47.4)*100</f>
        <v>#VALUE!</v>
      </c>
      <c r="BO57" s="323" t="s">
        <v>211</v>
      </c>
      <c r="BP57" s="323"/>
      <c r="BQ57" s="356"/>
      <c r="BR57" s="357"/>
      <c r="BS57" s="323"/>
      <c r="BT57" s="344"/>
      <c r="BX57" s="323"/>
      <c r="BY57" s="337"/>
      <c r="BZ57" s="323"/>
      <c r="CA57" s="323"/>
      <c r="CB57" s="339"/>
      <c r="CC57" s="274"/>
      <c r="CD57" s="323"/>
      <c r="CE57" s="337"/>
      <c r="CF57" s="325"/>
      <c r="CG57" s="343">
        <v>0.4</v>
      </c>
      <c r="CH57" s="339"/>
      <c r="CI57" s="274"/>
      <c r="CJ57" s="323"/>
      <c r="CK57" s="323"/>
      <c r="CL57" s="332" t="e">
        <f>(CM56+(BN58-(CM56*0.64))/0.8)/1000</f>
        <v>#VALUE!</v>
      </c>
      <c r="CM57" s="330" t="e">
        <f>-53.07 + (304.89 * (CL57)) + (90.79 *K10) - (3.13 * K10*K10)</f>
        <v>#VALUE!</v>
      </c>
      <c r="CN57" s="323"/>
      <c r="CO57" s="323"/>
      <c r="CP57" s="323"/>
    </row>
    <row r="58" spans="1:94" x14ac:dyDescent="0.25">
      <c r="A58" s="267"/>
      <c r="B58" s="378" t="s">
        <v>755</v>
      </c>
      <c r="C58" s="379">
        <v>1</v>
      </c>
      <c r="D58" s="373"/>
      <c r="E58" s="373"/>
      <c r="F58" s="380">
        <v>180</v>
      </c>
      <c r="G58" s="380">
        <v>29</v>
      </c>
      <c r="H58" s="380"/>
      <c r="I58" s="380"/>
      <c r="J58" s="380"/>
      <c r="K58" s="380">
        <v>10</v>
      </c>
      <c r="L58" s="380"/>
      <c r="M58" s="380"/>
      <c r="N58" s="380">
        <v>10</v>
      </c>
      <c r="O58" s="380">
        <v>1000</v>
      </c>
      <c r="P58" s="380">
        <v>3000</v>
      </c>
      <c r="Q58" s="380"/>
      <c r="R58" s="380">
        <v>300</v>
      </c>
      <c r="S58" s="380">
        <v>50</v>
      </c>
      <c r="T58" s="380">
        <v>90</v>
      </c>
      <c r="U58" s="380">
        <v>6.6</v>
      </c>
      <c r="V58" s="381"/>
      <c r="W58" s="421" t="str">
        <f>IF('Formulação de suplemento'!$V58/28.125/100=0,"",'Formulação de suplemento'!$V58/28.125/100)</f>
        <v/>
      </c>
      <c r="X58" s="263"/>
      <c r="Y58" s="263"/>
      <c r="Z58" s="263"/>
      <c r="AA58" s="263"/>
      <c r="AB58" s="263"/>
      <c r="AC58" s="267"/>
      <c r="AD58" s="267"/>
      <c r="AE58" s="267"/>
      <c r="BA58" s="262"/>
      <c r="BG58" s="318"/>
      <c r="BH58" s="319"/>
      <c r="BI58" s="320"/>
      <c r="BJ58" s="321"/>
      <c r="BK58" s="321"/>
      <c r="BL58" s="321"/>
      <c r="BM58" s="326" t="s">
        <v>470</v>
      </c>
      <c r="BN58" s="353" t="e">
        <f>BN57+BN55</f>
        <v>#VALUE!</v>
      </c>
      <c r="BO58" s="323" t="s">
        <v>211</v>
      </c>
      <c r="BP58" s="323"/>
      <c r="BQ58" s="359"/>
      <c r="BR58" s="360"/>
      <c r="BS58" s="323"/>
      <c r="BT58" s="344"/>
      <c r="BX58" s="323"/>
      <c r="BY58" s="337"/>
      <c r="BZ58" s="323"/>
      <c r="CA58" s="323"/>
      <c r="CD58" s="323"/>
      <c r="CE58" s="323"/>
      <c r="CF58" s="323"/>
      <c r="CG58" s="323"/>
      <c r="CH58" s="323"/>
      <c r="CI58" s="323"/>
      <c r="CJ58" s="323"/>
      <c r="CK58" s="323"/>
      <c r="CL58" s="332" t="e">
        <f>(CM57+(BN58-(CM57*0.64))/0.8)/1000</f>
        <v>#VALUE!</v>
      </c>
      <c r="CM58" s="330" t="e">
        <f>-53.07 + (304.89 * (CL58)) + (90.79 *K10) - (3.13 * K10*K10)</f>
        <v>#VALUE!</v>
      </c>
      <c r="CN58" s="323"/>
      <c r="CO58" s="323"/>
      <c r="CP58" s="323"/>
    </row>
    <row r="59" spans="1:94" ht="15" customHeight="1" x14ac:dyDescent="0.25">
      <c r="A59" s="267"/>
      <c r="B59" s="378"/>
      <c r="C59" s="379"/>
      <c r="D59" s="373"/>
      <c r="E59" s="373"/>
      <c r="F59" s="380"/>
      <c r="G59" s="380"/>
      <c r="H59" s="380"/>
      <c r="I59" s="380"/>
      <c r="J59" s="380"/>
      <c r="K59" s="380"/>
      <c r="L59" s="380"/>
      <c r="M59" s="380"/>
      <c r="N59" s="380"/>
      <c r="O59" s="380"/>
      <c r="P59" s="380"/>
      <c r="Q59" s="380"/>
      <c r="R59" s="380"/>
      <c r="S59" s="380"/>
      <c r="T59" s="380"/>
      <c r="U59" s="380"/>
      <c r="V59" s="381"/>
      <c r="W59" s="420" t="str">
        <f>IF('Formulação de suplemento'!$V59/28.125/100=0,"",'Formulação de suplemento'!$V59/28.125/100)</f>
        <v/>
      </c>
      <c r="X59" s="263"/>
      <c r="Y59" s="263"/>
      <c r="Z59" s="263"/>
      <c r="AA59" s="263"/>
      <c r="AB59" s="263"/>
      <c r="AC59" s="267"/>
      <c r="AD59" s="267"/>
      <c r="AE59" s="267"/>
      <c r="BA59" s="262"/>
      <c r="BG59" s="318"/>
      <c r="BH59" s="319"/>
      <c r="BI59" s="319"/>
      <c r="BJ59" s="321"/>
      <c r="BK59" s="321"/>
      <c r="BL59" s="321"/>
      <c r="BM59" s="326" t="s">
        <v>471</v>
      </c>
      <c r="BN59" s="353" t="e">
        <f>CM132</f>
        <v>#VALUE!</v>
      </c>
      <c r="BO59" s="323" t="s">
        <v>211</v>
      </c>
      <c r="BP59" s="323"/>
      <c r="BQ59" s="354"/>
      <c r="BR59" s="264"/>
      <c r="BS59" s="323"/>
      <c r="BT59" s="344"/>
      <c r="BX59" s="323"/>
      <c r="BY59" s="337"/>
      <c r="BZ59" s="323"/>
      <c r="CA59" s="323"/>
      <c r="CB59" s="361"/>
      <c r="CC59" s="274"/>
      <c r="CD59" s="323"/>
      <c r="CE59" s="344" t="s">
        <v>477</v>
      </c>
      <c r="CF59" s="325" t="s">
        <v>478</v>
      </c>
      <c r="CG59" s="338" t="s">
        <v>442</v>
      </c>
      <c r="CH59" s="339" t="e">
        <f>BJ261</f>
        <v>#VALUE!</v>
      </c>
      <c r="CI59" s="274" t="s">
        <v>211</v>
      </c>
      <c r="CJ59" s="323"/>
      <c r="CK59" s="323"/>
      <c r="CL59" s="332" t="e">
        <f>(CM58+(BN58-(CM58*0.64))/0.8)/1000</f>
        <v>#VALUE!</v>
      </c>
      <c r="CM59" s="330" t="e">
        <f>-53.07 + (304.89 * (CL59)) + (90.79 *K10) - (3.13 * K10*K10)</f>
        <v>#VALUE!</v>
      </c>
      <c r="CN59" s="323"/>
      <c r="CO59" s="323"/>
      <c r="CP59" s="323"/>
    </row>
    <row r="60" spans="1:94" x14ac:dyDescent="0.25">
      <c r="A60" s="267"/>
      <c r="B60" s="378"/>
      <c r="C60" s="379"/>
      <c r="D60" s="373"/>
      <c r="E60" s="373"/>
      <c r="F60" s="380"/>
      <c r="G60" s="380"/>
      <c r="H60" s="380"/>
      <c r="I60" s="380"/>
      <c r="J60" s="380"/>
      <c r="K60" s="380"/>
      <c r="L60" s="380"/>
      <c r="M60" s="380"/>
      <c r="N60" s="380"/>
      <c r="O60" s="380"/>
      <c r="P60" s="380"/>
      <c r="Q60" s="380"/>
      <c r="R60" s="380"/>
      <c r="S60" s="380"/>
      <c r="T60" s="380"/>
      <c r="U60" s="380"/>
      <c r="V60" s="381"/>
      <c r="W60" s="420" t="str">
        <f>IF('Formulação de suplemento'!$V60/28.125/100=0,"",'Formulação de suplemento'!$V60/28.125/100)</f>
        <v/>
      </c>
      <c r="X60" s="263"/>
      <c r="Y60" s="263"/>
      <c r="Z60" s="263"/>
      <c r="AA60" s="263"/>
      <c r="AB60" s="263"/>
      <c r="AC60" s="267"/>
      <c r="AD60" s="267"/>
      <c r="AE60" s="267"/>
      <c r="AY60" s="362"/>
      <c r="BA60" s="262"/>
      <c r="BG60" s="318"/>
      <c r="BH60" s="319"/>
      <c r="BI60" s="319"/>
      <c r="BJ60" s="352"/>
      <c r="BK60" s="321"/>
      <c r="BL60" s="321"/>
      <c r="BM60" s="326" t="s">
        <v>474</v>
      </c>
      <c r="BN60" s="353" t="e">
        <f>BN59</f>
        <v>#VALUE!</v>
      </c>
      <c r="BO60" s="323" t="s">
        <v>211</v>
      </c>
      <c r="BP60" s="323"/>
      <c r="BQ60" s="354"/>
      <c r="BR60" s="264"/>
      <c r="BS60" s="323"/>
      <c r="BT60" s="344"/>
      <c r="BX60" s="323"/>
      <c r="BY60" s="337"/>
      <c r="BZ60" s="323"/>
      <c r="CA60" s="323"/>
      <c r="CD60" s="323"/>
      <c r="CE60" s="344"/>
      <c r="CF60" s="325"/>
      <c r="CG60" s="343">
        <v>0.35</v>
      </c>
      <c r="CH60" s="339"/>
      <c r="CI60" s="274"/>
      <c r="CJ60" s="323"/>
      <c r="CK60" s="323"/>
      <c r="CL60" s="332" t="e">
        <f>(CM59+(BN58-(CM59*0.64))/0.8)/1000</f>
        <v>#VALUE!</v>
      </c>
      <c r="CM60" s="330" t="e">
        <f>-53.07 + (304.89 * (CL60)) + (90.79 *K10) - (3.13 * K10*K10)</f>
        <v>#VALUE!</v>
      </c>
      <c r="CN60" s="323"/>
      <c r="CO60" s="323"/>
      <c r="CP60" s="323"/>
    </row>
    <row r="61" spans="1:94" ht="15" customHeight="1" x14ac:dyDescent="0.25">
      <c r="A61" s="267"/>
      <c r="B61" s="378"/>
      <c r="C61" s="379"/>
      <c r="D61" s="373"/>
      <c r="E61" s="373"/>
      <c r="F61" s="380"/>
      <c r="G61" s="380"/>
      <c r="H61" s="380"/>
      <c r="I61" s="380"/>
      <c r="J61" s="380"/>
      <c r="K61" s="380"/>
      <c r="L61" s="380"/>
      <c r="M61" s="380"/>
      <c r="N61" s="380"/>
      <c r="O61" s="380"/>
      <c r="P61" s="380"/>
      <c r="Q61" s="380"/>
      <c r="R61" s="380"/>
      <c r="S61" s="380"/>
      <c r="T61" s="380"/>
      <c r="U61" s="380"/>
      <c r="V61" s="381"/>
      <c r="W61" s="420" t="str">
        <f>IF('Formulação de suplemento'!$V61/28.125/100=0,"",'Formulação de suplemento'!$V61/28.125/100)</f>
        <v/>
      </c>
      <c r="X61" s="263"/>
      <c r="Y61" s="263"/>
      <c r="Z61" s="263"/>
      <c r="AA61" s="263"/>
      <c r="AB61" s="263"/>
      <c r="AC61" s="267"/>
      <c r="AD61" s="267"/>
      <c r="AE61" s="267"/>
      <c r="AY61" s="338"/>
      <c r="BA61" s="262"/>
      <c r="BG61" s="318"/>
      <c r="BH61" s="319"/>
      <c r="BI61" s="320"/>
      <c r="BJ61" s="321"/>
      <c r="BK61" s="321"/>
      <c r="BL61" s="363"/>
      <c r="BM61" s="326" t="s">
        <v>476</v>
      </c>
      <c r="BN61" s="353" t="e">
        <f>(BN58-(BN59*0.64))/0.8</f>
        <v>#VALUE!</v>
      </c>
      <c r="BO61" s="323" t="s">
        <v>211</v>
      </c>
      <c r="BP61" s="323"/>
      <c r="BQ61" s="354"/>
      <c r="BR61" s="264"/>
      <c r="BS61" s="323"/>
      <c r="BT61" s="344"/>
      <c r="BX61" s="323"/>
      <c r="BY61" s="337"/>
      <c r="BZ61" s="323"/>
      <c r="CA61" s="323"/>
      <c r="CB61" s="361"/>
      <c r="CC61" s="274"/>
      <c r="CD61" s="323"/>
      <c r="CE61" s="344"/>
      <c r="CF61" s="325" t="s">
        <v>481</v>
      </c>
      <c r="CG61" s="338" t="s">
        <v>442</v>
      </c>
      <c r="CH61" s="339" t="e">
        <f>BJ266</f>
        <v>#VALUE!</v>
      </c>
      <c r="CI61" s="274" t="s">
        <v>211</v>
      </c>
      <c r="CJ61" s="323"/>
      <c r="CK61" s="323"/>
      <c r="CL61" s="332" t="e">
        <f>(CM60+(BN58-(CM60*0.64))/0.8)/1000</f>
        <v>#VALUE!</v>
      </c>
      <c r="CM61" s="330" t="e">
        <f>-53.07 + (304.89 * (CL61)) + (90.79 *K10) - (3.13 * K10*K10)</f>
        <v>#VALUE!</v>
      </c>
      <c r="CN61" s="323"/>
      <c r="CO61" s="323"/>
      <c r="CP61" s="323"/>
    </row>
    <row r="62" spans="1:94" x14ac:dyDescent="0.25">
      <c r="A62" s="267"/>
      <c r="B62" s="378"/>
      <c r="C62" s="379"/>
      <c r="D62" s="373"/>
      <c r="E62" s="373"/>
      <c r="F62" s="380"/>
      <c r="G62" s="380"/>
      <c r="H62" s="380"/>
      <c r="I62" s="380"/>
      <c r="J62" s="380"/>
      <c r="K62" s="380"/>
      <c r="L62" s="380"/>
      <c r="M62" s="380"/>
      <c r="N62" s="380"/>
      <c r="O62" s="380"/>
      <c r="P62" s="380"/>
      <c r="Q62" s="380"/>
      <c r="R62" s="380"/>
      <c r="S62" s="380"/>
      <c r="T62" s="380"/>
      <c r="U62" s="380"/>
      <c r="V62" s="381"/>
      <c r="W62" s="420" t="str">
        <f>IF('Formulação de suplemento'!$V62/28.125/100=0,"",'Formulação de suplemento'!$V62/28.125/100)</f>
        <v/>
      </c>
      <c r="X62" s="263"/>
      <c r="Y62" s="263"/>
      <c r="Z62" s="263"/>
      <c r="AA62" s="263"/>
      <c r="AB62" s="263"/>
      <c r="AC62" s="267"/>
      <c r="AD62" s="267"/>
      <c r="AE62" s="267"/>
      <c r="AY62" s="338"/>
      <c r="BA62" s="262"/>
      <c r="BG62" s="318"/>
      <c r="BH62" s="319"/>
      <c r="BI62" s="320"/>
      <c r="BJ62" s="321"/>
      <c r="BK62" s="321"/>
      <c r="BL62" s="321"/>
      <c r="BP62" s="323"/>
      <c r="BQ62" s="354"/>
      <c r="BR62" s="264"/>
      <c r="BS62" s="323"/>
      <c r="BT62" s="344"/>
      <c r="BX62" s="323"/>
      <c r="BY62" s="337"/>
      <c r="BZ62" s="323"/>
      <c r="CA62" s="323"/>
      <c r="CD62" s="323"/>
      <c r="CE62" s="344"/>
      <c r="CF62" s="325"/>
      <c r="CG62" s="343">
        <v>0.26</v>
      </c>
      <c r="CH62" s="339"/>
      <c r="CI62" s="274"/>
      <c r="CJ62" s="323"/>
      <c r="CK62" s="323"/>
      <c r="CL62" s="332" t="e">
        <f>(CM61+(BN58-(CM61*0.64))/0.8)/1000</f>
        <v>#VALUE!</v>
      </c>
      <c r="CM62" s="330" t="e">
        <f>-53.07 + (304.89 * (CL62)) + (90.79 *K10) - (3.13 * K10*K10)</f>
        <v>#VALUE!</v>
      </c>
      <c r="CN62" s="323"/>
      <c r="CO62" s="323"/>
      <c r="CP62" s="323"/>
    </row>
    <row r="63" spans="1:94" x14ac:dyDescent="0.25">
      <c r="A63" s="267"/>
      <c r="B63" s="378"/>
      <c r="C63" s="379"/>
      <c r="D63" s="373"/>
      <c r="E63" s="373"/>
      <c r="F63" s="380"/>
      <c r="G63" s="380"/>
      <c r="H63" s="380"/>
      <c r="I63" s="380"/>
      <c r="J63" s="380"/>
      <c r="K63" s="380"/>
      <c r="L63" s="380"/>
      <c r="M63" s="380"/>
      <c r="N63" s="380"/>
      <c r="O63" s="380"/>
      <c r="P63" s="380"/>
      <c r="Q63" s="380"/>
      <c r="R63" s="380"/>
      <c r="S63" s="380"/>
      <c r="T63" s="380"/>
      <c r="U63" s="380"/>
      <c r="V63" s="381"/>
      <c r="W63" s="420" t="str">
        <f>IF('Formulação de suplemento'!$V63/28.125/100=0,"",'Formulação de suplemento'!$V63/28.125/100)</f>
        <v/>
      </c>
      <c r="X63" s="263"/>
      <c r="Y63" s="263"/>
      <c r="Z63" s="263"/>
      <c r="AA63" s="263"/>
      <c r="AB63" s="263"/>
      <c r="AC63" s="267"/>
      <c r="AD63" s="267"/>
      <c r="AE63" s="267"/>
      <c r="BA63" s="262"/>
      <c r="BG63" s="318"/>
      <c r="BH63" s="319"/>
      <c r="BI63" s="319"/>
      <c r="BJ63" s="321"/>
      <c r="BK63" s="321"/>
      <c r="BL63" s="321"/>
      <c r="BM63" s="323"/>
      <c r="BN63" s="323"/>
      <c r="BO63" s="323"/>
      <c r="BP63" s="323"/>
      <c r="BQ63" s="354"/>
      <c r="BR63" s="264"/>
      <c r="BS63" s="323"/>
      <c r="BT63" s="323"/>
      <c r="BU63" s="323"/>
      <c r="BV63" s="323"/>
      <c r="BW63" s="323"/>
      <c r="BX63" s="323"/>
      <c r="BY63" s="337"/>
      <c r="BZ63" s="323"/>
      <c r="CA63" s="323"/>
      <c r="CB63" s="339"/>
      <c r="CC63" s="274"/>
      <c r="CD63" s="323"/>
      <c r="CE63" s="344"/>
      <c r="CF63" s="325" t="s">
        <v>483</v>
      </c>
      <c r="CG63" s="338" t="s">
        <v>442</v>
      </c>
      <c r="CH63" s="339" t="e">
        <f>BJ281</f>
        <v>#VALUE!</v>
      </c>
      <c r="CI63" s="274" t="s">
        <v>211</v>
      </c>
      <c r="CJ63" s="323"/>
      <c r="CK63" s="323"/>
      <c r="CL63" s="332" t="e">
        <f>(CM62+(BN58-(CM62*0.64))/0.8)/1000</f>
        <v>#VALUE!</v>
      </c>
      <c r="CM63" s="330" t="e">
        <f>-53.07 + (304.89 * (CL63)) + (90.79 *K10) - (3.13 * K10*K10)</f>
        <v>#VALUE!</v>
      </c>
      <c r="CN63" s="323"/>
      <c r="CO63" s="323"/>
      <c r="CP63" s="323"/>
    </row>
    <row r="64" spans="1:94" x14ac:dyDescent="0.25">
      <c r="A64" s="267"/>
      <c r="B64" s="378"/>
      <c r="C64" s="379"/>
      <c r="D64" s="373"/>
      <c r="E64" s="373"/>
      <c r="F64" s="380"/>
      <c r="G64" s="380"/>
      <c r="H64" s="380"/>
      <c r="I64" s="380"/>
      <c r="J64" s="380"/>
      <c r="K64" s="380"/>
      <c r="L64" s="380"/>
      <c r="M64" s="380"/>
      <c r="N64" s="380"/>
      <c r="O64" s="380"/>
      <c r="P64" s="380"/>
      <c r="Q64" s="380"/>
      <c r="R64" s="380"/>
      <c r="S64" s="380"/>
      <c r="T64" s="380"/>
      <c r="U64" s="380"/>
      <c r="V64" s="381"/>
      <c r="W64" s="420" t="str">
        <f>IF('Formulação de suplemento'!$V64/28.125/100=0,"",'Formulação de suplemento'!$V64/28.125/100)</f>
        <v/>
      </c>
      <c r="X64" s="263"/>
      <c r="Y64" s="263"/>
      <c r="Z64" s="263"/>
      <c r="AA64" s="263"/>
      <c r="AB64" s="263"/>
      <c r="AC64" s="267"/>
      <c r="AD64" s="267"/>
      <c r="AE64" s="267"/>
      <c r="BA64" s="262"/>
      <c r="BG64" s="318"/>
      <c r="BH64" s="319"/>
      <c r="BI64" s="319"/>
      <c r="BJ64" s="321"/>
      <c r="BK64" s="321"/>
      <c r="BL64" s="321"/>
      <c r="BM64" s="322"/>
      <c r="BN64" s="322"/>
      <c r="BO64" s="322"/>
      <c r="BP64" s="323"/>
      <c r="BQ64" s="354"/>
      <c r="BR64" s="264"/>
      <c r="BS64" s="323"/>
      <c r="BT64" s="323"/>
      <c r="BU64" s="323"/>
      <c r="BV64" s="323"/>
      <c r="BW64" s="323"/>
      <c r="BX64" s="323"/>
      <c r="BY64" s="337"/>
      <c r="BZ64" s="323"/>
      <c r="CA64" s="323"/>
      <c r="CD64" s="323"/>
      <c r="CE64" s="344"/>
      <c r="CF64" s="325"/>
      <c r="CG64" s="343">
        <v>0.18</v>
      </c>
      <c r="CH64" s="339"/>
      <c r="CI64" s="274"/>
      <c r="CJ64" s="323"/>
      <c r="CK64" s="323"/>
      <c r="CL64" s="332" t="e">
        <f>(CM63+(BN58-(CM63*0.64))/0.8)/1000</f>
        <v>#VALUE!</v>
      </c>
      <c r="CM64" s="330" t="e">
        <f>-53.07 + (304.89 * (CL64)) + (90.79 *K10) - (3.13 * K10*K10)</f>
        <v>#VALUE!</v>
      </c>
      <c r="CN64" s="323"/>
      <c r="CO64" s="323"/>
      <c r="CP64" s="323"/>
    </row>
    <row r="65" spans="1:94" x14ac:dyDescent="0.25">
      <c r="A65" s="267"/>
      <c r="B65" s="378"/>
      <c r="C65" s="379"/>
      <c r="D65" s="373"/>
      <c r="E65" s="373"/>
      <c r="F65" s="380"/>
      <c r="G65" s="380"/>
      <c r="H65" s="380"/>
      <c r="I65" s="380"/>
      <c r="J65" s="380"/>
      <c r="K65" s="380"/>
      <c r="L65" s="380"/>
      <c r="M65" s="380"/>
      <c r="N65" s="380"/>
      <c r="O65" s="380"/>
      <c r="P65" s="380"/>
      <c r="Q65" s="380"/>
      <c r="R65" s="380"/>
      <c r="S65" s="380"/>
      <c r="T65" s="380"/>
      <c r="U65" s="380"/>
      <c r="V65" s="381"/>
      <c r="W65" s="420" t="str">
        <f>IF('Formulação de suplemento'!$V65/28.125/100=0,"",'Formulação de suplemento'!$V65/28.125/100)</f>
        <v/>
      </c>
      <c r="X65" s="263"/>
      <c r="Y65" s="263"/>
      <c r="Z65" s="263"/>
      <c r="AA65" s="263"/>
      <c r="AB65" s="263"/>
      <c r="AC65" s="267"/>
      <c r="AD65" s="267"/>
      <c r="AE65" s="267"/>
      <c r="BA65" s="262"/>
      <c r="BG65" s="318"/>
      <c r="BH65" s="319"/>
      <c r="BI65" s="319"/>
      <c r="BJ65" s="364"/>
      <c r="BK65" s="321"/>
      <c r="BL65" s="321"/>
      <c r="BM65" s="322"/>
      <c r="BN65" s="322"/>
      <c r="BO65" s="322"/>
      <c r="BP65" s="323"/>
      <c r="BQ65" s="354"/>
      <c r="BR65" s="264"/>
      <c r="BS65" s="323"/>
      <c r="BT65" s="323"/>
      <c r="BU65" s="323"/>
      <c r="BV65" s="323"/>
      <c r="BW65" s="323"/>
      <c r="BX65" s="323"/>
      <c r="BY65" s="337"/>
      <c r="BZ65" s="323"/>
      <c r="CA65" s="323"/>
      <c r="CB65" s="339"/>
      <c r="CC65" s="274"/>
      <c r="CD65" s="323"/>
      <c r="CE65" s="344"/>
      <c r="CF65" s="325" t="s">
        <v>485</v>
      </c>
      <c r="CG65" s="338" t="s">
        <v>442</v>
      </c>
      <c r="CH65" s="339" t="e">
        <f>BJ276</f>
        <v>#VALUE!</v>
      </c>
      <c r="CI65" s="274" t="s">
        <v>211</v>
      </c>
      <c r="CJ65" s="323"/>
      <c r="CK65" s="323"/>
      <c r="CL65" s="332" t="e">
        <f>(CM64+(BN58-(CM64*0.64))/0.8)/1000</f>
        <v>#VALUE!</v>
      </c>
      <c r="CM65" s="330" t="e">
        <f>-53.07 + (304.89 * (CL65)) + (90.79 *K10) - (3.13 * K10*K10)</f>
        <v>#VALUE!</v>
      </c>
      <c r="CN65" s="323"/>
      <c r="CO65" s="323"/>
      <c r="CP65" s="323"/>
    </row>
    <row r="66" spans="1:94" x14ac:dyDescent="0.25">
      <c r="A66" s="267"/>
      <c r="B66" s="118"/>
      <c r="C66" s="382"/>
      <c r="D66" s="377"/>
      <c r="E66" s="377"/>
      <c r="F66" s="383"/>
      <c r="G66" s="383"/>
      <c r="H66" s="383"/>
      <c r="I66" s="383"/>
      <c r="J66" s="383"/>
      <c r="K66" s="383"/>
      <c r="L66" s="383"/>
      <c r="M66" s="383"/>
      <c r="N66" s="383"/>
      <c r="O66" s="383"/>
      <c r="P66" s="383"/>
      <c r="Q66" s="383"/>
      <c r="R66" s="383"/>
      <c r="S66" s="383"/>
      <c r="T66" s="383"/>
      <c r="U66" s="383"/>
      <c r="V66" s="384"/>
      <c r="W66" s="420" t="str">
        <f>IF('Formulação de suplemento'!$V66/28.125/100=0,"",'Formulação de suplemento'!$V66/28.125/100)</f>
        <v/>
      </c>
      <c r="X66" s="263"/>
      <c r="Y66" s="263"/>
      <c r="Z66" s="263"/>
      <c r="AA66" s="263"/>
      <c r="AB66" s="263"/>
      <c r="AC66" s="267"/>
      <c r="AD66" s="267"/>
      <c r="AE66" s="267"/>
      <c r="BA66" s="262"/>
      <c r="BG66" s="318"/>
      <c r="BH66" s="319"/>
      <c r="BI66" s="319"/>
      <c r="BJ66" s="321"/>
      <c r="BK66" s="321"/>
      <c r="BL66" s="321"/>
      <c r="BM66" s="322"/>
      <c r="BN66" s="264"/>
      <c r="BO66" s="264"/>
      <c r="BP66" s="323"/>
      <c r="BQ66" s="354"/>
      <c r="BR66" s="264"/>
      <c r="BS66" s="323"/>
      <c r="BT66" s="323"/>
      <c r="BU66" s="323"/>
      <c r="BV66" s="323"/>
      <c r="BW66" s="323"/>
      <c r="BX66" s="323"/>
      <c r="BY66" s="337"/>
      <c r="BZ66" s="323"/>
      <c r="CA66" s="323"/>
      <c r="CD66" s="323"/>
      <c r="CE66" s="344"/>
      <c r="CF66" s="325"/>
      <c r="CG66" s="343">
        <v>0.67</v>
      </c>
      <c r="CH66" s="339"/>
      <c r="CI66" s="274"/>
      <c r="CJ66" s="323"/>
      <c r="CK66" s="323"/>
      <c r="CL66" s="332" t="e">
        <f>(CM65+(BN58-(CM65*0.64))/0.8)/1000</f>
        <v>#VALUE!</v>
      </c>
      <c r="CM66" s="330" t="e">
        <f>-53.07 + (304.89 * (CL66)) + (90.79 *K10) - (3.13 * K10*K10)</f>
        <v>#VALUE!</v>
      </c>
      <c r="CN66" s="323"/>
      <c r="CO66" s="323"/>
      <c r="CP66" s="323"/>
    </row>
    <row r="67" spans="1:94" x14ac:dyDescent="0.25">
      <c r="A67" s="267"/>
      <c r="B67" s="378"/>
      <c r="C67" s="379"/>
      <c r="D67" s="373"/>
      <c r="E67" s="373"/>
      <c r="F67" s="380"/>
      <c r="G67" s="380"/>
      <c r="H67" s="380"/>
      <c r="I67" s="380"/>
      <c r="J67" s="380"/>
      <c r="K67" s="380"/>
      <c r="L67" s="380"/>
      <c r="M67" s="380"/>
      <c r="N67" s="380"/>
      <c r="O67" s="380"/>
      <c r="P67" s="380"/>
      <c r="Q67" s="380"/>
      <c r="R67" s="380"/>
      <c r="S67" s="380"/>
      <c r="T67" s="380"/>
      <c r="U67" s="380"/>
      <c r="V67" s="381"/>
      <c r="W67" s="420" t="str">
        <f>IF('Formulação de suplemento'!$V67/28.125/100=0,"",'Formulação de suplemento'!$V67/28.125/100)</f>
        <v/>
      </c>
      <c r="X67" s="263"/>
      <c r="Y67" s="263"/>
      <c r="Z67" s="263"/>
      <c r="AA67" s="263"/>
      <c r="AB67" s="263"/>
      <c r="AC67" s="267"/>
      <c r="AD67" s="267"/>
      <c r="AE67" s="267"/>
      <c r="BG67" s="318"/>
      <c r="BH67" s="319"/>
      <c r="BI67" s="319"/>
      <c r="BJ67" s="352"/>
      <c r="BK67" s="321"/>
      <c r="BL67" s="321"/>
      <c r="BM67" s="322"/>
      <c r="BN67" s="264"/>
      <c r="BO67" s="264"/>
      <c r="BP67" s="323"/>
      <c r="BQ67" s="354"/>
      <c r="BR67" s="264"/>
      <c r="BS67" s="323"/>
      <c r="BT67" s="323"/>
      <c r="BU67" s="323"/>
      <c r="BV67" s="323"/>
      <c r="BW67" s="323"/>
      <c r="BX67" s="323"/>
      <c r="BY67" s="337"/>
      <c r="BZ67" s="323"/>
      <c r="CA67" s="323"/>
      <c r="CB67" s="361"/>
      <c r="CC67" s="274"/>
      <c r="CD67" s="323"/>
      <c r="CE67" s="344"/>
      <c r="CF67" s="325" t="s">
        <v>487</v>
      </c>
      <c r="CG67" s="338" t="s">
        <v>442</v>
      </c>
      <c r="CH67" s="339" t="e">
        <f>BJ281</f>
        <v>#VALUE!</v>
      </c>
      <c r="CI67" s="274" t="s">
        <v>211</v>
      </c>
      <c r="CJ67" s="323"/>
      <c r="CK67" s="323"/>
      <c r="CL67" s="332" t="e">
        <f>(CM66+(BN58-(CM66*0.64))/0.8)/1000</f>
        <v>#VALUE!</v>
      </c>
      <c r="CM67" s="330" t="e">
        <f>-53.07 + (304.89 * (CL67)) + (90.79 *K10) - (3.13 * K10*K10)</f>
        <v>#VALUE!</v>
      </c>
      <c r="CN67" s="323"/>
      <c r="CO67" s="323"/>
      <c r="CP67" s="323"/>
    </row>
    <row r="68" spans="1:94" ht="15.75" thickBot="1" x14ac:dyDescent="0.3">
      <c r="A68" s="267"/>
      <c r="B68" s="385"/>
      <c r="C68" s="386"/>
      <c r="D68" s="375"/>
      <c r="E68" s="375"/>
      <c r="F68" s="387"/>
      <c r="G68" s="387"/>
      <c r="H68" s="387"/>
      <c r="I68" s="387"/>
      <c r="J68" s="387"/>
      <c r="K68" s="387"/>
      <c r="L68" s="387"/>
      <c r="M68" s="387"/>
      <c r="N68" s="387"/>
      <c r="O68" s="387"/>
      <c r="P68" s="387"/>
      <c r="Q68" s="387"/>
      <c r="R68" s="387"/>
      <c r="S68" s="387"/>
      <c r="T68" s="387"/>
      <c r="U68" s="387"/>
      <c r="V68" s="388"/>
      <c r="W68" s="422" t="str">
        <f>IF('Formulação de suplemento'!$V68/28.125/100=0,"",'Formulação de suplemento'!$V68/28.125/100)</f>
        <v/>
      </c>
      <c r="X68" s="263"/>
      <c r="Y68" s="263"/>
      <c r="Z68" s="263"/>
      <c r="AA68" s="263"/>
      <c r="AB68" s="263"/>
      <c r="AC68" s="267"/>
      <c r="AD68" s="267"/>
      <c r="AE68" s="267"/>
      <c r="BG68" s="318"/>
      <c r="BH68" s="319"/>
      <c r="BI68" s="319"/>
      <c r="BJ68" s="352"/>
      <c r="BK68" s="321"/>
      <c r="BL68" s="321"/>
      <c r="BM68" s="321"/>
      <c r="BN68" s="354"/>
      <c r="BO68" s="354"/>
      <c r="BP68" s="363"/>
      <c r="BQ68" s="354"/>
      <c r="BR68" s="264"/>
      <c r="BS68" s="323"/>
      <c r="BT68" s="323"/>
      <c r="BU68" s="323"/>
      <c r="BV68" s="323"/>
      <c r="BW68" s="323"/>
      <c r="BX68" s="323"/>
      <c r="BY68" s="323"/>
      <c r="BZ68" s="323"/>
      <c r="CA68" s="323"/>
      <c r="CB68" s="323"/>
      <c r="CC68" s="323"/>
      <c r="CD68" s="323"/>
      <c r="CE68" s="344"/>
      <c r="CF68" s="325"/>
      <c r="CG68" s="343">
        <v>0.63</v>
      </c>
      <c r="CH68" s="339"/>
      <c r="CI68" s="274"/>
      <c r="CJ68" s="323"/>
      <c r="CK68" s="323"/>
      <c r="CL68" s="332" t="e">
        <f>(CM67+(BN58-(CM67*0.64))/0.8)/1000</f>
        <v>#VALUE!</v>
      </c>
      <c r="CM68" s="330" t="e">
        <f>-53.07 + (304.89 * (CL68)) + (90.79 *K10) - (3.13 * K10*K10)</f>
        <v>#VALUE!</v>
      </c>
      <c r="CN68" s="323"/>
      <c r="CO68" s="323"/>
      <c r="CP68" s="323"/>
    </row>
    <row r="69" spans="1:94" x14ac:dyDescent="0.25">
      <c r="A69" s="267"/>
      <c r="B69" s="263"/>
      <c r="C69" s="263"/>
      <c r="D69" s="263"/>
      <c r="E69" s="263"/>
      <c r="F69" s="263"/>
      <c r="G69" s="263"/>
      <c r="H69" s="263"/>
      <c r="I69" s="263"/>
      <c r="J69" s="263"/>
      <c r="K69" s="263"/>
      <c r="L69" s="263"/>
      <c r="M69" s="263"/>
      <c r="N69" s="263"/>
      <c r="O69" s="263"/>
      <c r="P69" s="263"/>
      <c r="Q69" s="263"/>
      <c r="R69" s="263"/>
      <c r="S69" s="263"/>
      <c r="T69" s="263"/>
      <c r="U69" s="263"/>
      <c r="V69" s="263"/>
      <c r="W69" s="263"/>
      <c r="X69" s="263"/>
      <c r="Y69" s="263"/>
      <c r="Z69" s="263"/>
      <c r="AA69" s="263"/>
      <c r="AB69" s="263"/>
      <c r="AC69" s="267"/>
      <c r="AD69" s="267"/>
      <c r="AE69" s="267"/>
      <c r="BG69" s="318"/>
      <c r="BH69" s="319"/>
      <c r="BI69" s="320" t="s">
        <v>488</v>
      </c>
      <c r="BJ69" s="365" t="e">
        <f>IF(C10="Cruzado",IF(C11="Leite",0.9247*C8^1.0085,0.8915*C8^1.0151),0.8915*C8^1.0151)</f>
        <v>#VALUE!</v>
      </c>
      <c r="BK69" s="321"/>
      <c r="BL69" s="321"/>
      <c r="BM69" s="321"/>
      <c r="BN69" s="354"/>
      <c r="BO69" s="354"/>
      <c r="BP69" s="363"/>
      <c r="BQ69" s="354"/>
      <c r="BR69" s="264"/>
      <c r="BS69" s="323"/>
      <c r="BT69" s="323"/>
      <c r="BU69" s="323"/>
      <c r="BV69" s="323"/>
      <c r="BW69" s="323"/>
      <c r="BX69" s="323"/>
      <c r="BY69" s="323"/>
      <c r="BZ69" s="323"/>
      <c r="CA69" s="323"/>
      <c r="CB69" s="323"/>
      <c r="CC69" s="323"/>
      <c r="CD69" s="323"/>
      <c r="CE69" s="344"/>
      <c r="CF69" s="325" t="s">
        <v>489</v>
      </c>
      <c r="CG69" s="338" t="s">
        <v>442</v>
      </c>
      <c r="CH69" s="339" t="e">
        <f>BJ286</f>
        <v>#VALUE!</v>
      </c>
      <c r="CI69" s="274" t="s">
        <v>211</v>
      </c>
      <c r="CJ69" s="323"/>
      <c r="CK69" s="323"/>
      <c r="CL69" s="332" t="e">
        <f>(CM68+(BN58-(CM68*0.64))/0.8)/1000</f>
        <v>#VALUE!</v>
      </c>
      <c r="CM69" s="330" t="e">
        <f>-53.07 + (304.89 * (CL69)) + (90.79 *K10) - (3.13 * K10*K10)</f>
        <v>#VALUE!</v>
      </c>
      <c r="CN69" s="323"/>
      <c r="CO69" s="323"/>
      <c r="CP69" s="323"/>
    </row>
    <row r="70" spans="1:94" x14ac:dyDescent="0.25">
      <c r="A70" s="267"/>
      <c r="B70" s="263"/>
      <c r="C70" s="263"/>
      <c r="D70" s="263"/>
      <c r="E70" s="263"/>
      <c r="F70" s="263"/>
      <c r="G70" s="263"/>
      <c r="H70" s="263"/>
      <c r="I70" s="263"/>
      <c r="J70" s="263"/>
      <c r="K70" s="263"/>
      <c r="L70" s="263"/>
      <c r="M70" s="263"/>
      <c r="N70" s="263"/>
      <c r="O70" s="263"/>
      <c r="P70" s="263"/>
      <c r="Q70" s="263"/>
      <c r="R70" s="263"/>
      <c r="S70" s="263"/>
      <c r="T70" s="263"/>
      <c r="U70" s="263"/>
      <c r="V70" s="263"/>
      <c r="W70" s="263"/>
      <c r="X70" s="263"/>
      <c r="Y70" s="263"/>
      <c r="Z70" s="263"/>
      <c r="AA70" s="263"/>
      <c r="AB70" s="263"/>
      <c r="AC70" s="267"/>
      <c r="AD70" s="267"/>
      <c r="AE70" s="267"/>
      <c r="BG70" s="318"/>
      <c r="BH70" s="319"/>
      <c r="BI70" s="320" t="s">
        <v>490</v>
      </c>
      <c r="BJ70" s="365" t="e">
        <f>IF(C13="confinamento",IF(C10="Zebuíno",(IF(C12="Macho não castrado",0.8126*BJ69^1.0134,IF(C12="macho castrado",0.6241*BJ69^1.0608,0.611*BJ69^1.0667))),(IF(C12="Macho não castrado",0.7248*BJ69^1.0314,IF(C12="macho castrado",0.6586*BJ69^1.0499,0.6314*BJ69^1.0602)))),0.8507*BJ69^1.0002)</f>
        <v>#VALUE!</v>
      </c>
      <c r="BK70" s="321"/>
      <c r="BL70" s="321"/>
      <c r="BM70" s="321"/>
      <c r="BN70" s="354"/>
      <c r="BO70" s="354"/>
      <c r="BP70" s="363"/>
      <c r="BQ70" s="354"/>
      <c r="BR70" s="264"/>
      <c r="BS70" s="323"/>
      <c r="BT70" s="323"/>
      <c r="BU70" s="323"/>
      <c r="BV70" s="323"/>
      <c r="BW70" s="323"/>
      <c r="BX70" s="323"/>
      <c r="BY70" s="323"/>
      <c r="BZ70" s="323"/>
      <c r="CA70" s="323"/>
      <c r="CB70" s="323"/>
      <c r="CC70" s="323"/>
      <c r="CD70" s="323"/>
      <c r="CE70" s="344"/>
      <c r="CF70" s="325"/>
      <c r="CG70" s="343">
        <v>0.43</v>
      </c>
      <c r="CH70" s="339"/>
      <c r="CI70" s="274"/>
      <c r="CJ70" s="323"/>
      <c r="CK70" s="323"/>
      <c r="CL70" s="332" t="e">
        <f>(CM69+(BN58-(CM69*0.64))/0.8)/1000</f>
        <v>#VALUE!</v>
      </c>
      <c r="CM70" s="330" t="e">
        <f>-53.07 + (304.89 * (CL70)) + (90.79 *K10) - (3.13 * K10*K10)</f>
        <v>#VALUE!</v>
      </c>
      <c r="CN70" s="323"/>
      <c r="CO70" s="323"/>
      <c r="CP70" s="323"/>
    </row>
    <row r="71" spans="1:94" x14ac:dyDescent="0.25">
      <c r="A71" s="267"/>
      <c r="B71" s="355" t="s">
        <v>277</v>
      </c>
      <c r="C71" s="263"/>
      <c r="D71" s="263"/>
      <c r="E71" s="263"/>
      <c r="F71" s="263"/>
      <c r="G71" s="263"/>
      <c r="H71" s="263"/>
      <c r="I71" s="263"/>
      <c r="J71" s="263"/>
      <c r="K71" s="263"/>
      <c r="L71" s="263"/>
      <c r="M71" s="263"/>
      <c r="N71" s="263"/>
      <c r="O71" s="263"/>
      <c r="P71" s="263"/>
      <c r="Q71" s="263"/>
      <c r="R71" s="263"/>
      <c r="S71" s="263"/>
      <c r="T71" s="263"/>
      <c r="U71" s="263"/>
      <c r="V71" s="263"/>
      <c r="W71" s="263"/>
      <c r="X71" s="263"/>
      <c r="Y71" s="263"/>
      <c r="Z71" s="263"/>
      <c r="AA71" s="263"/>
      <c r="AB71" s="263"/>
      <c r="AC71" s="267"/>
      <c r="AD71" s="267"/>
      <c r="AE71" s="267"/>
      <c r="BG71" s="318"/>
      <c r="BH71" s="320"/>
      <c r="BI71" s="320" t="s">
        <v>491</v>
      </c>
      <c r="BJ71" s="366">
        <f>0.963*C9^1.0151</f>
        <v>0</v>
      </c>
      <c r="BK71" s="321"/>
      <c r="BL71" s="321"/>
      <c r="BM71" s="321"/>
      <c r="BN71" s="354"/>
      <c r="BO71" s="354"/>
      <c r="BP71" s="363"/>
      <c r="BQ71" s="354"/>
      <c r="BR71" s="264"/>
      <c r="BS71" s="323"/>
      <c r="BT71" s="323"/>
      <c r="BU71" s="323"/>
      <c r="BV71" s="323"/>
      <c r="BW71" s="323"/>
      <c r="BX71" s="323"/>
      <c r="BY71" s="323"/>
      <c r="BZ71" s="323"/>
      <c r="CA71" s="323"/>
      <c r="CB71" s="323"/>
      <c r="CC71" s="323"/>
      <c r="CD71" s="323"/>
      <c r="CE71" s="344"/>
      <c r="CF71" s="325" t="s">
        <v>492</v>
      </c>
      <c r="CG71" s="338" t="s">
        <v>442</v>
      </c>
      <c r="CH71" s="339" t="e">
        <f>BJ291</f>
        <v>#VALUE!</v>
      </c>
      <c r="CI71" s="274" t="s">
        <v>211</v>
      </c>
      <c r="CJ71" s="323"/>
      <c r="CK71" s="323"/>
      <c r="CL71" s="332" t="e">
        <f>(CM70+(BN58-(CM70*0.64))/0.8)/1000</f>
        <v>#VALUE!</v>
      </c>
      <c r="CM71" s="330" t="e">
        <f>-53.07 + (304.89 * (CL71)) + (90.79 *K10) - (3.13 * K10*K10)</f>
        <v>#VALUE!</v>
      </c>
      <c r="CN71" s="323"/>
      <c r="CO71" s="323"/>
      <c r="CP71" s="323"/>
    </row>
    <row r="72" spans="1:94" x14ac:dyDescent="0.25">
      <c r="A72" s="267"/>
      <c r="B72" s="358" t="s">
        <v>381</v>
      </c>
      <c r="C72" s="263"/>
      <c r="D72" s="263"/>
      <c r="E72" s="263"/>
      <c r="F72" s="263"/>
      <c r="G72" s="263"/>
      <c r="H72" s="263"/>
      <c r="I72" s="263"/>
      <c r="J72" s="263"/>
      <c r="K72" s="263"/>
      <c r="L72" s="263"/>
      <c r="M72" s="263"/>
      <c r="N72" s="263"/>
      <c r="O72" s="263"/>
      <c r="P72" s="263"/>
      <c r="Q72" s="263"/>
      <c r="R72" s="263"/>
      <c r="S72" s="263"/>
      <c r="T72" s="263"/>
      <c r="U72" s="263"/>
      <c r="V72" s="263"/>
      <c r="W72" s="263"/>
      <c r="X72" s="263"/>
      <c r="Y72" s="263"/>
      <c r="Z72" s="263"/>
      <c r="AA72" s="263"/>
      <c r="AB72" s="263"/>
      <c r="AC72" s="267"/>
      <c r="AD72" s="267"/>
      <c r="AE72" s="267"/>
      <c r="BG72" s="318"/>
      <c r="BH72" s="319" t="s">
        <v>493</v>
      </c>
      <c r="BI72" s="319" t="s">
        <v>434</v>
      </c>
      <c r="BJ72" s="352" t="e">
        <f>IF(C12="Macho não castrado",(BJ70/517)*517,IF(C12="macho castrado",(BJ70/433)*517,(BJ70/402)*517))</f>
        <v>#VALUE!</v>
      </c>
      <c r="BK72" s="321"/>
      <c r="BL72" s="321"/>
      <c r="BM72" s="321"/>
      <c r="BN72" s="354"/>
      <c r="BO72" s="354"/>
      <c r="BP72" s="363"/>
      <c r="BQ72" s="354"/>
      <c r="BR72" s="264"/>
      <c r="BS72" s="323"/>
      <c r="BT72" s="323"/>
      <c r="BU72" s="323"/>
      <c r="BV72" s="323"/>
      <c r="BW72" s="323"/>
      <c r="BX72" s="323"/>
      <c r="BY72" s="323"/>
      <c r="BZ72" s="323"/>
      <c r="CA72" s="323"/>
      <c r="CB72" s="323"/>
      <c r="CC72" s="323"/>
      <c r="CD72" s="323"/>
      <c r="CE72" s="344"/>
      <c r="CF72" s="325"/>
      <c r="CG72" s="343">
        <v>0.31</v>
      </c>
      <c r="CH72" s="339"/>
      <c r="CI72" s="274"/>
      <c r="CJ72" s="323"/>
      <c r="CK72" s="323"/>
      <c r="CL72" s="332" t="e">
        <f>(CM71+(BN58-(CM71*0.64))/0.8)/1000</f>
        <v>#VALUE!</v>
      </c>
      <c r="CM72" s="330" t="e">
        <f>-53.07 + (304.89 * (CL72)) + (90.79 *K10) - (3.13 * K10*K10)</f>
        <v>#VALUE!</v>
      </c>
      <c r="CN72" s="323"/>
      <c r="CO72" s="323"/>
      <c r="CP72" s="323"/>
    </row>
    <row r="73" spans="1:94" x14ac:dyDescent="0.25">
      <c r="A73" s="267"/>
      <c r="B73" s="358" t="s">
        <v>380</v>
      </c>
      <c r="C73" s="263"/>
      <c r="D73" s="263"/>
      <c r="E73" s="263"/>
      <c r="F73" s="263"/>
      <c r="G73" s="263"/>
      <c r="H73" s="263"/>
      <c r="I73" s="263"/>
      <c r="J73" s="263"/>
      <c r="K73" s="263"/>
      <c r="L73" s="263"/>
      <c r="M73" s="263"/>
      <c r="N73" s="263"/>
      <c r="O73" s="263"/>
      <c r="P73" s="263"/>
      <c r="Q73" s="263"/>
      <c r="R73" s="263"/>
      <c r="S73" s="263"/>
      <c r="T73" s="263"/>
      <c r="U73" s="263"/>
      <c r="V73" s="263"/>
      <c r="W73" s="263"/>
      <c r="X73" s="263"/>
      <c r="Y73" s="263"/>
      <c r="Z73" s="263"/>
      <c r="AA73" s="263"/>
      <c r="AB73" s="263"/>
      <c r="AC73" s="267"/>
      <c r="AD73" s="267"/>
      <c r="AE73" s="267"/>
      <c r="BG73" s="318"/>
      <c r="BH73" s="319"/>
      <c r="BI73" s="319" t="s">
        <v>494</v>
      </c>
      <c r="BJ73" s="352" t="e">
        <f>IF(C12="Macho não castrado",(BJ70/560)*517,IF(C12="macho castrado",(BJ70/482)*517,(BJ70/417)*517))</f>
        <v>#VALUE!</v>
      </c>
      <c r="BK73" s="321"/>
      <c r="BL73" s="321"/>
      <c r="BM73" s="321"/>
      <c r="BN73" s="354"/>
      <c r="BO73" s="354"/>
      <c r="BP73" s="363"/>
      <c r="BQ73" s="354"/>
      <c r="BR73" s="264"/>
      <c r="BS73" s="323"/>
      <c r="BT73" s="323"/>
      <c r="BU73" s="323"/>
      <c r="BV73" s="323"/>
      <c r="BW73" s="323"/>
      <c r="BX73" s="323"/>
      <c r="BY73" s="323"/>
      <c r="BZ73" s="323"/>
      <c r="CA73" s="323"/>
      <c r="CB73" s="323"/>
      <c r="CC73" s="323"/>
      <c r="CD73" s="323"/>
      <c r="CE73" s="344"/>
      <c r="CF73" s="325" t="s">
        <v>495</v>
      </c>
      <c r="CG73" s="338" t="s">
        <v>442</v>
      </c>
      <c r="CH73" s="339" t="e">
        <f>BJ296</f>
        <v>#VALUE!</v>
      </c>
      <c r="CI73" s="274" t="s">
        <v>211</v>
      </c>
      <c r="CJ73" s="323"/>
      <c r="CK73" s="323"/>
      <c r="CL73" s="332" t="e">
        <f>(CM72+(BN58-(CM72*0.64))/0.8)/1000</f>
        <v>#VALUE!</v>
      </c>
      <c r="CM73" s="330" t="e">
        <f>-53.07 + (304.89 * (CL73)) + (90.79 *K10) - (3.13 * K10*K10)</f>
        <v>#VALUE!</v>
      </c>
      <c r="CN73" s="323"/>
      <c r="CO73" s="323"/>
      <c r="CP73" s="323"/>
    </row>
    <row r="74" spans="1:94" x14ac:dyDescent="0.25">
      <c r="A74" s="267"/>
      <c r="B74" s="358" t="s">
        <v>379</v>
      </c>
      <c r="C74" s="263"/>
      <c r="D74" s="263"/>
      <c r="E74" s="263"/>
      <c r="F74" s="263"/>
      <c r="G74" s="263"/>
      <c r="H74" s="263"/>
      <c r="I74" s="263"/>
      <c r="J74" s="263"/>
      <c r="K74" s="263"/>
      <c r="L74" s="263"/>
      <c r="M74" s="263"/>
      <c r="N74" s="263"/>
      <c r="O74" s="263"/>
      <c r="P74" s="263"/>
      <c r="Q74" s="263"/>
      <c r="R74" s="263"/>
      <c r="S74" s="263"/>
      <c r="T74" s="263"/>
      <c r="U74" s="263"/>
      <c r="V74" s="263"/>
      <c r="W74" s="263"/>
      <c r="X74" s="263"/>
      <c r="Y74" s="263"/>
      <c r="Z74" s="263"/>
      <c r="AA74" s="263"/>
      <c r="AB74" s="263"/>
      <c r="AC74" s="267"/>
      <c r="AD74" s="267"/>
      <c r="AE74" s="267"/>
      <c r="BG74" s="318"/>
      <c r="BH74" s="319"/>
      <c r="BI74" s="319" t="s">
        <v>496</v>
      </c>
      <c r="BJ74" s="352" t="e">
        <f>IF(C12="Macho não castrado",(BJ70/616)*517,IF(C12="macho castrado",(BJ70/532)*517,(BJ70/493)*517))</f>
        <v>#VALUE!</v>
      </c>
      <c r="BK74" s="321"/>
      <c r="BL74" s="321"/>
      <c r="BM74" s="321"/>
      <c r="BN74" s="354"/>
      <c r="BO74" s="354"/>
      <c r="BP74" s="363"/>
      <c r="BQ74" s="354"/>
      <c r="BR74" s="264"/>
      <c r="BS74" s="323"/>
      <c r="BT74" s="323"/>
      <c r="BU74" s="323"/>
      <c r="BV74" s="323"/>
      <c r="BW74" s="323"/>
      <c r="BX74" s="323"/>
      <c r="BY74" s="323"/>
      <c r="BZ74" s="323"/>
      <c r="CA74" s="323"/>
      <c r="CB74" s="323"/>
      <c r="CC74" s="323"/>
      <c r="CD74" s="323"/>
      <c r="CE74" s="344"/>
      <c r="CF74" s="325"/>
      <c r="CG74" s="343">
        <v>0.26</v>
      </c>
      <c r="CH74" s="339"/>
      <c r="CI74" s="274"/>
      <c r="CJ74" s="323"/>
      <c r="CK74" s="323"/>
      <c r="CL74" s="332" t="e">
        <f>(CM73+(BN58-(CM73*0.64))/0.8)/1000</f>
        <v>#VALUE!</v>
      </c>
      <c r="CM74" s="330" t="e">
        <f>-53.07 + (304.89 * (CL74)) + (90.79 *K10) - (3.13 * K10*K10)</f>
        <v>#VALUE!</v>
      </c>
      <c r="CN74" s="323"/>
      <c r="CO74" s="323"/>
      <c r="CP74" s="323"/>
    </row>
    <row r="75" spans="1:94" x14ac:dyDescent="0.25">
      <c r="A75" s="267"/>
      <c r="B75" s="358" t="s">
        <v>278</v>
      </c>
      <c r="C75" s="263"/>
      <c r="D75" s="263"/>
      <c r="E75" s="263"/>
      <c r="F75" s="263"/>
      <c r="G75" s="263"/>
      <c r="H75" s="263"/>
      <c r="I75" s="263"/>
      <c r="J75" s="263"/>
      <c r="K75" s="263"/>
      <c r="L75" s="263"/>
      <c r="M75" s="263"/>
      <c r="N75" s="263"/>
      <c r="O75" s="263"/>
      <c r="P75" s="263"/>
      <c r="Q75" s="263"/>
      <c r="R75" s="263"/>
      <c r="S75" s="263"/>
      <c r="T75" s="263"/>
      <c r="U75" s="263"/>
      <c r="V75" s="263"/>
      <c r="W75" s="263"/>
      <c r="X75" s="263"/>
      <c r="Y75" s="263"/>
      <c r="Z75" s="263"/>
      <c r="AA75" s="263"/>
      <c r="AB75" s="263"/>
      <c r="AC75" s="267"/>
      <c r="AD75" s="267"/>
      <c r="AE75" s="267"/>
      <c r="BG75" s="318"/>
      <c r="BH75" s="319"/>
      <c r="BI75" s="320" t="s">
        <v>497</v>
      </c>
      <c r="BJ75" s="365" t="e">
        <f>IF(C10="Zebuíno",BJ72,IF(C11="corte",BJ73,BJ74))</f>
        <v>#VALUE!</v>
      </c>
      <c r="BK75" s="321"/>
      <c r="BL75" s="321"/>
      <c r="BM75" s="321"/>
      <c r="BN75" s="354"/>
      <c r="BO75" s="354"/>
      <c r="BP75" s="363"/>
      <c r="BQ75" s="354"/>
      <c r="BR75" s="264"/>
      <c r="BS75" s="323"/>
      <c r="BT75" s="323"/>
      <c r="BU75" s="323"/>
      <c r="BV75" s="323"/>
      <c r="BW75" s="323"/>
      <c r="BX75" s="323"/>
      <c r="BY75" s="323"/>
      <c r="BZ75" s="323"/>
      <c r="CA75" s="323"/>
      <c r="CB75" s="323"/>
      <c r="CC75" s="323"/>
      <c r="CD75" s="323"/>
      <c r="CE75" s="323"/>
      <c r="CF75" s="323"/>
      <c r="CG75" s="323"/>
      <c r="CH75" s="323"/>
      <c r="CI75" s="323"/>
      <c r="CJ75" s="323"/>
      <c r="CK75" s="323"/>
      <c r="CL75" s="332" t="e">
        <f>(CM74+(BN58-(CM74*0.64))/0.8)/1000</f>
        <v>#VALUE!</v>
      </c>
      <c r="CM75" s="330" t="e">
        <f>-53.07 + (304.89 * (CL75)) + (90.79 *K10) - (3.13 * K10*K10)</f>
        <v>#VALUE!</v>
      </c>
      <c r="CN75" s="323"/>
      <c r="CO75" s="323"/>
      <c r="CP75" s="323"/>
    </row>
    <row r="76" spans="1:94" x14ac:dyDescent="0.25">
      <c r="A76" s="267"/>
      <c r="B76" s="358" t="s">
        <v>279</v>
      </c>
      <c r="C76" s="263"/>
      <c r="D76" s="263"/>
      <c r="E76" s="263"/>
      <c r="F76" s="263"/>
      <c r="G76" s="263"/>
      <c r="H76" s="263"/>
      <c r="I76" s="263"/>
      <c r="J76" s="263"/>
      <c r="K76" s="263"/>
      <c r="L76" s="263"/>
      <c r="M76" s="263"/>
      <c r="N76" s="263"/>
      <c r="O76" s="263"/>
      <c r="P76" s="263"/>
      <c r="Q76" s="263"/>
      <c r="R76" s="263"/>
      <c r="S76" s="263"/>
      <c r="T76" s="263"/>
      <c r="U76" s="263"/>
      <c r="V76" s="263"/>
      <c r="W76" s="263"/>
      <c r="X76" s="263"/>
      <c r="Y76" s="263"/>
      <c r="Z76" s="263"/>
      <c r="AA76" s="263"/>
      <c r="AB76" s="263"/>
      <c r="AC76" s="267"/>
      <c r="AD76" s="267"/>
      <c r="AE76" s="267"/>
      <c r="BG76" s="318"/>
      <c r="BH76" s="320"/>
      <c r="BI76" s="320" t="s">
        <v>437</v>
      </c>
      <c r="BJ76" s="321"/>
      <c r="BK76" s="321"/>
      <c r="BL76" s="321"/>
      <c r="BM76" s="321"/>
      <c r="BN76" s="354"/>
      <c r="BO76" s="354"/>
      <c r="BP76" s="363"/>
      <c r="BQ76" s="354"/>
      <c r="BR76" s="264"/>
      <c r="BS76" s="323"/>
      <c r="BT76" s="323"/>
      <c r="BU76" s="323"/>
      <c r="BV76" s="323"/>
      <c r="BW76" s="323"/>
      <c r="BX76" s="323"/>
      <c r="BY76" s="323"/>
      <c r="BZ76" s="323"/>
      <c r="CA76" s="323"/>
      <c r="CB76" s="323"/>
      <c r="CC76" s="323"/>
      <c r="CD76" s="323"/>
      <c r="CE76" s="323"/>
      <c r="CF76" s="323"/>
      <c r="CG76" s="323"/>
      <c r="CH76" s="323"/>
      <c r="CI76" s="323"/>
      <c r="CJ76" s="323"/>
      <c r="CK76" s="323"/>
      <c r="CL76" s="332" t="e">
        <f>(CM75+(BN58-(CM75*0.64))/0.8)/1000</f>
        <v>#VALUE!</v>
      </c>
      <c r="CM76" s="330" t="e">
        <f>-53.07 + (304.89 * (CL76)) + (90.79 *K10) - (3.13 * K10*K10)</f>
        <v>#VALUE!</v>
      </c>
      <c r="CN76" s="323"/>
      <c r="CO76" s="323"/>
      <c r="CP76" s="323"/>
    </row>
    <row r="77" spans="1:94" x14ac:dyDescent="0.25">
      <c r="A77" s="267"/>
      <c r="B77" s="358"/>
      <c r="C77" s="263"/>
      <c r="D77" s="263"/>
      <c r="E77" s="263"/>
      <c r="F77" s="263"/>
      <c r="G77" s="263"/>
      <c r="H77" s="263"/>
      <c r="I77" s="263"/>
      <c r="J77" s="263"/>
      <c r="K77" s="263"/>
      <c r="L77" s="263"/>
      <c r="M77" s="263"/>
      <c r="N77" s="263"/>
      <c r="O77" s="263"/>
      <c r="P77" s="263"/>
      <c r="Q77" s="263"/>
      <c r="R77" s="263"/>
      <c r="S77" s="263"/>
      <c r="T77" s="263"/>
      <c r="U77" s="263"/>
      <c r="V77" s="263"/>
      <c r="W77" s="263"/>
      <c r="X77" s="263"/>
      <c r="Y77" s="263"/>
      <c r="Z77" s="263"/>
      <c r="AA77" s="263"/>
      <c r="AB77" s="263"/>
      <c r="AC77" s="267"/>
      <c r="AD77" s="267"/>
      <c r="AE77" s="267"/>
      <c r="BG77" s="318"/>
      <c r="BH77" s="319" t="s">
        <v>445</v>
      </c>
      <c r="BI77" s="319" t="s">
        <v>446</v>
      </c>
      <c r="BJ77" s="321"/>
      <c r="BK77" s="321"/>
      <c r="BL77" s="321"/>
      <c r="BM77" s="321"/>
      <c r="BN77" s="354"/>
      <c r="BO77" s="354"/>
      <c r="BP77" s="363"/>
      <c r="BQ77" s="354"/>
      <c r="BR77" s="264"/>
      <c r="BS77" s="323"/>
      <c r="BT77" s="323"/>
      <c r="BU77" s="323"/>
      <c r="BV77" s="323"/>
      <c r="BW77" s="323"/>
      <c r="BX77" s="323"/>
      <c r="BY77" s="323"/>
      <c r="BZ77" s="323"/>
      <c r="CA77" s="323"/>
      <c r="CB77" s="323"/>
      <c r="CC77" s="323"/>
      <c r="CD77" s="323"/>
      <c r="CE77" s="323"/>
      <c r="CF77" s="323"/>
      <c r="CG77" s="323"/>
      <c r="CH77" s="323"/>
      <c r="CI77" s="323"/>
      <c r="CJ77" s="323"/>
      <c r="CK77" s="323"/>
      <c r="CL77" s="332" t="e">
        <f>(CM76+(BN58-(CM76*0.64))/0.8)/1000</f>
        <v>#VALUE!</v>
      </c>
      <c r="CM77" s="330" t="e">
        <f>-53.07 + (304.89 * (CL77)) + (90.79 *K10) - (3.13 * K10*K10)</f>
        <v>#VALUE!</v>
      </c>
      <c r="CN77" s="323"/>
      <c r="CO77" s="323"/>
      <c r="CP77" s="323"/>
    </row>
    <row r="78" spans="1:94" hidden="1" x14ac:dyDescent="0.25">
      <c r="A78" s="267"/>
      <c r="B78" s="263"/>
      <c r="C78" s="263"/>
      <c r="D78" s="263"/>
      <c r="E78" s="263"/>
      <c r="F78" s="263"/>
      <c r="G78" s="263"/>
      <c r="H78" s="263"/>
      <c r="I78" s="263"/>
      <c r="J78" s="263"/>
      <c r="K78" s="263"/>
      <c r="L78" s="263"/>
      <c r="M78" s="263"/>
      <c r="N78" s="263"/>
      <c r="O78" s="263"/>
      <c r="P78" s="263"/>
      <c r="Q78" s="263"/>
      <c r="R78" s="263"/>
      <c r="S78" s="263"/>
      <c r="T78" s="263"/>
      <c r="U78" s="263"/>
      <c r="V78" s="263"/>
      <c r="W78" s="263"/>
      <c r="X78" s="263"/>
      <c r="Y78" s="263"/>
      <c r="Z78" s="263"/>
      <c r="AA78" s="263"/>
      <c r="AB78" s="263"/>
      <c r="AC78" s="267"/>
      <c r="AD78" s="267"/>
      <c r="AE78" s="267"/>
      <c r="BG78" s="318"/>
      <c r="BH78" s="319"/>
      <c r="BI78" s="319" t="s">
        <v>498</v>
      </c>
      <c r="BJ78" s="367" t="e">
        <f>IF(C10="Zebuíno",0.061*BJ75^0.75*BJ71^1.035,IF(C11="corte",0.061*BJ75^0.75*BJ71^1.035,0.061*BJ75^0.75*BJ71^1.035))</f>
        <v>#VALUE!</v>
      </c>
      <c r="BK78" s="321"/>
      <c r="BL78" s="321"/>
      <c r="BM78" s="321"/>
      <c r="BN78" s="354"/>
      <c r="BO78" s="354"/>
      <c r="BP78" s="363"/>
      <c r="BQ78" s="354"/>
      <c r="BR78" s="264"/>
      <c r="BS78" s="323"/>
      <c r="BT78" s="323"/>
      <c r="BU78" s="323"/>
      <c r="BV78" s="323"/>
      <c r="BW78" s="323"/>
      <c r="BX78" s="323"/>
      <c r="BY78" s="323"/>
      <c r="BZ78" s="323"/>
      <c r="CA78" s="323"/>
      <c r="CB78" s="323"/>
      <c r="CC78" s="323"/>
      <c r="CD78" s="323"/>
      <c r="CE78" s="323"/>
      <c r="CF78" s="323"/>
      <c r="CG78" s="323"/>
      <c r="CH78" s="323"/>
      <c r="CI78" s="323"/>
      <c r="CJ78" s="323"/>
      <c r="CK78" s="323"/>
      <c r="CL78" s="332" t="e">
        <f>(CM77+(BN58-(CM77*0.64))/0.8)/1000</f>
        <v>#VALUE!</v>
      </c>
      <c r="CM78" s="330" t="e">
        <f>-53.07 + (304.89 * (CL78)) + (90.79 *K10) - (3.13 * K10*K10)</f>
        <v>#VALUE!</v>
      </c>
      <c r="CN78" s="323"/>
      <c r="CO78" s="323"/>
      <c r="CP78" s="323"/>
    </row>
    <row r="79" spans="1:94" hidden="1" x14ac:dyDescent="0.25">
      <c r="A79" s="267"/>
      <c r="B79" s="263"/>
      <c r="C79" s="263"/>
      <c r="D79" s="263"/>
      <c r="E79" s="263"/>
      <c r="F79" s="263"/>
      <c r="G79" s="263"/>
      <c r="H79" s="263"/>
      <c r="I79" s="263"/>
      <c r="J79" s="263"/>
      <c r="K79" s="263"/>
      <c r="L79" s="263"/>
      <c r="M79" s="263"/>
      <c r="N79" s="263"/>
      <c r="O79" s="263"/>
      <c r="P79" s="263"/>
      <c r="Q79" s="263"/>
      <c r="R79" s="263"/>
      <c r="S79" s="263"/>
      <c r="T79" s="263"/>
      <c r="U79" s="263"/>
      <c r="V79" s="263"/>
      <c r="W79" s="263"/>
      <c r="X79" s="263"/>
      <c r="Y79" s="263"/>
      <c r="Z79" s="263"/>
      <c r="AA79" s="263"/>
      <c r="AB79" s="263"/>
      <c r="AC79" s="267"/>
      <c r="AD79" s="267"/>
      <c r="AE79" s="267"/>
      <c r="BG79" s="318"/>
      <c r="BH79" s="319"/>
      <c r="BI79" s="319" t="s">
        <v>499</v>
      </c>
      <c r="BJ79" s="367" t="e">
        <f>IF(C10="Zebuíno",0.052*BJ75^0.75*BJ71^1.062,IF(C11="corte",0.052*BJ75^0.75*BJ71^1.062,0.052*BJ75^0.75*BJ71^1.062))</f>
        <v>#VALUE!</v>
      </c>
      <c r="BK79" s="321"/>
      <c r="BL79" s="321"/>
      <c r="BM79" s="321"/>
      <c r="BN79" s="354"/>
      <c r="BO79" s="354"/>
      <c r="BP79" s="363"/>
      <c r="BQ79" s="354"/>
      <c r="BR79" s="264"/>
      <c r="BS79" s="323"/>
      <c r="BT79" s="323"/>
      <c r="BU79" s="323"/>
      <c r="BV79" s="323"/>
      <c r="BW79" s="323"/>
      <c r="BX79" s="323"/>
      <c r="BY79" s="323"/>
      <c r="BZ79" s="323"/>
      <c r="CA79" s="323"/>
      <c r="CB79" s="323"/>
      <c r="CC79" s="323"/>
      <c r="CD79" s="323"/>
      <c r="CE79" s="323"/>
      <c r="CF79" s="323"/>
      <c r="CG79" s="323"/>
      <c r="CH79" s="323"/>
      <c r="CI79" s="323"/>
      <c r="CJ79" s="323"/>
      <c r="CK79" s="323"/>
      <c r="CL79" s="332" t="e">
        <f>(CM78+(BN58-(CM78*0.64))/0.8)/1000</f>
        <v>#VALUE!</v>
      </c>
      <c r="CM79" s="330" t="e">
        <f>-53.07 + (304.89 * (CL79)) + (90.79 *K10) - (3.13 * K10*K10)</f>
        <v>#VALUE!</v>
      </c>
      <c r="CN79" s="323"/>
      <c r="CO79" s="323"/>
      <c r="CP79" s="323"/>
    </row>
    <row r="80" spans="1:94" hidden="1" x14ac:dyDescent="0.25">
      <c r="A80" s="263"/>
      <c r="B80" s="263"/>
      <c r="C80" s="263"/>
      <c r="D80" s="263"/>
      <c r="E80" s="263"/>
      <c r="F80" s="263"/>
      <c r="G80" s="263"/>
      <c r="H80" s="263"/>
      <c r="I80" s="263"/>
      <c r="J80" s="263"/>
      <c r="K80" s="263"/>
      <c r="L80" s="263"/>
      <c r="M80" s="263"/>
      <c r="N80" s="263"/>
      <c r="O80" s="263"/>
      <c r="P80" s="263"/>
      <c r="Q80" s="263"/>
      <c r="R80" s="263"/>
      <c r="S80" s="263"/>
      <c r="T80" s="263"/>
      <c r="U80" s="263"/>
      <c r="V80" s="263"/>
      <c r="W80" s="263"/>
      <c r="X80" s="263"/>
      <c r="Y80" s="263"/>
      <c r="Z80" s="263"/>
      <c r="AA80" s="263"/>
      <c r="AB80" s="263"/>
      <c r="AC80" s="267"/>
      <c r="AD80" s="267"/>
      <c r="AE80" s="267"/>
      <c r="BG80" s="318"/>
      <c r="BH80" s="319"/>
      <c r="BI80" s="320" t="s">
        <v>449</v>
      </c>
      <c r="BJ80" s="321"/>
      <c r="BK80" s="321"/>
      <c r="BL80" s="321"/>
      <c r="BM80" s="321"/>
      <c r="BN80" s="354"/>
      <c r="BO80" s="354"/>
      <c r="BP80" s="363"/>
      <c r="BQ80" s="354"/>
      <c r="BR80" s="264"/>
      <c r="BS80" s="323"/>
      <c r="BT80" s="323"/>
      <c r="BU80" s="323"/>
      <c r="BV80" s="323"/>
      <c r="BW80" s="323"/>
      <c r="BX80" s="323"/>
      <c r="BY80" s="323"/>
      <c r="BZ80" s="323"/>
      <c r="CA80" s="323"/>
      <c r="CB80" s="323"/>
      <c r="CC80" s="323"/>
      <c r="CD80" s="323"/>
      <c r="CE80" s="323"/>
      <c r="CF80" s="323"/>
      <c r="CG80" s="323"/>
      <c r="CH80" s="323"/>
      <c r="CI80" s="323"/>
      <c r="CJ80" s="323"/>
      <c r="CK80" s="323"/>
      <c r="CL80" s="332" t="e">
        <f>(CM79+(BN58-(CM79*0.64))/0.8)/1000</f>
        <v>#VALUE!</v>
      </c>
      <c r="CM80" s="330" t="e">
        <f>-53.07 + (304.89 * (CL80)) + (90.79 *K10) - (3.13 * K10*K10)</f>
        <v>#VALUE!</v>
      </c>
      <c r="CN80" s="323"/>
      <c r="CO80" s="323"/>
      <c r="CP80" s="323"/>
    </row>
    <row r="81" spans="1:94" hidden="1" x14ac:dyDescent="0.25">
      <c r="A81" s="263"/>
      <c r="B81" s="263"/>
      <c r="C81" s="263"/>
      <c r="D81" s="263"/>
      <c r="E81" s="263"/>
      <c r="F81" s="263"/>
      <c r="G81" s="263"/>
      <c r="H81" s="263"/>
      <c r="I81" s="263"/>
      <c r="J81" s="263"/>
      <c r="K81" s="263"/>
      <c r="L81" s="263"/>
      <c r="M81" s="263"/>
      <c r="N81" s="263"/>
      <c r="O81" s="263"/>
      <c r="P81" s="263"/>
      <c r="Q81" s="263"/>
      <c r="R81" s="263"/>
      <c r="S81" s="263"/>
      <c r="T81" s="263"/>
      <c r="U81" s="263"/>
      <c r="V81" s="263"/>
      <c r="W81" s="263"/>
      <c r="X81" s="263"/>
      <c r="Y81" s="263"/>
      <c r="Z81" s="263"/>
      <c r="AA81" s="263"/>
      <c r="AB81" s="263"/>
      <c r="AC81" s="267"/>
      <c r="AD81" s="267"/>
      <c r="AE81" s="267"/>
      <c r="BG81" s="318"/>
      <c r="BH81" s="319"/>
      <c r="BI81" s="319" t="s">
        <v>451</v>
      </c>
      <c r="BJ81" s="321"/>
      <c r="BK81" s="321"/>
      <c r="BL81" s="321"/>
      <c r="BM81" s="321"/>
      <c r="BN81" s="354"/>
      <c r="BO81" s="354"/>
      <c r="BP81" s="363"/>
      <c r="BQ81" s="354"/>
      <c r="BR81" s="354"/>
      <c r="BS81" s="363"/>
      <c r="BT81" s="363"/>
      <c r="BU81" s="363"/>
      <c r="BV81" s="363"/>
      <c r="BW81" s="363"/>
      <c r="BX81" s="363"/>
      <c r="BY81" s="363"/>
      <c r="BZ81" s="363"/>
      <c r="CA81" s="363"/>
      <c r="CB81" s="363"/>
      <c r="CC81" s="323"/>
      <c r="CD81" s="323"/>
      <c r="CE81" s="323"/>
      <c r="CF81" s="323"/>
      <c r="CG81" s="323"/>
      <c r="CH81" s="323"/>
      <c r="CI81" s="323"/>
      <c r="CJ81" s="323"/>
      <c r="CK81" s="323"/>
      <c r="CL81" s="332" t="e">
        <f>(CM80+(BN58-(CM80*0.64))/0.8)/1000</f>
        <v>#VALUE!</v>
      </c>
      <c r="CM81" s="330" t="e">
        <f>-53.07 + (304.89 * (CL81)) + (90.79 *K10) - (3.13 * K10*K10)</f>
        <v>#VALUE!</v>
      </c>
      <c r="CN81" s="323"/>
      <c r="CO81" s="323"/>
      <c r="CP81" s="323"/>
    </row>
    <row r="82" spans="1:94" hidden="1" x14ac:dyDescent="0.25">
      <c r="A82" s="263"/>
      <c r="B82" s="263"/>
      <c r="C82" s="263"/>
      <c r="D82" s="263"/>
      <c r="E82" s="263"/>
      <c r="F82" s="263"/>
      <c r="G82" s="263"/>
      <c r="H82" s="263"/>
      <c r="I82" s="263"/>
      <c r="J82" s="263"/>
      <c r="K82" s="263"/>
      <c r="L82" s="263"/>
      <c r="M82" s="263"/>
      <c r="N82" s="263"/>
      <c r="O82" s="263"/>
      <c r="P82" s="263"/>
      <c r="Q82" s="263"/>
      <c r="R82" s="263"/>
      <c r="S82" s="263"/>
      <c r="T82" s="263"/>
      <c r="U82" s="263"/>
      <c r="V82" s="263"/>
      <c r="W82" s="263"/>
      <c r="X82" s="263"/>
      <c r="Y82" s="263"/>
      <c r="Z82" s="263"/>
      <c r="AA82" s="263"/>
      <c r="AB82" s="263"/>
      <c r="AC82" s="267"/>
      <c r="AD82" s="267"/>
      <c r="AE82" s="267"/>
      <c r="BG82" s="318"/>
      <c r="BH82" s="319"/>
      <c r="BI82" s="319" t="s">
        <v>500</v>
      </c>
      <c r="BJ82" s="367" t="e">
        <f>1.14*(BN34/BJ71)^-1.137</f>
        <v>#VALUE!</v>
      </c>
      <c r="BK82" s="321"/>
      <c r="BL82" s="321"/>
      <c r="BM82" s="321"/>
      <c r="BN82" s="354"/>
      <c r="BO82" s="354"/>
      <c r="BP82" s="363"/>
      <c r="BQ82" s="354"/>
      <c r="BR82" s="354"/>
      <c r="BS82" s="363"/>
      <c r="BT82" s="363"/>
      <c r="BU82" s="363"/>
      <c r="BV82" s="363"/>
      <c r="BW82" s="363"/>
      <c r="BX82" s="363"/>
      <c r="BY82" s="363"/>
      <c r="BZ82" s="363"/>
      <c r="CA82" s="363"/>
      <c r="CB82" s="363"/>
      <c r="CC82" s="323"/>
      <c r="CD82" s="323"/>
      <c r="CE82" s="323"/>
      <c r="CF82" s="323"/>
      <c r="CG82" s="323"/>
      <c r="CH82" s="323"/>
      <c r="CI82" s="323"/>
      <c r="CJ82" s="323"/>
      <c r="CK82" s="323"/>
      <c r="CL82" s="332" t="e">
        <f>(CM81+(BN58-(CM81*0.64))/0.8)/1000</f>
        <v>#VALUE!</v>
      </c>
      <c r="CM82" s="330" t="e">
        <f>-53.07 + (304.89 * (CL82)) + (90.79 *K10) - (3.13 * K10*K10)</f>
        <v>#VALUE!</v>
      </c>
      <c r="CN82" s="323"/>
      <c r="CO82" s="323"/>
      <c r="CP82" s="323"/>
    </row>
    <row r="83" spans="1:94" hidden="1" x14ac:dyDescent="0.25">
      <c r="A83" s="267"/>
      <c r="B83"/>
      <c r="C83"/>
      <c r="D83"/>
      <c r="E83"/>
      <c r="F83"/>
      <c r="G83"/>
      <c r="H83"/>
      <c r="I83"/>
      <c r="J83"/>
      <c r="K83"/>
      <c r="L83"/>
      <c r="M83"/>
      <c r="N83"/>
      <c r="O83"/>
      <c r="P83"/>
      <c r="Q83"/>
      <c r="R83"/>
      <c r="S83"/>
      <c r="AB83" s="263"/>
      <c r="AC83" s="267"/>
      <c r="AD83" s="267"/>
      <c r="AE83" s="267"/>
      <c r="BG83" s="318"/>
      <c r="BH83" s="319"/>
      <c r="BI83" s="319" t="s">
        <v>213</v>
      </c>
      <c r="BJ83" s="367" t="e">
        <f>0.327/(0.539+(1.14*(BN34/BJ71)^-1.137))</f>
        <v>#VALUE!</v>
      </c>
      <c r="BK83" s="321"/>
      <c r="BL83" s="321"/>
      <c r="BM83" s="321"/>
      <c r="BN83" s="354"/>
      <c r="BO83" s="354"/>
      <c r="BP83" s="363"/>
      <c r="BQ83" s="354"/>
      <c r="BR83" s="354"/>
      <c r="BS83" s="363"/>
      <c r="BT83" s="363"/>
      <c r="BU83" s="363"/>
      <c r="BV83" s="363"/>
      <c r="BW83" s="363"/>
      <c r="BX83" s="363"/>
      <c r="BY83" s="363"/>
      <c r="BZ83" s="363"/>
      <c r="CA83" s="363"/>
      <c r="CB83" s="363"/>
      <c r="CC83" s="323"/>
      <c r="CD83" s="323"/>
      <c r="CE83" s="323"/>
      <c r="CF83" s="323"/>
      <c r="CG83" s="323"/>
      <c r="CH83" s="323"/>
      <c r="CI83" s="323"/>
      <c r="CJ83" s="323"/>
      <c r="CK83" s="323"/>
      <c r="CL83" s="332" t="e">
        <f>(CM82+(BN58-(CM82*0.64))/0.8)/1000</f>
        <v>#VALUE!</v>
      </c>
      <c r="CM83" s="330" t="e">
        <f>-53.07 + (304.89 * (CL83)) + (90.79 *K10) - (3.13 * K10*K10)</f>
        <v>#VALUE!</v>
      </c>
      <c r="CN83" s="323"/>
      <c r="CO83" s="323"/>
      <c r="CP83" s="323"/>
    </row>
    <row r="84" spans="1:94" hidden="1" x14ac:dyDescent="0.25">
      <c r="A84" s="267"/>
      <c r="B84"/>
      <c r="C84"/>
      <c r="D84"/>
      <c r="E84"/>
      <c r="F84"/>
      <c r="G84"/>
      <c r="H84"/>
      <c r="I84"/>
      <c r="J84"/>
      <c r="K84"/>
      <c r="L84"/>
      <c r="M84"/>
      <c r="N84"/>
      <c r="O84"/>
      <c r="P84"/>
      <c r="Q84"/>
      <c r="R84"/>
      <c r="S84"/>
      <c r="AB84" s="263"/>
      <c r="AC84" s="267"/>
      <c r="AD84" s="267"/>
      <c r="AE84" s="267"/>
      <c r="BG84" s="318"/>
      <c r="BH84" s="319"/>
      <c r="BI84" s="319" t="s">
        <v>501</v>
      </c>
      <c r="BJ84" s="367" t="e">
        <f>IF(C10="Cruzado",IF(C11="corte",0.513+0.173*BJ83+0.073*BJ71,0.513+0.173*BJ83+0.01*BJ71),0.513+0.173*BJ83+0.1*BJ71)</f>
        <v>#VALUE!</v>
      </c>
      <c r="BK84" s="321"/>
      <c r="BL84" s="321"/>
      <c r="BM84" s="321"/>
      <c r="BN84" s="354"/>
      <c r="BO84" s="354"/>
      <c r="BP84" s="363"/>
      <c r="BQ84" s="354"/>
      <c r="BR84" s="354"/>
      <c r="BS84" s="363"/>
      <c r="BT84" s="363"/>
      <c r="BU84" s="363"/>
      <c r="BV84" s="363"/>
      <c r="BW84" s="363"/>
      <c r="BX84" s="363"/>
      <c r="BY84" s="363"/>
      <c r="BZ84" s="363"/>
      <c r="CA84" s="363"/>
      <c r="CB84" s="363"/>
      <c r="CC84" s="323"/>
      <c r="CD84" s="323"/>
      <c r="CE84" s="323"/>
      <c r="CF84" s="323"/>
      <c r="CG84" s="323"/>
      <c r="CH84" s="323"/>
      <c r="CI84" s="323"/>
      <c r="CJ84" s="323"/>
      <c r="CK84" s="323"/>
      <c r="CL84" s="332" t="e">
        <f>(CM83+(BN58-(CM83*0.64))/0.8)/1000</f>
        <v>#VALUE!</v>
      </c>
      <c r="CM84" s="330" t="e">
        <f>-53.07 + (304.89 * (CL84)) + (90.79 *K10) - (3.13 * K10*K10)</f>
        <v>#VALUE!</v>
      </c>
      <c r="CN84" s="323"/>
      <c r="CO84" s="323"/>
      <c r="CP84" s="323"/>
    </row>
    <row r="85" spans="1:94" hidden="1" x14ac:dyDescent="0.25">
      <c r="A85" s="267"/>
      <c r="B85"/>
      <c r="C85"/>
      <c r="D85"/>
      <c r="E85"/>
      <c r="F85"/>
      <c r="G85"/>
      <c r="H85"/>
      <c r="I85"/>
      <c r="J85"/>
      <c r="K85"/>
      <c r="L85"/>
      <c r="M85"/>
      <c r="N85"/>
      <c r="O85"/>
      <c r="P85"/>
      <c r="Q85"/>
      <c r="R85"/>
      <c r="S85"/>
      <c r="AB85" s="263"/>
      <c r="AC85" s="267"/>
      <c r="AD85" s="267"/>
      <c r="AE85" s="267"/>
      <c r="BG85" s="318"/>
      <c r="BH85" s="319"/>
      <c r="BI85" s="319" t="s">
        <v>502</v>
      </c>
      <c r="BJ85" s="367" t="e">
        <f>(0.513+0.173*BJ83+0.1*BJ71)*0.92</f>
        <v>#VALUE!</v>
      </c>
      <c r="BK85" s="321"/>
      <c r="BL85" s="321"/>
      <c r="BM85" s="321"/>
      <c r="BN85" s="354"/>
      <c r="BO85" s="354"/>
      <c r="BP85" s="363"/>
      <c r="BQ85" s="354"/>
      <c r="BR85" s="354"/>
      <c r="BS85" s="363"/>
      <c r="BT85" s="363"/>
      <c r="BU85" s="363"/>
      <c r="BV85" s="363"/>
      <c r="BW85" s="363"/>
      <c r="BX85" s="363"/>
      <c r="BY85" s="363"/>
      <c r="BZ85" s="363"/>
      <c r="CA85" s="363"/>
      <c r="CB85" s="363"/>
      <c r="CC85" s="323"/>
      <c r="CD85" s="323"/>
      <c r="CE85" s="323"/>
      <c r="CF85" s="323"/>
      <c r="CG85" s="323"/>
      <c r="CH85" s="323"/>
      <c r="CI85" s="323"/>
      <c r="CJ85" s="323"/>
      <c r="CK85" s="323"/>
      <c r="CL85" s="332" t="e">
        <f>(CM84+(BN58-(CM84*0.64))/0.8)/1000</f>
        <v>#VALUE!</v>
      </c>
      <c r="CM85" s="330" t="e">
        <f>-53.07 + (304.89 * (CL85)) + (90.79 *K10) - (3.13 * K10*K10)</f>
        <v>#VALUE!</v>
      </c>
      <c r="CN85" s="323"/>
      <c r="CO85" s="323"/>
      <c r="CP85" s="323"/>
    </row>
    <row r="86" spans="1:94" hidden="1" x14ac:dyDescent="0.25">
      <c r="A86" s="267"/>
      <c r="B86"/>
      <c r="C86"/>
      <c r="D86"/>
      <c r="E86"/>
      <c r="F86"/>
      <c r="G86"/>
      <c r="H86"/>
      <c r="I86"/>
      <c r="J86"/>
      <c r="K86"/>
      <c r="L86"/>
      <c r="M86"/>
      <c r="N86"/>
      <c r="O86"/>
      <c r="P86"/>
      <c r="Q86"/>
      <c r="R86"/>
      <c r="S86"/>
      <c r="AB86" s="263"/>
      <c r="AC86" s="267"/>
      <c r="AD86" s="267"/>
      <c r="AE86" s="267"/>
      <c r="BG86" s="318"/>
      <c r="BH86" s="319"/>
      <c r="BI86" s="320" t="s">
        <v>503</v>
      </c>
      <c r="BJ86" s="366" t="e">
        <f>IF(C13="Pasto",BJ85,BJ84)</f>
        <v>#VALUE!</v>
      </c>
      <c r="BK86" s="321"/>
      <c r="BL86" s="321"/>
      <c r="BM86" s="321"/>
      <c r="BN86" s="354"/>
      <c r="BO86" s="354"/>
      <c r="BP86" s="363"/>
      <c r="BQ86" s="354"/>
      <c r="BR86" s="354"/>
      <c r="BS86" s="363"/>
      <c r="BT86" s="363"/>
      <c r="BU86" s="363"/>
      <c r="BV86" s="363"/>
      <c r="BW86" s="363"/>
      <c r="BX86" s="363"/>
      <c r="BY86" s="363"/>
      <c r="BZ86" s="363"/>
      <c r="CA86" s="363"/>
      <c r="CB86" s="363"/>
      <c r="CC86" s="323"/>
      <c r="CD86" s="323"/>
      <c r="CE86" s="323"/>
      <c r="CF86" s="323"/>
      <c r="CG86" s="323"/>
      <c r="CH86" s="323"/>
      <c r="CI86" s="323"/>
      <c r="CJ86" s="323"/>
      <c r="CK86" s="323"/>
      <c r="CL86" s="332" t="e">
        <f>(CM85+(BN58-(CM85*0.64))/0.8)/1000</f>
        <v>#VALUE!</v>
      </c>
      <c r="CM86" s="330" t="e">
        <f>-53.07 + (304.89 * (CL86)) + (90.79 *K10) - (3.13 * K10*K10)</f>
        <v>#VALUE!</v>
      </c>
      <c r="CN86" s="323"/>
      <c r="CO86" s="323"/>
      <c r="CP86" s="323"/>
    </row>
    <row r="87" spans="1:94" hidden="1" x14ac:dyDescent="0.25">
      <c r="A87" s="267"/>
      <c r="B87"/>
      <c r="C87"/>
      <c r="D87"/>
      <c r="E87"/>
      <c r="F87"/>
      <c r="G87"/>
      <c r="H87"/>
      <c r="I87"/>
      <c r="J87"/>
      <c r="K87"/>
      <c r="L87"/>
      <c r="M87"/>
      <c r="N87"/>
      <c r="O87"/>
      <c r="P87"/>
      <c r="Q87"/>
      <c r="R87"/>
      <c r="S87"/>
      <c r="AB87" s="263"/>
      <c r="AC87" s="267"/>
      <c r="AD87" s="267"/>
      <c r="AE87" s="267"/>
      <c r="BG87" s="318"/>
      <c r="BH87" s="319"/>
      <c r="BI87" s="319" t="s">
        <v>453</v>
      </c>
      <c r="BJ87" s="321"/>
      <c r="BK87" s="321"/>
      <c r="BL87" s="321"/>
      <c r="BM87" s="321"/>
      <c r="BN87" s="354"/>
      <c r="BO87" s="354"/>
      <c r="BP87" s="363"/>
      <c r="BQ87" s="354"/>
      <c r="BR87" s="354"/>
      <c r="BS87" s="363"/>
      <c r="BT87" s="363"/>
      <c r="BU87" s="363"/>
      <c r="BV87" s="363"/>
      <c r="BW87" s="363"/>
      <c r="BX87" s="363"/>
      <c r="BY87" s="363"/>
      <c r="BZ87" s="363"/>
      <c r="CA87" s="363"/>
      <c r="CB87" s="363"/>
      <c r="CC87" s="323"/>
      <c r="CD87" s="323"/>
      <c r="CE87" s="323"/>
      <c r="CF87" s="323"/>
      <c r="CG87" s="323"/>
      <c r="CH87" s="323"/>
      <c r="CI87" s="323"/>
      <c r="CJ87" s="323"/>
      <c r="CK87" s="323"/>
      <c r="CL87" s="332" t="e">
        <f>(CM86+(BN58-(CM86*0.64))/0.8)/1000</f>
        <v>#VALUE!</v>
      </c>
      <c r="CM87" s="330" t="e">
        <f>-53.07 + (304.89 * (CL87)) + (90.79 *K10) - (3.13 * K10*K10)</f>
        <v>#VALUE!</v>
      </c>
      <c r="CN87" s="323"/>
      <c r="CO87" s="323"/>
      <c r="CP87" s="323"/>
    </row>
    <row r="88" spans="1:94" hidden="1" x14ac:dyDescent="0.25">
      <c r="A88" s="267"/>
      <c r="B88"/>
      <c r="C88"/>
      <c r="D88"/>
      <c r="E88"/>
      <c r="F88"/>
      <c r="G88"/>
      <c r="H88"/>
      <c r="I88"/>
      <c r="J88"/>
      <c r="K88"/>
      <c r="L88"/>
      <c r="M88"/>
      <c r="N88"/>
      <c r="O88"/>
      <c r="P88"/>
      <c r="Q88"/>
      <c r="R88"/>
      <c r="S88"/>
      <c r="AB88" s="263"/>
      <c r="BG88" s="318"/>
      <c r="BH88" s="319"/>
      <c r="BI88" s="319" t="s">
        <v>455</v>
      </c>
      <c r="BJ88" s="321"/>
      <c r="BK88" s="321"/>
      <c r="BL88" s="321"/>
      <c r="BM88" s="321"/>
      <c r="BN88" s="354"/>
      <c r="BO88" s="354"/>
      <c r="BP88" s="363"/>
      <c r="BQ88" s="354"/>
      <c r="BR88" s="354"/>
      <c r="BS88" s="363"/>
      <c r="BT88" s="363"/>
      <c r="BU88" s="363"/>
      <c r="BV88" s="363"/>
      <c r="BW88" s="363"/>
      <c r="BX88" s="363"/>
      <c r="BY88" s="363"/>
      <c r="BZ88" s="363"/>
      <c r="CA88" s="363"/>
      <c r="CB88" s="363"/>
      <c r="CC88" s="323"/>
      <c r="CD88" s="323"/>
      <c r="CE88" s="323"/>
      <c r="CF88" s="323"/>
      <c r="CG88" s="323"/>
      <c r="CH88" s="323"/>
      <c r="CI88" s="323"/>
      <c r="CJ88" s="323"/>
      <c r="CK88" s="323"/>
      <c r="CL88" s="332" t="e">
        <f>(CM87+(BN58-(CM87*0.64))/0.8)/1000</f>
        <v>#VALUE!</v>
      </c>
      <c r="CM88" s="330" t="e">
        <f>-53.07 + (304.89 * (CL88)) + (90.79 *K10) - (3.13 * K10*K10)</f>
        <v>#VALUE!</v>
      </c>
      <c r="CN88" s="323"/>
      <c r="CO88" s="323"/>
      <c r="CP88" s="323"/>
    </row>
    <row r="89" spans="1:94" hidden="1" x14ac:dyDescent="0.25">
      <c r="A89" s="267"/>
      <c r="B89"/>
      <c r="C89"/>
      <c r="D89"/>
      <c r="E89"/>
      <c r="F89"/>
      <c r="G89"/>
      <c r="H89"/>
      <c r="I89"/>
      <c r="J89"/>
      <c r="K89"/>
      <c r="L89"/>
      <c r="M89"/>
      <c r="N89"/>
      <c r="O89"/>
      <c r="P89"/>
      <c r="Q89"/>
      <c r="R89"/>
      <c r="S89"/>
      <c r="AB89" s="263"/>
      <c r="BG89" s="318"/>
      <c r="BH89" s="319"/>
      <c r="BI89" s="319" t="s">
        <v>188</v>
      </c>
      <c r="BJ89" s="321"/>
      <c r="BK89" s="321"/>
      <c r="BL89" s="321"/>
      <c r="BM89" s="321"/>
      <c r="BN89" s="354"/>
      <c r="BO89" s="354"/>
      <c r="BP89" s="363"/>
      <c r="BQ89" s="354"/>
      <c r="BR89" s="354"/>
      <c r="BS89" s="363"/>
      <c r="BT89" s="363"/>
      <c r="BU89" s="363"/>
      <c r="BV89" s="363"/>
      <c r="BW89" s="363"/>
      <c r="BX89" s="363"/>
      <c r="BY89" s="363"/>
      <c r="BZ89" s="363"/>
      <c r="CA89" s="363"/>
      <c r="CB89" s="363"/>
      <c r="CC89" s="323"/>
      <c r="CD89" s="323"/>
      <c r="CE89" s="323"/>
      <c r="CF89" s="323"/>
      <c r="CG89" s="323"/>
      <c r="CH89" s="323"/>
      <c r="CI89" s="323"/>
      <c r="CJ89" s="323"/>
      <c r="CK89" s="323"/>
      <c r="CL89" s="332" t="e">
        <f>(CM88+(BN58-(CM88*0.64))/0.8)/1000</f>
        <v>#VALUE!</v>
      </c>
      <c r="CM89" s="330" t="e">
        <f>-53.07 + (304.89 * (CL89)) + (90.79 *K10) - (3.13 * K10*K10)</f>
        <v>#VALUE!</v>
      </c>
      <c r="CN89" s="323"/>
      <c r="CO89" s="323"/>
      <c r="CP89" s="323"/>
    </row>
    <row r="90" spans="1:94" hidden="1" x14ac:dyDescent="0.25">
      <c r="A90" s="267"/>
      <c r="B90"/>
      <c r="C90"/>
      <c r="D90"/>
      <c r="E90"/>
      <c r="F90"/>
      <c r="G90"/>
      <c r="H90"/>
      <c r="I90"/>
      <c r="J90"/>
      <c r="K90"/>
      <c r="L90"/>
      <c r="M90"/>
      <c r="N90"/>
      <c r="O90"/>
      <c r="P90"/>
      <c r="Q90"/>
      <c r="R90"/>
      <c r="S90"/>
      <c r="AB90" s="263"/>
      <c r="BG90" s="318"/>
      <c r="BH90" s="319"/>
      <c r="BI90" s="319" t="s">
        <v>504</v>
      </c>
      <c r="BJ90" s="368" t="e">
        <f>(((BN38/K7)+0.3032)/0.9455)*K7</f>
        <v>#VALUE!</v>
      </c>
      <c r="BK90" s="321"/>
      <c r="BL90" s="321"/>
      <c r="BM90" s="321"/>
      <c r="BN90" s="354"/>
      <c r="BO90" s="354"/>
      <c r="BP90" s="363"/>
      <c r="BQ90" s="354"/>
      <c r="BR90" s="354"/>
      <c r="BS90" s="363"/>
      <c r="BT90" s="363"/>
      <c r="BU90" s="363"/>
      <c r="BV90" s="363"/>
      <c r="BW90" s="363"/>
      <c r="BX90" s="363"/>
      <c r="BY90" s="363"/>
      <c r="BZ90" s="363"/>
      <c r="CA90" s="363"/>
      <c r="CB90" s="363"/>
      <c r="CC90" s="323"/>
      <c r="CD90" s="323"/>
      <c r="CE90" s="323"/>
      <c r="CF90" s="323"/>
      <c r="CG90" s="323"/>
      <c r="CH90" s="323"/>
      <c r="CI90" s="323"/>
      <c r="CJ90" s="323"/>
      <c r="CK90" s="323"/>
      <c r="CL90" s="332" t="e">
        <f>(CM89+(BN58-(CM89*0.64))/0.8)/1000</f>
        <v>#VALUE!</v>
      </c>
      <c r="CM90" s="330" t="e">
        <f>-53.07 + (304.89 * (CL90)) + (90.79 *K10) - (3.13 * K10*K10)</f>
        <v>#VALUE!</v>
      </c>
      <c r="CN90" s="323"/>
      <c r="CO90" s="323"/>
      <c r="CP90" s="323"/>
    </row>
    <row r="91" spans="1:94" hidden="1" x14ac:dyDescent="0.25">
      <c r="A91" s="267"/>
      <c r="B91"/>
      <c r="C91"/>
      <c r="D91"/>
      <c r="E91"/>
      <c r="F91"/>
      <c r="G91"/>
      <c r="H91"/>
      <c r="I91"/>
      <c r="J91"/>
      <c r="K91"/>
      <c r="L91"/>
      <c r="M91"/>
      <c r="N91"/>
      <c r="O91"/>
      <c r="P91"/>
      <c r="Q91"/>
      <c r="R91"/>
      <c r="S91"/>
      <c r="AB91" s="263"/>
      <c r="BG91" s="318"/>
      <c r="BH91" s="319"/>
      <c r="BI91" s="319" t="s">
        <v>190</v>
      </c>
      <c r="BJ91" s="321"/>
      <c r="BK91" s="321"/>
      <c r="BL91" s="321"/>
      <c r="BM91" s="321"/>
      <c r="BN91" s="354"/>
      <c r="BO91" s="354"/>
      <c r="BP91" s="363"/>
      <c r="BQ91" s="354"/>
      <c r="BR91" s="354"/>
      <c r="BS91" s="363"/>
      <c r="BT91" s="363"/>
      <c r="BU91" s="363"/>
      <c r="BV91" s="363"/>
      <c r="BW91" s="363"/>
      <c r="BX91" s="363"/>
      <c r="BY91" s="363"/>
      <c r="BZ91" s="363"/>
      <c r="CA91" s="363"/>
      <c r="CB91" s="363"/>
      <c r="CC91" s="323"/>
      <c r="CD91" s="323"/>
      <c r="CE91" s="323"/>
      <c r="CF91" s="323"/>
      <c r="CG91" s="323"/>
      <c r="CH91" s="323"/>
      <c r="CI91" s="323"/>
      <c r="CJ91" s="323"/>
      <c r="CK91" s="323"/>
      <c r="CL91" s="332" t="e">
        <f>(CM90+(BN58-(CM90*0.64))/0.8)/1000</f>
        <v>#VALUE!</v>
      </c>
      <c r="CM91" s="330" t="e">
        <f>-53.07 + (304.89 * (CL91)) + (90.79 *K10) - (3.13 * K10*K10)</f>
        <v>#VALUE!</v>
      </c>
      <c r="CN91" s="323"/>
      <c r="CO91" s="323"/>
      <c r="CP91" s="323"/>
    </row>
    <row r="92" spans="1:94" hidden="1" x14ac:dyDescent="0.25">
      <c r="A92" s="267"/>
      <c r="B92"/>
      <c r="C92"/>
      <c r="D92"/>
      <c r="E92"/>
      <c r="F92"/>
      <c r="G92"/>
      <c r="H92"/>
      <c r="I92"/>
      <c r="J92"/>
      <c r="K92"/>
      <c r="L92"/>
      <c r="M92"/>
      <c r="N92"/>
      <c r="O92"/>
      <c r="P92"/>
      <c r="Q92"/>
      <c r="R92"/>
      <c r="S92"/>
      <c r="AB92" s="263"/>
      <c r="BG92" s="318"/>
      <c r="BH92" s="319"/>
      <c r="BI92" s="319" t="s">
        <v>505</v>
      </c>
      <c r="BJ92" s="321"/>
      <c r="BK92" s="321"/>
      <c r="BL92" s="321"/>
      <c r="BM92" s="321"/>
      <c r="BN92" s="354"/>
      <c r="BO92" s="354"/>
      <c r="BP92" s="363"/>
      <c r="BQ92" s="354"/>
      <c r="BR92" s="354"/>
      <c r="BS92" s="363"/>
      <c r="BT92" s="363"/>
      <c r="BU92" s="363"/>
      <c r="BV92" s="363"/>
      <c r="BW92" s="363"/>
      <c r="BX92" s="363"/>
      <c r="BY92" s="363"/>
      <c r="BZ92" s="363"/>
      <c r="CA92" s="363"/>
      <c r="CB92" s="363"/>
      <c r="CC92" s="323"/>
      <c r="CD92" s="323"/>
      <c r="CE92" s="323"/>
      <c r="CF92" s="323"/>
      <c r="CG92" s="323"/>
      <c r="CH92" s="323"/>
      <c r="CI92" s="323"/>
      <c r="CJ92" s="323"/>
      <c r="CK92" s="323"/>
      <c r="CL92" s="332" t="e">
        <f>(CM91+(BN58-(CM91*0.64))/0.8)/1000</f>
        <v>#VALUE!</v>
      </c>
      <c r="CM92" s="330" t="e">
        <f>-53.07 + (304.89 * (CL92)) + (90.79 *K10) - (3.13 * K10*K10)</f>
        <v>#VALUE!</v>
      </c>
      <c r="CN92" s="323"/>
      <c r="CO92" s="323"/>
      <c r="CP92" s="323"/>
    </row>
    <row r="93" spans="1:94" hidden="1" x14ac:dyDescent="0.25">
      <c r="AB93" s="263"/>
      <c r="BG93" s="318"/>
      <c r="BH93" s="319"/>
      <c r="BI93" s="319"/>
      <c r="BJ93" s="321"/>
      <c r="BK93" s="321"/>
      <c r="BL93" s="321"/>
      <c r="BM93" s="321"/>
      <c r="BN93" s="354"/>
      <c r="BO93" s="354"/>
      <c r="BP93" s="363"/>
      <c r="BQ93" s="354"/>
      <c r="BR93" s="354"/>
      <c r="BS93" s="363"/>
      <c r="BT93" s="363"/>
      <c r="BU93" s="363"/>
      <c r="BV93" s="363"/>
      <c r="BW93" s="363"/>
      <c r="BX93" s="363"/>
      <c r="BY93" s="363"/>
      <c r="BZ93" s="363"/>
      <c r="CA93" s="363"/>
      <c r="CB93" s="363"/>
      <c r="CC93" s="323"/>
      <c r="CD93" s="323"/>
      <c r="CE93" s="323"/>
      <c r="CF93" s="323"/>
      <c r="CG93" s="323"/>
      <c r="CH93" s="323"/>
      <c r="CI93" s="323"/>
      <c r="CJ93" s="323"/>
      <c r="CK93" s="323"/>
      <c r="CL93" s="332" t="e">
        <f>(CM92+(BN58-(CM92*0.64))/0.8)/1000</f>
        <v>#VALUE!</v>
      </c>
      <c r="CM93" s="330" t="e">
        <f>-53.07 + (304.89 * (CL93)) + (90.79 *K10) - (3.13 * K10*K10)</f>
        <v>#VALUE!</v>
      </c>
      <c r="CN93" s="323"/>
      <c r="CO93" s="323"/>
      <c r="CP93" s="323"/>
    </row>
    <row r="94" spans="1:94" hidden="1" x14ac:dyDescent="0.25">
      <c r="AB94" s="263"/>
      <c r="BG94" s="318"/>
      <c r="BH94" s="319" t="s">
        <v>462</v>
      </c>
      <c r="BI94" s="319" t="s">
        <v>463</v>
      </c>
      <c r="BJ94" s="321"/>
      <c r="BK94" s="321"/>
      <c r="BL94" s="321"/>
      <c r="BM94" s="321"/>
      <c r="BN94" s="354"/>
      <c r="BO94" s="354"/>
      <c r="BP94" s="363"/>
      <c r="BQ94" s="354"/>
      <c r="BR94" s="354"/>
      <c r="BS94" s="363"/>
      <c r="BT94" s="363"/>
      <c r="BU94" s="363"/>
      <c r="BV94" s="363"/>
      <c r="BW94" s="363"/>
      <c r="BX94" s="363"/>
      <c r="BY94" s="363"/>
      <c r="BZ94" s="363"/>
      <c r="CA94" s="363"/>
      <c r="CB94" s="363"/>
      <c r="CC94" s="323"/>
      <c r="CD94" s="323"/>
      <c r="CE94" s="323"/>
      <c r="CF94" s="323"/>
      <c r="CG94" s="323"/>
      <c r="CH94" s="323"/>
      <c r="CI94" s="323"/>
      <c r="CJ94" s="323"/>
      <c r="CK94" s="323"/>
      <c r="CL94" s="332" t="e">
        <f>(CM93+(BN58-(CM93*0.64))/0.8)/1000</f>
        <v>#VALUE!</v>
      </c>
      <c r="CM94" s="330" t="e">
        <f>-53.07 + (304.89 * (CL94)) + (90.79 *K10) - (3.13 * K10*K10)</f>
        <v>#VALUE!</v>
      </c>
      <c r="CN94" s="323"/>
      <c r="CO94" s="323"/>
      <c r="CP94" s="323"/>
    </row>
    <row r="95" spans="1:94" hidden="1" x14ac:dyDescent="0.25">
      <c r="AB95" s="263"/>
      <c r="BG95" s="318"/>
      <c r="BH95" s="319"/>
      <c r="BI95" s="319" t="s">
        <v>466</v>
      </c>
      <c r="BJ95" s="321"/>
      <c r="BK95" s="321"/>
      <c r="BL95" s="321"/>
      <c r="BM95" s="321"/>
      <c r="BN95" s="354"/>
      <c r="BO95" s="354"/>
      <c r="BP95" s="363"/>
      <c r="BQ95" s="354"/>
      <c r="BR95" s="354"/>
      <c r="BS95" s="363"/>
      <c r="BT95" s="363"/>
      <c r="BU95" s="363"/>
      <c r="BV95" s="363"/>
      <c r="BW95" s="363"/>
      <c r="BX95" s="363"/>
      <c r="BY95" s="363"/>
      <c r="BZ95" s="363"/>
      <c r="CA95" s="363"/>
      <c r="CB95" s="363"/>
      <c r="CC95" s="323"/>
      <c r="CD95" s="323"/>
      <c r="CE95" s="323"/>
      <c r="CF95" s="323"/>
      <c r="CG95" s="323"/>
      <c r="CH95" s="323"/>
      <c r="CI95" s="323"/>
      <c r="CJ95" s="323"/>
      <c r="CK95" s="323"/>
      <c r="CL95" s="332" t="e">
        <f>(CM94+(BN58-(CM94*0.64))/0.8)/1000</f>
        <v>#VALUE!</v>
      </c>
      <c r="CM95" s="330" t="e">
        <f>-53.07 + (304.89 * (CL95)) + (90.79 *K10) - (3.13 * K10*K10)</f>
        <v>#VALUE!</v>
      </c>
      <c r="CN95" s="323"/>
      <c r="CO95" s="323"/>
      <c r="CP95" s="323"/>
    </row>
    <row r="96" spans="1:94" hidden="1" x14ac:dyDescent="0.25">
      <c r="AB96" s="263"/>
      <c r="BG96" s="318"/>
      <c r="BH96" s="319"/>
      <c r="BI96" s="319" t="s">
        <v>467</v>
      </c>
      <c r="BJ96" s="321"/>
      <c r="BK96" s="321"/>
      <c r="BL96" s="321"/>
      <c r="BM96" s="321"/>
      <c r="BN96" s="354"/>
      <c r="BO96" s="354"/>
      <c r="BP96" s="363"/>
      <c r="BQ96" s="354"/>
      <c r="BR96" s="354"/>
      <c r="BS96" s="363"/>
      <c r="BT96" s="363"/>
      <c r="BU96" s="363"/>
      <c r="BV96" s="363"/>
      <c r="BW96" s="363"/>
      <c r="BX96" s="363"/>
      <c r="BY96" s="363"/>
      <c r="BZ96" s="363"/>
      <c r="CA96" s="363"/>
      <c r="CB96" s="363"/>
      <c r="CC96" s="323"/>
      <c r="CD96" s="323"/>
      <c r="CE96" s="323"/>
      <c r="CF96" s="323"/>
      <c r="CG96" s="323"/>
      <c r="CH96" s="323"/>
      <c r="CI96" s="323"/>
      <c r="CJ96" s="323"/>
      <c r="CK96" s="323"/>
      <c r="CL96" s="332" t="e">
        <f>(CM95+(BN58-(CM95*0.64))/0.8)/1000</f>
        <v>#VALUE!</v>
      </c>
      <c r="CM96" s="330" t="e">
        <f>-53.07 + (304.89 * (CL96)) + (90.79 *K10) - (3.13 * K10*K10)</f>
        <v>#VALUE!</v>
      </c>
      <c r="CN96" s="323"/>
      <c r="CO96" s="323"/>
      <c r="CP96" s="323"/>
    </row>
    <row r="97" spans="28:94" hidden="1" x14ac:dyDescent="0.25">
      <c r="AB97" s="263"/>
      <c r="BG97" s="318"/>
      <c r="BH97" s="319"/>
      <c r="BI97" s="319" t="s">
        <v>470</v>
      </c>
      <c r="BJ97" s="321"/>
      <c r="BK97" s="321"/>
      <c r="BL97" s="321"/>
      <c r="BM97" s="321"/>
      <c r="BN97" s="354"/>
      <c r="BO97" s="354"/>
      <c r="BP97" s="363"/>
      <c r="BQ97" s="354"/>
      <c r="BR97" s="354"/>
      <c r="BS97" s="363"/>
      <c r="BT97" s="363"/>
      <c r="BU97" s="363"/>
      <c r="BV97" s="363"/>
      <c r="BW97" s="363"/>
      <c r="BX97" s="363"/>
      <c r="BY97" s="363"/>
      <c r="BZ97" s="363"/>
      <c r="CA97" s="363"/>
      <c r="CB97" s="363"/>
      <c r="CC97" s="323"/>
      <c r="CD97" s="323"/>
      <c r="CE97" s="323"/>
      <c r="CF97" s="323"/>
      <c r="CG97" s="323"/>
      <c r="CH97" s="323"/>
      <c r="CI97" s="323"/>
      <c r="CJ97" s="323"/>
      <c r="CK97" s="323"/>
      <c r="CL97" s="332" t="e">
        <f>(CM96+(BN58-(CM96*0.64))/0.8)/1000</f>
        <v>#VALUE!</v>
      </c>
      <c r="CM97" s="330" t="e">
        <f>-53.07 + (304.89 * (CL97)) + (90.79 *K10) - (3.13 * K10*K10)</f>
        <v>#VALUE!</v>
      </c>
      <c r="CN97" s="323"/>
      <c r="CO97" s="323"/>
      <c r="CP97" s="323"/>
    </row>
    <row r="98" spans="28:94" hidden="1" x14ac:dyDescent="0.25">
      <c r="AB98" s="263"/>
      <c r="BG98" s="318"/>
      <c r="BH98" s="319"/>
      <c r="BI98" s="319" t="s">
        <v>471</v>
      </c>
      <c r="BJ98" s="321"/>
      <c r="BK98" s="321"/>
      <c r="BL98" s="321"/>
      <c r="BM98" s="321"/>
      <c r="BN98" s="354"/>
      <c r="BO98" s="354"/>
      <c r="BP98" s="363"/>
      <c r="BQ98" s="354"/>
      <c r="BR98" s="354"/>
      <c r="BS98" s="363"/>
      <c r="BT98" s="363"/>
      <c r="BU98" s="363"/>
      <c r="BV98" s="363"/>
      <c r="BW98" s="363"/>
      <c r="BX98" s="363"/>
      <c r="BY98" s="363"/>
      <c r="BZ98" s="363"/>
      <c r="CA98" s="363"/>
      <c r="CB98" s="363"/>
      <c r="CC98" s="323"/>
      <c r="CD98" s="323"/>
      <c r="CE98" s="323"/>
      <c r="CF98" s="323"/>
      <c r="CG98" s="323"/>
      <c r="CH98" s="323"/>
      <c r="CI98" s="323"/>
      <c r="CJ98" s="323"/>
      <c r="CK98" s="323"/>
      <c r="CL98" s="332" t="e">
        <f>(CM97+(BN58-(CM97*0.64))/0.8)/1000</f>
        <v>#VALUE!</v>
      </c>
      <c r="CM98" s="330" t="e">
        <f>-53.07 + (304.89 * (CL98)) + (90.79 *K10) - (3.13 * K10*K10)</f>
        <v>#VALUE!</v>
      </c>
      <c r="CN98" s="323"/>
      <c r="CO98" s="323"/>
      <c r="CP98" s="323"/>
    </row>
    <row r="99" spans="28:94" hidden="1" x14ac:dyDescent="0.25">
      <c r="AB99" s="263"/>
      <c r="BG99" s="318"/>
      <c r="BH99" s="319"/>
      <c r="BI99" s="319" t="s">
        <v>506</v>
      </c>
      <c r="BJ99" s="352" t="e">
        <f>BN59/K10</f>
        <v>#VALUE!</v>
      </c>
      <c r="BK99" s="321"/>
      <c r="BL99" s="321"/>
      <c r="BM99" s="321"/>
      <c r="BN99" s="354"/>
      <c r="BO99" s="354"/>
      <c r="BP99" s="363"/>
      <c r="BQ99" s="354"/>
      <c r="BR99" s="354"/>
      <c r="BS99" s="363"/>
      <c r="BT99" s="363"/>
      <c r="BU99" s="363"/>
      <c r="BV99" s="363"/>
      <c r="BW99" s="363"/>
      <c r="BX99" s="363"/>
      <c r="BY99" s="363"/>
      <c r="BZ99" s="363"/>
      <c r="CA99" s="363"/>
      <c r="CB99" s="363"/>
      <c r="CC99" s="323"/>
      <c r="CD99" s="323"/>
      <c r="CE99" s="323"/>
      <c r="CF99" s="323"/>
      <c r="CG99" s="323"/>
      <c r="CH99" s="323"/>
      <c r="CI99" s="323"/>
      <c r="CJ99" s="323"/>
      <c r="CK99" s="323"/>
      <c r="CL99" s="332" t="e">
        <f>(CM98+(BN58-(CM98*0.64))/0.8)/1000</f>
        <v>#VALUE!</v>
      </c>
      <c r="CM99" s="330" t="e">
        <f>-53.07 + (304.89 * (CL99)) + (90.79 *K10) - (3.13 * K10*K10)</f>
        <v>#VALUE!</v>
      </c>
      <c r="CN99" s="323"/>
      <c r="CO99" s="323"/>
      <c r="CP99" s="323"/>
    </row>
    <row r="100" spans="28:94" hidden="1" x14ac:dyDescent="0.25">
      <c r="AB100" s="263"/>
      <c r="BG100" s="318"/>
      <c r="BH100" s="319"/>
      <c r="BI100" s="319" t="s">
        <v>474</v>
      </c>
      <c r="BJ100" s="321"/>
      <c r="BK100" s="321"/>
      <c r="BL100" s="321"/>
      <c r="BM100" s="321"/>
      <c r="BN100" s="354"/>
      <c r="BO100" s="354"/>
      <c r="BP100" s="363"/>
      <c r="BQ100" s="354"/>
      <c r="BR100" s="354"/>
      <c r="BS100" s="363"/>
      <c r="BT100" s="363"/>
      <c r="BU100" s="363"/>
      <c r="BV100" s="363"/>
      <c r="BW100" s="363"/>
      <c r="BX100" s="363"/>
      <c r="BY100" s="363"/>
      <c r="BZ100" s="363"/>
      <c r="CA100" s="363"/>
      <c r="CB100" s="363"/>
      <c r="CC100" s="323"/>
      <c r="CD100" s="323"/>
      <c r="CE100" s="323"/>
      <c r="CF100" s="323"/>
      <c r="CG100" s="323"/>
      <c r="CH100" s="323"/>
      <c r="CI100" s="323"/>
      <c r="CJ100" s="323"/>
      <c r="CK100" s="323"/>
      <c r="CL100" s="332" t="e">
        <f>(CM99+(BN58-(CM99*0.64))/0.8)/1000</f>
        <v>#VALUE!</v>
      </c>
      <c r="CM100" s="330" t="e">
        <f>-53.07 + (304.89 * (CL100)) + (90.79 *K10) - (3.13 * K10*K10)</f>
        <v>#VALUE!</v>
      </c>
      <c r="CN100" s="323"/>
      <c r="CO100" s="323"/>
      <c r="CP100" s="323"/>
    </row>
    <row r="101" spans="28:94" hidden="1" x14ac:dyDescent="0.25">
      <c r="AB101" s="263"/>
      <c r="BG101" s="318"/>
      <c r="BH101" s="319"/>
      <c r="BI101" s="319" t="s">
        <v>476</v>
      </c>
      <c r="BJ101" s="321"/>
      <c r="BK101" s="321"/>
      <c r="BL101" s="321"/>
      <c r="BM101" s="321"/>
      <c r="BN101" s="354"/>
      <c r="BO101" s="354"/>
      <c r="BP101" s="363"/>
      <c r="BQ101" s="354"/>
      <c r="BR101" s="354"/>
      <c r="BS101" s="363"/>
      <c r="BT101" s="363"/>
      <c r="BU101" s="363"/>
      <c r="BV101" s="363"/>
      <c r="BW101" s="363"/>
      <c r="BX101" s="363"/>
      <c r="BY101" s="363"/>
      <c r="BZ101" s="363"/>
      <c r="CA101" s="363"/>
      <c r="CB101" s="363"/>
      <c r="CC101" s="323"/>
      <c r="CD101" s="323"/>
      <c r="CE101" s="323"/>
      <c r="CF101" s="323"/>
      <c r="CG101" s="323"/>
      <c r="CH101" s="323"/>
      <c r="CI101" s="323"/>
      <c r="CJ101" s="323"/>
      <c r="CK101" s="323"/>
      <c r="CL101" s="332" t="e">
        <f>(CM100+(BN58-(CM100*0.64))/0.8)/1000</f>
        <v>#VALUE!</v>
      </c>
      <c r="CM101" s="330" t="e">
        <f>-53.07 + (304.89 * (CL101)) + (90.79 *K10) - (3.13 * K10*K10)</f>
        <v>#VALUE!</v>
      </c>
      <c r="CN101" s="323"/>
      <c r="CO101" s="323"/>
      <c r="CP101" s="323"/>
    </row>
    <row r="102" spans="28:94" hidden="1" x14ac:dyDescent="0.25">
      <c r="AB102" s="263"/>
      <c r="BG102" s="318"/>
      <c r="BH102" s="319"/>
      <c r="BI102" s="319" t="s">
        <v>480</v>
      </c>
      <c r="BJ102" s="321"/>
      <c r="BK102" s="321"/>
      <c r="BL102" s="321"/>
      <c r="BM102" s="321"/>
      <c r="BN102" s="354"/>
      <c r="BO102" s="354"/>
      <c r="BP102" s="363"/>
      <c r="BQ102" s="354"/>
      <c r="BR102" s="354"/>
      <c r="BS102" s="363"/>
      <c r="BT102" s="363"/>
      <c r="BU102" s="363"/>
      <c r="BV102" s="363"/>
      <c r="BW102" s="363"/>
      <c r="BX102" s="363"/>
      <c r="BY102" s="363"/>
      <c r="BZ102" s="363"/>
      <c r="CA102" s="363"/>
      <c r="CB102" s="363"/>
      <c r="CC102" s="323"/>
      <c r="CD102" s="323"/>
      <c r="CE102" s="323"/>
      <c r="CF102" s="323"/>
      <c r="CG102" s="323"/>
      <c r="CH102" s="323"/>
      <c r="CI102" s="323"/>
      <c r="CJ102" s="323"/>
      <c r="CK102" s="323"/>
      <c r="CL102" s="332" t="e">
        <f>(CM101+(BN58-(CM101*0.64))/0.8)/1000</f>
        <v>#VALUE!</v>
      </c>
      <c r="CM102" s="330" t="e">
        <f>-53.07 + (304.89 * (CL102)) + (90.79 *K10) - (3.13 * K10*K10)</f>
        <v>#VALUE!</v>
      </c>
      <c r="CN102" s="323"/>
      <c r="CO102" s="323"/>
      <c r="CP102" s="323"/>
    </row>
    <row r="103" spans="28:94" hidden="1" x14ac:dyDescent="0.25">
      <c r="AB103" s="263"/>
      <c r="BG103" s="318"/>
      <c r="BH103" s="319"/>
      <c r="BI103" s="319" t="s">
        <v>507</v>
      </c>
      <c r="BJ103" s="321"/>
      <c r="BK103" s="321"/>
      <c r="BL103" s="321"/>
      <c r="BM103" s="321"/>
      <c r="BN103" s="354"/>
      <c r="BO103" s="354"/>
      <c r="BP103" s="363"/>
      <c r="BQ103" s="354"/>
      <c r="BR103" s="354"/>
      <c r="BS103" s="363"/>
      <c r="BT103" s="363"/>
      <c r="BU103" s="363"/>
      <c r="BV103" s="363"/>
      <c r="BW103" s="363"/>
      <c r="BX103" s="363"/>
      <c r="BY103" s="363"/>
      <c r="BZ103" s="363"/>
      <c r="CA103" s="363"/>
      <c r="CB103" s="363"/>
      <c r="CC103" s="323"/>
      <c r="CD103" s="323"/>
      <c r="CE103" s="323"/>
      <c r="CF103" s="323"/>
      <c r="CG103" s="323"/>
      <c r="CH103" s="323"/>
      <c r="CI103" s="323"/>
      <c r="CJ103" s="323"/>
      <c r="CK103" s="323"/>
      <c r="CL103" s="332" t="e">
        <f>(CM102+(BN58-(CM102*0.64))/0.8)/1000</f>
        <v>#VALUE!</v>
      </c>
      <c r="CM103" s="330" t="e">
        <f>-53.07 + (304.89 * (CL103)) + (90.79 *K10) - (3.13 * K10*K10)</f>
        <v>#VALUE!</v>
      </c>
      <c r="CN103" s="323"/>
      <c r="CO103" s="323"/>
      <c r="CP103" s="323"/>
    </row>
    <row r="104" spans="28:94" hidden="1" x14ac:dyDescent="0.25">
      <c r="AB104" s="263"/>
      <c r="BG104" s="318"/>
      <c r="BH104" s="319"/>
      <c r="BI104" s="319" t="s">
        <v>508</v>
      </c>
      <c r="BJ104" s="321"/>
      <c r="BK104" s="321"/>
      <c r="BL104" s="321"/>
      <c r="BM104" s="321"/>
      <c r="BN104" s="354"/>
      <c r="BO104" s="354"/>
      <c r="BP104" s="363"/>
      <c r="BQ104" s="354"/>
      <c r="BR104" s="354"/>
      <c r="BS104" s="363"/>
      <c r="BT104" s="363"/>
      <c r="BU104" s="363"/>
      <c r="BV104" s="363"/>
      <c r="BW104" s="363"/>
      <c r="BX104" s="363"/>
      <c r="BY104" s="363"/>
      <c r="BZ104" s="363"/>
      <c r="CA104" s="363"/>
      <c r="CB104" s="363"/>
      <c r="CC104" s="323"/>
      <c r="CD104" s="323"/>
      <c r="CE104" s="323"/>
      <c r="CF104" s="323"/>
      <c r="CG104" s="323"/>
      <c r="CH104" s="323"/>
      <c r="CI104" s="323"/>
      <c r="CJ104" s="323"/>
      <c r="CK104" s="323"/>
      <c r="CL104" s="332" t="e">
        <f>(CM103+(BN58-(CM103*0.64))/0.8)/1000</f>
        <v>#VALUE!</v>
      </c>
      <c r="CM104" s="330" t="e">
        <f>-53.07 + (304.89 * (CL104)) + (90.79 *K10) - (3.13 * K10*K10)</f>
        <v>#VALUE!</v>
      </c>
      <c r="CN104" s="323"/>
      <c r="CO104" s="323"/>
      <c r="CP104" s="323"/>
    </row>
    <row r="105" spans="28:94" hidden="1" x14ac:dyDescent="0.25">
      <c r="AB105" s="263"/>
      <c r="BG105" s="318"/>
      <c r="BH105" s="319"/>
      <c r="BI105" s="319" t="s">
        <v>509</v>
      </c>
      <c r="BJ105" s="321"/>
      <c r="BK105" s="321"/>
      <c r="BL105" s="321"/>
      <c r="BM105" s="321"/>
      <c r="BN105" s="354"/>
      <c r="BO105" s="354"/>
      <c r="BP105" s="363"/>
      <c r="BQ105" s="354"/>
      <c r="BR105" s="354"/>
      <c r="BS105" s="363"/>
      <c r="BT105" s="363"/>
      <c r="BU105" s="363"/>
      <c r="BV105" s="363"/>
      <c r="BW105" s="363"/>
      <c r="BX105" s="363"/>
      <c r="BY105" s="363"/>
      <c r="BZ105" s="363"/>
      <c r="CA105" s="363"/>
      <c r="CB105" s="363"/>
      <c r="CC105" s="323"/>
      <c r="CD105" s="323"/>
      <c r="CE105" s="323"/>
      <c r="CF105" s="323"/>
      <c r="CG105" s="323"/>
      <c r="CH105" s="323"/>
      <c r="CI105" s="323"/>
      <c r="CJ105" s="323"/>
      <c r="CK105" s="323"/>
      <c r="CL105" s="332" t="e">
        <f>(CM104+(BN58-(CM104*0.64))/0.8)/1000</f>
        <v>#VALUE!</v>
      </c>
      <c r="CM105" s="330" t="e">
        <f>-53.07 + (304.89 * (CL105)) + (90.79 *K10) - (3.13 * K10*K10)</f>
        <v>#VALUE!</v>
      </c>
      <c r="CN105" s="323"/>
      <c r="CO105" s="323"/>
      <c r="CP105" s="323"/>
    </row>
    <row r="106" spans="28:94" hidden="1" x14ac:dyDescent="0.25">
      <c r="AB106" s="263"/>
      <c r="BG106" s="318"/>
      <c r="BH106" s="319"/>
      <c r="BI106" s="319"/>
      <c r="BJ106" s="321"/>
      <c r="BK106" s="321"/>
      <c r="BL106" s="321"/>
      <c r="BM106" s="321"/>
      <c r="BN106" s="354"/>
      <c r="BO106" s="354"/>
      <c r="BP106" s="363"/>
      <c r="BQ106" s="354"/>
      <c r="BR106" s="354"/>
      <c r="BS106" s="363"/>
      <c r="BT106" s="363"/>
      <c r="BU106" s="363"/>
      <c r="BV106" s="363"/>
      <c r="BW106" s="363"/>
      <c r="BX106" s="363"/>
      <c r="BY106" s="363"/>
      <c r="BZ106" s="363"/>
      <c r="CA106" s="363"/>
      <c r="CB106" s="363"/>
      <c r="CC106" s="323"/>
      <c r="CD106" s="323"/>
      <c r="CE106" s="323"/>
      <c r="CF106" s="323"/>
      <c r="CG106" s="323"/>
      <c r="CH106" s="323"/>
      <c r="CI106" s="323"/>
      <c r="CJ106" s="323"/>
      <c r="CK106" s="323"/>
      <c r="CL106" s="332" t="e">
        <f>(CM105+(BN58-(CM105*0.64))/0.8)/1000</f>
        <v>#VALUE!</v>
      </c>
      <c r="CM106" s="330" t="e">
        <f>-53.07 + (304.89 * (CL106)) + (90.79 *K10) - (3.13 * K10*K10)</f>
        <v>#VALUE!</v>
      </c>
      <c r="CN106" s="323"/>
      <c r="CO106" s="323"/>
      <c r="CP106" s="323"/>
    </row>
    <row r="107" spans="28:94" hidden="1" x14ac:dyDescent="0.25">
      <c r="AB107" s="263"/>
      <c r="BG107" s="318"/>
      <c r="BH107" s="319" t="s">
        <v>510</v>
      </c>
      <c r="BI107" s="319" t="s">
        <v>511</v>
      </c>
      <c r="BJ107" s="321"/>
      <c r="BK107" s="321"/>
      <c r="BL107" s="321"/>
      <c r="BM107" s="321"/>
      <c r="BN107" s="354"/>
      <c r="BO107" s="354"/>
      <c r="BP107" s="363"/>
      <c r="BQ107" s="354"/>
      <c r="BR107" s="354"/>
      <c r="BS107" s="363"/>
      <c r="BT107" s="363"/>
      <c r="BU107" s="363"/>
      <c r="BV107" s="363"/>
      <c r="BW107" s="363"/>
      <c r="BX107" s="363"/>
      <c r="BY107" s="363"/>
      <c r="BZ107" s="363"/>
      <c r="CA107" s="363"/>
      <c r="CB107" s="363"/>
      <c r="CC107" s="323"/>
      <c r="CD107" s="323"/>
      <c r="CE107" s="323"/>
      <c r="CF107" s="323"/>
      <c r="CG107" s="323"/>
      <c r="CH107" s="323"/>
      <c r="CI107" s="323"/>
      <c r="CJ107" s="323"/>
      <c r="CK107" s="323"/>
      <c r="CL107" s="332" t="e">
        <f>(CM106+(BN58-(CM106*0.64))/0.8)/1000</f>
        <v>#VALUE!</v>
      </c>
      <c r="CM107" s="330" t="e">
        <f>-53.07 + (304.89 * (CL107)) + (90.79 *K10) - (3.13 * K10*K10)</f>
        <v>#VALUE!</v>
      </c>
      <c r="CN107" s="323"/>
      <c r="CO107" s="323"/>
      <c r="CP107" s="323"/>
    </row>
    <row r="108" spans="28:94" hidden="1" x14ac:dyDescent="0.25">
      <c r="AB108" s="263"/>
      <c r="BG108" s="318"/>
      <c r="BH108" s="319"/>
      <c r="BI108" s="319" t="s">
        <v>512</v>
      </c>
      <c r="BJ108" s="368" t="e">
        <f>9.449+(0.19*(C8^0.75))+(0.271*BQ39)-(0.259*BQ40)+(0.489*K7)</f>
        <v>#VALUE!</v>
      </c>
      <c r="BK108" s="321"/>
      <c r="BL108" s="321"/>
      <c r="BM108" s="321"/>
      <c r="BN108" s="354"/>
      <c r="BO108" s="354"/>
      <c r="BP108" s="363"/>
      <c r="BQ108" s="354"/>
      <c r="BR108" s="354"/>
      <c r="BS108" s="363"/>
      <c r="BT108" s="363"/>
      <c r="BU108" s="363"/>
      <c r="BV108" s="363"/>
      <c r="BW108" s="363"/>
      <c r="BX108" s="363"/>
      <c r="BY108" s="363"/>
      <c r="BZ108" s="363"/>
      <c r="CA108" s="363"/>
      <c r="CB108" s="363"/>
      <c r="CC108" s="323"/>
      <c r="CD108" s="323"/>
      <c r="CE108" s="323"/>
      <c r="CF108" s="323"/>
      <c r="CG108" s="323"/>
      <c r="CH108" s="323"/>
      <c r="CI108" s="323"/>
      <c r="CJ108" s="323"/>
      <c r="CK108" s="323"/>
      <c r="CL108" s="332" t="e">
        <f>(CM107+(BN58-(CM107*0.64))/0.8)/1000</f>
        <v>#VALUE!</v>
      </c>
      <c r="CM108" s="330" t="e">
        <f>-53.07 + (304.89 * (CL108)) + (90.79 *K10) - (3.13 * K10*K10)</f>
        <v>#VALUE!</v>
      </c>
      <c r="CN108" s="323"/>
      <c r="CO108" s="323"/>
      <c r="CP108" s="323"/>
    </row>
    <row r="109" spans="28:94" hidden="1" x14ac:dyDescent="0.25">
      <c r="AB109" s="263"/>
      <c r="BG109" s="318"/>
      <c r="BH109" s="319"/>
      <c r="BI109" s="319"/>
      <c r="BJ109" s="321"/>
      <c r="BK109" s="321"/>
      <c r="BL109" s="321"/>
      <c r="BM109" s="321"/>
      <c r="BN109" s="354"/>
      <c r="BO109" s="354"/>
      <c r="BP109" s="363"/>
      <c r="BQ109" s="354"/>
      <c r="BR109" s="354"/>
      <c r="BS109" s="363"/>
      <c r="BT109" s="363"/>
      <c r="BU109" s="363"/>
      <c r="BV109" s="363"/>
      <c r="BW109" s="363"/>
      <c r="BX109" s="363"/>
      <c r="BY109" s="363"/>
      <c r="BZ109" s="363"/>
      <c r="CA109" s="363"/>
      <c r="CB109" s="363"/>
      <c r="CC109" s="323"/>
      <c r="CD109" s="323"/>
      <c r="CE109" s="323"/>
      <c r="CF109" s="323"/>
      <c r="CG109" s="323"/>
      <c r="CH109" s="323"/>
      <c r="CI109" s="323"/>
      <c r="CJ109" s="323"/>
      <c r="CK109" s="323"/>
      <c r="CL109" s="332" t="e">
        <f>(CM108+(BN58-(CM108*0.64))/0.8)/1000</f>
        <v>#VALUE!</v>
      </c>
      <c r="CM109" s="330" t="e">
        <f>-53.07 + (304.89 * (CL109)) + (90.79 *K10) - (3.13 * K10*K10)</f>
        <v>#VALUE!</v>
      </c>
      <c r="CN109" s="323"/>
      <c r="CO109" s="323"/>
      <c r="CP109" s="323"/>
    </row>
    <row r="110" spans="28:94" hidden="1" x14ac:dyDescent="0.25">
      <c r="AB110" s="263"/>
      <c r="BG110" s="318"/>
      <c r="BH110" s="319"/>
      <c r="BI110" s="319"/>
      <c r="BJ110" s="321"/>
      <c r="BK110" s="321"/>
      <c r="BL110" s="321"/>
      <c r="BM110" s="321"/>
      <c r="BN110" s="354"/>
      <c r="BO110" s="354"/>
      <c r="BP110" s="363"/>
      <c r="BQ110" s="354"/>
      <c r="BR110" s="354"/>
      <c r="BS110" s="363"/>
      <c r="BT110" s="363"/>
      <c r="BU110" s="363"/>
      <c r="BV110" s="363"/>
      <c r="BW110" s="363"/>
      <c r="BX110" s="363"/>
      <c r="BY110" s="363"/>
      <c r="BZ110" s="363"/>
      <c r="CA110" s="363"/>
      <c r="CB110" s="363"/>
      <c r="CC110" s="323"/>
      <c r="CD110" s="323"/>
      <c r="CE110" s="323"/>
      <c r="CF110" s="323"/>
      <c r="CG110" s="323"/>
      <c r="CH110" s="323"/>
      <c r="CI110" s="323"/>
      <c r="CJ110" s="323"/>
      <c r="CK110" s="323"/>
      <c r="CL110" s="332" t="e">
        <f>(CM109+(BN58-(CM109*0.64))/0.8)/1000</f>
        <v>#VALUE!</v>
      </c>
      <c r="CM110" s="330" t="e">
        <f>-53.07 + (304.89 * (CL110)) + (90.79 *K10) - (3.13 * K10*K10)</f>
        <v>#VALUE!</v>
      </c>
      <c r="CN110" s="323"/>
      <c r="CO110" s="323"/>
      <c r="CP110" s="323"/>
    </row>
    <row r="111" spans="28:94" hidden="1" x14ac:dyDescent="0.25">
      <c r="AB111" s="263"/>
      <c r="BG111" s="318"/>
      <c r="BH111" s="319" t="s">
        <v>513</v>
      </c>
      <c r="BI111" s="319" t="s">
        <v>514</v>
      </c>
      <c r="BJ111" s="367" t="e">
        <f>11.7*C8/1000</f>
        <v>#VALUE!</v>
      </c>
      <c r="BK111" s="321"/>
      <c r="BL111" s="321"/>
      <c r="BM111" s="321"/>
      <c r="BN111" s="354"/>
      <c r="BO111" s="354"/>
      <c r="BP111" s="363"/>
      <c r="BQ111" s="354"/>
      <c r="BR111" s="354"/>
      <c r="BS111" s="363"/>
      <c r="BT111" s="363"/>
      <c r="BU111" s="363"/>
      <c r="BV111" s="363"/>
      <c r="BW111" s="363"/>
      <c r="BX111" s="363"/>
      <c r="BY111" s="363"/>
      <c r="BZ111" s="363"/>
      <c r="CA111" s="363"/>
      <c r="CB111" s="363"/>
      <c r="CC111" s="323"/>
      <c r="CD111" s="323"/>
      <c r="CE111" s="323"/>
      <c r="CF111" s="323"/>
      <c r="CG111" s="323"/>
      <c r="CH111" s="323"/>
      <c r="CI111" s="323"/>
      <c r="CJ111" s="323"/>
      <c r="CK111" s="323"/>
      <c r="CL111" s="332" t="e">
        <f>(CM110+(BN58-(CM110*0.64))/0.8)/1000</f>
        <v>#VALUE!</v>
      </c>
      <c r="CM111" s="330" t="e">
        <f>-53.07 + (304.89 * (CL111)) + (90.79 *K10) - (3.13 * K10*K10)</f>
        <v>#VALUE!</v>
      </c>
      <c r="CN111" s="323"/>
      <c r="CO111" s="323"/>
      <c r="CP111" s="323"/>
    </row>
    <row r="112" spans="28:94" hidden="1" x14ac:dyDescent="0.25">
      <c r="AB112" s="263"/>
      <c r="BG112" s="318"/>
      <c r="BH112" s="319"/>
      <c r="BI112" s="319" t="s">
        <v>515</v>
      </c>
      <c r="BJ112" s="367" t="e">
        <f>IF(BJ70&lt;462,BJ71*(147*BJ70^-0.5),0)</f>
        <v>#VALUE!</v>
      </c>
      <c r="BK112" s="321"/>
      <c r="BL112" s="321"/>
      <c r="BM112" s="321"/>
      <c r="BN112" s="354"/>
      <c r="BO112" s="354"/>
      <c r="BP112" s="363"/>
      <c r="BQ112" s="354"/>
      <c r="BR112" s="354"/>
      <c r="BS112" s="363"/>
      <c r="BT112" s="363"/>
      <c r="BU112" s="363"/>
      <c r="BV112" s="363"/>
      <c r="BW112" s="363"/>
      <c r="BX112" s="363"/>
      <c r="BY112" s="363"/>
      <c r="BZ112" s="363"/>
      <c r="CA112" s="363"/>
      <c r="CB112" s="363"/>
      <c r="CC112" s="323"/>
      <c r="CD112" s="323"/>
      <c r="CE112" s="323"/>
      <c r="CF112" s="323"/>
      <c r="CG112" s="323"/>
      <c r="CH112" s="323"/>
      <c r="CI112" s="323"/>
      <c r="CJ112" s="323"/>
      <c r="CK112" s="323"/>
      <c r="CL112" s="332" t="e">
        <f>(CM111+(BN58-(CM111*0.64))/0.8)/1000</f>
        <v>#VALUE!</v>
      </c>
      <c r="CM112" s="330" t="e">
        <f>-53.07 + (304.89 * (CL112)) + (90.79 *K10) - (3.13 * K10*K10)</f>
        <v>#VALUE!</v>
      </c>
      <c r="CN112" s="323"/>
      <c r="CO112" s="323"/>
      <c r="CP112" s="323"/>
    </row>
    <row r="113" spans="28:94" hidden="1" x14ac:dyDescent="0.25">
      <c r="AB113" s="263"/>
      <c r="BG113" s="318"/>
      <c r="BH113" s="319"/>
      <c r="BI113" s="319" t="s">
        <v>516</v>
      </c>
      <c r="BJ113" s="367" t="e">
        <f>IF(BJ70&lt;453,BJ71*(66*BJ70^-0.32),0)</f>
        <v>#VALUE!</v>
      </c>
      <c r="BK113" s="321"/>
      <c r="BL113" s="321"/>
      <c r="BM113" s="321"/>
      <c r="BN113" s="354"/>
      <c r="BO113" s="354"/>
      <c r="BP113" s="363"/>
      <c r="BQ113" s="354"/>
      <c r="BR113" s="354"/>
      <c r="BS113" s="363"/>
      <c r="BT113" s="363"/>
      <c r="BU113" s="363"/>
      <c r="BV113" s="363"/>
      <c r="BW113" s="363"/>
      <c r="BX113" s="363"/>
      <c r="BY113" s="363"/>
      <c r="BZ113" s="363"/>
      <c r="CA113" s="363"/>
      <c r="CB113" s="363"/>
      <c r="CC113" s="323"/>
      <c r="CD113" s="323"/>
      <c r="CE113" s="323"/>
      <c r="CF113" s="323"/>
      <c r="CG113" s="323"/>
      <c r="CH113" s="323"/>
      <c r="CI113" s="323"/>
      <c r="CJ113" s="323"/>
      <c r="CK113" s="323"/>
      <c r="CL113" s="332" t="e">
        <f>(CM112+(BN58-(CM112*0.64))/0.8)/1000</f>
        <v>#VALUE!</v>
      </c>
      <c r="CM113" s="330" t="e">
        <f>-53.07 + (304.89 * (CL113)) + (90.79 *K10) - (3.13 * K10*K10)</f>
        <v>#VALUE!</v>
      </c>
      <c r="CN113" s="323"/>
      <c r="CO113" s="323"/>
      <c r="CP113" s="323"/>
    </row>
    <row r="114" spans="28:94" hidden="1" x14ac:dyDescent="0.25">
      <c r="AB114" s="263"/>
      <c r="BG114" s="318"/>
      <c r="BH114" s="319"/>
      <c r="BI114" s="319" t="s">
        <v>517</v>
      </c>
      <c r="BJ114" s="367" t="e">
        <f>IF(C10="Cruzado",BJ113+BJ111,BJ112+BJ111)</f>
        <v>#VALUE!</v>
      </c>
      <c r="BK114" s="321"/>
      <c r="BL114" s="321"/>
      <c r="BM114" s="321"/>
      <c r="BN114" s="354"/>
      <c r="BO114" s="354"/>
      <c r="BP114" s="363"/>
      <c r="BQ114" s="354"/>
      <c r="BR114" s="354"/>
      <c r="BS114" s="363"/>
      <c r="BT114" s="363"/>
      <c r="BU114" s="363"/>
      <c r="BV114" s="363"/>
      <c r="BW114" s="363"/>
      <c r="BX114" s="363"/>
      <c r="BY114" s="363"/>
      <c r="BZ114" s="363"/>
      <c r="CA114" s="363"/>
      <c r="CB114" s="363"/>
      <c r="CC114" s="323"/>
      <c r="CD114" s="323"/>
      <c r="CE114" s="323"/>
      <c r="CF114" s="323"/>
      <c r="CG114" s="323"/>
      <c r="CH114" s="323"/>
      <c r="CI114" s="323"/>
      <c r="CJ114" s="323"/>
      <c r="CK114" s="323"/>
      <c r="CL114" s="332" t="e">
        <f>(CM113+(BN58-(CM113*0.64))/0.8)/1000</f>
        <v>#VALUE!</v>
      </c>
      <c r="CM114" s="330" t="e">
        <f>-53.07 + (304.89 * (CL114)) + (90.79 *K10) - (3.13 * K10*K10)</f>
        <v>#VALUE!</v>
      </c>
      <c r="CN114" s="323"/>
      <c r="CO114" s="323"/>
      <c r="CP114" s="323"/>
    </row>
    <row r="115" spans="28:94" hidden="1" x14ac:dyDescent="0.25">
      <c r="AB115" s="263"/>
      <c r="BG115" s="318"/>
      <c r="BH115" s="319"/>
      <c r="BI115" s="319" t="s">
        <v>518</v>
      </c>
      <c r="BJ115" s="321"/>
      <c r="BK115" s="321"/>
      <c r="BL115" s="321"/>
      <c r="BM115" s="321"/>
      <c r="BN115" s="354"/>
      <c r="BO115" s="354"/>
      <c r="BP115" s="363"/>
      <c r="BQ115" s="354"/>
      <c r="BR115" s="354"/>
      <c r="BS115" s="363"/>
      <c r="BT115" s="363"/>
      <c r="BU115" s="363"/>
      <c r="BV115" s="363"/>
      <c r="BW115" s="363"/>
      <c r="BX115" s="363"/>
      <c r="BY115" s="363"/>
      <c r="BZ115" s="363"/>
      <c r="CA115" s="363"/>
      <c r="CB115" s="363"/>
      <c r="CC115" s="323"/>
      <c r="CD115" s="323"/>
      <c r="CE115" s="323"/>
      <c r="CF115" s="323"/>
      <c r="CG115" s="323"/>
      <c r="CH115" s="323"/>
      <c r="CI115" s="323"/>
      <c r="CJ115" s="323"/>
      <c r="CK115" s="323"/>
      <c r="CL115" s="332" t="e">
        <f>(CM114+(BN58-(CM114*0.64))/0.8)/1000</f>
        <v>#VALUE!</v>
      </c>
      <c r="CM115" s="330" t="e">
        <f>-53.07 + (304.89 * (CL115)) + (90.79 *K10) - (3.13 * K10*K10)</f>
        <v>#VALUE!</v>
      </c>
      <c r="CN115" s="323"/>
      <c r="CO115" s="323"/>
      <c r="CP115" s="323"/>
    </row>
    <row r="116" spans="28:94" hidden="1" x14ac:dyDescent="0.25">
      <c r="AB116" s="263"/>
      <c r="BG116" s="318"/>
      <c r="BH116" s="319"/>
      <c r="BI116" s="320" t="s">
        <v>519</v>
      </c>
      <c r="BJ116" s="369" t="e">
        <f>BJ114/BN40</f>
        <v>#VALUE!</v>
      </c>
      <c r="BK116" s="352"/>
      <c r="BL116" s="321"/>
      <c r="BM116" s="321"/>
      <c r="BN116" s="354"/>
      <c r="BO116" s="354"/>
      <c r="BP116" s="363"/>
      <c r="BQ116" s="354"/>
      <c r="BR116" s="354"/>
      <c r="BS116" s="363"/>
      <c r="BT116" s="363"/>
      <c r="BU116" s="363"/>
      <c r="BV116" s="363"/>
      <c r="BW116" s="363"/>
      <c r="BX116" s="363"/>
      <c r="BY116" s="363"/>
      <c r="BZ116" s="363"/>
      <c r="CA116" s="363"/>
      <c r="CB116" s="363"/>
      <c r="CC116" s="323"/>
      <c r="CD116" s="323"/>
      <c r="CE116" s="323"/>
      <c r="CF116" s="323"/>
      <c r="CG116" s="323"/>
      <c r="CH116" s="323"/>
      <c r="CI116" s="323"/>
      <c r="CJ116" s="323"/>
      <c r="CK116" s="323"/>
      <c r="CL116" s="332" t="e">
        <f>(CM115+(BN58-(CM115*0.64))/0.8)/1000</f>
        <v>#VALUE!</v>
      </c>
      <c r="CM116" s="330" t="e">
        <f>-53.07 + (304.89 * (CL116)) + (90.79 *K10) - (3.13 * K10*K10)</f>
        <v>#VALUE!</v>
      </c>
      <c r="CN116" s="323"/>
      <c r="CO116" s="323"/>
      <c r="CP116" s="323"/>
    </row>
    <row r="117" spans="28:94" hidden="1" x14ac:dyDescent="0.25">
      <c r="AB117" s="263"/>
      <c r="BG117" s="318"/>
      <c r="BH117" s="319"/>
      <c r="BI117" s="319"/>
      <c r="BJ117" s="321"/>
      <c r="BK117" s="321"/>
      <c r="BL117" s="321"/>
      <c r="BM117" s="321"/>
      <c r="BN117" s="354"/>
      <c r="BO117" s="354"/>
      <c r="BP117" s="363"/>
      <c r="BQ117" s="354"/>
      <c r="BR117" s="354"/>
      <c r="BS117" s="363"/>
      <c r="BT117" s="363"/>
      <c r="BU117" s="363"/>
      <c r="BV117" s="363"/>
      <c r="BW117" s="363"/>
      <c r="BX117" s="363"/>
      <c r="BY117" s="363"/>
      <c r="BZ117" s="363"/>
      <c r="CA117" s="363"/>
      <c r="CB117" s="363"/>
      <c r="CC117" s="323"/>
      <c r="CD117" s="323"/>
      <c r="CE117" s="323"/>
      <c r="CF117" s="323"/>
      <c r="CG117" s="323"/>
      <c r="CH117" s="323"/>
      <c r="CI117" s="323"/>
      <c r="CJ117" s="323"/>
      <c r="CK117" s="323"/>
      <c r="CL117" s="332" t="e">
        <f>(CM116+(BN58-(CM116*0.64))/0.8)/1000</f>
        <v>#VALUE!</v>
      </c>
      <c r="CM117" s="330" t="e">
        <f>-53.07 + (304.89 * (CL117)) + (90.79 *K10) - (3.13 * K10*K10)</f>
        <v>#VALUE!</v>
      </c>
      <c r="CN117" s="323"/>
      <c r="CO117" s="323"/>
      <c r="CP117" s="323"/>
    </row>
    <row r="118" spans="28:94" hidden="1" x14ac:dyDescent="0.25">
      <c r="AB118" s="263"/>
      <c r="BG118" s="318"/>
      <c r="BH118" s="319" t="s">
        <v>520</v>
      </c>
      <c r="BI118" s="319" t="s">
        <v>521</v>
      </c>
      <c r="BJ118" s="367" t="e">
        <f>13.5*C8/1000</f>
        <v>#VALUE!</v>
      </c>
      <c r="BK118" s="321"/>
      <c r="BL118" s="321"/>
      <c r="BM118" s="321"/>
      <c r="BN118" s="354"/>
      <c r="BO118" s="354"/>
      <c r="BP118" s="363"/>
      <c r="BQ118" s="354"/>
      <c r="BR118" s="354"/>
      <c r="BS118" s="363"/>
      <c r="BT118" s="363"/>
      <c r="BU118" s="363"/>
      <c r="BV118" s="363"/>
      <c r="BW118" s="363"/>
      <c r="BX118" s="363"/>
      <c r="BY118" s="363"/>
      <c r="BZ118" s="363"/>
      <c r="CA118" s="363"/>
      <c r="CB118" s="363"/>
      <c r="CC118" s="323"/>
      <c r="CD118" s="323"/>
      <c r="CE118" s="323"/>
      <c r="CF118" s="323"/>
      <c r="CG118" s="323"/>
      <c r="CH118" s="323"/>
      <c r="CI118" s="323"/>
      <c r="CJ118" s="323"/>
      <c r="CK118" s="323"/>
      <c r="CL118" s="332" t="e">
        <f>(CM117+(BN58-(CM117*0.64))/0.8)/1000</f>
        <v>#VALUE!</v>
      </c>
      <c r="CM118" s="330" t="e">
        <f>-53.07 + (304.89 * (CL118)) + (90.79 *K10) - (3.13 * K10*K10)</f>
        <v>#VALUE!</v>
      </c>
      <c r="CN118" s="323"/>
      <c r="CO118" s="323"/>
      <c r="CP118" s="323"/>
    </row>
    <row r="119" spans="28:94" hidden="1" x14ac:dyDescent="0.25">
      <c r="AB119" s="263"/>
      <c r="BG119" s="318"/>
      <c r="BH119" s="319"/>
      <c r="BI119" s="319" t="s">
        <v>522</v>
      </c>
      <c r="BJ119" s="367" t="e">
        <f>IF(BJ70&lt;445,BJ71*(38.6*BJ70^-0.36),0)</f>
        <v>#VALUE!</v>
      </c>
      <c r="BK119" s="321"/>
      <c r="BL119" s="321"/>
      <c r="BM119" s="321"/>
      <c r="BN119" s="354"/>
      <c r="BO119" s="354"/>
      <c r="BP119" s="363"/>
      <c r="BQ119" s="354"/>
      <c r="BR119" s="354"/>
      <c r="BS119" s="363"/>
      <c r="BT119" s="363"/>
      <c r="BU119" s="363"/>
      <c r="BV119" s="363"/>
      <c r="BW119" s="363"/>
      <c r="BX119" s="363"/>
      <c r="BY119" s="363"/>
      <c r="BZ119" s="363"/>
      <c r="CA119" s="363"/>
      <c r="CB119" s="363"/>
      <c r="CC119" s="323"/>
      <c r="CD119" s="323"/>
      <c r="CE119" s="323"/>
      <c r="CF119" s="323"/>
      <c r="CG119" s="323"/>
      <c r="CH119" s="323"/>
      <c r="CI119" s="323"/>
      <c r="CJ119" s="323"/>
      <c r="CK119" s="323"/>
      <c r="CL119" s="332" t="e">
        <f>(CM118+(BN58-(CM118*0.64))/0.8)/1000</f>
        <v>#VALUE!</v>
      </c>
      <c r="CM119" s="330" t="e">
        <f>-53.07 + (304.89 * (CL119)) + (90.79 *K10) - (3.13 * K10*K10)</f>
        <v>#VALUE!</v>
      </c>
      <c r="CN119" s="323"/>
      <c r="CO119" s="323"/>
      <c r="CP119" s="323"/>
    </row>
    <row r="120" spans="28:94" hidden="1" x14ac:dyDescent="0.25">
      <c r="AB120" s="263"/>
      <c r="BG120" s="318"/>
      <c r="BH120" s="319"/>
      <c r="BI120" s="319" t="s">
        <v>523</v>
      </c>
      <c r="BJ120" s="368" t="e">
        <f>IF(BJ70&lt;479,BJ71*(25.4*BJ70^-0.25),0)</f>
        <v>#VALUE!</v>
      </c>
      <c r="BK120" s="321"/>
      <c r="BL120" s="321"/>
      <c r="BM120" s="321"/>
      <c r="BN120" s="354"/>
      <c r="BO120" s="354"/>
      <c r="BP120" s="363"/>
      <c r="BQ120" s="354"/>
      <c r="BR120" s="354"/>
      <c r="BS120" s="363"/>
      <c r="BT120" s="363"/>
      <c r="BU120" s="363"/>
      <c r="BV120" s="363"/>
      <c r="BW120" s="363"/>
      <c r="BX120" s="363"/>
      <c r="BY120" s="363"/>
      <c r="BZ120" s="363"/>
      <c r="CA120" s="363"/>
      <c r="CB120" s="363"/>
      <c r="CC120" s="323"/>
      <c r="CD120" s="323"/>
      <c r="CE120" s="323"/>
      <c r="CF120" s="323"/>
      <c r="CG120" s="323"/>
      <c r="CH120" s="323"/>
      <c r="CI120" s="323"/>
      <c r="CJ120" s="323"/>
      <c r="CK120" s="323"/>
      <c r="CL120" s="332" t="e">
        <f>(CM119+(BN58-(CM119*0.64))/0.8)/1000</f>
        <v>#VALUE!</v>
      </c>
      <c r="CM120" s="330" t="e">
        <f>-53.07 + (304.89 * (CL120)) + (90.79 *K10) - (3.13 * K10*K10)</f>
        <v>#VALUE!</v>
      </c>
      <c r="CN120" s="323"/>
      <c r="CO120" s="323"/>
      <c r="CP120" s="323"/>
    </row>
    <row r="121" spans="28:94" hidden="1" x14ac:dyDescent="0.25">
      <c r="AB121" s="263"/>
      <c r="BG121" s="318"/>
      <c r="BH121" s="319"/>
      <c r="BI121" s="319" t="s">
        <v>524</v>
      </c>
      <c r="BJ121" s="367" t="e">
        <f>IF(C10="Cruzado",BJ120+BJ118,BJ119+BJ118)</f>
        <v>#VALUE!</v>
      </c>
      <c r="BK121" s="321"/>
      <c r="BL121" s="321"/>
      <c r="BM121" s="321"/>
      <c r="BN121" s="354"/>
      <c r="BO121" s="354"/>
      <c r="BP121" s="363"/>
      <c r="BQ121" s="354"/>
      <c r="BR121" s="354"/>
      <c r="BS121" s="363"/>
      <c r="BT121" s="363"/>
      <c r="BU121" s="363"/>
      <c r="BV121" s="363"/>
      <c r="BW121" s="363"/>
      <c r="BX121" s="363"/>
      <c r="BY121" s="363"/>
      <c r="BZ121" s="363"/>
      <c r="CA121" s="363"/>
      <c r="CB121" s="363"/>
      <c r="CC121" s="323"/>
      <c r="CD121" s="323"/>
      <c r="CE121" s="323"/>
      <c r="CF121" s="323"/>
      <c r="CG121" s="323"/>
      <c r="CH121" s="323"/>
      <c r="CI121" s="323"/>
      <c r="CJ121" s="323"/>
      <c r="CK121" s="323"/>
      <c r="CL121" s="332" t="e">
        <f>(CM120+(BN58-(CM120*0.64))/0.8)/1000</f>
        <v>#VALUE!</v>
      </c>
      <c r="CM121" s="330" t="e">
        <f>-53.07 + (304.89 * (CL121)) + (90.79 *K10) - (3.13 * K10*K10)</f>
        <v>#VALUE!</v>
      </c>
      <c r="CN121" s="323"/>
      <c r="CO121" s="323"/>
      <c r="CP121" s="323"/>
    </row>
    <row r="122" spans="28:94" hidden="1" x14ac:dyDescent="0.25">
      <c r="AB122" s="263"/>
      <c r="BG122" s="318"/>
      <c r="BH122" s="319"/>
      <c r="BI122" s="319" t="s">
        <v>439</v>
      </c>
      <c r="BJ122" s="321"/>
      <c r="BK122" s="321"/>
      <c r="BL122" s="321"/>
      <c r="BM122" s="321"/>
      <c r="BN122" s="354"/>
      <c r="BO122" s="354"/>
      <c r="BP122" s="363"/>
      <c r="BQ122" s="354"/>
      <c r="BR122" s="354"/>
      <c r="BS122" s="363"/>
      <c r="BT122" s="363"/>
      <c r="BU122" s="363"/>
      <c r="BV122" s="363"/>
      <c r="BW122" s="363"/>
      <c r="BX122" s="363"/>
      <c r="BY122" s="363"/>
      <c r="BZ122" s="363"/>
      <c r="CA122" s="363"/>
      <c r="CB122" s="363"/>
      <c r="CC122" s="323"/>
      <c r="CD122" s="323"/>
      <c r="CE122" s="323"/>
      <c r="CF122" s="323"/>
      <c r="CG122" s="323"/>
      <c r="CH122" s="323"/>
      <c r="CI122" s="323"/>
      <c r="CJ122" s="323"/>
      <c r="CK122" s="323"/>
      <c r="CL122" s="332" t="e">
        <f>(CM121+(BN58-(CM121*0.64))/0.8)/1000</f>
        <v>#VALUE!</v>
      </c>
      <c r="CM122" s="330" t="e">
        <f>-53.07 + (304.89 * (CL122)) + (90.79 *K10) - (3.13 * K10*K10)</f>
        <v>#VALUE!</v>
      </c>
      <c r="CN122" s="323"/>
      <c r="CO122" s="323"/>
      <c r="CP122" s="323"/>
    </row>
    <row r="123" spans="28:94" hidden="1" x14ac:dyDescent="0.25">
      <c r="AB123" s="263"/>
      <c r="BG123" s="318"/>
      <c r="BH123" s="319"/>
      <c r="BI123" s="320" t="s">
        <v>525</v>
      </c>
      <c r="BJ123" s="369" t="e">
        <f>BJ121/BN41</f>
        <v>#VALUE!</v>
      </c>
      <c r="BK123" s="366"/>
      <c r="BL123" s="321"/>
      <c r="BM123" s="321"/>
      <c r="BN123" s="354"/>
      <c r="BO123" s="354"/>
      <c r="BP123" s="363"/>
      <c r="BQ123" s="354"/>
      <c r="BR123" s="354"/>
      <c r="BS123" s="363"/>
      <c r="BT123" s="363"/>
      <c r="BU123" s="363"/>
      <c r="BV123" s="363"/>
      <c r="BW123" s="363"/>
      <c r="BX123" s="363"/>
      <c r="BY123" s="363"/>
      <c r="BZ123" s="363"/>
      <c r="CA123" s="363"/>
      <c r="CB123" s="363"/>
      <c r="CC123" s="323"/>
      <c r="CD123" s="323"/>
      <c r="CE123" s="323"/>
      <c r="CF123" s="323"/>
      <c r="CG123" s="323"/>
      <c r="CH123" s="323"/>
      <c r="CI123" s="323"/>
      <c r="CJ123" s="323"/>
      <c r="CK123" s="323"/>
      <c r="CL123" s="332" t="e">
        <f>(CM122+(BN58-(CM122*0.64))/0.8)/1000</f>
        <v>#VALUE!</v>
      </c>
      <c r="CM123" s="330" t="e">
        <f>-53.07 + (304.89 * (CL123)) + (90.79 *K10) - (3.13 * K10*K10)</f>
        <v>#VALUE!</v>
      </c>
      <c r="CN123" s="323"/>
      <c r="CO123" s="323"/>
      <c r="CP123" s="323"/>
    </row>
    <row r="124" spans="28:94" hidden="1" x14ac:dyDescent="0.25">
      <c r="AB124" s="263"/>
      <c r="BG124" s="318"/>
      <c r="BH124" s="320"/>
      <c r="BI124" s="320"/>
      <c r="BJ124" s="321"/>
      <c r="BK124" s="321"/>
      <c r="BL124" s="321"/>
      <c r="BM124" s="321"/>
      <c r="BN124" s="354"/>
      <c r="BO124" s="354"/>
      <c r="BP124" s="363"/>
      <c r="BQ124" s="354"/>
      <c r="BR124" s="354"/>
      <c r="BS124" s="363"/>
      <c r="BT124" s="363"/>
      <c r="BU124" s="363"/>
      <c r="BV124" s="363"/>
      <c r="BW124" s="363"/>
      <c r="BX124" s="363"/>
      <c r="BY124" s="363"/>
      <c r="BZ124" s="363"/>
      <c r="CA124" s="363"/>
      <c r="CB124" s="363"/>
      <c r="CC124" s="323"/>
      <c r="CD124" s="323"/>
      <c r="CE124" s="323"/>
      <c r="CF124" s="323"/>
      <c r="CG124" s="323"/>
      <c r="CH124" s="323"/>
      <c r="CI124" s="323"/>
      <c r="CJ124" s="323"/>
      <c r="CK124" s="323"/>
      <c r="CL124" s="332" t="e">
        <f>(CM123+(BN58-(CM123*0.64))/0.8)/1000</f>
        <v>#VALUE!</v>
      </c>
      <c r="CM124" s="330" t="e">
        <f>-53.07 + (304.89 * (CL124)) + (90.79 *K10) - (3.13 * K10*K10)</f>
        <v>#VALUE!</v>
      </c>
      <c r="CN124" s="323"/>
      <c r="CO124" s="323"/>
      <c r="CP124" s="323"/>
    </row>
    <row r="125" spans="28:94" hidden="1" x14ac:dyDescent="0.25">
      <c r="AB125" s="263"/>
      <c r="BG125" s="318"/>
      <c r="BH125" s="331" t="s">
        <v>526</v>
      </c>
      <c r="BI125" s="331"/>
      <c r="BJ125" s="366" t="e">
        <f>BJ116/BJ123</f>
        <v>#VALUE!</v>
      </c>
      <c r="BK125" s="367"/>
      <c r="BL125" s="321"/>
      <c r="BM125" s="321"/>
      <c r="BN125" s="354"/>
      <c r="BO125" s="354"/>
      <c r="BP125" s="363"/>
      <c r="BQ125" s="354"/>
      <c r="BR125" s="354"/>
      <c r="BS125" s="363"/>
      <c r="BT125" s="363"/>
      <c r="BU125" s="363"/>
      <c r="BV125" s="363"/>
      <c r="BW125" s="363"/>
      <c r="BX125" s="363"/>
      <c r="BY125" s="363"/>
      <c r="BZ125" s="363"/>
      <c r="CA125" s="363"/>
      <c r="CB125" s="363"/>
      <c r="CC125" s="323"/>
      <c r="CD125" s="323"/>
      <c r="CE125" s="323"/>
      <c r="CF125" s="323"/>
      <c r="CG125" s="323"/>
      <c r="CH125" s="323"/>
      <c r="CI125" s="323"/>
      <c r="CJ125" s="323"/>
      <c r="CK125" s="323"/>
      <c r="CL125" s="332" t="e">
        <f>(CM124+(BN58-(CM124*0.64))/0.8)/1000</f>
        <v>#VALUE!</v>
      </c>
      <c r="CM125" s="330" t="e">
        <f>-53.07 + (304.89 * (CL125)) + (90.79 *K10) - (3.13 * K10*K10)</f>
        <v>#VALUE!</v>
      </c>
      <c r="CN125" s="323"/>
      <c r="CO125" s="323"/>
      <c r="CP125" s="323"/>
    </row>
    <row r="126" spans="28:94" hidden="1" x14ac:dyDescent="0.25">
      <c r="AB126" s="263"/>
      <c r="BG126" s="318"/>
      <c r="BH126" s="319"/>
      <c r="BI126" s="319"/>
      <c r="BJ126" s="321"/>
      <c r="BK126" s="321"/>
      <c r="BL126" s="321"/>
      <c r="BM126" s="321"/>
      <c r="BN126" s="354"/>
      <c r="BO126" s="354"/>
      <c r="BP126" s="363"/>
      <c r="BQ126" s="354"/>
      <c r="BR126" s="354"/>
      <c r="BS126" s="363"/>
      <c r="BT126" s="363"/>
      <c r="BU126" s="363"/>
      <c r="BV126" s="363"/>
      <c r="BW126" s="363"/>
      <c r="BX126" s="363"/>
      <c r="BY126" s="363"/>
      <c r="BZ126" s="363"/>
      <c r="CA126" s="363"/>
      <c r="CB126" s="363"/>
      <c r="CC126" s="323"/>
      <c r="CD126" s="323"/>
      <c r="CE126" s="323"/>
      <c r="CF126" s="323"/>
      <c r="CG126" s="323"/>
      <c r="CH126" s="323"/>
      <c r="CI126" s="323"/>
      <c r="CJ126" s="323"/>
      <c r="CK126" s="323"/>
      <c r="CL126" s="332" t="e">
        <f>(CM125+(BN58-(CM125*0.64))/0.8)/1000</f>
        <v>#VALUE!</v>
      </c>
      <c r="CM126" s="330" t="e">
        <f>-53.07 + (304.89 * (CL126)) + (90.79 *K10) - (3.13 * K10*K10)</f>
        <v>#VALUE!</v>
      </c>
      <c r="CN126" s="323"/>
      <c r="CO126" s="323"/>
      <c r="CP126" s="323"/>
    </row>
    <row r="127" spans="28:94" hidden="1" x14ac:dyDescent="0.25">
      <c r="AB127" s="263"/>
      <c r="BG127" s="318"/>
      <c r="BH127" s="319" t="s">
        <v>527</v>
      </c>
      <c r="BI127" s="319" t="s">
        <v>528</v>
      </c>
      <c r="BJ127" s="367" t="e">
        <f>C8*5.9/1000</f>
        <v>#VALUE!</v>
      </c>
      <c r="BK127" s="321"/>
      <c r="BL127" s="321"/>
      <c r="BM127" s="321"/>
      <c r="BN127" s="354"/>
      <c r="BO127" s="354"/>
      <c r="BP127" s="363"/>
      <c r="BQ127" s="354"/>
      <c r="BR127" s="354"/>
      <c r="BS127" s="363"/>
      <c r="BT127" s="363"/>
      <c r="BU127" s="363"/>
      <c r="BV127" s="363"/>
      <c r="BW127" s="363"/>
      <c r="BX127" s="363"/>
      <c r="BY127" s="363"/>
      <c r="BZ127" s="363"/>
      <c r="CA127" s="363"/>
      <c r="CB127" s="363"/>
      <c r="CC127" s="323"/>
      <c r="CD127" s="323"/>
      <c r="CE127" s="323"/>
      <c r="CF127" s="323"/>
      <c r="CG127" s="323"/>
      <c r="CH127" s="323"/>
      <c r="CI127" s="323"/>
      <c r="CJ127" s="323"/>
      <c r="CK127" s="323"/>
      <c r="CL127" s="332" t="e">
        <f>(CM126+(BN58-(CM126*0.64))/0.8)/1000</f>
        <v>#VALUE!</v>
      </c>
      <c r="CM127" s="330" t="e">
        <f>-53.07 + (304.89 * (CL127)) + (90.79 *K10) - (3.13 * K10*K10)</f>
        <v>#VALUE!</v>
      </c>
      <c r="CN127" s="323"/>
      <c r="CO127" s="323"/>
      <c r="CP127" s="323"/>
    </row>
    <row r="128" spans="28:94" hidden="1" x14ac:dyDescent="0.25">
      <c r="AB128" s="263"/>
      <c r="BG128" s="318"/>
      <c r="BH128" s="319"/>
      <c r="BI128" s="319" t="s">
        <v>529</v>
      </c>
      <c r="BJ128" s="367" t="e">
        <f>BJ71*(0.3466*BJ70^0.0113)</f>
        <v>#VALUE!</v>
      </c>
      <c r="BK128" s="321"/>
      <c r="BL128" s="321"/>
      <c r="BM128" s="321"/>
      <c r="BN128" s="354"/>
      <c r="BO128" s="354"/>
      <c r="BP128" s="363"/>
      <c r="BQ128" s="354"/>
      <c r="BR128" s="354"/>
      <c r="BS128" s="363"/>
      <c r="BT128" s="363"/>
      <c r="BU128" s="363"/>
      <c r="BV128" s="363"/>
      <c r="BW128" s="363"/>
      <c r="BX128" s="363"/>
      <c r="BY128" s="363"/>
      <c r="BZ128" s="363"/>
      <c r="CA128" s="363"/>
      <c r="CB128" s="363"/>
      <c r="CC128" s="323"/>
      <c r="CD128" s="323"/>
      <c r="CE128" s="323"/>
      <c r="CF128" s="323"/>
      <c r="CG128" s="323"/>
      <c r="CH128" s="323"/>
      <c r="CI128" s="323"/>
      <c r="CJ128" s="323"/>
      <c r="CK128" s="323"/>
      <c r="CL128" s="332" t="e">
        <f>(CM127+(BN58-(CM127*0.64))/0.8)/1000</f>
        <v>#VALUE!</v>
      </c>
      <c r="CM128" s="330" t="e">
        <f>-53.07 + (304.89 * (CL128)) + (90.79 *K10) - (3.13 * K10*K10)</f>
        <v>#VALUE!</v>
      </c>
      <c r="CN128" s="323"/>
      <c r="CO128" s="323"/>
      <c r="CP128" s="323"/>
    </row>
    <row r="129" spans="28:94" hidden="1" x14ac:dyDescent="0.25">
      <c r="AB129" s="263"/>
      <c r="BG129" s="318"/>
      <c r="BH129" s="319"/>
      <c r="BI129" s="319" t="s">
        <v>530</v>
      </c>
      <c r="BJ129" s="367" t="e">
        <f>BJ71*(1.0597*BJ70^-0.2386)</f>
        <v>#VALUE!</v>
      </c>
      <c r="BK129" s="321"/>
      <c r="BL129" s="321"/>
      <c r="BM129" s="321"/>
      <c r="BN129" s="354"/>
      <c r="BO129" s="354"/>
      <c r="BP129" s="363"/>
      <c r="BQ129" s="354"/>
      <c r="BR129" s="354"/>
      <c r="BS129" s="363"/>
      <c r="BT129" s="363"/>
      <c r="BU129" s="363"/>
      <c r="BV129" s="363"/>
      <c r="BW129" s="363"/>
      <c r="BX129" s="363"/>
      <c r="BY129" s="363"/>
      <c r="BZ129" s="363"/>
      <c r="CA129" s="363"/>
      <c r="CB129" s="363"/>
      <c r="CC129" s="323"/>
      <c r="CD129" s="323"/>
      <c r="CE129" s="323"/>
      <c r="CF129" s="323"/>
      <c r="CG129" s="323"/>
      <c r="CH129" s="323"/>
      <c r="CI129" s="323"/>
      <c r="CJ129" s="323"/>
      <c r="CK129" s="323"/>
      <c r="CL129" s="332" t="e">
        <f>(CM128+(BN58-(CM128*0.64))/0.8)/1000</f>
        <v>#VALUE!</v>
      </c>
      <c r="CM129" s="330" t="e">
        <f>-53.07 + (304.89 * (CL129)) + (90.79 *K10) - (3.13 * K10*K10)</f>
        <v>#VALUE!</v>
      </c>
      <c r="CN129" s="323"/>
      <c r="CO129" s="323"/>
      <c r="CP129" s="323"/>
    </row>
    <row r="130" spans="28:94" hidden="1" x14ac:dyDescent="0.25">
      <c r="AB130" s="263"/>
      <c r="BG130" s="318"/>
      <c r="BH130" s="319"/>
      <c r="BI130" s="319" t="s">
        <v>531</v>
      </c>
      <c r="BJ130" s="367" t="e">
        <f>IF(C10="Cruzado",BJ129+BJ127,BJ128+BJ127)</f>
        <v>#VALUE!</v>
      </c>
      <c r="BK130" s="321"/>
      <c r="BL130" s="321"/>
      <c r="BM130" s="321"/>
      <c r="BN130" s="354"/>
      <c r="BO130" s="354"/>
      <c r="BP130" s="363"/>
      <c r="BQ130" s="354"/>
      <c r="BR130" s="354"/>
      <c r="BS130" s="363"/>
      <c r="BT130" s="363"/>
      <c r="BU130" s="363"/>
      <c r="BV130" s="363"/>
      <c r="BW130" s="363"/>
      <c r="BX130" s="363"/>
      <c r="BY130" s="363"/>
      <c r="BZ130" s="363"/>
      <c r="CA130" s="363"/>
      <c r="CB130" s="363"/>
      <c r="CC130" s="323"/>
      <c r="CD130" s="323"/>
      <c r="CE130" s="323"/>
      <c r="CF130" s="323"/>
      <c r="CG130" s="323"/>
      <c r="CH130" s="323"/>
      <c r="CI130" s="323"/>
      <c r="CJ130" s="323"/>
      <c r="CK130" s="323"/>
      <c r="CL130" s="332" t="e">
        <f>(CM129+(BN58-(CM129*0.64))/0.8)/1000</f>
        <v>#VALUE!</v>
      </c>
      <c r="CM130" s="330" t="e">
        <f>-53.07 + (304.89 * (CL130)) + (90.79 *K10) - (3.13 * K10*K10)</f>
        <v>#VALUE!</v>
      </c>
      <c r="CN130" s="323"/>
      <c r="CO130" s="323"/>
      <c r="CP130" s="323"/>
    </row>
    <row r="131" spans="28:94" hidden="1" x14ac:dyDescent="0.25">
      <c r="AB131" s="263"/>
      <c r="BG131" s="318"/>
      <c r="BH131" s="319"/>
      <c r="BI131" s="319" t="s">
        <v>439</v>
      </c>
      <c r="BJ131" s="321"/>
      <c r="BK131" s="321"/>
      <c r="BL131" s="321"/>
      <c r="BM131" s="321"/>
      <c r="BN131" s="354"/>
      <c r="BO131" s="354"/>
      <c r="BP131" s="363"/>
      <c r="BQ131" s="354"/>
      <c r="BR131" s="354"/>
      <c r="BS131" s="363"/>
      <c r="BT131" s="363"/>
      <c r="BU131" s="363"/>
      <c r="BV131" s="363"/>
      <c r="BW131" s="363"/>
      <c r="BX131" s="363"/>
      <c r="BY131" s="363"/>
      <c r="BZ131" s="363"/>
      <c r="CA131" s="363"/>
      <c r="CB131" s="363"/>
      <c r="CC131" s="323"/>
      <c r="CD131" s="323"/>
      <c r="CE131" s="323"/>
      <c r="CF131" s="323"/>
      <c r="CG131" s="323"/>
      <c r="CH131" s="323"/>
      <c r="CI131" s="323"/>
      <c r="CJ131" s="323"/>
      <c r="CK131" s="323"/>
      <c r="CL131" s="332" t="e">
        <f>(CM130+(BN58-(CM130*0.64))/0.8)/1000</f>
        <v>#VALUE!</v>
      </c>
      <c r="CM131" s="330" t="e">
        <f>-53.07 + (304.89 * (CL131)) + (90.79 *K10) - (3.13 * K10*K10)</f>
        <v>#VALUE!</v>
      </c>
      <c r="CN131" s="323"/>
      <c r="CO131" s="323"/>
      <c r="CP131" s="323"/>
    </row>
    <row r="132" spans="28:94" hidden="1" x14ac:dyDescent="0.25">
      <c r="AB132" s="263"/>
      <c r="BG132" s="318"/>
      <c r="BH132" s="319"/>
      <c r="BI132" s="320" t="s">
        <v>532</v>
      </c>
      <c r="BJ132" s="366" t="e">
        <f>BJ130/BN42</f>
        <v>#VALUE!</v>
      </c>
      <c r="BK132" s="318"/>
      <c r="BL132" s="321"/>
      <c r="BM132" s="321"/>
      <c r="BN132" s="354"/>
      <c r="BO132" s="354"/>
      <c r="BP132" s="363"/>
      <c r="BQ132" s="354"/>
      <c r="BR132" s="354"/>
      <c r="BS132" s="363"/>
      <c r="BT132" s="363"/>
      <c r="BU132" s="363"/>
      <c r="BV132" s="363"/>
      <c r="BW132" s="363"/>
      <c r="BX132" s="363"/>
      <c r="BY132" s="363"/>
      <c r="BZ132" s="363"/>
      <c r="CA132" s="363"/>
      <c r="CB132" s="363"/>
      <c r="CC132" s="323"/>
      <c r="CD132" s="323"/>
      <c r="CE132" s="323"/>
      <c r="CF132" s="323"/>
      <c r="CG132" s="323"/>
      <c r="CH132" s="323"/>
      <c r="CI132" s="323"/>
      <c r="CJ132" s="323"/>
      <c r="CK132" s="323"/>
      <c r="CL132" s="332" t="e">
        <f>(CM131+(BN58-(CM131*0.64))/0.8)/1000</f>
        <v>#VALUE!</v>
      </c>
      <c r="CM132" s="330" t="e">
        <f>-53.07 + (304.89 * (CL132)) + (90.79 *K10) - (3.13 * K10*K10)</f>
        <v>#VALUE!</v>
      </c>
      <c r="CN132" s="323"/>
      <c r="CO132" s="323"/>
      <c r="CP132" s="323"/>
    </row>
    <row r="133" spans="28:94" hidden="1" x14ac:dyDescent="0.25">
      <c r="AB133" s="263"/>
      <c r="BG133" s="318"/>
      <c r="BH133" s="319"/>
      <c r="BI133" s="320"/>
      <c r="BJ133" s="321"/>
      <c r="BK133" s="321"/>
      <c r="BL133" s="321"/>
      <c r="BM133" s="321"/>
      <c r="BN133" s="354"/>
      <c r="BO133" s="354"/>
      <c r="BP133" s="363"/>
      <c r="BQ133" s="354"/>
      <c r="BR133" s="354"/>
      <c r="BS133" s="363"/>
      <c r="BT133" s="363"/>
      <c r="BU133" s="363"/>
      <c r="BV133" s="363"/>
      <c r="BW133" s="363"/>
      <c r="BX133" s="363"/>
      <c r="BY133" s="363"/>
      <c r="BZ133" s="363"/>
      <c r="CA133" s="363"/>
      <c r="CB133" s="363"/>
      <c r="CC133" s="323"/>
      <c r="CD133" s="323"/>
      <c r="CE133" s="323"/>
      <c r="CF133" s="323"/>
      <c r="CG133" s="323"/>
      <c r="CH133" s="323"/>
      <c r="CI133" s="323"/>
      <c r="CJ133" s="323"/>
      <c r="CK133" s="323"/>
      <c r="CL133" s="323"/>
      <c r="CM133" s="323"/>
      <c r="CN133" s="323"/>
      <c r="CO133" s="323"/>
      <c r="CP133" s="323"/>
    </row>
    <row r="134" spans="28:94" hidden="1" x14ac:dyDescent="0.25">
      <c r="AB134" s="263"/>
      <c r="BG134" s="318"/>
      <c r="BH134" s="319" t="s">
        <v>533</v>
      </c>
      <c r="BI134" s="319" t="s">
        <v>534</v>
      </c>
      <c r="BJ134" s="367" t="e">
        <f>C8*6.3/1000</f>
        <v>#VALUE!</v>
      </c>
      <c r="BK134" s="321"/>
      <c r="BL134" s="321"/>
      <c r="BM134" s="321"/>
      <c r="BN134" s="354"/>
      <c r="BO134" s="354"/>
      <c r="BP134" s="363"/>
      <c r="BQ134" s="354"/>
      <c r="BR134" s="354"/>
      <c r="BS134" s="363"/>
      <c r="BT134" s="363"/>
      <c r="BU134" s="363"/>
      <c r="BV134" s="363"/>
      <c r="BW134" s="363"/>
      <c r="BX134" s="363"/>
      <c r="BY134" s="363"/>
      <c r="BZ134" s="363"/>
      <c r="CA134" s="363"/>
      <c r="CB134" s="363"/>
      <c r="CC134" s="323"/>
      <c r="CD134" s="323"/>
      <c r="CE134" s="323"/>
      <c r="CF134" s="323"/>
      <c r="CG134" s="323"/>
      <c r="CH134" s="323"/>
      <c r="CI134" s="323"/>
      <c r="CJ134" s="323"/>
      <c r="CK134" s="323"/>
      <c r="CL134" s="323"/>
      <c r="CM134" s="323"/>
      <c r="CN134" s="323"/>
      <c r="CO134" s="323"/>
      <c r="CP134" s="323"/>
    </row>
    <row r="135" spans="28:94" hidden="1" x14ac:dyDescent="0.25">
      <c r="AB135" s="263"/>
      <c r="BG135" s="318"/>
      <c r="BH135" s="319"/>
      <c r="BI135" s="319" t="s">
        <v>535</v>
      </c>
      <c r="BJ135" s="367" t="e">
        <f>BJ71*(5.594*BJ70^-0.2998)</f>
        <v>#VALUE!</v>
      </c>
      <c r="BK135" s="321"/>
      <c r="BL135" s="321"/>
      <c r="BM135" s="321"/>
      <c r="BN135" s="354"/>
      <c r="BO135" s="354"/>
      <c r="BP135" s="363"/>
      <c r="BQ135" s="354"/>
      <c r="BR135" s="354"/>
      <c r="BS135" s="363"/>
      <c r="BT135" s="363"/>
      <c r="BU135" s="363"/>
      <c r="BV135" s="363"/>
      <c r="BW135" s="363"/>
      <c r="BX135" s="363"/>
      <c r="BY135" s="363"/>
      <c r="BZ135" s="363"/>
      <c r="CA135" s="363"/>
      <c r="CB135" s="363"/>
      <c r="CC135" s="323"/>
      <c r="CD135" s="323"/>
      <c r="CE135" s="323"/>
      <c r="CF135" s="323"/>
      <c r="CG135" s="323"/>
      <c r="CH135" s="323"/>
      <c r="CI135" s="323"/>
      <c r="CJ135" s="323"/>
      <c r="CK135" s="323"/>
      <c r="CL135" s="323"/>
      <c r="CM135" s="323"/>
      <c r="CN135" s="323"/>
      <c r="CO135" s="323"/>
      <c r="CP135" s="323"/>
    </row>
    <row r="136" spans="28:94" hidden="1" x14ac:dyDescent="0.25">
      <c r="AB136" s="263"/>
      <c r="BG136" s="318"/>
      <c r="BH136" s="319"/>
      <c r="BI136" s="319" t="s">
        <v>536</v>
      </c>
      <c r="BJ136" s="368" t="e">
        <f>BJ71*(1.977*BJ70^-0.058)</f>
        <v>#VALUE!</v>
      </c>
      <c r="BK136" s="321"/>
      <c r="BL136" s="321"/>
      <c r="BM136" s="321"/>
      <c r="BN136" s="354"/>
      <c r="BO136" s="354"/>
      <c r="BP136" s="363"/>
      <c r="BQ136" s="354"/>
      <c r="BR136" s="354"/>
      <c r="BS136" s="363"/>
      <c r="BT136" s="363"/>
      <c r="BU136" s="363"/>
      <c r="BV136" s="363"/>
      <c r="BW136" s="363"/>
      <c r="BX136" s="363"/>
      <c r="BY136" s="363"/>
      <c r="BZ136" s="363"/>
      <c r="CA136" s="363"/>
      <c r="CB136" s="363"/>
      <c r="CC136" s="323"/>
      <c r="CD136" s="323"/>
      <c r="CE136" s="323"/>
      <c r="CF136" s="323"/>
      <c r="CG136" s="323"/>
      <c r="CH136" s="323"/>
      <c r="CI136" s="323"/>
      <c r="CJ136" s="323"/>
      <c r="CK136" s="323"/>
      <c r="CL136" s="323"/>
      <c r="CM136" s="323"/>
      <c r="CN136" s="323"/>
      <c r="CO136" s="323"/>
      <c r="CP136" s="323"/>
    </row>
    <row r="137" spans="28:94" hidden="1" x14ac:dyDescent="0.25">
      <c r="AB137" s="263"/>
      <c r="BG137" s="318"/>
      <c r="BH137" s="319"/>
      <c r="BI137" s="319" t="s">
        <v>537</v>
      </c>
      <c r="BJ137" s="367" t="e">
        <f>IF(C10="Cruzado",BJ136+BJ134,BJ135+BJ134)</f>
        <v>#VALUE!</v>
      </c>
      <c r="BK137" s="321"/>
      <c r="BL137" s="321"/>
      <c r="BM137" s="321"/>
      <c r="BN137" s="354"/>
      <c r="BO137" s="354"/>
      <c r="BP137" s="363"/>
      <c r="BQ137" s="354"/>
      <c r="BR137" s="354"/>
      <c r="BS137" s="363"/>
      <c r="BT137" s="363"/>
      <c r="BU137" s="363"/>
      <c r="BV137" s="363"/>
      <c r="BW137" s="363"/>
      <c r="BX137" s="363"/>
      <c r="BY137" s="363"/>
      <c r="BZ137" s="363"/>
      <c r="CA137" s="363"/>
      <c r="CB137" s="363"/>
      <c r="CC137" s="323"/>
      <c r="CD137" s="323"/>
      <c r="CE137" s="323"/>
      <c r="CF137" s="323"/>
      <c r="CG137" s="323"/>
      <c r="CH137" s="323"/>
      <c r="CI137" s="323"/>
      <c r="CJ137" s="323"/>
      <c r="CK137" s="323"/>
      <c r="CL137" s="323"/>
      <c r="CM137" s="323"/>
      <c r="CN137" s="323"/>
      <c r="CO137" s="323"/>
      <c r="CP137" s="323"/>
    </row>
    <row r="138" spans="28:94" hidden="1" x14ac:dyDescent="0.25">
      <c r="AB138" s="263"/>
      <c r="BG138" s="318"/>
      <c r="BH138" s="319"/>
      <c r="BI138" s="319" t="s">
        <v>439</v>
      </c>
      <c r="BJ138" s="321"/>
      <c r="BK138" s="321"/>
      <c r="BL138" s="321"/>
      <c r="BM138" s="321"/>
      <c r="BN138" s="354"/>
      <c r="BO138" s="354"/>
      <c r="BP138" s="363"/>
      <c r="BQ138" s="354"/>
      <c r="BR138" s="354"/>
      <c r="BS138" s="363"/>
      <c r="BT138" s="363"/>
      <c r="BU138" s="363"/>
      <c r="BV138" s="363"/>
      <c r="BW138" s="363"/>
      <c r="BX138" s="363"/>
      <c r="BY138" s="363"/>
      <c r="BZ138" s="363"/>
      <c r="CA138" s="363"/>
      <c r="CB138" s="363"/>
      <c r="CC138" s="323"/>
      <c r="CD138" s="323"/>
      <c r="CE138" s="323"/>
      <c r="CF138" s="323"/>
      <c r="CG138" s="323"/>
      <c r="CH138" s="323"/>
      <c r="CI138" s="323"/>
      <c r="CJ138" s="323"/>
      <c r="CK138" s="323"/>
      <c r="CL138" s="323"/>
      <c r="CM138" s="323"/>
      <c r="CN138" s="323"/>
      <c r="CO138" s="323"/>
      <c r="CP138" s="323"/>
    </row>
    <row r="139" spans="28:94" hidden="1" x14ac:dyDescent="0.25">
      <c r="AB139" s="263"/>
      <c r="BG139" s="318"/>
      <c r="BH139" s="319"/>
      <c r="BI139" s="320" t="s">
        <v>538</v>
      </c>
      <c r="BJ139" s="366" t="e">
        <f>BJ137/BN43</f>
        <v>#VALUE!</v>
      </c>
      <c r="BK139" s="321"/>
      <c r="BL139" s="321"/>
      <c r="BM139" s="321"/>
      <c r="BN139" s="354"/>
      <c r="BO139" s="354"/>
      <c r="BP139" s="363"/>
      <c r="BQ139" s="354"/>
      <c r="BR139" s="354"/>
      <c r="BS139" s="363"/>
      <c r="BT139" s="363"/>
      <c r="BU139" s="363"/>
      <c r="BV139" s="363"/>
      <c r="BW139" s="363"/>
      <c r="BX139" s="363"/>
      <c r="BY139" s="363"/>
      <c r="BZ139" s="363"/>
      <c r="CA139" s="363"/>
      <c r="CB139" s="363"/>
      <c r="CC139" s="323"/>
      <c r="CD139" s="323"/>
      <c r="CE139" s="323"/>
      <c r="CF139" s="323"/>
      <c r="CG139" s="323"/>
      <c r="CH139" s="323"/>
      <c r="CI139" s="323"/>
      <c r="CJ139" s="323"/>
      <c r="CK139" s="323"/>
      <c r="CL139" s="323"/>
      <c r="CM139" s="323"/>
      <c r="CN139" s="323"/>
      <c r="CO139" s="323"/>
      <c r="CP139" s="323"/>
    </row>
    <row r="140" spans="28:94" hidden="1" x14ac:dyDescent="0.25">
      <c r="AB140" s="263"/>
      <c r="BG140" s="318"/>
      <c r="BH140" s="319"/>
      <c r="BI140" s="320"/>
      <c r="BJ140" s="321"/>
      <c r="BK140" s="321"/>
      <c r="BL140" s="321"/>
      <c r="BM140" s="321"/>
      <c r="BN140" s="354"/>
      <c r="BO140" s="354"/>
      <c r="BP140" s="363"/>
      <c r="BQ140" s="354"/>
      <c r="BR140" s="354"/>
      <c r="BS140" s="363"/>
      <c r="BT140" s="363"/>
      <c r="BU140" s="363"/>
      <c r="BV140" s="363"/>
      <c r="BW140" s="363"/>
      <c r="BX140" s="363"/>
      <c r="BY140" s="363"/>
      <c r="BZ140" s="363"/>
      <c r="CA140" s="363"/>
      <c r="CB140" s="363"/>
      <c r="CC140" s="323"/>
      <c r="CD140" s="323"/>
      <c r="CE140" s="323"/>
      <c r="CF140" s="323"/>
      <c r="CG140" s="323"/>
      <c r="CH140" s="323"/>
      <c r="CI140" s="323"/>
      <c r="CJ140" s="323"/>
      <c r="CK140" s="323"/>
      <c r="CL140" s="323"/>
      <c r="CM140" s="323"/>
      <c r="CN140" s="323"/>
      <c r="CO140" s="323"/>
      <c r="CP140" s="323"/>
    </row>
    <row r="141" spans="28:94" hidden="1" x14ac:dyDescent="0.25">
      <c r="AB141" s="263"/>
      <c r="BG141" s="318"/>
      <c r="BH141" s="319" t="s">
        <v>60</v>
      </c>
      <c r="BI141" s="319" t="s">
        <v>539</v>
      </c>
      <c r="BJ141" s="367" t="e">
        <f>C8*23.5/1000</f>
        <v>#VALUE!</v>
      </c>
      <c r="BK141" s="321"/>
      <c r="BL141" s="321"/>
      <c r="BM141" s="321"/>
      <c r="BN141" s="354"/>
      <c r="BO141" s="354"/>
      <c r="BP141" s="363"/>
      <c r="BQ141" s="354"/>
      <c r="BR141" s="354"/>
      <c r="BS141" s="363"/>
      <c r="BT141" s="363"/>
      <c r="BU141" s="363"/>
      <c r="BV141" s="363"/>
      <c r="BW141" s="363"/>
      <c r="BX141" s="363"/>
      <c r="BY141" s="363"/>
      <c r="BZ141" s="363"/>
      <c r="CA141" s="363"/>
      <c r="CB141" s="363"/>
      <c r="CC141" s="323"/>
      <c r="CD141" s="323"/>
      <c r="CE141" s="323"/>
      <c r="CF141" s="323"/>
      <c r="CG141" s="323"/>
      <c r="CH141" s="323"/>
      <c r="CI141" s="323"/>
      <c r="CJ141" s="323"/>
      <c r="CK141" s="323"/>
      <c r="CL141" s="323"/>
      <c r="CM141" s="323"/>
      <c r="CN141" s="323"/>
      <c r="CO141" s="323"/>
      <c r="CP141" s="323"/>
    </row>
    <row r="142" spans="28:94" hidden="1" x14ac:dyDescent="0.25">
      <c r="AB142" s="263"/>
      <c r="BG142" s="318"/>
      <c r="BH142" s="319"/>
      <c r="BI142" s="319" t="s">
        <v>540</v>
      </c>
      <c r="BJ142" s="367" t="e">
        <f>BJ71*(0.9463*BJ70^0.1216)</f>
        <v>#VALUE!</v>
      </c>
      <c r="BK142" s="321"/>
      <c r="BL142" s="321"/>
      <c r="BM142" s="321"/>
      <c r="BN142" s="354"/>
      <c r="BO142" s="354"/>
      <c r="BP142" s="363"/>
      <c r="BQ142" s="354"/>
      <c r="BR142" s="354"/>
      <c r="BS142" s="363"/>
      <c r="BT142" s="363"/>
      <c r="BU142" s="363"/>
      <c r="BV142" s="363"/>
      <c r="BW142" s="363"/>
      <c r="BX142" s="363"/>
      <c r="BY142" s="363"/>
      <c r="BZ142" s="363"/>
      <c r="CA142" s="363"/>
      <c r="CB142" s="363"/>
      <c r="CC142" s="323"/>
      <c r="CD142" s="323"/>
      <c r="CE142" s="323"/>
      <c r="CF142" s="323"/>
      <c r="CG142" s="323"/>
      <c r="CH142" s="323"/>
      <c r="CI142" s="323"/>
      <c r="CJ142" s="323"/>
      <c r="CK142" s="323"/>
      <c r="CL142" s="323"/>
      <c r="CM142" s="323"/>
      <c r="CN142" s="323"/>
      <c r="CO142" s="323"/>
      <c r="CP142" s="323"/>
    </row>
    <row r="143" spans="28:94" hidden="1" x14ac:dyDescent="0.25">
      <c r="AB143" s="263"/>
      <c r="BG143" s="318"/>
      <c r="BH143" s="319"/>
      <c r="BI143" s="319" t="s">
        <v>541</v>
      </c>
      <c r="BJ143" s="367" t="e">
        <f>BJ71*(0.3418*BJ70^0.32)</f>
        <v>#VALUE!</v>
      </c>
      <c r="BK143" s="321"/>
      <c r="BL143" s="321"/>
      <c r="BM143" s="321"/>
      <c r="BN143" s="354"/>
      <c r="BO143" s="354"/>
      <c r="BP143" s="363"/>
      <c r="BQ143" s="354"/>
      <c r="BR143" s="354"/>
      <c r="BS143" s="363"/>
      <c r="BT143" s="363"/>
      <c r="BU143" s="363"/>
      <c r="BV143" s="363"/>
      <c r="BW143" s="363"/>
      <c r="BX143" s="363"/>
      <c r="BY143" s="363"/>
      <c r="BZ143" s="363"/>
      <c r="CA143" s="363"/>
      <c r="CB143" s="363"/>
      <c r="CC143" s="323"/>
      <c r="CD143" s="323"/>
      <c r="CE143" s="323"/>
      <c r="CF143" s="323"/>
      <c r="CG143" s="323"/>
      <c r="CH143" s="323"/>
      <c r="CI143" s="323"/>
      <c r="CJ143" s="323"/>
      <c r="CK143" s="323"/>
      <c r="CL143" s="323"/>
      <c r="CM143" s="323"/>
      <c r="CN143" s="323"/>
      <c r="CO143" s="323"/>
      <c r="CP143" s="323"/>
    </row>
    <row r="144" spans="28:94" hidden="1" x14ac:dyDescent="0.25">
      <c r="AB144" s="263"/>
      <c r="BG144" s="318"/>
      <c r="BH144" s="319"/>
      <c r="BI144" s="319" t="s">
        <v>542</v>
      </c>
      <c r="BJ144" s="367" t="e">
        <f>IF(C10="Cruzado",BJ143+BJ141,BJ142+BJ141)</f>
        <v>#VALUE!</v>
      </c>
      <c r="BK144" s="321"/>
      <c r="BL144" s="321"/>
      <c r="BM144" s="321"/>
      <c r="BN144" s="354"/>
      <c r="BO144" s="354"/>
      <c r="BP144" s="363"/>
      <c r="BQ144" s="354"/>
      <c r="BR144" s="354"/>
      <c r="BS144" s="363"/>
      <c r="BT144" s="363"/>
      <c r="BU144" s="363"/>
      <c r="BV144" s="363"/>
      <c r="BW144" s="363"/>
      <c r="BX144" s="363"/>
      <c r="BY144" s="363"/>
      <c r="BZ144" s="363"/>
      <c r="CA144" s="363"/>
      <c r="CB144" s="363"/>
      <c r="CC144" s="323"/>
      <c r="CD144" s="323"/>
      <c r="CE144" s="323"/>
      <c r="CF144" s="323"/>
      <c r="CG144" s="323"/>
      <c r="CH144" s="323"/>
      <c r="CI144" s="323"/>
      <c r="CJ144" s="323"/>
      <c r="CK144" s="323"/>
      <c r="CL144" s="323"/>
      <c r="CM144" s="323"/>
      <c r="CN144" s="323"/>
      <c r="CO144" s="323"/>
      <c r="CP144" s="323"/>
    </row>
    <row r="145" spans="28:94" hidden="1" x14ac:dyDescent="0.25">
      <c r="AB145" s="263"/>
      <c r="BG145" s="318"/>
      <c r="BH145" s="319"/>
      <c r="BI145" s="319" t="s">
        <v>439</v>
      </c>
      <c r="BJ145" s="321"/>
      <c r="BK145" s="321"/>
      <c r="BL145" s="321"/>
      <c r="BM145" s="321"/>
      <c r="BN145" s="354"/>
      <c r="BO145" s="354"/>
      <c r="BP145" s="363"/>
      <c r="BQ145" s="354"/>
      <c r="BR145" s="354"/>
      <c r="BS145" s="363"/>
      <c r="BT145" s="363"/>
      <c r="BU145" s="363"/>
      <c r="BV145" s="363"/>
      <c r="BW145" s="363"/>
      <c r="BX145" s="363"/>
      <c r="BY145" s="363"/>
      <c r="BZ145" s="363"/>
      <c r="CA145" s="363"/>
      <c r="CB145" s="363"/>
      <c r="CC145" s="323"/>
      <c r="CD145" s="323"/>
      <c r="CE145" s="323"/>
      <c r="CF145" s="323"/>
      <c r="CG145" s="323"/>
      <c r="CH145" s="323"/>
      <c r="CI145" s="323"/>
      <c r="CJ145" s="323"/>
      <c r="CK145" s="323"/>
      <c r="CL145" s="323"/>
      <c r="CM145" s="323"/>
      <c r="CN145" s="323"/>
      <c r="CO145" s="323"/>
      <c r="CP145" s="323"/>
    </row>
    <row r="146" spans="28:94" hidden="1" x14ac:dyDescent="0.25">
      <c r="AB146" s="263"/>
      <c r="BG146" s="318"/>
      <c r="BH146" s="319"/>
      <c r="BI146" s="320" t="s">
        <v>543</v>
      </c>
      <c r="BJ146" s="366" t="e">
        <f>BJ144/BN44</f>
        <v>#VALUE!</v>
      </c>
      <c r="BK146" s="370"/>
      <c r="BL146" s="321"/>
      <c r="BM146" s="321"/>
      <c r="BN146" s="354"/>
      <c r="BO146" s="354"/>
      <c r="BP146" s="363"/>
      <c r="BQ146" s="354"/>
      <c r="BR146" s="354"/>
      <c r="BS146" s="363"/>
      <c r="BT146" s="363"/>
      <c r="BU146" s="363"/>
      <c r="BV146" s="363"/>
      <c r="BW146" s="363"/>
      <c r="BX146" s="363"/>
      <c r="BY146" s="363"/>
      <c r="BZ146" s="363"/>
      <c r="CA146" s="363"/>
      <c r="CB146" s="363"/>
      <c r="CC146" s="323"/>
      <c r="CD146" s="323"/>
      <c r="CE146" s="323"/>
      <c r="CF146" s="323"/>
      <c r="CG146" s="323"/>
      <c r="CH146" s="323"/>
      <c r="CI146" s="323"/>
      <c r="CJ146" s="323"/>
      <c r="CK146" s="323"/>
      <c r="CL146" s="323"/>
      <c r="CM146" s="323"/>
      <c r="CN146" s="323"/>
      <c r="CO146" s="323"/>
      <c r="CP146" s="323"/>
    </row>
    <row r="147" spans="28:94" hidden="1" x14ac:dyDescent="0.25">
      <c r="AB147" s="263"/>
      <c r="BG147" s="318"/>
      <c r="BH147" s="319"/>
      <c r="BI147" s="320"/>
      <c r="BJ147" s="321"/>
      <c r="BK147" s="321"/>
      <c r="BL147" s="321"/>
      <c r="BM147" s="321"/>
      <c r="BN147" s="354"/>
      <c r="BO147" s="354"/>
      <c r="BP147" s="363"/>
      <c r="BQ147" s="354"/>
      <c r="BR147" s="354"/>
      <c r="BS147" s="363"/>
      <c r="BT147" s="363"/>
      <c r="BU147" s="363"/>
      <c r="BV147" s="363"/>
      <c r="BW147" s="363"/>
      <c r="BX147" s="363"/>
      <c r="BY147" s="363"/>
      <c r="BZ147" s="363"/>
      <c r="CA147" s="363"/>
      <c r="CB147" s="363"/>
      <c r="CC147" s="323"/>
      <c r="CD147" s="323"/>
      <c r="CE147" s="323"/>
      <c r="CF147" s="323"/>
      <c r="CG147" s="323"/>
      <c r="CH147" s="323"/>
      <c r="CI147" s="323"/>
      <c r="CJ147" s="323"/>
      <c r="CK147" s="323"/>
      <c r="CL147" s="323"/>
      <c r="CM147" s="323"/>
      <c r="CN147" s="323"/>
      <c r="CO147" s="323"/>
      <c r="CP147" s="323"/>
    </row>
    <row r="148" spans="28:94" hidden="1" x14ac:dyDescent="0.25">
      <c r="AB148" s="263"/>
      <c r="BG148" s="318"/>
      <c r="BH148" s="319" t="s">
        <v>544</v>
      </c>
      <c r="BI148" s="319" t="s">
        <v>545</v>
      </c>
      <c r="BJ148" s="367" t="e">
        <f>C8*10.4/1000</f>
        <v>#VALUE!</v>
      </c>
      <c r="BK148" s="321"/>
      <c r="BL148" s="321"/>
      <c r="BM148" s="321"/>
      <c r="BN148" s="354"/>
      <c r="BO148" s="354"/>
      <c r="BP148" s="363"/>
      <c r="BQ148" s="354"/>
      <c r="BR148" s="354"/>
      <c r="BS148" s="363"/>
      <c r="BT148" s="363"/>
      <c r="BU148" s="363"/>
      <c r="BV148" s="363"/>
      <c r="BW148" s="363"/>
      <c r="BX148" s="363"/>
      <c r="BY148" s="363"/>
      <c r="BZ148" s="363"/>
      <c r="CA148" s="363"/>
      <c r="CB148" s="363"/>
      <c r="CC148" s="323"/>
      <c r="CD148" s="323"/>
      <c r="CE148" s="323"/>
      <c r="CF148" s="323"/>
      <c r="CG148" s="323"/>
      <c r="CH148" s="323"/>
      <c r="CI148" s="323"/>
      <c r="CJ148" s="323"/>
      <c r="CK148" s="323"/>
      <c r="CL148" s="323"/>
      <c r="CM148" s="323"/>
      <c r="CN148" s="323"/>
      <c r="CO148" s="323"/>
      <c r="CP148" s="323"/>
    </row>
    <row r="149" spans="28:94" hidden="1" x14ac:dyDescent="0.25">
      <c r="AB149" s="263"/>
      <c r="BG149" s="318"/>
      <c r="BH149" s="319"/>
      <c r="BI149" s="319" t="s">
        <v>546</v>
      </c>
      <c r="BJ149" s="367" t="e">
        <f>BJ71*(0.03*BJ70^0.89)</f>
        <v>#VALUE!</v>
      </c>
      <c r="BK149" s="321"/>
      <c r="BL149" s="321"/>
      <c r="BM149" s="321"/>
      <c r="BN149" s="354"/>
      <c r="BO149" s="354"/>
      <c r="BP149" s="363"/>
      <c r="BQ149" s="354"/>
      <c r="BR149" s="354"/>
      <c r="BS149" s="363"/>
      <c r="BT149" s="363"/>
      <c r="BU149" s="363"/>
      <c r="BV149" s="363"/>
      <c r="BW149" s="363"/>
      <c r="BX149" s="363"/>
      <c r="BY149" s="363"/>
      <c r="BZ149" s="363"/>
      <c r="CA149" s="363"/>
      <c r="CB149" s="363"/>
      <c r="CC149" s="323"/>
      <c r="CD149" s="323"/>
      <c r="CE149" s="323"/>
      <c r="CF149" s="323"/>
      <c r="CG149" s="323"/>
      <c r="CH149" s="323"/>
      <c r="CI149" s="323"/>
      <c r="CJ149" s="323"/>
      <c r="CK149" s="323"/>
      <c r="CL149" s="323"/>
      <c r="CM149" s="323"/>
      <c r="CN149" s="323"/>
      <c r="CO149" s="323"/>
      <c r="CP149" s="323"/>
    </row>
    <row r="150" spans="28:94" hidden="1" x14ac:dyDescent="0.25">
      <c r="AB150" s="263"/>
      <c r="BG150" s="318"/>
      <c r="BH150" s="319"/>
      <c r="BI150" s="319" t="s">
        <v>547</v>
      </c>
      <c r="BJ150" s="367" t="e">
        <f>BJ149+BJ148</f>
        <v>#VALUE!</v>
      </c>
      <c r="BK150" s="321"/>
      <c r="BL150" s="321"/>
      <c r="BM150" s="321"/>
      <c r="BN150" s="354"/>
      <c r="BO150" s="354"/>
      <c r="BP150" s="363"/>
      <c r="BQ150" s="354"/>
      <c r="BR150" s="354"/>
      <c r="BS150" s="363"/>
      <c r="BT150" s="363"/>
      <c r="BU150" s="363"/>
      <c r="BV150" s="363"/>
      <c r="BW150" s="363"/>
      <c r="BX150" s="363"/>
      <c r="BY150" s="363"/>
      <c r="BZ150" s="363"/>
      <c r="CA150" s="363"/>
      <c r="CB150" s="363"/>
      <c r="CC150" s="323"/>
      <c r="CD150" s="323"/>
      <c r="CE150" s="323"/>
      <c r="CF150" s="323"/>
      <c r="CG150" s="323"/>
      <c r="CH150" s="323"/>
      <c r="CI150" s="323"/>
      <c r="CJ150" s="323"/>
      <c r="CK150" s="323"/>
      <c r="CL150" s="323"/>
      <c r="CM150" s="323"/>
      <c r="CN150" s="323"/>
      <c r="CO150" s="323"/>
      <c r="CP150" s="323"/>
    </row>
    <row r="151" spans="28:94" hidden="1" x14ac:dyDescent="0.25">
      <c r="AB151" s="263"/>
      <c r="BG151" s="318"/>
      <c r="BH151" s="319"/>
      <c r="BI151" s="319" t="s">
        <v>439</v>
      </c>
      <c r="BJ151" s="321"/>
      <c r="BK151" s="321"/>
      <c r="BL151" s="321"/>
      <c r="BM151" s="321"/>
      <c r="BN151" s="354"/>
      <c r="BO151" s="354"/>
      <c r="BP151" s="363"/>
      <c r="BQ151" s="354"/>
      <c r="BR151" s="354"/>
      <c r="BS151" s="363"/>
      <c r="BT151" s="363"/>
      <c r="BU151" s="363"/>
      <c r="BV151" s="363"/>
      <c r="BW151" s="363"/>
      <c r="BX151" s="363"/>
      <c r="BY151" s="363"/>
      <c r="BZ151" s="363"/>
      <c r="CA151" s="363"/>
      <c r="CB151" s="363"/>
      <c r="CC151" s="323"/>
      <c r="CD151" s="323"/>
      <c r="CE151" s="323"/>
      <c r="CF151" s="323"/>
      <c r="CG151" s="323"/>
      <c r="CH151" s="323"/>
      <c r="CI151" s="323"/>
      <c r="CJ151" s="323"/>
      <c r="CK151" s="323"/>
      <c r="CL151" s="323"/>
      <c r="CM151" s="323"/>
      <c r="CN151" s="323"/>
      <c r="CO151" s="323"/>
      <c r="CP151" s="323"/>
    </row>
    <row r="152" spans="28:94" hidden="1" x14ac:dyDescent="0.25">
      <c r="AB152" s="263"/>
      <c r="BG152" s="318"/>
      <c r="BH152" s="319"/>
      <c r="BI152" s="320" t="s">
        <v>548</v>
      </c>
      <c r="BJ152" s="366" t="e">
        <f>BJ150/BN45</f>
        <v>#VALUE!</v>
      </c>
      <c r="BK152" s="366"/>
      <c r="BL152" s="321"/>
      <c r="BM152" s="321"/>
      <c r="BN152" s="354"/>
      <c r="BO152" s="354"/>
      <c r="BP152" s="363"/>
      <c r="BQ152" s="354"/>
      <c r="BR152" s="354"/>
      <c r="BS152" s="363"/>
      <c r="BT152" s="363"/>
      <c r="BU152" s="363"/>
      <c r="BV152" s="363"/>
      <c r="BW152" s="363"/>
      <c r="BX152" s="363"/>
      <c r="BY152" s="363"/>
      <c r="BZ152" s="363"/>
      <c r="CA152" s="363"/>
      <c r="CB152" s="363"/>
      <c r="CC152" s="323"/>
      <c r="CD152" s="323"/>
      <c r="CE152" s="323"/>
      <c r="CF152" s="323"/>
      <c r="CG152" s="323"/>
      <c r="CH152" s="323"/>
      <c r="CI152" s="323"/>
      <c r="CJ152" s="323"/>
      <c r="CK152" s="323"/>
      <c r="CL152" s="323"/>
      <c r="CM152" s="323"/>
      <c r="CN152" s="323"/>
      <c r="CO152" s="323"/>
      <c r="CP152" s="323"/>
    </row>
    <row r="153" spans="28:94" hidden="1" x14ac:dyDescent="0.25">
      <c r="AB153" s="263"/>
      <c r="BG153" s="318"/>
      <c r="BH153" s="319"/>
      <c r="BI153" s="320"/>
      <c r="BJ153" s="321"/>
      <c r="BK153" s="321"/>
      <c r="BL153" s="321"/>
      <c r="BM153" s="321"/>
      <c r="BN153" s="354"/>
      <c r="BO153" s="354"/>
      <c r="BP153" s="363"/>
      <c r="BQ153" s="354"/>
      <c r="BR153" s="354"/>
      <c r="BS153" s="363"/>
      <c r="BT153" s="363"/>
      <c r="BU153" s="363"/>
      <c r="BV153" s="363"/>
      <c r="BW153" s="363"/>
      <c r="BX153" s="363"/>
      <c r="BY153" s="363"/>
      <c r="BZ153" s="363"/>
      <c r="CA153" s="363"/>
      <c r="CB153" s="363"/>
      <c r="CC153" s="323"/>
      <c r="CD153" s="323"/>
      <c r="CE153" s="323"/>
      <c r="CF153" s="323"/>
      <c r="CG153" s="323"/>
      <c r="CH153" s="323"/>
      <c r="CI153" s="323"/>
      <c r="CJ153" s="323"/>
      <c r="CK153" s="323"/>
      <c r="CL153" s="323"/>
      <c r="CM153" s="323"/>
      <c r="CN153" s="323"/>
      <c r="CO153" s="323"/>
      <c r="CP153" s="323"/>
    </row>
    <row r="154" spans="28:94" hidden="1" x14ac:dyDescent="0.25">
      <c r="AB154" s="263"/>
      <c r="BG154" s="318"/>
      <c r="BH154" s="319" t="s">
        <v>549</v>
      </c>
      <c r="BI154" s="319" t="s">
        <v>550</v>
      </c>
      <c r="BJ154" s="367" t="e">
        <f>C8*95.6/1000</f>
        <v>#VALUE!</v>
      </c>
      <c r="BK154" s="321"/>
      <c r="BL154" s="321"/>
      <c r="BM154" s="321"/>
      <c r="BN154" s="354"/>
      <c r="BO154" s="354"/>
      <c r="BP154" s="363"/>
      <c r="BQ154" s="354"/>
      <c r="BR154" s="354"/>
      <c r="BS154" s="363"/>
      <c r="BT154" s="363"/>
      <c r="BU154" s="363"/>
      <c r="BV154" s="363"/>
      <c r="BW154" s="363"/>
      <c r="BX154" s="363"/>
      <c r="BY154" s="363"/>
      <c r="BZ154" s="363"/>
      <c r="CA154" s="363"/>
      <c r="CB154" s="363"/>
      <c r="CC154" s="323"/>
      <c r="CD154" s="323"/>
      <c r="CE154" s="323"/>
      <c r="CF154" s="323"/>
      <c r="CG154" s="323"/>
      <c r="CH154" s="323"/>
      <c r="CI154" s="323"/>
      <c r="CJ154" s="323"/>
      <c r="CK154" s="323"/>
      <c r="CL154" s="323"/>
      <c r="CM154" s="323"/>
      <c r="CN154" s="323"/>
      <c r="CO154" s="323"/>
      <c r="CP154" s="323"/>
    </row>
    <row r="155" spans="28:94" hidden="1" x14ac:dyDescent="0.25">
      <c r="AB155" s="263"/>
      <c r="BG155" s="318"/>
      <c r="BH155" s="319"/>
      <c r="BI155" s="319" t="s">
        <v>551</v>
      </c>
      <c r="BJ155" s="367" t="e">
        <f>BJ71*(1.25*BJ70^0.33)</f>
        <v>#VALUE!</v>
      </c>
      <c r="BK155" s="321"/>
      <c r="BL155" s="321"/>
      <c r="BM155" s="321"/>
      <c r="BN155" s="354"/>
      <c r="BO155" s="354"/>
      <c r="BP155" s="363"/>
      <c r="BQ155" s="354"/>
      <c r="BR155" s="354"/>
      <c r="BS155" s="363"/>
      <c r="BT155" s="363"/>
      <c r="BU155" s="363"/>
      <c r="BV155" s="363"/>
      <c r="BW155" s="363"/>
      <c r="BX155" s="363"/>
      <c r="BY155" s="363"/>
      <c r="BZ155" s="363"/>
      <c r="CA155" s="363"/>
      <c r="CB155" s="363"/>
      <c r="CC155" s="323"/>
      <c r="CD155" s="323"/>
      <c r="CE155" s="323"/>
      <c r="CF155" s="323"/>
      <c r="CG155" s="323"/>
      <c r="CH155" s="323"/>
      <c r="CI155" s="323"/>
      <c r="CJ155" s="323"/>
      <c r="CK155" s="323"/>
      <c r="CL155" s="323"/>
      <c r="CM155" s="323"/>
      <c r="CN155" s="323"/>
      <c r="CO155" s="323"/>
      <c r="CP155" s="323"/>
    </row>
    <row r="156" spans="28:94" hidden="1" x14ac:dyDescent="0.25">
      <c r="AB156" s="263"/>
      <c r="BG156" s="318"/>
      <c r="BH156" s="319"/>
      <c r="BI156" s="319" t="s">
        <v>552</v>
      </c>
      <c r="BJ156" s="367" t="e">
        <f>BJ155+BJ154</f>
        <v>#VALUE!</v>
      </c>
      <c r="BK156" s="321"/>
      <c r="BL156" s="321"/>
      <c r="BM156" s="321"/>
      <c r="BN156" s="354"/>
      <c r="BO156" s="354"/>
      <c r="BP156" s="363"/>
      <c r="BQ156" s="354"/>
      <c r="BR156" s="354"/>
      <c r="BS156" s="363"/>
      <c r="BT156" s="363"/>
      <c r="BU156" s="363"/>
      <c r="BV156" s="363"/>
      <c r="BW156" s="363"/>
      <c r="BX156" s="363"/>
      <c r="BY156" s="363"/>
      <c r="BZ156" s="363"/>
      <c r="CA156" s="363"/>
      <c r="CB156" s="363"/>
      <c r="CC156" s="323"/>
      <c r="CD156" s="323"/>
      <c r="CE156" s="323"/>
      <c r="CF156" s="323"/>
      <c r="CG156" s="323"/>
      <c r="CH156" s="323"/>
      <c r="CI156" s="323"/>
      <c r="CJ156" s="323"/>
      <c r="CK156" s="323"/>
      <c r="CL156" s="323"/>
      <c r="CM156" s="323"/>
      <c r="CN156" s="323"/>
      <c r="CO156" s="323"/>
      <c r="CP156" s="323"/>
    </row>
    <row r="157" spans="28:94" hidden="1" x14ac:dyDescent="0.25">
      <c r="AB157" s="263"/>
      <c r="BG157" s="318"/>
      <c r="BH157" s="319"/>
      <c r="BI157" s="319" t="s">
        <v>439</v>
      </c>
      <c r="BJ157" s="321"/>
      <c r="BK157" s="321"/>
      <c r="BL157" s="321"/>
      <c r="BM157" s="321"/>
      <c r="BN157" s="354"/>
      <c r="BO157" s="354"/>
      <c r="BP157" s="363"/>
      <c r="BQ157" s="354"/>
      <c r="BR157" s="354"/>
      <c r="BS157" s="363"/>
      <c r="BT157" s="363"/>
      <c r="BU157" s="363"/>
      <c r="BV157" s="363"/>
      <c r="BW157" s="363"/>
      <c r="BX157" s="363"/>
      <c r="BY157" s="363"/>
      <c r="BZ157" s="363"/>
      <c r="CA157" s="363"/>
      <c r="CB157" s="363"/>
      <c r="CC157" s="323"/>
      <c r="CD157" s="323"/>
      <c r="CE157" s="323"/>
      <c r="CF157" s="323"/>
      <c r="CG157" s="323"/>
      <c r="CH157" s="323"/>
      <c r="CI157" s="323"/>
      <c r="CJ157" s="323"/>
      <c r="CK157" s="323"/>
      <c r="CL157" s="323"/>
      <c r="CM157" s="323"/>
      <c r="CN157" s="323"/>
      <c r="CO157" s="323"/>
      <c r="CP157" s="323"/>
    </row>
    <row r="158" spans="28:94" hidden="1" x14ac:dyDescent="0.25">
      <c r="AB158" s="263"/>
      <c r="BG158" s="318"/>
      <c r="BH158" s="319"/>
      <c r="BI158" s="320" t="s">
        <v>553</v>
      </c>
      <c r="BJ158" s="366" t="e">
        <f>BJ156/BN46</f>
        <v>#VALUE!</v>
      </c>
      <c r="BK158" s="366"/>
      <c r="BL158" s="321"/>
      <c r="BM158" s="321"/>
      <c r="BN158" s="354"/>
      <c r="BO158" s="354"/>
      <c r="BP158" s="363"/>
      <c r="BQ158" s="354"/>
      <c r="BR158" s="354"/>
      <c r="BS158" s="363"/>
      <c r="BT158" s="363"/>
      <c r="BU158" s="363"/>
      <c r="BV158" s="363"/>
      <c r="BW158" s="363"/>
      <c r="BX158" s="363"/>
      <c r="BY158" s="363"/>
      <c r="BZ158" s="363"/>
      <c r="CA158" s="363"/>
      <c r="CB158" s="363"/>
      <c r="CC158" s="323"/>
      <c r="CD158" s="323"/>
      <c r="CE158" s="323"/>
      <c r="CF158" s="323"/>
      <c r="CG158" s="323"/>
      <c r="CH158" s="323"/>
      <c r="CI158" s="323"/>
      <c r="CJ158" s="323"/>
      <c r="CK158" s="323"/>
      <c r="CL158" s="323"/>
      <c r="CM158" s="323"/>
      <c r="CN158" s="323"/>
      <c r="CO158" s="323"/>
      <c r="CP158" s="323"/>
    </row>
    <row r="159" spans="28:94" hidden="1" x14ac:dyDescent="0.25">
      <c r="AB159" s="263"/>
      <c r="BG159" s="318"/>
      <c r="BH159" s="319"/>
      <c r="BI159" s="320"/>
      <c r="BJ159" s="321"/>
      <c r="BK159" s="321"/>
      <c r="BL159" s="321"/>
      <c r="BM159" s="321"/>
      <c r="BN159" s="354"/>
      <c r="BO159" s="354"/>
      <c r="BP159" s="363"/>
      <c r="BQ159" s="354"/>
      <c r="BR159" s="354"/>
      <c r="BS159" s="363"/>
      <c r="BT159" s="363"/>
      <c r="BU159" s="363"/>
      <c r="BV159" s="363"/>
      <c r="BW159" s="363"/>
      <c r="BX159" s="363"/>
      <c r="BY159" s="363"/>
      <c r="BZ159" s="363"/>
      <c r="CA159" s="363"/>
      <c r="CB159" s="363"/>
      <c r="CC159" s="323"/>
      <c r="CD159" s="323"/>
      <c r="CE159" s="323"/>
      <c r="CF159" s="323"/>
      <c r="CG159" s="323"/>
      <c r="CH159" s="323"/>
      <c r="CI159" s="323"/>
      <c r="CJ159" s="323"/>
      <c r="CK159" s="323"/>
      <c r="CL159" s="323"/>
      <c r="CM159" s="323"/>
      <c r="CN159" s="323"/>
      <c r="CO159" s="323"/>
      <c r="CP159" s="323"/>
    </row>
    <row r="160" spans="28:94" hidden="1" x14ac:dyDescent="0.25">
      <c r="AB160" s="263"/>
      <c r="BG160" s="318"/>
      <c r="BH160" s="319" t="s">
        <v>554</v>
      </c>
      <c r="BI160" s="319" t="s">
        <v>555</v>
      </c>
      <c r="BJ160" s="367" t="e">
        <f>C8*13.5/1000</f>
        <v>#VALUE!</v>
      </c>
      <c r="BK160" s="321"/>
      <c r="BL160" s="321"/>
      <c r="BM160" s="321"/>
      <c r="BN160" s="354"/>
      <c r="BO160" s="354"/>
      <c r="BP160" s="363"/>
      <c r="BQ160" s="354"/>
      <c r="BR160" s="354"/>
      <c r="BS160" s="363"/>
      <c r="BT160" s="363"/>
      <c r="BU160" s="363"/>
      <c r="BV160" s="363"/>
      <c r="BW160" s="363"/>
      <c r="BX160" s="363"/>
      <c r="BY160" s="363"/>
      <c r="BZ160" s="363"/>
      <c r="CA160" s="363"/>
      <c r="CB160" s="363"/>
      <c r="CC160" s="323"/>
      <c r="CD160" s="323"/>
      <c r="CE160" s="323"/>
      <c r="CF160" s="323"/>
      <c r="CG160" s="323"/>
      <c r="CH160" s="323"/>
      <c r="CI160" s="323"/>
      <c r="CJ160" s="323"/>
      <c r="CK160" s="323"/>
      <c r="CL160" s="323"/>
      <c r="CM160" s="323"/>
      <c r="CN160" s="323"/>
      <c r="CO160" s="323"/>
      <c r="CP160" s="323"/>
    </row>
    <row r="161" spans="28:94" hidden="1" x14ac:dyDescent="0.25">
      <c r="AB161" s="263"/>
      <c r="BG161" s="318"/>
      <c r="BH161" s="319"/>
      <c r="BI161" s="319" t="s">
        <v>556</v>
      </c>
      <c r="BJ161" s="367" t="e">
        <f>BJ71*(0.045*BJ70^-0.023)</f>
        <v>#VALUE!</v>
      </c>
      <c r="BK161" s="321"/>
      <c r="BL161" s="321"/>
      <c r="BM161" s="321"/>
      <c r="BN161" s="354"/>
      <c r="BO161" s="363"/>
      <c r="BP161" s="363"/>
      <c r="BQ161" s="354"/>
      <c r="BR161" s="354"/>
      <c r="BS161" s="363"/>
      <c r="BT161" s="363"/>
      <c r="BU161" s="363"/>
      <c r="BV161" s="363"/>
      <c r="BW161" s="363"/>
      <c r="BX161" s="363"/>
      <c r="BY161" s="363"/>
      <c r="BZ161" s="363"/>
      <c r="CA161" s="363"/>
      <c r="CB161" s="363"/>
      <c r="CC161" s="323"/>
      <c r="CD161" s="323"/>
      <c r="CE161" s="323"/>
      <c r="CF161" s="323"/>
      <c r="CG161" s="323"/>
      <c r="CH161" s="323"/>
      <c r="CI161" s="323"/>
      <c r="CJ161" s="323"/>
      <c r="CK161" s="323"/>
      <c r="CL161" s="323"/>
      <c r="CM161" s="323"/>
      <c r="CN161" s="323"/>
      <c r="CO161" s="323"/>
      <c r="CP161" s="323"/>
    </row>
    <row r="162" spans="28:94" hidden="1" x14ac:dyDescent="0.25">
      <c r="AB162" s="263"/>
      <c r="BG162" s="318"/>
      <c r="BH162" s="319"/>
      <c r="BI162" s="319" t="s">
        <v>557</v>
      </c>
      <c r="BJ162" s="367" t="e">
        <f>BJ161+BJ160</f>
        <v>#VALUE!</v>
      </c>
      <c r="BK162" s="321"/>
      <c r="BL162" s="321"/>
      <c r="BM162" s="321"/>
      <c r="BN162" s="354"/>
      <c r="BO162" s="354"/>
      <c r="BP162" s="363"/>
      <c r="BQ162" s="354"/>
      <c r="BR162" s="354"/>
      <c r="BS162" s="363"/>
      <c r="BT162" s="363"/>
      <c r="BU162" s="363"/>
      <c r="BV162" s="363"/>
      <c r="BW162" s="363"/>
      <c r="BX162" s="363"/>
      <c r="BY162" s="363"/>
      <c r="BZ162" s="363"/>
      <c r="CA162" s="363"/>
      <c r="CB162" s="363"/>
      <c r="CC162" s="323"/>
      <c r="CD162" s="323"/>
      <c r="CE162" s="323"/>
      <c r="CF162" s="323"/>
      <c r="CG162" s="323"/>
      <c r="CH162" s="323"/>
      <c r="CI162" s="323"/>
      <c r="CJ162" s="323"/>
      <c r="CK162" s="323"/>
      <c r="CL162" s="323"/>
      <c r="CM162" s="323"/>
      <c r="CN162" s="323"/>
      <c r="CO162" s="323"/>
      <c r="CP162" s="323"/>
    </row>
    <row r="163" spans="28:94" hidden="1" x14ac:dyDescent="0.25">
      <c r="AB163" s="263"/>
      <c r="BG163" s="318"/>
      <c r="BH163" s="319"/>
      <c r="BI163" s="319" t="s">
        <v>439</v>
      </c>
      <c r="BJ163" s="321"/>
      <c r="BK163" s="321"/>
      <c r="BL163" s="321"/>
      <c r="BM163" s="321"/>
      <c r="BN163" s="354"/>
      <c r="BO163" s="354"/>
      <c r="BP163" s="363"/>
      <c r="BQ163" s="354"/>
      <c r="BR163" s="354"/>
      <c r="BS163" s="363"/>
      <c r="BT163" s="363"/>
      <c r="BU163" s="363"/>
      <c r="BV163" s="363"/>
      <c r="BW163" s="363"/>
      <c r="BX163" s="363"/>
      <c r="BY163" s="363"/>
      <c r="BZ163" s="363"/>
      <c r="CA163" s="363"/>
      <c r="CB163" s="363"/>
      <c r="CC163" s="323"/>
      <c r="CD163" s="323"/>
      <c r="CE163" s="323"/>
      <c r="CF163" s="323"/>
      <c r="CG163" s="323"/>
      <c r="CH163" s="323"/>
      <c r="CI163" s="323"/>
      <c r="CJ163" s="323"/>
      <c r="CK163" s="323"/>
      <c r="CL163" s="323"/>
      <c r="CM163" s="323"/>
      <c r="CN163" s="323"/>
      <c r="CO163" s="323"/>
      <c r="CP163" s="323"/>
    </row>
    <row r="164" spans="28:94" hidden="1" x14ac:dyDescent="0.25">
      <c r="AB164" s="263"/>
      <c r="BG164" s="318"/>
      <c r="BH164" s="319"/>
      <c r="BI164" s="320" t="s">
        <v>558</v>
      </c>
      <c r="BJ164" s="366" t="e">
        <f>BJ162/BN47</f>
        <v>#VALUE!</v>
      </c>
      <c r="BK164" s="321"/>
      <c r="BL164" s="321"/>
      <c r="BM164" s="321"/>
      <c r="BN164" s="354"/>
      <c r="BO164" s="354"/>
      <c r="BP164" s="363"/>
      <c r="BQ164" s="354"/>
      <c r="BR164" s="354"/>
      <c r="BS164" s="363"/>
      <c r="BT164" s="363"/>
      <c r="BU164" s="363"/>
      <c r="BV164" s="363"/>
      <c r="BW164" s="363"/>
      <c r="BX164" s="363"/>
      <c r="BY164" s="363"/>
      <c r="BZ164" s="363"/>
      <c r="CA164" s="363"/>
      <c r="CB164" s="363"/>
      <c r="CC164" s="323"/>
      <c r="CD164" s="323"/>
      <c r="CE164" s="323"/>
      <c r="CF164" s="323"/>
      <c r="CG164" s="323"/>
      <c r="CH164" s="323"/>
      <c r="CI164" s="323"/>
      <c r="CJ164" s="323"/>
      <c r="CK164" s="323"/>
      <c r="CL164" s="323"/>
      <c r="CM164" s="323"/>
      <c r="CN164" s="323"/>
      <c r="CO164" s="323"/>
      <c r="CP164" s="323"/>
    </row>
    <row r="165" spans="28:94" hidden="1" x14ac:dyDescent="0.25">
      <c r="AB165" s="263"/>
      <c r="BG165" s="318"/>
      <c r="BH165" s="319"/>
      <c r="BI165" s="319"/>
      <c r="BJ165" s="321"/>
      <c r="BK165" s="321"/>
      <c r="BL165" s="321"/>
      <c r="BM165" s="321"/>
      <c r="BN165" s="354"/>
      <c r="BO165" s="354"/>
      <c r="BP165" s="363"/>
      <c r="BQ165" s="354"/>
      <c r="BR165" s="354"/>
      <c r="BS165" s="363"/>
      <c r="BT165" s="363"/>
      <c r="BU165" s="363"/>
      <c r="BV165" s="363"/>
      <c r="BW165" s="363"/>
      <c r="BX165" s="363"/>
      <c r="BY165" s="363"/>
      <c r="BZ165" s="363"/>
      <c r="CA165" s="363"/>
      <c r="CB165" s="363"/>
      <c r="CC165" s="323"/>
      <c r="CD165" s="323"/>
      <c r="CE165" s="323"/>
      <c r="CF165" s="323"/>
      <c r="CG165" s="323"/>
      <c r="CH165" s="323"/>
      <c r="CI165" s="323"/>
      <c r="CJ165" s="323"/>
      <c r="CK165" s="323"/>
      <c r="CL165" s="323"/>
      <c r="CM165" s="323"/>
      <c r="CN165" s="323"/>
      <c r="CO165" s="323"/>
      <c r="CP165" s="323"/>
    </row>
    <row r="166" spans="28:94" hidden="1" x14ac:dyDescent="0.25">
      <c r="AB166" s="263"/>
      <c r="BG166" s="318"/>
      <c r="BH166" s="319" t="s">
        <v>559</v>
      </c>
      <c r="BI166" s="319" t="s">
        <v>560</v>
      </c>
      <c r="BJ166" s="367" t="e">
        <f>C8*22.9/1000</f>
        <v>#VALUE!</v>
      </c>
      <c r="BK166" s="321"/>
      <c r="BL166" s="321"/>
      <c r="BM166" s="321"/>
      <c r="BN166" s="354"/>
      <c r="BO166" s="354"/>
      <c r="BP166" s="363"/>
      <c r="BQ166" s="354"/>
      <c r="BR166" s="354"/>
      <c r="BS166" s="363"/>
      <c r="BT166" s="363"/>
      <c r="BU166" s="363"/>
      <c r="BV166" s="363"/>
      <c r="BW166" s="363"/>
      <c r="BX166" s="363"/>
      <c r="BY166" s="363"/>
      <c r="BZ166" s="363"/>
      <c r="CA166" s="363"/>
      <c r="CB166" s="363"/>
      <c r="CC166" s="323"/>
      <c r="CD166" s="323"/>
      <c r="CE166" s="323"/>
      <c r="CF166" s="323"/>
      <c r="CG166" s="323"/>
      <c r="CH166" s="323"/>
      <c r="CI166" s="323"/>
      <c r="CJ166" s="323"/>
      <c r="CK166" s="323"/>
      <c r="CL166" s="323"/>
      <c r="CM166" s="323"/>
      <c r="CN166" s="323"/>
      <c r="CO166" s="323"/>
      <c r="CP166" s="323"/>
    </row>
    <row r="167" spans="28:94" hidden="1" x14ac:dyDescent="0.25">
      <c r="AB167" s="263"/>
      <c r="BG167" s="318"/>
      <c r="BH167" s="319"/>
      <c r="BI167" s="319" t="s">
        <v>561</v>
      </c>
      <c r="BJ167" s="367" t="e">
        <f>BJ71*(0.23*BJ70^0.61)</f>
        <v>#VALUE!</v>
      </c>
      <c r="BK167" s="321"/>
      <c r="BL167" s="321"/>
      <c r="BM167" s="321"/>
      <c r="BN167" s="354"/>
      <c r="BO167" s="354"/>
      <c r="BP167" s="363"/>
      <c r="BQ167" s="354"/>
      <c r="BR167" s="354"/>
      <c r="BS167" s="363"/>
      <c r="BT167" s="363"/>
      <c r="BU167" s="363"/>
      <c r="BV167" s="363"/>
      <c r="BW167" s="363"/>
      <c r="BX167" s="363"/>
      <c r="BY167" s="363"/>
      <c r="BZ167" s="363"/>
      <c r="CA167" s="363"/>
      <c r="CB167" s="363"/>
      <c r="CC167" s="323"/>
      <c r="CD167" s="323"/>
      <c r="CE167" s="323"/>
      <c r="CF167" s="323"/>
      <c r="CG167" s="323"/>
      <c r="CH167" s="323"/>
      <c r="CI167" s="323"/>
      <c r="CJ167" s="323"/>
      <c r="CK167" s="323"/>
      <c r="CL167" s="323"/>
      <c r="CM167" s="323"/>
      <c r="CN167" s="323"/>
      <c r="CO167" s="323"/>
      <c r="CP167" s="323"/>
    </row>
    <row r="168" spans="28:94" hidden="1" x14ac:dyDescent="0.25">
      <c r="AB168" s="263"/>
      <c r="BG168" s="318"/>
      <c r="BH168" s="319"/>
      <c r="BI168" s="319" t="s">
        <v>562</v>
      </c>
      <c r="BJ168" s="367" t="e">
        <f>BJ167+BJ166</f>
        <v>#VALUE!</v>
      </c>
      <c r="BK168" s="321"/>
      <c r="BL168" s="321"/>
      <c r="BM168" s="321"/>
      <c r="BN168" s="354"/>
      <c r="BO168" s="354"/>
      <c r="BP168" s="363"/>
      <c r="BQ168" s="354"/>
      <c r="BR168" s="354"/>
      <c r="BS168" s="363"/>
      <c r="BT168" s="363"/>
      <c r="BU168" s="363"/>
      <c r="BV168" s="363"/>
      <c r="BW168" s="363"/>
      <c r="BX168" s="363"/>
      <c r="BY168" s="363"/>
      <c r="BZ168" s="363"/>
      <c r="CA168" s="363"/>
      <c r="CB168" s="363"/>
      <c r="CC168" s="323"/>
      <c r="CD168" s="323"/>
      <c r="CE168" s="323"/>
      <c r="CF168" s="323"/>
      <c r="CG168" s="323"/>
      <c r="CH168" s="323"/>
      <c r="CI168" s="323"/>
      <c r="CJ168" s="323"/>
      <c r="CK168" s="323"/>
      <c r="CL168" s="323"/>
      <c r="CM168" s="323"/>
      <c r="CN168" s="323"/>
      <c r="CO168" s="323"/>
      <c r="CP168" s="323"/>
    </row>
    <row r="169" spans="28:94" hidden="1" x14ac:dyDescent="0.25">
      <c r="AB169" s="263"/>
      <c r="BG169" s="318"/>
      <c r="BH169" s="319"/>
      <c r="BI169" s="319" t="s">
        <v>439</v>
      </c>
      <c r="BJ169" s="321"/>
      <c r="BK169" s="321"/>
      <c r="BL169" s="321"/>
      <c r="BM169" s="321"/>
      <c r="BN169" s="354"/>
      <c r="BO169" s="354"/>
      <c r="BP169" s="363"/>
      <c r="BQ169" s="354"/>
      <c r="BR169" s="354"/>
      <c r="BS169" s="363"/>
      <c r="BT169" s="363"/>
      <c r="BU169" s="363"/>
      <c r="BV169" s="363"/>
      <c r="BW169" s="363"/>
      <c r="BX169" s="363"/>
      <c r="BY169" s="363"/>
      <c r="BZ169" s="363"/>
      <c r="CA169" s="363"/>
      <c r="CB169" s="363"/>
      <c r="CC169" s="323"/>
      <c r="CD169" s="323"/>
      <c r="CE169" s="323"/>
      <c r="CF169" s="323"/>
      <c r="CG169" s="323"/>
      <c r="CH169" s="323"/>
      <c r="CI169" s="323"/>
      <c r="CJ169" s="323"/>
      <c r="CK169" s="323"/>
      <c r="CL169" s="323"/>
      <c r="CM169" s="323"/>
      <c r="CN169" s="323"/>
      <c r="CO169" s="323"/>
      <c r="CP169" s="323"/>
    </row>
    <row r="170" spans="28:94" hidden="1" x14ac:dyDescent="0.25">
      <c r="AB170" s="263"/>
      <c r="BG170" s="318"/>
      <c r="BH170" s="319"/>
      <c r="BI170" s="320" t="s">
        <v>563</v>
      </c>
      <c r="BJ170" s="366" t="e">
        <f>BJ168/BN48</f>
        <v>#VALUE!</v>
      </c>
      <c r="BK170" s="318"/>
      <c r="BL170" s="321"/>
      <c r="BM170" s="321"/>
      <c r="BN170" s="354"/>
      <c r="BO170" s="354"/>
      <c r="BP170" s="363"/>
      <c r="BQ170" s="354"/>
      <c r="BR170" s="354"/>
      <c r="BS170" s="363"/>
      <c r="BT170" s="363"/>
      <c r="BU170" s="363"/>
      <c r="BV170" s="363"/>
      <c r="BW170" s="363"/>
      <c r="BX170" s="363"/>
      <c r="BY170" s="363"/>
      <c r="BZ170" s="363"/>
      <c r="CA170" s="363"/>
      <c r="CB170" s="363"/>
      <c r="CC170" s="323"/>
      <c r="CD170" s="323"/>
      <c r="CE170" s="323"/>
      <c r="CF170" s="323"/>
      <c r="CG170" s="323"/>
      <c r="CH170" s="323"/>
      <c r="CI170" s="323"/>
      <c r="CJ170" s="323"/>
      <c r="CK170" s="323"/>
      <c r="CL170" s="323"/>
      <c r="CM170" s="323"/>
      <c r="CN170" s="323"/>
      <c r="CO170" s="323"/>
      <c r="CP170" s="323"/>
    </row>
    <row r="171" spans="28:94" hidden="1" x14ac:dyDescent="0.25">
      <c r="AB171" s="263"/>
      <c r="BG171" s="318"/>
      <c r="BH171" s="319"/>
      <c r="BI171" s="319"/>
      <c r="BJ171" s="321"/>
      <c r="BK171" s="321"/>
      <c r="BL171" s="321"/>
      <c r="BM171" s="321"/>
      <c r="BN171" s="354"/>
      <c r="BO171" s="354"/>
      <c r="BP171" s="363"/>
      <c r="BQ171" s="354"/>
      <c r="BR171" s="354"/>
      <c r="BS171" s="363"/>
      <c r="BT171" s="363"/>
      <c r="BU171" s="363"/>
      <c r="BV171" s="363"/>
      <c r="BW171" s="363"/>
      <c r="BX171" s="363"/>
      <c r="BY171" s="363"/>
      <c r="BZ171" s="363"/>
      <c r="CA171" s="363"/>
      <c r="CB171" s="363"/>
      <c r="CC171" s="323"/>
      <c r="CD171" s="323"/>
      <c r="CE171" s="323"/>
      <c r="CF171" s="323"/>
      <c r="CG171" s="323"/>
      <c r="CH171" s="323"/>
      <c r="CI171" s="323"/>
      <c r="CJ171" s="323"/>
      <c r="CK171" s="323"/>
      <c r="CL171" s="323"/>
      <c r="CM171" s="323"/>
      <c r="CN171" s="323"/>
      <c r="CO171" s="323"/>
      <c r="CP171" s="323"/>
    </row>
    <row r="172" spans="28:94" hidden="1" x14ac:dyDescent="0.25">
      <c r="AB172" s="263"/>
      <c r="BG172" s="318"/>
      <c r="BH172" s="319" t="s">
        <v>564</v>
      </c>
      <c r="BI172" s="319" t="s">
        <v>565</v>
      </c>
      <c r="BJ172" s="352" t="e">
        <f>C8*2942/1000</f>
        <v>#VALUE!</v>
      </c>
      <c r="BK172" s="321"/>
      <c r="BL172" s="321"/>
      <c r="BM172" s="321"/>
      <c r="BN172" s="354"/>
      <c r="BO172" s="354"/>
      <c r="BP172" s="363"/>
      <c r="BQ172" s="354"/>
      <c r="BR172" s="354"/>
      <c r="BS172" s="363"/>
      <c r="BT172" s="363"/>
      <c r="BU172" s="363"/>
      <c r="BV172" s="363"/>
      <c r="BW172" s="363"/>
      <c r="BX172" s="363"/>
      <c r="BY172" s="363"/>
      <c r="BZ172" s="363"/>
      <c r="CA172" s="363"/>
      <c r="CB172" s="363"/>
      <c r="CC172" s="323"/>
      <c r="CD172" s="323"/>
      <c r="CE172" s="323"/>
      <c r="CF172" s="323"/>
      <c r="CG172" s="323"/>
      <c r="CH172" s="323"/>
      <c r="CI172" s="323"/>
      <c r="CJ172" s="323"/>
      <c r="CK172" s="323"/>
      <c r="CL172" s="323"/>
      <c r="CM172" s="323"/>
      <c r="CN172" s="323"/>
      <c r="CO172" s="323"/>
      <c r="CP172" s="323"/>
    </row>
    <row r="173" spans="28:94" hidden="1" x14ac:dyDescent="0.25">
      <c r="AB173" s="263"/>
      <c r="BG173" s="318"/>
      <c r="BH173" s="319"/>
      <c r="BI173" s="319" t="s">
        <v>566</v>
      </c>
      <c r="BJ173" s="368" t="e">
        <f>BJ71*(10.4*BJ70^0.24)</f>
        <v>#VALUE!</v>
      </c>
      <c r="BK173" s="321"/>
      <c r="BL173" s="321"/>
      <c r="BM173" s="321"/>
      <c r="BN173" s="354"/>
      <c r="BO173" s="354"/>
      <c r="BP173" s="363"/>
      <c r="BQ173" s="354"/>
      <c r="BR173" s="354"/>
      <c r="BS173" s="363"/>
      <c r="BT173" s="363"/>
      <c r="BU173" s="363"/>
      <c r="BV173" s="363"/>
      <c r="BW173" s="363"/>
      <c r="BX173" s="363"/>
      <c r="BY173" s="363"/>
      <c r="BZ173" s="363"/>
      <c r="CA173" s="363"/>
      <c r="CB173" s="363"/>
      <c r="CC173" s="323"/>
      <c r="CD173" s="323"/>
      <c r="CE173" s="323"/>
      <c r="CF173" s="323"/>
      <c r="CG173" s="323"/>
      <c r="CH173" s="323"/>
      <c r="CI173" s="323"/>
      <c r="CJ173" s="323"/>
      <c r="CK173" s="323"/>
      <c r="CL173" s="323"/>
      <c r="CM173" s="323"/>
      <c r="CN173" s="323"/>
      <c r="CO173" s="323"/>
      <c r="CP173" s="323"/>
    </row>
    <row r="174" spans="28:94" hidden="1" x14ac:dyDescent="0.25">
      <c r="AB174" s="263"/>
      <c r="BG174" s="318"/>
      <c r="BH174" s="319"/>
      <c r="BI174" s="319" t="s">
        <v>567</v>
      </c>
      <c r="BJ174" s="352" t="e">
        <f>BJ173+BJ172</f>
        <v>#VALUE!</v>
      </c>
      <c r="BK174" s="321"/>
      <c r="BL174" s="321"/>
      <c r="BM174" s="321"/>
      <c r="BN174" s="354"/>
      <c r="BO174" s="354"/>
      <c r="BP174" s="363"/>
      <c r="BQ174" s="354"/>
      <c r="BR174" s="354"/>
      <c r="BS174" s="363"/>
      <c r="BT174" s="363"/>
      <c r="BU174" s="363"/>
      <c r="BV174" s="363"/>
      <c r="BW174" s="363"/>
      <c r="BX174" s="363"/>
      <c r="BY174" s="363"/>
      <c r="BZ174" s="363"/>
      <c r="CA174" s="363"/>
      <c r="CB174" s="363"/>
      <c r="CC174" s="323"/>
      <c r="CD174" s="323"/>
      <c r="CE174" s="323"/>
      <c r="CF174" s="323"/>
      <c r="CG174" s="323"/>
      <c r="CH174" s="323"/>
      <c r="CI174" s="323"/>
      <c r="CJ174" s="323"/>
      <c r="CK174" s="323"/>
      <c r="CL174" s="323"/>
      <c r="CM174" s="323"/>
      <c r="CN174" s="323"/>
      <c r="CO174" s="323"/>
      <c r="CP174" s="323"/>
    </row>
    <row r="175" spans="28:94" hidden="1" x14ac:dyDescent="0.25">
      <c r="AB175" s="263"/>
      <c r="BG175" s="318"/>
      <c r="BH175" s="319"/>
      <c r="BI175" s="319" t="s">
        <v>439</v>
      </c>
      <c r="BJ175" s="321"/>
      <c r="BK175" s="321"/>
      <c r="BL175" s="321"/>
      <c r="BM175" s="321"/>
      <c r="BN175" s="354"/>
      <c r="BO175" s="354"/>
      <c r="BP175" s="363"/>
      <c r="BQ175" s="354"/>
      <c r="BR175" s="354"/>
      <c r="BS175" s="363"/>
      <c r="BT175" s="363"/>
      <c r="BU175" s="363"/>
      <c r="BV175" s="363"/>
      <c r="BW175" s="363"/>
      <c r="BX175" s="363"/>
      <c r="BY175" s="363"/>
      <c r="BZ175" s="363"/>
      <c r="CA175" s="363"/>
      <c r="CB175" s="363"/>
      <c r="CC175" s="323"/>
      <c r="CD175" s="323"/>
      <c r="CE175" s="323"/>
      <c r="CF175" s="323"/>
      <c r="CG175" s="323"/>
      <c r="CH175" s="323"/>
      <c r="CI175" s="323"/>
      <c r="CJ175" s="323"/>
      <c r="CK175" s="323"/>
      <c r="CL175" s="323"/>
      <c r="CM175" s="323"/>
      <c r="CN175" s="323"/>
      <c r="CO175" s="323"/>
      <c r="CP175" s="323"/>
    </row>
    <row r="176" spans="28:94" hidden="1" x14ac:dyDescent="0.25">
      <c r="AB176" s="263"/>
      <c r="BG176" s="318"/>
      <c r="BH176" s="319"/>
      <c r="BI176" s="320" t="s">
        <v>568</v>
      </c>
      <c r="BJ176" s="365" t="e">
        <f>BJ174/BN49</f>
        <v>#VALUE!</v>
      </c>
      <c r="BK176" s="318"/>
      <c r="BL176" s="321"/>
      <c r="BM176" s="321"/>
      <c r="BN176" s="354"/>
      <c r="BO176" s="354"/>
      <c r="BP176" s="363"/>
      <c r="BQ176" s="354"/>
      <c r="BR176" s="354"/>
      <c r="BS176" s="363"/>
      <c r="BT176" s="363"/>
      <c r="BU176" s="363"/>
      <c r="BV176" s="363"/>
      <c r="BW176" s="363"/>
      <c r="BX176" s="363"/>
      <c r="BY176" s="363"/>
      <c r="BZ176" s="363"/>
      <c r="CA176" s="363"/>
      <c r="CB176" s="363"/>
      <c r="CC176" s="323"/>
      <c r="CD176" s="323"/>
      <c r="CE176" s="323"/>
      <c r="CF176" s="323"/>
      <c r="CG176" s="323"/>
      <c r="CH176" s="323"/>
      <c r="CI176" s="323"/>
      <c r="CJ176" s="323"/>
      <c r="CK176" s="323"/>
      <c r="CL176" s="323"/>
      <c r="CM176" s="323"/>
      <c r="CN176" s="323"/>
      <c r="CO176" s="323"/>
      <c r="CP176" s="323"/>
    </row>
    <row r="177" spans="28:94" hidden="1" x14ac:dyDescent="0.25">
      <c r="AB177" s="263"/>
      <c r="BG177" s="318"/>
      <c r="BH177" s="319"/>
      <c r="BI177" s="319"/>
      <c r="BJ177" s="321"/>
      <c r="BK177" s="321"/>
      <c r="BL177" s="321"/>
      <c r="BM177" s="321"/>
      <c r="BN177" s="354"/>
      <c r="BO177" s="354"/>
      <c r="BP177" s="363"/>
      <c r="BQ177" s="354"/>
      <c r="BR177" s="354"/>
      <c r="BS177" s="363"/>
      <c r="BT177" s="363"/>
      <c r="BU177" s="363"/>
      <c r="BV177" s="363"/>
      <c r="BW177" s="363"/>
      <c r="BX177" s="363"/>
      <c r="BY177" s="363"/>
      <c r="BZ177" s="363"/>
      <c r="CA177" s="363"/>
      <c r="CB177" s="363"/>
      <c r="CC177" s="323"/>
      <c r="CD177" s="323"/>
      <c r="CE177" s="323"/>
      <c r="CF177" s="323"/>
      <c r="CG177" s="323"/>
      <c r="CH177" s="323"/>
      <c r="CI177" s="323"/>
      <c r="CJ177" s="323"/>
      <c r="CK177" s="323"/>
      <c r="CL177" s="323"/>
      <c r="CM177" s="323"/>
      <c r="CN177" s="323"/>
      <c r="CO177" s="323"/>
      <c r="CP177" s="323"/>
    </row>
    <row r="178" spans="28:94" hidden="1" x14ac:dyDescent="0.25">
      <c r="AB178" s="263"/>
      <c r="BG178" s="318"/>
      <c r="BH178" s="319" t="s">
        <v>569</v>
      </c>
      <c r="BI178" s="319" t="s">
        <v>570</v>
      </c>
      <c r="BJ178" s="352" t="e">
        <f>C8*184.9/1000</f>
        <v>#VALUE!</v>
      </c>
      <c r="BK178" s="321"/>
      <c r="BL178" s="321"/>
      <c r="BM178" s="321"/>
      <c r="BN178" s="354"/>
      <c r="BO178" s="354"/>
      <c r="BP178" s="363"/>
      <c r="BQ178" s="354"/>
      <c r="BR178" s="354"/>
      <c r="BS178" s="363"/>
      <c r="BT178" s="363"/>
      <c r="BU178" s="363"/>
      <c r="BV178" s="363"/>
      <c r="BW178" s="363"/>
      <c r="BX178" s="363"/>
      <c r="BY178" s="363"/>
      <c r="BZ178" s="363"/>
      <c r="CA178" s="363"/>
      <c r="CB178" s="363"/>
      <c r="CC178" s="323"/>
      <c r="CD178" s="323"/>
      <c r="CE178" s="323"/>
      <c r="CF178" s="323"/>
      <c r="CG178" s="323"/>
      <c r="CH178" s="323"/>
      <c r="CI178" s="323"/>
      <c r="CJ178" s="323"/>
      <c r="CK178" s="323"/>
      <c r="CL178" s="323"/>
      <c r="CM178" s="323"/>
      <c r="CN178" s="323"/>
      <c r="CO178" s="323"/>
      <c r="CP178" s="323"/>
    </row>
    <row r="179" spans="28:94" hidden="1" x14ac:dyDescent="0.25">
      <c r="AB179" s="263"/>
      <c r="BG179" s="318"/>
      <c r="BH179" s="319"/>
      <c r="BI179" s="319" t="s">
        <v>571</v>
      </c>
      <c r="BJ179" s="368" t="e">
        <f>BJ71*(0.07*BJ70^0.8)</f>
        <v>#VALUE!</v>
      </c>
      <c r="BK179" s="321"/>
      <c r="BL179" s="321"/>
      <c r="BM179" s="321"/>
      <c r="BN179" s="354"/>
      <c r="BO179" s="354"/>
      <c r="BP179" s="363"/>
      <c r="BQ179" s="354"/>
      <c r="BR179" s="354"/>
      <c r="BS179" s="363"/>
      <c r="BT179" s="363"/>
      <c r="BU179" s="363"/>
      <c r="BV179" s="363"/>
      <c r="BW179" s="363"/>
      <c r="BX179" s="363"/>
      <c r="BY179" s="363"/>
      <c r="BZ179" s="363"/>
      <c r="CA179" s="363"/>
      <c r="CB179" s="363"/>
      <c r="CC179" s="323"/>
      <c r="CD179" s="323"/>
      <c r="CE179" s="323"/>
      <c r="CF179" s="323"/>
      <c r="CG179" s="323"/>
      <c r="CH179" s="323"/>
      <c r="CI179" s="323"/>
      <c r="CJ179" s="323"/>
      <c r="CK179" s="323"/>
      <c r="CL179" s="323"/>
      <c r="CM179" s="323"/>
      <c r="CN179" s="323"/>
      <c r="CO179" s="323"/>
      <c r="CP179" s="323"/>
    </row>
    <row r="180" spans="28:94" hidden="1" x14ac:dyDescent="0.25">
      <c r="AB180" s="263"/>
      <c r="BG180" s="318"/>
      <c r="BH180" s="319"/>
      <c r="BI180" s="319" t="s">
        <v>572</v>
      </c>
      <c r="BJ180" s="352" t="e">
        <f>BJ179+BJ178</f>
        <v>#VALUE!</v>
      </c>
      <c r="BK180" s="321"/>
      <c r="BL180" s="321"/>
      <c r="BM180" s="321"/>
      <c r="BN180" s="354"/>
      <c r="BO180" s="354"/>
      <c r="BP180" s="363"/>
      <c r="BQ180" s="354"/>
      <c r="BR180" s="354"/>
      <c r="BS180" s="363"/>
      <c r="BT180" s="363"/>
      <c r="BU180" s="363"/>
      <c r="BV180" s="363"/>
      <c r="BW180" s="363"/>
      <c r="BX180" s="363"/>
      <c r="BY180" s="363"/>
      <c r="BZ180" s="363"/>
      <c r="CA180" s="363"/>
      <c r="CB180" s="363"/>
      <c r="CC180" s="323"/>
      <c r="CD180" s="323"/>
      <c r="CE180" s="323"/>
      <c r="CF180" s="323"/>
      <c r="CG180" s="323"/>
      <c r="CH180" s="323"/>
      <c r="CI180" s="323"/>
      <c r="CJ180" s="323"/>
      <c r="CK180" s="323"/>
      <c r="CL180" s="323"/>
      <c r="CM180" s="323"/>
      <c r="CN180" s="323"/>
      <c r="CO180" s="323"/>
      <c r="CP180" s="323"/>
    </row>
    <row r="181" spans="28:94" hidden="1" x14ac:dyDescent="0.25">
      <c r="AB181" s="263"/>
      <c r="BG181" s="318"/>
      <c r="BH181" s="319"/>
      <c r="BI181" s="319" t="s">
        <v>439</v>
      </c>
      <c r="BJ181" s="321"/>
      <c r="BK181" s="321"/>
      <c r="BL181" s="321"/>
      <c r="BM181" s="321"/>
      <c r="BN181" s="354"/>
      <c r="BO181" s="354"/>
      <c r="BP181" s="363"/>
      <c r="BQ181" s="354"/>
      <c r="BR181" s="354"/>
      <c r="BS181" s="363"/>
      <c r="BT181" s="363"/>
      <c r="BU181" s="363"/>
      <c r="BV181" s="363"/>
      <c r="BW181" s="363"/>
      <c r="BX181" s="363"/>
      <c r="BY181" s="363"/>
      <c r="BZ181" s="363"/>
      <c r="CA181" s="363"/>
      <c r="CB181" s="363"/>
      <c r="CC181" s="323"/>
      <c r="CD181" s="323"/>
      <c r="CE181" s="323"/>
      <c r="CF181" s="323"/>
      <c r="CG181" s="323"/>
      <c r="CH181" s="323"/>
      <c r="CI181" s="323"/>
      <c r="CJ181" s="323"/>
      <c r="CK181" s="323"/>
      <c r="CL181" s="323"/>
      <c r="CM181" s="323"/>
      <c r="CN181" s="323"/>
      <c r="CO181" s="323"/>
      <c r="CP181" s="323"/>
    </row>
    <row r="182" spans="28:94" hidden="1" x14ac:dyDescent="0.25">
      <c r="BG182" s="318"/>
      <c r="BH182" s="319"/>
      <c r="BI182" s="320" t="s">
        <v>573</v>
      </c>
      <c r="BJ182" s="369" t="e">
        <f>BJ180/BN50</f>
        <v>#VALUE!</v>
      </c>
      <c r="BK182" s="318"/>
      <c r="BL182" s="321"/>
      <c r="BM182" s="321"/>
      <c r="BN182" s="354"/>
      <c r="BO182" s="354"/>
      <c r="BP182" s="363"/>
      <c r="BQ182" s="354"/>
      <c r="BR182" s="354"/>
      <c r="BS182" s="363"/>
      <c r="BT182" s="363"/>
      <c r="BU182" s="363"/>
      <c r="BV182" s="363"/>
      <c r="BW182" s="363"/>
      <c r="BX182" s="363"/>
      <c r="BY182" s="363"/>
      <c r="BZ182" s="363"/>
      <c r="CA182" s="363"/>
      <c r="CB182" s="363"/>
      <c r="CC182" s="323"/>
      <c r="CD182" s="323"/>
      <c r="CE182" s="323"/>
      <c r="CF182" s="323"/>
      <c r="CG182" s="323"/>
      <c r="CH182" s="323"/>
      <c r="CI182" s="323"/>
      <c r="CJ182" s="323"/>
      <c r="CK182" s="323"/>
      <c r="CL182" s="323"/>
      <c r="CM182" s="323"/>
      <c r="CN182" s="323"/>
      <c r="CO182" s="323"/>
      <c r="CP182" s="323"/>
    </row>
    <row r="183" spans="28:94" hidden="1" x14ac:dyDescent="0.25">
      <c r="BG183" s="318"/>
      <c r="BH183" s="319"/>
      <c r="BI183" s="319"/>
      <c r="BJ183" s="321"/>
      <c r="BK183" s="321"/>
      <c r="BL183" s="321"/>
      <c r="BM183" s="321"/>
      <c r="BN183" s="354"/>
      <c r="BO183" s="354"/>
      <c r="BP183" s="363"/>
      <c r="BQ183" s="354"/>
      <c r="BR183" s="354"/>
      <c r="BS183" s="363"/>
      <c r="BT183" s="363"/>
      <c r="BU183" s="363"/>
      <c r="BV183" s="363"/>
      <c r="BW183" s="363"/>
      <c r="BX183" s="363"/>
      <c r="BY183" s="363"/>
      <c r="BZ183" s="363"/>
      <c r="CA183" s="363"/>
      <c r="CB183" s="363"/>
      <c r="CC183" s="323"/>
      <c r="CD183" s="323"/>
      <c r="CE183" s="323"/>
      <c r="CF183" s="323"/>
      <c r="CG183" s="323"/>
      <c r="CH183" s="323"/>
      <c r="CI183" s="323"/>
      <c r="CJ183" s="323"/>
      <c r="CK183" s="323"/>
      <c r="CL183" s="323"/>
      <c r="CM183" s="323"/>
      <c r="CN183" s="323"/>
      <c r="CO183" s="323"/>
      <c r="CP183" s="323"/>
    </row>
    <row r="184" spans="28:94" hidden="1" x14ac:dyDescent="0.25">
      <c r="BG184" s="318"/>
      <c r="BH184" s="319" t="s">
        <v>574</v>
      </c>
      <c r="BI184" s="319" t="s">
        <v>575</v>
      </c>
      <c r="BJ184" s="367" t="e">
        <f>C8*3.27/1000</f>
        <v>#VALUE!</v>
      </c>
      <c r="BK184" s="321"/>
      <c r="BL184" s="321"/>
      <c r="BM184" s="321"/>
      <c r="BN184" s="354"/>
      <c r="BO184" s="354"/>
      <c r="BP184" s="363"/>
      <c r="BQ184" s="354"/>
      <c r="BR184" s="354"/>
      <c r="BS184" s="363"/>
      <c r="BT184" s="363"/>
      <c r="BU184" s="363"/>
      <c r="BV184" s="363"/>
      <c r="BW184" s="363"/>
      <c r="BX184" s="363"/>
      <c r="BY184" s="363"/>
      <c r="BZ184" s="363"/>
      <c r="CA184" s="363"/>
      <c r="CB184" s="363"/>
      <c r="CC184" s="323"/>
      <c r="CD184" s="323"/>
      <c r="CE184" s="323"/>
      <c r="CF184" s="323"/>
      <c r="CG184" s="323"/>
      <c r="CH184" s="323"/>
      <c r="CI184" s="323"/>
      <c r="CJ184" s="323"/>
      <c r="CK184" s="323"/>
      <c r="CL184" s="323"/>
      <c r="CM184" s="323"/>
      <c r="CN184" s="323"/>
      <c r="CO184" s="323"/>
      <c r="CP184" s="323"/>
    </row>
    <row r="185" spans="28:94" hidden="1" x14ac:dyDescent="0.25">
      <c r="BG185" s="318"/>
      <c r="BH185" s="319"/>
      <c r="BI185" s="319" t="s">
        <v>576</v>
      </c>
      <c r="BJ185" s="367" t="e">
        <f>BJ71*(0.0035*BJ70^0.41)</f>
        <v>#VALUE!</v>
      </c>
      <c r="BK185" s="321"/>
      <c r="BL185" s="321"/>
      <c r="BM185" s="321"/>
      <c r="BN185" s="354"/>
      <c r="BO185" s="354"/>
      <c r="BP185" s="363"/>
      <c r="BQ185" s="354"/>
      <c r="BR185" s="354"/>
      <c r="BS185" s="363"/>
      <c r="BT185" s="363"/>
      <c r="BU185" s="363"/>
      <c r="BV185" s="363"/>
      <c r="BW185" s="363"/>
      <c r="BX185" s="363"/>
      <c r="BY185" s="363"/>
      <c r="BZ185" s="363"/>
      <c r="CA185" s="363"/>
      <c r="CB185" s="363"/>
      <c r="CC185" s="323"/>
      <c r="CD185" s="323"/>
      <c r="CE185" s="323"/>
      <c r="CF185" s="323"/>
      <c r="CG185" s="323"/>
      <c r="CH185" s="323"/>
      <c r="CI185" s="323"/>
      <c r="CJ185" s="323"/>
      <c r="CK185" s="323"/>
      <c r="CL185" s="323"/>
      <c r="CM185" s="323"/>
      <c r="CN185" s="323"/>
      <c r="CO185" s="323"/>
      <c r="CP185" s="323"/>
    </row>
    <row r="186" spans="28:94" hidden="1" x14ac:dyDescent="0.25">
      <c r="BG186" s="318"/>
      <c r="BH186" s="319"/>
      <c r="BI186" s="319" t="s">
        <v>577</v>
      </c>
      <c r="BJ186" s="367" t="e">
        <f>BJ185+BJ184</f>
        <v>#VALUE!</v>
      </c>
      <c r="BK186" s="321"/>
      <c r="BL186" s="321"/>
      <c r="BM186" s="321"/>
      <c r="BN186" s="354"/>
      <c r="BO186" s="354"/>
      <c r="BP186" s="363"/>
      <c r="BQ186" s="354"/>
      <c r="BR186" s="354"/>
      <c r="BS186" s="363"/>
      <c r="BT186" s="363"/>
      <c r="BU186" s="363"/>
      <c r="BV186" s="363"/>
      <c r="BW186" s="363"/>
      <c r="BX186" s="363"/>
      <c r="BY186" s="363"/>
      <c r="BZ186" s="363"/>
      <c r="CA186" s="363"/>
      <c r="CB186" s="363"/>
      <c r="CC186" s="323"/>
      <c r="CD186" s="323"/>
      <c r="CE186" s="323"/>
      <c r="CF186" s="323"/>
      <c r="CG186" s="323"/>
      <c r="CH186" s="323"/>
      <c r="CI186" s="323"/>
      <c r="CJ186" s="323"/>
      <c r="CK186" s="323"/>
      <c r="CL186" s="323"/>
      <c r="CM186" s="323"/>
      <c r="CN186" s="323"/>
      <c r="CO186" s="323"/>
      <c r="CP186" s="323"/>
    </row>
    <row r="187" spans="28:94" hidden="1" x14ac:dyDescent="0.25">
      <c r="BG187" s="318"/>
      <c r="BH187" s="319"/>
      <c r="BI187" s="319" t="s">
        <v>439</v>
      </c>
      <c r="BJ187" s="321"/>
      <c r="BK187" s="321"/>
      <c r="BL187" s="321"/>
      <c r="BM187" s="321"/>
      <c r="BN187" s="354"/>
      <c r="BO187" s="354"/>
      <c r="BP187" s="363"/>
      <c r="BQ187" s="354"/>
      <c r="BR187" s="354"/>
      <c r="BS187" s="363"/>
      <c r="BT187" s="363"/>
      <c r="BU187" s="363"/>
      <c r="BV187" s="363"/>
      <c r="BW187" s="363"/>
      <c r="BX187" s="363"/>
      <c r="BY187" s="363"/>
      <c r="BZ187" s="363"/>
      <c r="CA187" s="363"/>
      <c r="CB187" s="363"/>
      <c r="CC187" s="323"/>
      <c r="CD187" s="323"/>
      <c r="CE187" s="323"/>
      <c r="CF187" s="323"/>
      <c r="CG187" s="323"/>
      <c r="CH187" s="323"/>
      <c r="CI187" s="323"/>
      <c r="CJ187" s="323"/>
      <c r="CK187" s="323"/>
      <c r="CL187" s="323"/>
      <c r="CM187" s="323"/>
      <c r="CN187" s="323"/>
      <c r="CO187" s="323"/>
      <c r="CP187" s="323"/>
    </row>
    <row r="188" spans="28:94" hidden="1" x14ac:dyDescent="0.25">
      <c r="BG188" s="318"/>
      <c r="BH188" s="319"/>
      <c r="BI188" s="320" t="s">
        <v>578</v>
      </c>
      <c r="BJ188" s="366" t="e">
        <f>BJ186/BN51</f>
        <v>#VALUE!</v>
      </c>
      <c r="BK188" s="318"/>
      <c r="BL188" s="321"/>
      <c r="BM188" s="321"/>
      <c r="BN188" s="354"/>
      <c r="BO188" s="354"/>
      <c r="BP188" s="363"/>
      <c r="BQ188" s="354"/>
      <c r="BR188" s="354"/>
      <c r="BS188" s="363"/>
      <c r="BT188" s="363"/>
      <c r="BU188" s="363"/>
      <c r="BV188" s="363"/>
      <c r="BW188" s="363"/>
      <c r="BX188" s="363"/>
      <c r="BY188" s="363"/>
      <c r="BZ188" s="363"/>
      <c r="CA188" s="363"/>
      <c r="CB188" s="363"/>
      <c r="CC188" s="323"/>
      <c r="CD188" s="323"/>
      <c r="CE188" s="323"/>
      <c r="CF188" s="323"/>
      <c r="CG188" s="323"/>
      <c r="CH188" s="323"/>
      <c r="CI188" s="323"/>
      <c r="CJ188" s="323"/>
      <c r="CK188" s="323"/>
      <c r="CL188" s="323"/>
      <c r="CM188" s="323"/>
      <c r="CN188" s="323"/>
      <c r="CO188" s="323"/>
      <c r="CP188" s="323"/>
    </row>
    <row r="189" spans="28:94" hidden="1" x14ac:dyDescent="0.25">
      <c r="BG189" s="318"/>
      <c r="BH189" s="319"/>
      <c r="BI189" s="319"/>
      <c r="BJ189" s="321"/>
      <c r="BK189" s="321"/>
      <c r="BL189" s="321"/>
      <c r="BM189" s="321"/>
      <c r="BN189" s="354"/>
      <c r="BO189" s="354"/>
      <c r="BP189" s="363"/>
      <c r="BQ189" s="354"/>
      <c r="BR189" s="354"/>
      <c r="BS189" s="363"/>
      <c r="BT189" s="363"/>
      <c r="BU189" s="363"/>
      <c r="BV189" s="363"/>
      <c r="BW189" s="363"/>
      <c r="BX189" s="363"/>
      <c r="BY189" s="363"/>
      <c r="BZ189" s="363"/>
      <c r="CA189" s="363"/>
      <c r="CB189" s="363"/>
      <c r="CC189" s="323"/>
      <c r="CD189" s="323"/>
      <c r="CE189" s="323"/>
      <c r="CF189" s="323"/>
      <c r="CG189" s="323"/>
      <c r="CH189" s="323"/>
      <c r="CI189" s="323"/>
      <c r="CJ189" s="323"/>
      <c r="CK189" s="323"/>
      <c r="CL189" s="323"/>
      <c r="CM189" s="323"/>
      <c r="CN189" s="323"/>
      <c r="CO189" s="323"/>
      <c r="CP189" s="323"/>
    </row>
    <row r="190" spans="28:94" hidden="1" x14ac:dyDescent="0.25">
      <c r="BG190" s="318"/>
      <c r="BH190" s="319" t="s">
        <v>579</v>
      </c>
      <c r="BI190" s="319" t="s">
        <v>580</v>
      </c>
      <c r="BJ190" s="367" t="e">
        <f>C8*3.72/1000</f>
        <v>#VALUE!</v>
      </c>
      <c r="BK190" s="321"/>
      <c r="BL190" s="321"/>
      <c r="BM190" s="321"/>
      <c r="BN190" s="354"/>
      <c r="BO190" s="354"/>
      <c r="BP190" s="363"/>
      <c r="BQ190" s="354"/>
      <c r="BR190" s="354"/>
      <c r="BS190" s="363"/>
      <c r="BT190" s="363"/>
      <c r="BU190" s="363"/>
      <c r="BV190" s="363"/>
      <c r="BW190" s="363"/>
      <c r="BX190" s="363"/>
      <c r="BY190" s="363"/>
      <c r="BZ190" s="363"/>
      <c r="CA190" s="363"/>
      <c r="CB190" s="363"/>
      <c r="CC190" s="323"/>
      <c r="CD190" s="323"/>
      <c r="CE190" s="323"/>
      <c r="CF190" s="323"/>
      <c r="CG190" s="323"/>
      <c r="CH190" s="323"/>
      <c r="CI190" s="323"/>
      <c r="CJ190" s="323"/>
      <c r="CK190" s="323"/>
      <c r="CL190" s="323"/>
      <c r="CM190" s="323"/>
      <c r="CN190" s="323"/>
      <c r="CO190" s="323"/>
      <c r="CP190" s="323"/>
    </row>
    <row r="191" spans="28:94" hidden="1" x14ac:dyDescent="0.25">
      <c r="BG191" s="318"/>
      <c r="BH191" s="319"/>
      <c r="BI191" s="319" t="s">
        <v>581</v>
      </c>
      <c r="BJ191" s="367" t="e">
        <f>BJ71*(1.07*BJ70^-0.07)</f>
        <v>#VALUE!</v>
      </c>
      <c r="BK191" s="321"/>
      <c r="BL191" s="321"/>
      <c r="BM191" s="321"/>
      <c r="BN191" s="354"/>
      <c r="BO191" s="354"/>
      <c r="BP191" s="363"/>
      <c r="BQ191" s="354"/>
      <c r="BR191" s="354"/>
      <c r="BS191" s="363"/>
      <c r="BT191" s="363"/>
      <c r="BU191" s="363"/>
      <c r="BV191" s="363"/>
      <c r="BW191" s="363"/>
      <c r="BX191" s="363"/>
      <c r="BY191" s="363"/>
      <c r="BZ191" s="363"/>
      <c r="CA191" s="363"/>
      <c r="CB191" s="363"/>
      <c r="CC191" s="323"/>
      <c r="CD191" s="323"/>
      <c r="CE191" s="323"/>
      <c r="CF191" s="323"/>
      <c r="CG191" s="323"/>
      <c r="CH191" s="323"/>
      <c r="CI191" s="323"/>
      <c r="CJ191" s="323"/>
      <c r="CK191" s="323"/>
      <c r="CL191" s="323"/>
      <c r="CM191" s="323"/>
      <c r="CN191" s="323"/>
      <c r="CO191" s="323"/>
      <c r="CP191" s="323"/>
    </row>
    <row r="192" spans="28:94" hidden="1" x14ac:dyDescent="0.25">
      <c r="BG192" s="318"/>
      <c r="BH192" s="319"/>
      <c r="BI192" s="319" t="s">
        <v>582</v>
      </c>
      <c r="BJ192" s="367" t="e">
        <f>BJ191+BJ190</f>
        <v>#VALUE!</v>
      </c>
      <c r="BK192" s="321"/>
      <c r="BL192" s="321"/>
      <c r="BM192" s="321"/>
      <c r="BN192" s="354"/>
      <c r="BO192" s="354"/>
      <c r="BP192" s="363"/>
      <c r="BQ192" s="354"/>
      <c r="BR192" s="354"/>
      <c r="BS192" s="363"/>
      <c r="BT192" s="363"/>
      <c r="BU192" s="363"/>
      <c r="BV192" s="363"/>
      <c r="BW192" s="363"/>
      <c r="BX192" s="363"/>
      <c r="BY192" s="363"/>
      <c r="BZ192" s="363"/>
      <c r="CA192" s="363"/>
      <c r="CB192" s="363"/>
      <c r="CC192" s="323"/>
      <c r="CD192" s="323"/>
      <c r="CE192" s="323"/>
      <c r="CF192" s="323"/>
      <c r="CG192" s="323"/>
      <c r="CH192" s="323"/>
      <c r="CI192" s="323"/>
      <c r="CJ192" s="323"/>
      <c r="CK192" s="323"/>
      <c r="CL192" s="323"/>
      <c r="CM192" s="323"/>
      <c r="CN192" s="323"/>
      <c r="CO192" s="323"/>
      <c r="CP192" s="323"/>
    </row>
    <row r="193" spans="59:94" hidden="1" x14ac:dyDescent="0.25">
      <c r="BG193" s="318"/>
      <c r="BH193" s="319"/>
      <c r="BI193" s="319" t="s">
        <v>439</v>
      </c>
      <c r="BJ193" s="321"/>
      <c r="BK193" s="321"/>
      <c r="BL193" s="321"/>
      <c r="BM193" s="321"/>
      <c r="BN193" s="354"/>
      <c r="BO193" s="354"/>
      <c r="BP193" s="363"/>
      <c r="BQ193" s="354"/>
      <c r="BR193" s="354"/>
      <c r="BS193" s="363"/>
      <c r="BT193" s="363"/>
      <c r="BU193" s="363"/>
      <c r="BV193" s="363"/>
      <c r="BW193" s="363"/>
      <c r="BX193" s="363"/>
      <c r="BY193" s="363"/>
      <c r="BZ193" s="363"/>
      <c r="CA193" s="363"/>
      <c r="CB193" s="363"/>
      <c r="CC193" s="323"/>
      <c r="CD193" s="323"/>
      <c r="CE193" s="323"/>
      <c r="CF193" s="323"/>
      <c r="CG193" s="323"/>
      <c r="CH193" s="323"/>
      <c r="CI193" s="323"/>
      <c r="CJ193" s="323"/>
      <c r="CK193" s="323"/>
      <c r="CL193" s="323"/>
      <c r="CM193" s="323"/>
      <c r="CN193" s="323"/>
      <c r="CO193" s="323"/>
      <c r="CP193" s="323"/>
    </row>
    <row r="194" spans="59:94" hidden="1" x14ac:dyDescent="0.25">
      <c r="BG194" s="318"/>
      <c r="BH194" s="319"/>
      <c r="BI194" s="320" t="s">
        <v>583</v>
      </c>
      <c r="BJ194" s="366" t="e">
        <f>BJ192/BN52</f>
        <v>#VALUE!</v>
      </c>
      <c r="BK194" s="321"/>
      <c r="BL194" s="321"/>
      <c r="BM194" s="321"/>
      <c r="BN194" s="354"/>
      <c r="BO194" s="354"/>
      <c r="BP194" s="363"/>
      <c r="BQ194" s="354"/>
      <c r="BR194" s="354"/>
      <c r="BS194" s="363"/>
      <c r="BT194" s="363"/>
      <c r="BU194" s="363"/>
      <c r="BV194" s="363"/>
      <c r="BW194" s="363"/>
      <c r="BX194" s="363"/>
      <c r="BY194" s="363"/>
      <c r="BZ194" s="363"/>
      <c r="CA194" s="363"/>
      <c r="CB194" s="363"/>
      <c r="CC194" s="323"/>
      <c r="CD194" s="323"/>
      <c r="CE194" s="323"/>
      <c r="CF194" s="323"/>
      <c r="CG194" s="323"/>
      <c r="CH194" s="323"/>
      <c r="CI194" s="323"/>
      <c r="CJ194" s="323"/>
      <c r="CK194" s="323"/>
      <c r="CL194" s="323"/>
      <c r="CM194" s="323"/>
      <c r="CN194" s="323"/>
      <c r="CO194" s="323"/>
      <c r="CP194" s="323"/>
    </row>
    <row r="195" spans="59:94" hidden="1" x14ac:dyDescent="0.25">
      <c r="BG195" s="318"/>
      <c r="BH195" s="319"/>
      <c r="BI195" s="319"/>
      <c r="BJ195" s="321"/>
      <c r="BK195" s="321"/>
      <c r="BL195" s="321"/>
      <c r="BM195" s="321"/>
      <c r="BN195" s="354"/>
      <c r="BO195" s="354"/>
      <c r="BP195" s="363"/>
      <c r="BQ195" s="354"/>
      <c r="BR195" s="354"/>
      <c r="BS195" s="363"/>
      <c r="BT195" s="363"/>
      <c r="BU195" s="363"/>
      <c r="BV195" s="363"/>
      <c r="BW195" s="363"/>
      <c r="BX195" s="363"/>
      <c r="BY195" s="363"/>
      <c r="BZ195" s="363"/>
      <c r="CA195" s="363"/>
      <c r="CB195" s="363"/>
      <c r="CC195" s="323"/>
      <c r="CD195" s="323"/>
      <c r="CE195" s="323"/>
      <c r="CF195" s="323"/>
      <c r="CG195" s="323"/>
      <c r="CH195" s="323"/>
      <c r="CI195" s="323"/>
      <c r="CJ195" s="323"/>
      <c r="CK195" s="323"/>
      <c r="CL195" s="323"/>
      <c r="CM195" s="323"/>
      <c r="CN195" s="323"/>
      <c r="CO195" s="323"/>
      <c r="CP195" s="323"/>
    </row>
    <row r="196" spans="59:94" hidden="1" x14ac:dyDescent="0.25">
      <c r="BG196" s="318"/>
      <c r="BH196" s="319" t="s">
        <v>584</v>
      </c>
      <c r="BI196" s="319" t="s">
        <v>585</v>
      </c>
      <c r="BJ196" s="367" t="e">
        <f>C8*334.4/1000</f>
        <v>#VALUE!</v>
      </c>
      <c r="BK196" s="321"/>
      <c r="BL196" s="321"/>
      <c r="BM196" s="321"/>
      <c r="BN196" s="354"/>
      <c r="BO196" s="354"/>
      <c r="BP196" s="363"/>
      <c r="BQ196" s="354"/>
      <c r="BR196" s="354"/>
      <c r="BS196" s="363"/>
      <c r="BT196" s="363"/>
      <c r="BU196" s="363"/>
      <c r="BV196" s="363"/>
      <c r="BW196" s="363"/>
      <c r="BX196" s="363"/>
      <c r="BY196" s="363"/>
      <c r="BZ196" s="363"/>
      <c r="CA196" s="363"/>
      <c r="CB196" s="363"/>
      <c r="CC196" s="323"/>
      <c r="CD196" s="323"/>
      <c r="CE196" s="323"/>
      <c r="CF196" s="323"/>
      <c r="CG196" s="323"/>
      <c r="CH196" s="323"/>
      <c r="CI196" s="323"/>
      <c r="CJ196" s="323"/>
      <c r="CK196" s="323"/>
      <c r="CL196" s="323"/>
      <c r="CM196" s="323"/>
      <c r="CN196" s="323"/>
      <c r="CO196" s="323"/>
      <c r="CP196" s="323"/>
    </row>
    <row r="197" spans="59:94" hidden="1" x14ac:dyDescent="0.25">
      <c r="BG197" s="318"/>
      <c r="BH197" s="319"/>
      <c r="BI197" s="319" t="s">
        <v>586</v>
      </c>
      <c r="BJ197" s="367" t="e">
        <f>BJ71*(1.16*BJ70^0.86)</f>
        <v>#VALUE!</v>
      </c>
      <c r="BK197" s="321"/>
      <c r="BL197" s="321"/>
      <c r="BM197" s="321"/>
      <c r="BN197" s="354"/>
      <c r="BO197" s="354"/>
      <c r="BP197" s="363"/>
      <c r="BQ197" s="354"/>
      <c r="BR197" s="354"/>
      <c r="BS197" s="363"/>
      <c r="BT197" s="363"/>
      <c r="BU197" s="363"/>
      <c r="BV197" s="363"/>
      <c r="BW197" s="363"/>
      <c r="BX197" s="363"/>
      <c r="BY197" s="363"/>
      <c r="BZ197" s="363"/>
      <c r="CA197" s="363"/>
      <c r="CB197" s="363"/>
      <c r="CC197" s="323"/>
      <c r="CD197" s="323"/>
      <c r="CE197" s="323"/>
      <c r="CF197" s="323"/>
      <c r="CG197" s="323"/>
      <c r="CH197" s="323"/>
      <c r="CI197" s="323"/>
      <c r="CJ197" s="323"/>
      <c r="CK197" s="323"/>
      <c r="CL197" s="323"/>
      <c r="CM197" s="323"/>
      <c r="CN197" s="323"/>
      <c r="CO197" s="323"/>
      <c r="CP197" s="323"/>
    </row>
    <row r="198" spans="59:94" hidden="1" x14ac:dyDescent="0.25">
      <c r="BG198" s="318"/>
      <c r="BH198" s="319"/>
      <c r="BI198" s="319" t="s">
        <v>587</v>
      </c>
      <c r="BJ198" s="367" t="e">
        <f>BJ197+BJ196</f>
        <v>#VALUE!</v>
      </c>
      <c r="BK198" s="321"/>
      <c r="BL198" s="321"/>
      <c r="BM198" s="321"/>
      <c r="BN198" s="354"/>
      <c r="BO198" s="354"/>
      <c r="BP198" s="363"/>
      <c r="BQ198" s="354"/>
      <c r="BR198" s="354"/>
      <c r="BS198" s="363"/>
      <c r="BT198" s="363"/>
      <c r="BU198" s="363"/>
      <c r="BV198" s="363"/>
      <c r="BW198" s="363"/>
      <c r="BX198" s="363"/>
      <c r="BY198" s="363"/>
      <c r="BZ198" s="363"/>
      <c r="CA198" s="363"/>
      <c r="CB198" s="363"/>
      <c r="CC198" s="323"/>
      <c r="CD198" s="323"/>
      <c r="CE198" s="323"/>
      <c r="CF198" s="323"/>
      <c r="CG198" s="323"/>
      <c r="CH198" s="323"/>
      <c r="CI198" s="323"/>
      <c r="CJ198" s="323"/>
      <c r="CK198" s="323"/>
      <c r="CL198" s="323"/>
      <c r="CM198" s="323"/>
      <c r="CN198" s="323"/>
      <c r="CO198" s="323"/>
      <c r="CP198" s="323"/>
    </row>
    <row r="199" spans="59:94" hidden="1" x14ac:dyDescent="0.25">
      <c r="BG199" s="318"/>
      <c r="BH199" s="319"/>
      <c r="BI199" s="319" t="s">
        <v>439</v>
      </c>
      <c r="BJ199" s="321"/>
      <c r="BK199" s="321"/>
      <c r="BL199" s="321"/>
      <c r="BM199" s="321"/>
      <c r="BN199" s="354"/>
      <c r="BO199" s="354"/>
      <c r="BP199" s="363"/>
      <c r="BQ199" s="354"/>
      <c r="BR199" s="354"/>
      <c r="BS199" s="363"/>
      <c r="BT199" s="363"/>
      <c r="BU199" s="363"/>
      <c r="BV199" s="363"/>
      <c r="BW199" s="363"/>
      <c r="BX199" s="363"/>
      <c r="BY199" s="363"/>
      <c r="BZ199" s="363"/>
      <c r="CA199" s="363"/>
      <c r="CB199" s="363"/>
      <c r="CC199" s="323"/>
      <c r="CD199" s="323"/>
      <c r="CE199" s="323"/>
      <c r="CF199" s="323"/>
      <c r="CG199" s="323"/>
      <c r="CH199" s="323"/>
      <c r="CI199" s="323"/>
      <c r="CJ199" s="323"/>
      <c r="CK199" s="323"/>
      <c r="CL199" s="323"/>
      <c r="CM199" s="323"/>
      <c r="CN199" s="323"/>
      <c r="CO199" s="323"/>
      <c r="CP199" s="323"/>
    </row>
    <row r="200" spans="59:94" hidden="1" x14ac:dyDescent="0.25">
      <c r="BG200" s="318"/>
      <c r="BH200" s="319"/>
      <c r="BI200" s="320" t="s">
        <v>588</v>
      </c>
      <c r="BJ200" s="365" t="e">
        <f>BJ198/BN53</f>
        <v>#VALUE!</v>
      </c>
      <c r="BK200" s="318"/>
      <c r="BL200" s="321"/>
      <c r="BM200" s="321"/>
      <c r="BN200" s="354"/>
      <c r="BO200" s="354"/>
      <c r="BP200" s="363"/>
      <c r="BQ200" s="354"/>
      <c r="BR200" s="354"/>
      <c r="BS200" s="363"/>
      <c r="BT200" s="363"/>
      <c r="BU200" s="363"/>
      <c r="BV200" s="363"/>
      <c r="BW200" s="363"/>
      <c r="BX200" s="363"/>
      <c r="BY200" s="363"/>
      <c r="BZ200" s="363"/>
      <c r="CA200" s="363"/>
      <c r="CB200" s="363"/>
      <c r="CC200" s="323"/>
      <c r="CD200" s="323"/>
      <c r="CE200" s="323"/>
      <c r="CF200" s="323"/>
      <c r="CG200" s="323"/>
      <c r="CH200" s="323"/>
      <c r="CI200" s="323"/>
      <c r="CJ200" s="323"/>
      <c r="CK200" s="323"/>
      <c r="CL200" s="323"/>
      <c r="CM200" s="323"/>
      <c r="CN200" s="323"/>
      <c r="CO200" s="323"/>
      <c r="CP200" s="323"/>
    </row>
    <row r="201" spans="59:94" hidden="1" x14ac:dyDescent="0.25">
      <c r="BG201" s="318"/>
      <c r="BH201" s="319"/>
      <c r="BI201" s="319"/>
      <c r="BJ201" s="321"/>
      <c r="BK201" s="321"/>
      <c r="BL201" s="321"/>
      <c r="BM201" s="321"/>
      <c r="BN201" s="354"/>
      <c r="BO201" s="354"/>
      <c r="BP201" s="363"/>
      <c r="BQ201" s="354"/>
      <c r="BR201" s="354"/>
      <c r="BS201" s="363"/>
      <c r="BT201" s="363"/>
      <c r="BU201" s="363"/>
      <c r="BV201" s="363"/>
      <c r="BW201" s="363"/>
      <c r="BX201" s="363"/>
      <c r="BY201" s="363"/>
      <c r="BZ201" s="363"/>
      <c r="CA201" s="363"/>
      <c r="CB201" s="363"/>
      <c r="CC201" s="323"/>
      <c r="CD201" s="323"/>
      <c r="CE201" s="323"/>
      <c r="CF201" s="323"/>
      <c r="CG201" s="323"/>
      <c r="CH201" s="323"/>
      <c r="CI201" s="323"/>
      <c r="CJ201" s="323"/>
      <c r="CK201" s="323"/>
      <c r="CL201" s="323"/>
      <c r="CM201" s="323"/>
      <c r="CN201" s="323"/>
      <c r="CO201" s="323"/>
      <c r="CP201" s="323"/>
    </row>
    <row r="202" spans="59:94" ht="30" hidden="1" x14ac:dyDescent="0.25">
      <c r="BG202" s="318"/>
      <c r="BH202" s="351" t="s">
        <v>460</v>
      </c>
      <c r="BI202" s="351"/>
      <c r="BJ202" s="352" t="str">
        <f>C8</f>
        <v/>
      </c>
      <c r="BK202" s="321"/>
      <c r="BL202" s="321"/>
      <c r="BM202" s="321"/>
      <c r="BN202" s="354"/>
      <c r="BO202" s="354"/>
      <c r="BP202" s="363"/>
      <c r="BQ202" s="354"/>
      <c r="BR202" s="354"/>
      <c r="BS202" s="363"/>
      <c r="BT202" s="363"/>
      <c r="BU202" s="363"/>
      <c r="BV202" s="363"/>
      <c r="BW202" s="363"/>
      <c r="BX202" s="363"/>
      <c r="BY202" s="363"/>
      <c r="BZ202" s="363"/>
      <c r="CA202" s="363"/>
      <c r="CB202" s="363"/>
      <c r="CC202" s="323"/>
      <c r="CD202" s="323"/>
      <c r="CE202" s="323"/>
      <c r="CF202" s="323"/>
      <c r="CG202" s="323"/>
      <c r="CH202" s="323"/>
      <c r="CI202" s="323"/>
      <c r="CJ202" s="323"/>
      <c r="CK202" s="323"/>
      <c r="CL202" s="323"/>
      <c r="CM202" s="323"/>
      <c r="CN202" s="323"/>
      <c r="CO202" s="323"/>
      <c r="CP202" s="323"/>
    </row>
    <row r="203" spans="59:94" hidden="1" x14ac:dyDescent="0.25">
      <c r="BG203" s="318"/>
      <c r="BH203" s="351" t="s">
        <v>589</v>
      </c>
      <c r="BI203" s="351"/>
      <c r="BJ203" s="368">
        <f>C9</f>
        <v>0</v>
      </c>
      <c r="BK203" s="367"/>
      <c r="BL203" s="321"/>
      <c r="BM203" s="321"/>
      <c r="BN203" s="354"/>
      <c r="BO203" s="354"/>
      <c r="BP203" s="363"/>
      <c r="BQ203" s="354"/>
      <c r="BR203" s="354"/>
      <c r="BS203" s="363"/>
      <c r="BT203" s="363"/>
      <c r="BU203" s="363"/>
      <c r="BV203" s="363"/>
      <c r="BW203" s="363"/>
      <c r="BX203" s="363"/>
      <c r="BY203" s="363"/>
      <c r="BZ203" s="363"/>
      <c r="CA203" s="363"/>
      <c r="CB203" s="363"/>
      <c r="CC203" s="323"/>
      <c r="CD203" s="323"/>
      <c r="CE203" s="323"/>
      <c r="CF203" s="323"/>
      <c r="CG203" s="323"/>
      <c r="CH203" s="323"/>
      <c r="CI203" s="323"/>
      <c r="CJ203" s="323"/>
      <c r="CK203" s="323"/>
      <c r="CL203" s="323"/>
      <c r="CM203" s="323"/>
      <c r="CN203" s="323"/>
      <c r="CO203" s="323"/>
      <c r="CP203" s="323"/>
    </row>
    <row r="204" spans="59:94" hidden="1" x14ac:dyDescent="0.25">
      <c r="BG204" s="318"/>
      <c r="BH204" s="320"/>
      <c r="BI204" s="320"/>
      <c r="BJ204" s="321"/>
      <c r="BK204" s="321"/>
      <c r="BL204" s="321"/>
      <c r="BM204" s="321"/>
      <c r="BN204" s="354"/>
      <c r="BO204" s="354"/>
      <c r="BP204" s="363"/>
      <c r="BQ204" s="354"/>
      <c r="BR204" s="354"/>
      <c r="BS204" s="363"/>
      <c r="BT204" s="363"/>
      <c r="BU204" s="363"/>
      <c r="BV204" s="363"/>
      <c r="BW204" s="363"/>
      <c r="BX204" s="363"/>
      <c r="BY204" s="363"/>
      <c r="BZ204" s="363"/>
      <c r="CA204" s="363"/>
      <c r="CB204" s="363"/>
      <c r="CC204" s="323"/>
      <c r="CD204" s="323"/>
      <c r="CE204" s="323"/>
      <c r="CF204" s="323"/>
      <c r="CG204" s="323"/>
      <c r="CH204" s="323"/>
      <c r="CI204" s="323"/>
      <c r="CJ204" s="323"/>
      <c r="CK204" s="323"/>
      <c r="CL204" s="323"/>
      <c r="CM204" s="323"/>
      <c r="CN204" s="323"/>
      <c r="CO204" s="323"/>
      <c r="CP204" s="323"/>
    </row>
    <row r="205" spans="59:94" hidden="1" x14ac:dyDescent="0.25">
      <c r="BG205" s="318"/>
      <c r="BH205" s="319"/>
      <c r="BI205" s="319"/>
      <c r="BJ205" s="321"/>
      <c r="BK205" s="321"/>
      <c r="BL205" s="321"/>
      <c r="BM205" s="321"/>
      <c r="BN205" s="354"/>
      <c r="BO205" s="354"/>
      <c r="BP205" s="363"/>
      <c r="BQ205" s="354"/>
      <c r="BR205" s="354"/>
      <c r="BS205" s="363"/>
      <c r="BT205" s="363"/>
      <c r="BU205" s="363"/>
      <c r="BV205" s="363"/>
      <c r="BW205" s="363"/>
      <c r="BX205" s="363"/>
      <c r="BY205" s="363"/>
      <c r="BZ205" s="363"/>
      <c r="CA205" s="363"/>
      <c r="CB205" s="363"/>
      <c r="CC205" s="323"/>
      <c r="CD205" s="323"/>
      <c r="CE205" s="323"/>
      <c r="CF205" s="323"/>
      <c r="CG205" s="323"/>
      <c r="CH205" s="323"/>
      <c r="CI205" s="323"/>
      <c r="CJ205" s="323"/>
      <c r="CK205" s="323"/>
      <c r="CL205" s="323"/>
      <c r="CM205" s="323"/>
      <c r="CN205" s="323"/>
      <c r="CO205" s="323"/>
      <c r="CP205" s="323"/>
    </row>
    <row r="206" spans="59:94" hidden="1" x14ac:dyDescent="0.25">
      <c r="BG206" s="318"/>
      <c r="BH206" s="319" t="s">
        <v>480</v>
      </c>
      <c r="BI206" s="319" t="s">
        <v>590</v>
      </c>
      <c r="BJ206" s="352" t="e">
        <f>313.1*BJ70^-0.1058</f>
        <v>#VALUE!</v>
      </c>
      <c r="BK206" s="352"/>
      <c r="BL206" s="321"/>
      <c r="BM206" s="321"/>
      <c r="BN206" s="354"/>
      <c r="BO206" s="354"/>
      <c r="BP206" s="363"/>
      <c r="BQ206" s="354"/>
      <c r="BR206" s="354"/>
      <c r="BS206" s="363"/>
      <c r="BT206" s="363"/>
      <c r="BU206" s="363"/>
      <c r="BV206" s="363"/>
      <c r="BW206" s="363"/>
      <c r="BX206" s="363"/>
      <c r="BY206" s="363"/>
      <c r="BZ206" s="363"/>
      <c r="CA206" s="363"/>
      <c r="CB206" s="363"/>
      <c r="CC206" s="323"/>
      <c r="CD206" s="323"/>
      <c r="CE206" s="323"/>
      <c r="CF206" s="323"/>
      <c r="CG206" s="323"/>
      <c r="CH206" s="323"/>
      <c r="CI206" s="323"/>
      <c r="CJ206" s="323"/>
      <c r="CK206" s="323"/>
      <c r="CL206" s="323"/>
      <c r="CM206" s="323"/>
      <c r="CN206" s="323"/>
      <c r="CO206" s="323"/>
      <c r="CP206" s="323"/>
    </row>
    <row r="207" spans="59:94" hidden="1" x14ac:dyDescent="0.25">
      <c r="BG207" s="318"/>
      <c r="BH207" s="319"/>
      <c r="BI207" s="319"/>
      <c r="BJ207" s="321"/>
      <c r="BK207" s="321"/>
      <c r="BL207" s="321"/>
      <c r="BM207" s="321"/>
      <c r="BN207" s="354"/>
      <c r="BO207" s="354"/>
      <c r="BP207" s="363"/>
      <c r="BQ207" s="354"/>
      <c r="BR207" s="354"/>
      <c r="BS207" s="363"/>
      <c r="BT207" s="363"/>
      <c r="BU207" s="363"/>
      <c r="BV207" s="363"/>
      <c r="BW207" s="363"/>
      <c r="BX207" s="363"/>
      <c r="BY207" s="363"/>
      <c r="BZ207" s="363"/>
      <c r="CA207" s="363"/>
      <c r="CB207" s="363"/>
      <c r="CC207" s="323"/>
      <c r="CD207" s="323"/>
      <c r="CE207" s="323"/>
      <c r="CF207" s="323"/>
      <c r="CG207" s="323"/>
      <c r="CH207" s="323"/>
      <c r="CI207" s="323"/>
      <c r="CJ207" s="323"/>
      <c r="CK207" s="323"/>
      <c r="CL207" s="323"/>
      <c r="CM207" s="323"/>
      <c r="CN207" s="323"/>
      <c r="CO207" s="323"/>
      <c r="CP207" s="323"/>
    </row>
    <row r="208" spans="59:94" hidden="1" x14ac:dyDescent="0.25">
      <c r="BG208" s="318"/>
      <c r="BH208" s="319" t="s">
        <v>591</v>
      </c>
      <c r="BI208" s="319" t="s">
        <v>590</v>
      </c>
      <c r="BJ208" s="352" t="e">
        <f>30.8*BJ70^-0.1631</f>
        <v>#VALUE!</v>
      </c>
      <c r="BK208" s="321"/>
      <c r="BL208" s="321"/>
      <c r="BM208" s="321"/>
      <c r="BN208" s="354"/>
      <c r="BO208" s="354"/>
      <c r="BP208" s="363"/>
      <c r="BQ208" s="354"/>
      <c r="BR208" s="354"/>
      <c r="BS208" s="363"/>
      <c r="BT208" s="363"/>
      <c r="BU208" s="363"/>
      <c r="BV208" s="363"/>
      <c r="BW208" s="363"/>
      <c r="BX208" s="363"/>
      <c r="BY208" s="363"/>
      <c r="BZ208" s="363"/>
      <c r="CA208" s="363"/>
      <c r="CB208" s="363"/>
      <c r="CC208" s="323"/>
      <c r="CD208" s="323"/>
      <c r="CE208" s="323"/>
      <c r="CF208" s="323"/>
      <c r="CG208" s="323"/>
      <c r="CH208" s="323"/>
      <c r="CI208" s="323"/>
      <c r="CJ208" s="323"/>
      <c r="CK208" s="323"/>
      <c r="CL208" s="323"/>
      <c r="CM208" s="323"/>
      <c r="CN208" s="323"/>
      <c r="CO208" s="323"/>
      <c r="CP208" s="323"/>
    </row>
    <row r="209" spans="59:94" hidden="1" x14ac:dyDescent="0.25">
      <c r="BG209" s="318"/>
      <c r="BH209" s="319"/>
      <c r="BI209" s="319" t="s">
        <v>211</v>
      </c>
      <c r="BJ209" s="352" t="e">
        <f>BJ208*BJ71</f>
        <v>#VALUE!</v>
      </c>
      <c r="BK209" s="321"/>
      <c r="BL209" s="321"/>
      <c r="BM209" s="321"/>
      <c r="BN209" s="354"/>
      <c r="BO209" s="354"/>
      <c r="BP209" s="363"/>
      <c r="BQ209" s="354"/>
      <c r="BR209" s="354"/>
      <c r="BS209" s="363"/>
      <c r="BT209" s="363"/>
      <c r="BU209" s="363"/>
      <c r="BV209" s="363"/>
      <c r="BW209" s="363"/>
      <c r="BX209" s="363"/>
      <c r="BY209" s="363"/>
      <c r="BZ209" s="363"/>
      <c r="CA209" s="363"/>
      <c r="CB209" s="363"/>
      <c r="CC209" s="323"/>
      <c r="CD209" s="323"/>
      <c r="CE209" s="323"/>
      <c r="CF209" s="323"/>
      <c r="CG209" s="323"/>
      <c r="CH209" s="323"/>
      <c r="CI209" s="323"/>
      <c r="CJ209" s="323"/>
      <c r="CK209" s="323"/>
      <c r="CL209" s="323"/>
      <c r="CM209" s="323"/>
      <c r="CN209" s="323"/>
      <c r="CO209" s="323"/>
      <c r="CP209" s="323"/>
    </row>
    <row r="210" spans="59:94" hidden="1" x14ac:dyDescent="0.25">
      <c r="BG210" s="318"/>
      <c r="BH210" s="319"/>
      <c r="BI210" s="319" t="s">
        <v>592</v>
      </c>
      <c r="BJ210" s="321"/>
      <c r="BK210" s="321"/>
      <c r="BL210" s="321"/>
      <c r="BM210" s="321"/>
      <c r="BN210" s="354"/>
      <c r="BO210" s="354"/>
      <c r="BP210" s="363"/>
      <c r="BQ210" s="354"/>
      <c r="BR210" s="354"/>
      <c r="BS210" s="363"/>
      <c r="BT210" s="363"/>
      <c r="BU210" s="363"/>
      <c r="BV210" s="363"/>
      <c r="BW210" s="363"/>
      <c r="BX210" s="363"/>
      <c r="BY210" s="363"/>
      <c r="BZ210" s="363"/>
      <c r="CA210" s="363"/>
      <c r="CB210" s="363"/>
      <c r="CC210" s="323"/>
      <c r="CD210" s="323"/>
      <c r="CE210" s="323"/>
      <c r="CF210" s="323"/>
      <c r="CG210" s="323"/>
      <c r="CH210" s="323"/>
      <c r="CI210" s="323"/>
      <c r="CJ210" s="323"/>
      <c r="CK210" s="323"/>
      <c r="CL210" s="323"/>
      <c r="CM210" s="323"/>
      <c r="CN210" s="323"/>
      <c r="CO210" s="323"/>
      <c r="CP210" s="323"/>
    </row>
    <row r="211" spans="59:94" hidden="1" x14ac:dyDescent="0.25">
      <c r="BG211" s="318"/>
      <c r="BH211" s="319"/>
      <c r="BI211" s="319" t="s">
        <v>593</v>
      </c>
      <c r="BJ211" s="367" t="e">
        <f>BJ209/CG39</f>
        <v>#VALUE!</v>
      </c>
      <c r="BK211" s="321"/>
      <c r="BL211" s="321"/>
      <c r="BM211" s="321"/>
      <c r="BN211" s="354"/>
      <c r="BO211" s="354"/>
      <c r="BP211" s="363"/>
      <c r="BQ211" s="354"/>
      <c r="BR211" s="354"/>
      <c r="BS211" s="363"/>
      <c r="BT211" s="363"/>
      <c r="BU211" s="363"/>
      <c r="BV211" s="363"/>
      <c r="BW211" s="363"/>
      <c r="BX211" s="363"/>
      <c r="BY211" s="363"/>
      <c r="BZ211" s="363"/>
      <c r="CA211" s="363"/>
      <c r="CB211" s="363"/>
      <c r="CC211" s="323"/>
      <c r="CD211" s="323"/>
      <c r="CE211" s="323"/>
      <c r="CF211" s="323"/>
      <c r="CG211" s="323"/>
      <c r="CH211" s="323"/>
      <c r="CI211" s="323"/>
      <c r="CJ211" s="323"/>
      <c r="CK211" s="323"/>
      <c r="CL211" s="323"/>
      <c r="CM211" s="323"/>
      <c r="CN211" s="323"/>
      <c r="CO211" s="323"/>
      <c r="CP211" s="323"/>
    </row>
    <row r="212" spans="59:94" hidden="1" x14ac:dyDescent="0.25">
      <c r="BG212" s="318"/>
      <c r="BH212" s="319"/>
      <c r="BI212" s="319"/>
      <c r="BJ212" s="321"/>
      <c r="BK212" s="321"/>
      <c r="BL212" s="321"/>
      <c r="BM212" s="321"/>
      <c r="BN212" s="354"/>
      <c r="BO212" s="354"/>
      <c r="BP212" s="363"/>
      <c r="BQ212" s="354"/>
      <c r="BR212" s="354"/>
      <c r="BS212" s="363"/>
      <c r="BT212" s="363"/>
      <c r="BU212" s="363"/>
      <c r="BV212" s="363"/>
      <c r="BW212" s="363"/>
      <c r="BX212" s="363"/>
      <c r="BY212" s="363"/>
      <c r="BZ212" s="363"/>
      <c r="CA212" s="363"/>
      <c r="CB212" s="363"/>
      <c r="CC212" s="323"/>
      <c r="CD212" s="323"/>
      <c r="CE212" s="323"/>
      <c r="CF212" s="323"/>
      <c r="CG212" s="323"/>
      <c r="CH212" s="323"/>
      <c r="CI212" s="323"/>
      <c r="CJ212" s="323"/>
      <c r="CK212" s="323"/>
      <c r="CL212" s="323"/>
      <c r="CM212" s="323"/>
      <c r="CN212" s="323"/>
      <c r="CO212" s="323"/>
      <c r="CP212" s="323"/>
    </row>
    <row r="213" spans="59:94" hidden="1" x14ac:dyDescent="0.25">
      <c r="BG213" s="318"/>
      <c r="BH213" s="319" t="s">
        <v>594</v>
      </c>
      <c r="BI213" s="319" t="s">
        <v>590</v>
      </c>
      <c r="BJ213" s="352" t="e">
        <f>3.69*BJ70^0.0556</f>
        <v>#VALUE!</v>
      </c>
      <c r="BK213" s="321"/>
      <c r="BL213" s="321"/>
      <c r="BM213" s="321"/>
      <c r="BN213" s="354"/>
      <c r="BO213" s="354"/>
      <c r="BP213" s="363"/>
      <c r="BQ213" s="354"/>
      <c r="BR213" s="354"/>
      <c r="BS213" s="363"/>
      <c r="BT213" s="363"/>
      <c r="BU213" s="363"/>
      <c r="BV213" s="363"/>
      <c r="BW213" s="363"/>
      <c r="BX213" s="363"/>
      <c r="BY213" s="363"/>
      <c r="BZ213" s="363"/>
      <c r="CA213" s="363"/>
      <c r="CB213" s="363"/>
      <c r="CC213" s="323"/>
      <c r="CD213" s="323"/>
      <c r="CE213" s="323"/>
      <c r="CF213" s="323"/>
      <c r="CG213" s="323"/>
      <c r="CH213" s="323"/>
      <c r="CI213" s="323"/>
      <c r="CJ213" s="323"/>
      <c r="CK213" s="323"/>
      <c r="CL213" s="323"/>
      <c r="CM213" s="323"/>
      <c r="CN213" s="323"/>
      <c r="CO213" s="323"/>
      <c r="CP213" s="323"/>
    </row>
    <row r="214" spans="59:94" hidden="1" x14ac:dyDescent="0.25">
      <c r="BG214" s="318"/>
      <c r="BH214" s="319"/>
      <c r="BI214" s="319" t="s">
        <v>211</v>
      </c>
      <c r="BJ214" s="352" t="e">
        <f>BJ213*BJ71</f>
        <v>#VALUE!</v>
      </c>
      <c r="BK214" s="321"/>
      <c r="BL214" s="321"/>
      <c r="BM214" s="321"/>
      <c r="BN214" s="354"/>
      <c r="BO214" s="354"/>
      <c r="BP214" s="363"/>
      <c r="BQ214" s="354"/>
      <c r="BR214" s="354"/>
      <c r="BS214" s="363"/>
      <c r="BT214" s="363"/>
      <c r="BU214" s="363"/>
      <c r="BV214" s="363"/>
      <c r="BW214" s="363"/>
      <c r="BX214" s="363"/>
      <c r="BY214" s="363"/>
      <c r="BZ214" s="363"/>
      <c r="CA214" s="363"/>
      <c r="CB214" s="363"/>
      <c r="CC214" s="323"/>
      <c r="CD214" s="323"/>
      <c r="CE214" s="323"/>
      <c r="CF214" s="323"/>
      <c r="CG214" s="323"/>
      <c r="CH214" s="323"/>
      <c r="CI214" s="323"/>
      <c r="CJ214" s="323"/>
      <c r="CK214" s="323"/>
      <c r="CL214" s="323"/>
      <c r="CM214" s="323"/>
      <c r="CN214" s="323"/>
      <c r="CO214" s="323"/>
      <c r="CP214" s="323"/>
    </row>
    <row r="215" spans="59:94" hidden="1" x14ac:dyDescent="0.25">
      <c r="BG215" s="318"/>
      <c r="BH215" s="319"/>
      <c r="BI215" s="319" t="s">
        <v>592</v>
      </c>
      <c r="BJ215" s="321"/>
      <c r="BK215" s="321"/>
      <c r="BL215" s="321"/>
      <c r="BM215" s="321"/>
      <c r="BN215" s="354"/>
      <c r="BO215" s="354"/>
      <c r="BP215" s="363"/>
      <c r="BQ215" s="354"/>
      <c r="BR215" s="354"/>
      <c r="BS215" s="363"/>
      <c r="BT215" s="363"/>
      <c r="BU215" s="363"/>
      <c r="BV215" s="363"/>
      <c r="BW215" s="363"/>
      <c r="BX215" s="363"/>
      <c r="BY215" s="363"/>
      <c r="BZ215" s="363"/>
      <c r="CA215" s="363"/>
      <c r="CB215" s="363"/>
      <c r="CC215" s="323"/>
      <c r="CD215" s="323"/>
      <c r="CE215" s="323"/>
      <c r="CF215" s="323"/>
      <c r="CG215" s="323"/>
      <c r="CH215" s="323"/>
      <c r="CI215" s="323"/>
      <c r="CJ215" s="323"/>
      <c r="CK215" s="323"/>
      <c r="CL215" s="323"/>
      <c r="CM215" s="323"/>
      <c r="CN215" s="323"/>
      <c r="CO215" s="323"/>
      <c r="CP215" s="323"/>
    </row>
    <row r="216" spans="59:94" hidden="1" x14ac:dyDescent="0.25">
      <c r="BG216" s="318"/>
      <c r="BH216" s="319"/>
      <c r="BI216" s="319" t="s">
        <v>595</v>
      </c>
      <c r="BJ216" s="367" t="e">
        <f>BJ214/CG41</f>
        <v>#VALUE!</v>
      </c>
      <c r="BK216" s="321"/>
      <c r="BL216" s="321"/>
      <c r="BM216" s="321"/>
      <c r="BN216" s="354"/>
      <c r="BO216" s="354"/>
      <c r="BP216" s="363"/>
      <c r="BQ216" s="354"/>
      <c r="BR216" s="354"/>
      <c r="BS216" s="363"/>
      <c r="BT216" s="363"/>
      <c r="BU216" s="363"/>
      <c r="BV216" s="363"/>
      <c r="BW216" s="363"/>
      <c r="BX216" s="363"/>
      <c r="BY216" s="363"/>
      <c r="BZ216" s="363"/>
      <c r="CA216" s="363"/>
      <c r="CB216" s="363"/>
      <c r="CC216" s="323"/>
      <c r="CD216" s="323"/>
      <c r="CE216" s="323"/>
      <c r="CF216" s="323"/>
      <c r="CG216" s="323"/>
      <c r="CH216" s="323"/>
      <c r="CI216" s="323"/>
      <c r="CJ216" s="323"/>
      <c r="CK216" s="323"/>
      <c r="CL216" s="323"/>
      <c r="CM216" s="323"/>
      <c r="CN216" s="323"/>
      <c r="CO216" s="323"/>
      <c r="CP216" s="323"/>
    </row>
    <row r="217" spans="59:94" hidden="1" x14ac:dyDescent="0.25">
      <c r="BG217" s="318"/>
      <c r="BH217" s="319"/>
      <c r="BI217" s="319"/>
      <c r="BJ217" s="321"/>
      <c r="BK217" s="321"/>
      <c r="BL217" s="321"/>
      <c r="BM217" s="321"/>
      <c r="BN217" s="354"/>
      <c r="BO217" s="354"/>
      <c r="BP217" s="363"/>
      <c r="BQ217" s="354"/>
      <c r="BR217" s="354"/>
      <c r="BS217" s="363"/>
      <c r="BT217" s="363"/>
      <c r="BU217" s="363"/>
      <c r="BV217" s="363"/>
      <c r="BW217" s="363"/>
      <c r="BX217" s="363"/>
      <c r="BY217" s="363"/>
      <c r="BZ217" s="363"/>
      <c r="CA217" s="363"/>
      <c r="CB217" s="363"/>
      <c r="CC217" s="323"/>
      <c r="CD217" s="323"/>
      <c r="CE217" s="323"/>
      <c r="CF217" s="323"/>
      <c r="CG217" s="323"/>
      <c r="CH217" s="323"/>
      <c r="CI217" s="323"/>
      <c r="CJ217" s="323"/>
      <c r="CK217" s="323"/>
      <c r="CL217" s="323"/>
      <c r="CM217" s="323"/>
      <c r="CN217" s="323"/>
      <c r="CO217" s="323"/>
      <c r="CP217" s="323"/>
    </row>
    <row r="218" spans="59:94" hidden="1" x14ac:dyDescent="0.25">
      <c r="BG218" s="318"/>
      <c r="BH218" s="319" t="s">
        <v>596</v>
      </c>
      <c r="BI218" s="319" t="s">
        <v>590</v>
      </c>
      <c r="BJ218" s="352" t="e">
        <f>9.56*BJ70^-0.0631</f>
        <v>#VALUE!</v>
      </c>
      <c r="BK218" s="321"/>
      <c r="BL218" s="321"/>
      <c r="BM218" s="321"/>
      <c r="BN218" s="354"/>
      <c r="BO218" s="354"/>
      <c r="BP218" s="363"/>
      <c r="BQ218" s="354"/>
      <c r="BR218" s="354"/>
      <c r="BS218" s="363"/>
      <c r="BT218" s="363"/>
      <c r="BU218" s="363"/>
      <c r="BV218" s="363"/>
      <c r="BW218" s="363"/>
      <c r="BX218" s="363"/>
      <c r="BY218" s="363"/>
      <c r="BZ218" s="363"/>
      <c r="CA218" s="363"/>
      <c r="CB218" s="363"/>
      <c r="CC218" s="323"/>
      <c r="CD218" s="323"/>
      <c r="CE218" s="323"/>
      <c r="CF218" s="323"/>
      <c r="CG218" s="323"/>
      <c r="CH218" s="323"/>
      <c r="CI218" s="323"/>
      <c r="CJ218" s="323"/>
      <c r="CK218" s="323"/>
      <c r="CL218" s="323"/>
      <c r="CM218" s="323"/>
      <c r="CN218" s="323"/>
      <c r="CO218" s="323"/>
      <c r="CP218" s="323"/>
    </row>
    <row r="219" spans="59:94" hidden="1" x14ac:dyDescent="0.25">
      <c r="BG219" s="318"/>
      <c r="BH219" s="319"/>
      <c r="BI219" s="319" t="s">
        <v>211</v>
      </c>
      <c r="BJ219" s="352" t="e">
        <f>BJ218*BJ71</f>
        <v>#VALUE!</v>
      </c>
      <c r="BK219" s="321"/>
      <c r="BL219" s="321"/>
      <c r="BM219" s="321"/>
      <c r="BN219" s="354"/>
      <c r="BO219" s="354"/>
      <c r="BP219" s="363"/>
      <c r="BQ219" s="354"/>
      <c r="BR219" s="354"/>
      <c r="BS219" s="363"/>
      <c r="BT219" s="363"/>
      <c r="BU219" s="363"/>
      <c r="BV219" s="363"/>
      <c r="BW219" s="363"/>
      <c r="BX219" s="363"/>
      <c r="BY219" s="363"/>
      <c r="BZ219" s="363"/>
      <c r="CA219" s="363"/>
      <c r="CB219" s="363"/>
      <c r="CC219" s="323"/>
      <c r="CD219" s="323"/>
      <c r="CE219" s="323"/>
      <c r="CF219" s="323"/>
      <c r="CG219" s="323"/>
      <c r="CH219" s="323"/>
      <c r="CI219" s="323"/>
      <c r="CJ219" s="323"/>
      <c r="CK219" s="323"/>
      <c r="CL219" s="323"/>
      <c r="CM219" s="323"/>
      <c r="CN219" s="323"/>
      <c r="CO219" s="323"/>
      <c r="CP219" s="323"/>
    </row>
    <row r="220" spans="59:94" hidden="1" x14ac:dyDescent="0.25">
      <c r="BG220" s="318"/>
      <c r="BH220" s="319"/>
      <c r="BI220" s="319" t="s">
        <v>592</v>
      </c>
      <c r="BJ220" s="321"/>
      <c r="BK220" s="321"/>
      <c r="BL220" s="321"/>
      <c r="BM220" s="321"/>
      <c r="BN220" s="354"/>
      <c r="BO220" s="354"/>
      <c r="BP220" s="363"/>
      <c r="BQ220" s="354"/>
      <c r="BR220" s="354"/>
      <c r="BS220" s="363"/>
      <c r="BT220" s="363"/>
      <c r="BU220" s="363"/>
      <c r="BV220" s="363"/>
      <c r="BW220" s="363"/>
      <c r="BX220" s="363"/>
      <c r="BY220" s="363"/>
      <c r="BZ220" s="363"/>
      <c r="CA220" s="363"/>
      <c r="CB220" s="363"/>
      <c r="CC220" s="323"/>
      <c r="CD220" s="323"/>
      <c r="CE220" s="323"/>
      <c r="CF220" s="323"/>
      <c r="CG220" s="323"/>
      <c r="CH220" s="323"/>
      <c r="CI220" s="323"/>
      <c r="CJ220" s="323"/>
      <c r="CK220" s="323"/>
      <c r="CL220" s="323"/>
      <c r="CM220" s="323"/>
      <c r="CN220" s="323"/>
      <c r="CO220" s="323"/>
      <c r="CP220" s="323"/>
    </row>
    <row r="221" spans="59:94" hidden="1" x14ac:dyDescent="0.25">
      <c r="BG221" s="318"/>
      <c r="BH221" s="319"/>
      <c r="BI221" s="319" t="s">
        <v>597</v>
      </c>
      <c r="BJ221" s="367" t="e">
        <f>BJ219/CG43</f>
        <v>#VALUE!</v>
      </c>
      <c r="BK221" s="367"/>
      <c r="BL221" s="321"/>
      <c r="BM221" s="321"/>
      <c r="BN221" s="354"/>
      <c r="BO221" s="354"/>
      <c r="BP221" s="363"/>
      <c r="BQ221" s="354"/>
      <c r="BR221" s="354"/>
      <c r="BS221" s="363"/>
      <c r="BT221" s="363"/>
      <c r="BU221" s="363"/>
      <c r="BV221" s="363"/>
      <c r="BW221" s="363"/>
      <c r="BX221" s="363"/>
      <c r="BY221" s="363"/>
      <c r="BZ221" s="363"/>
      <c r="CA221" s="363"/>
      <c r="CB221" s="363"/>
      <c r="CC221" s="323"/>
      <c r="CD221" s="323"/>
      <c r="CE221" s="323"/>
      <c r="CF221" s="323"/>
      <c r="CG221" s="323"/>
      <c r="CH221" s="323"/>
      <c r="CI221" s="323"/>
      <c r="CJ221" s="323"/>
      <c r="CK221" s="323"/>
      <c r="CL221" s="323"/>
      <c r="CM221" s="323"/>
      <c r="CN221" s="323"/>
      <c r="CO221" s="323"/>
      <c r="CP221" s="323"/>
    </row>
    <row r="222" spans="59:94" hidden="1" x14ac:dyDescent="0.25">
      <c r="BG222" s="318"/>
      <c r="BH222" s="319"/>
      <c r="BI222" s="319"/>
      <c r="BJ222" s="321"/>
      <c r="BK222" s="321"/>
      <c r="BL222" s="321"/>
      <c r="BM222" s="321"/>
      <c r="BN222" s="354"/>
      <c r="BO222" s="354"/>
      <c r="BP222" s="363"/>
      <c r="BQ222" s="354"/>
      <c r="BR222" s="354"/>
      <c r="BS222" s="363"/>
      <c r="BT222" s="363"/>
      <c r="BU222" s="363"/>
      <c r="BV222" s="363"/>
      <c r="BW222" s="363"/>
      <c r="BX222" s="363"/>
      <c r="BY222" s="363"/>
      <c r="BZ222" s="363"/>
      <c r="CA222" s="363"/>
      <c r="CB222" s="363"/>
      <c r="CC222" s="323"/>
      <c r="CD222" s="323"/>
      <c r="CE222" s="323"/>
      <c r="CF222" s="323"/>
      <c r="CG222" s="323"/>
      <c r="CH222" s="323"/>
      <c r="CI222" s="323"/>
      <c r="CJ222" s="323"/>
      <c r="CK222" s="323"/>
      <c r="CL222" s="323"/>
      <c r="CM222" s="323"/>
      <c r="CN222" s="323"/>
      <c r="CO222" s="323"/>
      <c r="CP222" s="323"/>
    </row>
    <row r="223" spans="59:94" hidden="1" x14ac:dyDescent="0.25">
      <c r="BG223" s="318"/>
      <c r="BH223" s="319" t="s">
        <v>598</v>
      </c>
      <c r="BI223" s="319" t="s">
        <v>590</v>
      </c>
      <c r="BJ223" s="352" t="e">
        <f>21.5*BJ70^-0.0997</f>
        <v>#VALUE!</v>
      </c>
      <c r="BK223" s="321"/>
      <c r="BL223" s="321"/>
      <c r="BM223" s="321"/>
      <c r="BN223" s="354"/>
      <c r="BO223" s="354"/>
      <c r="BP223" s="363"/>
      <c r="BQ223" s="354"/>
      <c r="BR223" s="354"/>
      <c r="BS223" s="363"/>
      <c r="BT223" s="363"/>
      <c r="BU223" s="363"/>
      <c r="BV223" s="363"/>
      <c r="BW223" s="363"/>
      <c r="BX223" s="363"/>
      <c r="BY223" s="363"/>
      <c r="BZ223" s="363"/>
      <c r="CA223" s="363"/>
      <c r="CB223" s="363"/>
      <c r="CC223" s="323"/>
      <c r="CD223" s="323"/>
      <c r="CE223" s="323"/>
      <c r="CF223" s="323"/>
      <c r="CG223" s="323"/>
      <c r="CH223" s="323"/>
      <c r="CI223" s="323"/>
      <c r="CJ223" s="323"/>
      <c r="CK223" s="323"/>
      <c r="CL223" s="323"/>
      <c r="CM223" s="323"/>
      <c r="CN223" s="323"/>
      <c r="CO223" s="323"/>
      <c r="CP223" s="323"/>
    </row>
    <row r="224" spans="59:94" hidden="1" x14ac:dyDescent="0.25">
      <c r="BG224" s="318"/>
      <c r="BH224" s="319"/>
      <c r="BI224" s="319" t="s">
        <v>211</v>
      </c>
      <c r="BJ224" s="352" t="e">
        <f>BJ223*BJ71</f>
        <v>#VALUE!</v>
      </c>
      <c r="BK224" s="321"/>
      <c r="BL224" s="321"/>
      <c r="BM224" s="321"/>
      <c r="BN224" s="354"/>
      <c r="BO224" s="354"/>
      <c r="BP224" s="363"/>
      <c r="BQ224" s="354"/>
      <c r="BR224" s="354"/>
      <c r="BS224" s="363"/>
      <c r="BT224" s="363"/>
      <c r="BU224" s="363"/>
      <c r="BV224" s="363"/>
      <c r="BW224" s="363"/>
      <c r="BX224" s="363"/>
      <c r="BY224" s="363"/>
      <c r="BZ224" s="363"/>
      <c r="CA224" s="363"/>
      <c r="CB224" s="363"/>
      <c r="CC224" s="323"/>
      <c r="CD224" s="323"/>
      <c r="CE224" s="323"/>
      <c r="CF224" s="323"/>
      <c r="CG224" s="323"/>
      <c r="CH224" s="323"/>
      <c r="CI224" s="323"/>
      <c r="CJ224" s="323"/>
      <c r="CK224" s="323"/>
      <c r="CL224" s="323"/>
      <c r="CM224" s="323"/>
      <c r="CN224" s="323"/>
      <c r="CO224" s="323"/>
      <c r="CP224" s="323"/>
    </row>
    <row r="225" spans="59:94" hidden="1" x14ac:dyDescent="0.25">
      <c r="BG225" s="318"/>
      <c r="BH225" s="319"/>
      <c r="BI225" s="319" t="s">
        <v>592</v>
      </c>
      <c r="BJ225" s="321"/>
      <c r="BK225" s="321"/>
      <c r="BL225" s="321"/>
      <c r="BM225" s="321"/>
      <c r="BN225" s="354"/>
      <c r="BO225" s="354"/>
      <c r="BP225" s="363"/>
      <c r="BQ225" s="354"/>
      <c r="BR225" s="354"/>
      <c r="BS225" s="363"/>
      <c r="BT225" s="363"/>
      <c r="BU225" s="363"/>
      <c r="BV225" s="363"/>
      <c r="BW225" s="363"/>
      <c r="BX225" s="363"/>
      <c r="BY225" s="363"/>
      <c r="BZ225" s="363"/>
      <c r="CA225" s="363"/>
      <c r="CB225" s="363"/>
      <c r="CC225" s="323"/>
      <c r="CD225" s="323"/>
      <c r="CE225" s="323"/>
      <c r="CF225" s="323"/>
      <c r="CG225" s="323"/>
      <c r="CH225" s="323"/>
      <c r="CI225" s="323"/>
      <c r="CJ225" s="323"/>
      <c r="CK225" s="323"/>
      <c r="CL225" s="323"/>
      <c r="CM225" s="323"/>
      <c r="CN225" s="323"/>
      <c r="CO225" s="323"/>
      <c r="CP225" s="323"/>
    </row>
    <row r="226" spans="59:94" hidden="1" x14ac:dyDescent="0.25">
      <c r="BG226" s="318"/>
      <c r="BH226" s="319"/>
      <c r="BI226" s="319" t="s">
        <v>599</v>
      </c>
      <c r="BJ226" s="367" t="e">
        <f>BJ224/CG45</f>
        <v>#VALUE!</v>
      </c>
      <c r="BK226" s="367"/>
      <c r="BL226" s="321"/>
      <c r="BM226" s="321"/>
      <c r="BN226" s="354"/>
      <c r="BO226" s="354"/>
      <c r="BP226" s="363"/>
      <c r="BQ226" s="354"/>
      <c r="BR226" s="354"/>
      <c r="BS226" s="363"/>
      <c r="BT226" s="363"/>
      <c r="BU226" s="363"/>
      <c r="BV226" s="363"/>
      <c r="BW226" s="363"/>
      <c r="BX226" s="363"/>
      <c r="BY226" s="363"/>
      <c r="BZ226" s="363"/>
      <c r="CA226" s="363"/>
      <c r="CB226" s="363"/>
      <c r="CC226" s="323"/>
      <c r="CD226" s="323"/>
      <c r="CE226" s="323"/>
      <c r="CF226" s="323"/>
      <c r="CG226" s="323"/>
      <c r="CH226" s="323"/>
      <c r="CI226" s="323"/>
      <c r="CJ226" s="323"/>
      <c r="CK226" s="323"/>
      <c r="CL226" s="323"/>
      <c r="CM226" s="323"/>
      <c r="CN226" s="323"/>
      <c r="CO226" s="323"/>
      <c r="CP226" s="323"/>
    </row>
    <row r="227" spans="59:94" hidden="1" x14ac:dyDescent="0.25">
      <c r="BG227" s="318"/>
      <c r="BH227" s="319"/>
      <c r="BI227" s="319"/>
      <c r="BJ227" s="321"/>
      <c r="BK227" s="321"/>
      <c r="BL227" s="321"/>
      <c r="BM227" s="321"/>
      <c r="BN227" s="354"/>
      <c r="BO227" s="354"/>
      <c r="BP227" s="363"/>
      <c r="BQ227" s="354"/>
      <c r="BR227" s="354"/>
      <c r="BS227" s="363"/>
      <c r="BT227" s="363"/>
      <c r="BU227" s="363"/>
      <c r="BV227" s="363"/>
      <c r="BW227" s="363"/>
      <c r="BX227" s="363"/>
      <c r="BY227" s="363"/>
      <c r="BZ227" s="363"/>
      <c r="CA227" s="363"/>
      <c r="CB227" s="363"/>
      <c r="CC227" s="323"/>
      <c r="CD227" s="323"/>
      <c r="CE227" s="323"/>
      <c r="CF227" s="323"/>
      <c r="CG227" s="323"/>
      <c r="CH227" s="323"/>
      <c r="CI227" s="323"/>
      <c r="CJ227" s="323"/>
      <c r="CK227" s="323"/>
      <c r="CL227" s="323"/>
      <c r="CM227" s="323"/>
      <c r="CN227" s="323"/>
      <c r="CO227" s="323"/>
      <c r="CP227" s="323"/>
    </row>
    <row r="228" spans="59:94" hidden="1" x14ac:dyDescent="0.25">
      <c r="BG228" s="318"/>
      <c r="BH228" s="319" t="s">
        <v>600</v>
      </c>
      <c r="BI228" s="319" t="s">
        <v>590</v>
      </c>
      <c r="BJ228" s="352" t="e">
        <f>15.9*BJ70^-0.0464</f>
        <v>#VALUE!</v>
      </c>
      <c r="BK228" s="321"/>
      <c r="BL228" s="321"/>
      <c r="BM228" s="321"/>
      <c r="BN228" s="354"/>
      <c r="BO228" s="354"/>
      <c r="BP228" s="363"/>
      <c r="BQ228" s="354"/>
      <c r="BR228" s="354"/>
      <c r="BS228" s="363"/>
      <c r="BT228" s="363"/>
      <c r="BU228" s="363"/>
      <c r="BV228" s="363"/>
      <c r="BW228" s="363"/>
      <c r="BX228" s="363"/>
      <c r="BY228" s="363"/>
      <c r="BZ228" s="363"/>
      <c r="CA228" s="363"/>
      <c r="CB228" s="363"/>
      <c r="CC228" s="323"/>
      <c r="CD228" s="323"/>
      <c r="CE228" s="323"/>
      <c r="CF228" s="323"/>
      <c r="CG228" s="323"/>
      <c r="CH228" s="323"/>
      <c r="CI228" s="323"/>
      <c r="CJ228" s="323"/>
      <c r="CK228" s="323"/>
      <c r="CL228" s="323"/>
      <c r="CM228" s="323"/>
      <c r="CN228" s="323"/>
      <c r="CO228" s="323"/>
      <c r="CP228" s="323"/>
    </row>
    <row r="229" spans="59:94" hidden="1" x14ac:dyDescent="0.25">
      <c r="BG229" s="318"/>
      <c r="BH229" s="319"/>
      <c r="BI229" s="319" t="s">
        <v>211</v>
      </c>
      <c r="BJ229" s="352" t="e">
        <f>BJ228*BJ71</f>
        <v>#VALUE!</v>
      </c>
      <c r="BK229" s="321"/>
      <c r="BL229" s="321"/>
      <c r="BM229" s="321"/>
      <c r="BN229" s="354"/>
      <c r="BO229" s="354"/>
      <c r="BP229" s="363"/>
      <c r="BQ229" s="354"/>
      <c r="BR229" s="354"/>
      <c r="BS229" s="363"/>
      <c r="BT229" s="363"/>
      <c r="BU229" s="363"/>
      <c r="BV229" s="363"/>
      <c r="BW229" s="363"/>
      <c r="BX229" s="363"/>
      <c r="BY229" s="363"/>
      <c r="BZ229" s="363"/>
      <c r="CA229" s="363"/>
      <c r="CB229" s="363"/>
      <c r="CC229" s="323"/>
      <c r="CD229" s="323"/>
      <c r="CE229" s="323"/>
      <c r="CF229" s="323"/>
      <c r="CG229" s="323"/>
      <c r="CH229" s="323"/>
      <c r="CI229" s="323"/>
      <c r="CJ229" s="323"/>
      <c r="CK229" s="323"/>
      <c r="CL229" s="323"/>
      <c r="CM229" s="323"/>
      <c r="CN229" s="323"/>
      <c r="CO229" s="323"/>
      <c r="CP229" s="323"/>
    </row>
    <row r="230" spans="59:94" hidden="1" x14ac:dyDescent="0.25">
      <c r="BG230" s="318"/>
      <c r="BH230" s="319"/>
      <c r="BI230" s="319" t="s">
        <v>592</v>
      </c>
      <c r="BJ230" s="321"/>
      <c r="BK230" s="321"/>
      <c r="BL230" s="321"/>
      <c r="BM230" s="321"/>
      <c r="BN230" s="354"/>
      <c r="BO230" s="354"/>
      <c r="BP230" s="363"/>
      <c r="BQ230" s="354"/>
      <c r="BR230" s="354"/>
      <c r="BS230" s="363"/>
      <c r="BT230" s="363"/>
      <c r="BU230" s="363"/>
      <c r="BV230" s="363"/>
      <c r="BW230" s="363"/>
      <c r="BX230" s="363"/>
      <c r="BY230" s="363"/>
      <c r="BZ230" s="363"/>
      <c r="CA230" s="363"/>
      <c r="CB230" s="363"/>
      <c r="CC230" s="323"/>
      <c r="CD230" s="323"/>
      <c r="CE230" s="323"/>
      <c r="CF230" s="323"/>
      <c r="CG230" s="323"/>
      <c r="CH230" s="323"/>
      <c r="CI230" s="323"/>
      <c r="CJ230" s="323"/>
      <c r="CK230" s="323"/>
      <c r="CL230" s="323"/>
      <c r="CM230" s="323"/>
      <c r="CN230" s="323"/>
      <c r="CO230" s="323"/>
      <c r="CP230" s="323"/>
    </row>
    <row r="231" spans="59:94" hidden="1" x14ac:dyDescent="0.25">
      <c r="BG231" s="318"/>
      <c r="BH231" s="319"/>
      <c r="BI231" s="319" t="s">
        <v>601</v>
      </c>
      <c r="BJ231" s="367" t="e">
        <f>BJ229/CG47</f>
        <v>#VALUE!</v>
      </c>
      <c r="BK231" s="321"/>
      <c r="BL231" s="321"/>
      <c r="BM231" s="321"/>
      <c r="BN231" s="354"/>
      <c r="BO231" s="354"/>
      <c r="BP231" s="363"/>
      <c r="BQ231" s="354"/>
      <c r="BR231" s="354"/>
      <c r="BS231" s="363"/>
      <c r="BT231" s="363"/>
      <c r="BU231" s="363"/>
      <c r="BV231" s="363"/>
      <c r="BW231" s="363"/>
      <c r="BX231" s="363"/>
      <c r="BY231" s="363"/>
      <c r="BZ231" s="363"/>
      <c r="CA231" s="363"/>
      <c r="CB231" s="363"/>
      <c r="CC231" s="323"/>
      <c r="CD231" s="323"/>
      <c r="CE231" s="323"/>
      <c r="CF231" s="323"/>
      <c r="CG231" s="323"/>
      <c r="CH231" s="323"/>
      <c r="CI231" s="323"/>
      <c r="CJ231" s="323"/>
      <c r="CK231" s="323"/>
      <c r="CL231" s="323"/>
      <c r="CM231" s="323"/>
      <c r="CN231" s="323"/>
      <c r="CO231" s="323"/>
      <c r="CP231" s="323"/>
    </row>
    <row r="232" spans="59:94" hidden="1" x14ac:dyDescent="0.25">
      <c r="BG232" s="318"/>
      <c r="BH232" s="319"/>
      <c r="BI232" s="319"/>
      <c r="BJ232" s="321"/>
      <c r="BK232" s="321"/>
      <c r="BL232" s="321"/>
      <c r="BM232" s="321"/>
      <c r="BN232" s="354"/>
      <c r="BO232" s="354"/>
      <c r="BP232" s="363"/>
      <c r="BQ232" s="354"/>
      <c r="BR232" s="354"/>
      <c r="BS232" s="363"/>
      <c r="BT232" s="363"/>
      <c r="BU232" s="363"/>
      <c r="BV232" s="363"/>
      <c r="BW232" s="363"/>
      <c r="BX232" s="363"/>
      <c r="BY232" s="363"/>
      <c r="BZ232" s="363"/>
      <c r="CA232" s="363"/>
      <c r="CB232" s="363"/>
      <c r="CC232" s="323"/>
      <c r="CD232" s="323"/>
      <c r="CE232" s="323"/>
      <c r="CF232" s="323"/>
      <c r="CG232" s="323"/>
      <c r="CH232" s="323"/>
      <c r="CI232" s="323"/>
      <c r="CJ232" s="323"/>
      <c r="CK232" s="323"/>
      <c r="CL232" s="323"/>
      <c r="CM232" s="323"/>
      <c r="CN232" s="323"/>
      <c r="CO232" s="323"/>
      <c r="CP232" s="323"/>
    </row>
    <row r="233" spans="59:94" hidden="1" x14ac:dyDescent="0.25">
      <c r="BG233" s="318"/>
      <c r="BH233" s="319" t="s">
        <v>602</v>
      </c>
      <c r="BI233" s="319" t="s">
        <v>590</v>
      </c>
      <c r="BJ233" s="352" t="e">
        <f>5.43*BJ70^-0.0803</f>
        <v>#VALUE!</v>
      </c>
      <c r="BK233" s="321"/>
      <c r="BL233" s="321"/>
      <c r="BM233" s="321"/>
      <c r="BN233" s="354"/>
      <c r="BO233" s="354"/>
      <c r="BP233" s="363"/>
      <c r="BQ233" s="354"/>
      <c r="BR233" s="354"/>
      <c r="BS233" s="363"/>
      <c r="BT233" s="363"/>
      <c r="BU233" s="363"/>
      <c r="BV233" s="363"/>
      <c r="BW233" s="363"/>
      <c r="BX233" s="363"/>
      <c r="BY233" s="363"/>
      <c r="BZ233" s="363"/>
      <c r="CA233" s="363"/>
      <c r="CB233" s="363"/>
      <c r="CC233" s="323"/>
      <c r="CD233" s="323"/>
      <c r="CE233" s="323"/>
      <c r="CF233" s="323"/>
      <c r="CG233" s="323"/>
      <c r="CH233" s="323"/>
      <c r="CI233" s="323"/>
      <c r="CJ233" s="323"/>
      <c r="CK233" s="323"/>
      <c r="CL233" s="323"/>
      <c r="CM233" s="323"/>
      <c r="CN233" s="323"/>
      <c r="CO233" s="323"/>
      <c r="CP233" s="323"/>
    </row>
    <row r="234" spans="59:94" hidden="1" x14ac:dyDescent="0.25">
      <c r="BG234" s="318"/>
      <c r="BH234" s="319"/>
      <c r="BI234" s="319" t="s">
        <v>211</v>
      </c>
      <c r="BJ234" s="352" t="e">
        <f>BJ233*BJ71</f>
        <v>#VALUE!</v>
      </c>
      <c r="BK234" s="321"/>
      <c r="BL234" s="321"/>
      <c r="BM234" s="321"/>
      <c r="BN234" s="354"/>
      <c r="BO234" s="354"/>
      <c r="BP234" s="363"/>
      <c r="BQ234" s="354"/>
      <c r="BR234" s="354"/>
      <c r="BS234" s="363"/>
      <c r="BT234" s="363"/>
      <c r="BU234" s="363"/>
      <c r="BV234" s="363"/>
      <c r="BW234" s="363"/>
      <c r="BX234" s="363"/>
      <c r="BY234" s="363"/>
      <c r="BZ234" s="363"/>
      <c r="CA234" s="363"/>
      <c r="CB234" s="363"/>
      <c r="CC234" s="323"/>
      <c r="CD234" s="323"/>
      <c r="CE234" s="323"/>
      <c r="CF234" s="323"/>
      <c r="CG234" s="323"/>
      <c r="CH234" s="323"/>
      <c r="CI234" s="323"/>
      <c r="CJ234" s="323"/>
      <c r="CK234" s="323"/>
      <c r="CL234" s="323"/>
      <c r="CM234" s="323"/>
      <c r="CN234" s="323"/>
      <c r="CO234" s="323"/>
      <c r="CP234" s="323"/>
    </row>
    <row r="235" spans="59:94" hidden="1" x14ac:dyDescent="0.25">
      <c r="BG235" s="318"/>
      <c r="BH235" s="319"/>
      <c r="BI235" s="319" t="s">
        <v>592</v>
      </c>
      <c r="BJ235" s="321"/>
      <c r="BK235" s="321"/>
      <c r="BL235" s="321"/>
      <c r="BM235" s="321"/>
      <c r="BN235" s="354"/>
      <c r="BO235" s="354"/>
      <c r="BP235" s="363"/>
      <c r="BQ235" s="354"/>
      <c r="BR235" s="354"/>
      <c r="BS235" s="363"/>
      <c r="BT235" s="363"/>
      <c r="BU235" s="363"/>
      <c r="BV235" s="363"/>
      <c r="BW235" s="363"/>
      <c r="BX235" s="363"/>
      <c r="BY235" s="363"/>
      <c r="BZ235" s="363"/>
      <c r="CA235" s="363"/>
      <c r="CB235" s="363"/>
      <c r="CC235" s="323"/>
      <c r="CD235" s="323"/>
      <c r="CE235" s="323"/>
      <c r="CF235" s="323"/>
      <c r="CG235" s="323"/>
      <c r="CH235" s="323"/>
      <c r="CI235" s="323"/>
      <c r="CJ235" s="323"/>
      <c r="CK235" s="323"/>
      <c r="CL235" s="323"/>
      <c r="CM235" s="323"/>
      <c r="CN235" s="323"/>
      <c r="CO235" s="323"/>
      <c r="CP235" s="323"/>
    </row>
    <row r="236" spans="59:94" hidden="1" x14ac:dyDescent="0.25">
      <c r="BG236" s="318"/>
      <c r="BH236" s="319"/>
      <c r="BI236" s="319" t="s">
        <v>603</v>
      </c>
      <c r="BJ236" s="367" t="e">
        <f>BJ234/CG49</f>
        <v>#VALUE!</v>
      </c>
      <c r="BK236" s="367"/>
      <c r="BL236" s="321"/>
      <c r="BM236" s="321"/>
      <c r="BN236" s="354"/>
      <c r="BO236" s="354"/>
      <c r="BP236" s="363"/>
      <c r="BQ236" s="354"/>
      <c r="BR236" s="354"/>
      <c r="BS236" s="363"/>
      <c r="BT236" s="363"/>
      <c r="BU236" s="363"/>
      <c r="BV236" s="363"/>
      <c r="BW236" s="363"/>
      <c r="BX236" s="363"/>
      <c r="BY236" s="363"/>
      <c r="BZ236" s="363"/>
      <c r="CA236" s="363"/>
      <c r="CB236" s="363"/>
      <c r="CC236" s="323"/>
      <c r="CD236" s="323"/>
      <c r="CE236" s="323"/>
      <c r="CF236" s="323"/>
      <c r="CG236" s="323"/>
      <c r="CH236" s="323"/>
      <c r="CI236" s="323"/>
      <c r="CJ236" s="323"/>
      <c r="CK236" s="323"/>
      <c r="CL236" s="323"/>
      <c r="CM236" s="323"/>
      <c r="CN236" s="323"/>
      <c r="CO236" s="323"/>
      <c r="CP236" s="323"/>
    </row>
    <row r="237" spans="59:94" hidden="1" x14ac:dyDescent="0.25">
      <c r="BG237" s="318"/>
      <c r="BH237" s="319"/>
      <c r="BI237" s="319"/>
      <c r="BJ237" s="321"/>
      <c r="BK237" s="321"/>
      <c r="BL237" s="321"/>
      <c r="BM237" s="321"/>
      <c r="BN237" s="354"/>
      <c r="BO237" s="354"/>
      <c r="BP237" s="363"/>
      <c r="BQ237" s="354"/>
      <c r="BR237" s="354"/>
      <c r="BS237" s="363"/>
      <c r="BT237" s="363"/>
      <c r="BU237" s="363"/>
      <c r="BV237" s="363"/>
      <c r="BW237" s="363"/>
      <c r="BX237" s="363"/>
      <c r="BY237" s="363"/>
      <c r="BZ237" s="363"/>
      <c r="CA237" s="363"/>
      <c r="CB237" s="363"/>
      <c r="CC237" s="323"/>
      <c r="CD237" s="323"/>
      <c r="CE237" s="323"/>
      <c r="CF237" s="323"/>
      <c r="CG237" s="323"/>
      <c r="CH237" s="323"/>
      <c r="CI237" s="323"/>
      <c r="CJ237" s="323"/>
      <c r="CK237" s="323"/>
      <c r="CL237" s="323"/>
      <c r="CM237" s="323"/>
      <c r="CN237" s="323"/>
      <c r="CO237" s="323"/>
      <c r="CP237" s="323"/>
    </row>
    <row r="238" spans="59:94" hidden="1" x14ac:dyDescent="0.25">
      <c r="BG238" s="318"/>
      <c r="BH238" s="319" t="s">
        <v>604</v>
      </c>
      <c r="BI238" s="319" t="s">
        <v>590</v>
      </c>
      <c r="BJ238" s="352" t="e">
        <f>8.98*BJ70^-0.063</f>
        <v>#VALUE!</v>
      </c>
      <c r="BK238" s="321"/>
      <c r="BL238" s="321"/>
      <c r="BM238" s="321"/>
      <c r="BN238" s="354"/>
      <c r="BO238" s="354"/>
      <c r="BP238" s="363"/>
      <c r="BQ238" s="354"/>
      <c r="BR238" s="354"/>
      <c r="BS238" s="363"/>
      <c r="BT238" s="363"/>
      <c r="BU238" s="363"/>
      <c r="BV238" s="363"/>
      <c r="BW238" s="363"/>
      <c r="BX238" s="363"/>
      <c r="BY238" s="363"/>
      <c r="BZ238" s="363"/>
      <c r="CA238" s="363"/>
      <c r="CB238" s="363"/>
      <c r="CC238" s="323"/>
      <c r="CD238" s="323"/>
      <c r="CE238" s="323"/>
      <c r="CF238" s="323"/>
      <c r="CG238" s="323"/>
      <c r="CH238" s="323"/>
      <c r="CI238" s="323"/>
      <c r="CJ238" s="323"/>
      <c r="CK238" s="323"/>
      <c r="CL238" s="323"/>
      <c r="CM238" s="323"/>
      <c r="CN238" s="323"/>
      <c r="CO238" s="323"/>
      <c r="CP238" s="323"/>
    </row>
    <row r="239" spans="59:94" hidden="1" x14ac:dyDescent="0.25">
      <c r="BG239" s="318"/>
      <c r="BH239" s="319"/>
      <c r="BI239" s="319" t="s">
        <v>211</v>
      </c>
      <c r="BJ239" s="352" t="e">
        <f>BJ238*BJ71</f>
        <v>#VALUE!</v>
      </c>
      <c r="BK239" s="321"/>
      <c r="BL239" s="321"/>
      <c r="BM239" s="321"/>
      <c r="BN239" s="354"/>
      <c r="BO239" s="354"/>
      <c r="BP239" s="363"/>
      <c r="BQ239" s="354"/>
      <c r="BR239" s="354"/>
      <c r="BS239" s="363"/>
      <c r="BT239" s="363"/>
      <c r="BU239" s="363"/>
      <c r="BV239" s="363"/>
      <c r="BW239" s="363"/>
      <c r="BX239" s="363"/>
      <c r="BY239" s="363"/>
      <c r="BZ239" s="363"/>
      <c r="CA239" s="363"/>
      <c r="CB239" s="363"/>
      <c r="CC239" s="323"/>
      <c r="CD239" s="323"/>
      <c r="CE239" s="323"/>
      <c r="CF239" s="323"/>
      <c r="CG239" s="323"/>
      <c r="CH239" s="323"/>
      <c r="CI239" s="323"/>
      <c r="CJ239" s="323"/>
      <c r="CK239" s="323"/>
      <c r="CL239" s="323"/>
      <c r="CM239" s="323"/>
      <c r="CN239" s="323"/>
      <c r="CO239" s="323"/>
      <c r="CP239" s="323"/>
    </row>
    <row r="240" spans="59:94" hidden="1" x14ac:dyDescent="0.25">
      <c r="BG240" s="318"/>
      <c r="BH240" s="319"/>
      <c r="BI240" s="319" t="s">
        <v>592</v>
      </c>
      <c r="BJ240" s="321"/>
      <c r="BK240" s="321"/>
      <c r="BL240" s="321"/>
      <c r="BM240" s="321"/>
      <c r="BN240" s="354"/>
      <c r="BO240" s="354"/>
      <c r="BP240" s="363"/>
      <c r="BQ240" s="354"/>
      <c r="BR240" s="354"/>
      <c r="BS240" s="363"/>
      <c r="BT240" s="363"/>
      <c r="BU240" s="363"/>
      <c r="BV240" s="363"/>
      <c r="BW240" s="363"/>
      <c r="BX240" s="363"/>
      <c r="BY240" s="363"/>
      <c r="BZ240" s="363"/>
      <c r="CA240" s="363"/>
      <c r="CB240" s="363"/>
      <c r="CC240" s="323"/>
      <c r="CD240" s="323"/>
      <c r="CE240" s="323"/>
      <c r="CF240" s="323"/>
      <c r="CG240" s="323"/>
      <c r="CH240" s="323"/>
      <c r="CI240" s="323"/>
      <c r="CJ240" s="323"/>
      <c r="CK240" s="323"/>
      <c r="CL240" s="323"/>
      <c r="CM240" s="323"/>
      <c r="CN240" s="323"/>
      <c r="CO240" s="323"/>
      <c r="CP240" s="323"/>
    </row>
    <row r="241" spans="59:94" hidden="1" x14ac:dyDescent="0.25">
      <c r="BG241" s="318"/>
      <c r="BH241" s="319"/>
      <c r="BI241" s="319" t="s">
        <v>605</v>
      </c>
      <c r="BJ241" s="367" t="e">
        <f>BJ239/CG51</f>
        <v>#VALUE!</v>
      </c>
      <c r="BK241" s="367"/>
      <c r="BL241" s="321"/>
      <c r="BM241" s="321"/>
      <c r="BN241" s="354"/>
      <c r="BO241" s="354"/>
      <c r="BP241" s="363"/>
      <c r="BQ241" s="354"/>
      <c r="BR241" s="354"/>
      <c r="BS241" s="363"/>
      <c r="BT241" s="363"/>
      <c r="BU241" s="363"/>
      <c r="BV241" s="363"/>
      <c r="BW241" s="363"/>
      <c r="BX241" s="363"/>
      <c r="BY241" s="363"/>
      <c r="BZ241" s="363"/>
      <c r="CA241" s="363"/>
      <c r="CB241" s="363"/>
      <c r="CC241" s="323"/>
      <c r="CD241" s="323"/>
      <c r="CE241" s="323"/>
      <c r="CF241" s="323"/>
      <c r="CG241" s="323"/>
      <c r="CH241" s="323"/>
      <c r="CI241" s="323"/>
      <c r="CJ241" s="323"/>
      <c r="CK241" s="323"/>
      <c r="CL241" s="323"/>
      <c r="CM241" s="323"/>
      <c r="CN241" s="323"/>
      <c r="CO241" s="323"/>
      <c r="CP241" s="323"/>
    </row>
    <row r="242" spans="59:94" hidden="1" x14ac:dyDescent="0.25">
      <c r="BG242" s="318"/>
      <c r="BH242" s="319"/>
      <c r="BI242" s="319"/>
      <c r="BJ242" s="321"/>
      <c r="BK242" s="321"/>
      <c r="BL242" s="321"/>
      <c r="BM242" s="321"/>
      <c r="BN242" s="354"/>
      <c r="BO242" s="354"/>
      <c r="BP242" s="363"/>
      <c r="BQ242" s="354"/>
      <c r="BR242" s="354"/>
      <c r="BS242" s="363"/>
      <c r="BT242" s="363"/>
      <c r="BU242" s="363"/>
      <c r="BV242" s="363"/>
      <c r="BW242" s="363"/>
      <c r="BX242" s="363"/>
      <c r="BY242" s="363"/>
      <c r="BZ242" s="363"/>
      <c r="CA242" s="363"/>
      <c r="CB242" s="363"/>
      <c r="CC242" s="323"/>
      <c r="CD242" s="323"/>
      <c r="CE242" s="323"/>
      <c r="CF242" s="323"/>
      <c r="CG242" s="323"/>
      <c r="CH242" s="323"/>
      <c r="CI242" s="323"/>
      <c r="CJ242" s="323"/>
      <c r="CK242" s="323"/>
      <c r="CL242" s="323"/>
      <c r="CM242" s="323"/>
      <c r="CN242" s="323"/>
      <c r="CO242" s="323"/>
      <c r="CP242" s="323"/>
    </row>
    <row r="243" spans="59:94" hidden="1" x14ac:dyDescent="0.25">
      <c r="BG243" s="318"/>
      <c r="BH243" s="319" t="s">
        <v>606</v>
      </c>
      <c r="BI243" s="319" t="s">
        <v>590</v>
      </c>
      <c r="BJ243" s="352" t="e">
        <f>9.54*BJ70^-0.0651</f>
        <v>#VALUE!</v>
      </c>
      <c r="BK243" s="321"/>
      <c r="BL243" s="321"/>
      <c r="BM243" s="321"/>
      <c r="BN243" s="354"/>
      <c r="BO243" s="354"/>
      <c r="BP243" s="363"/>
      <c r="BQ243" s="354"/>
      <c r="BR243" s="354"/>
      <c r="BS243" s="363"/>
      <c r="BT243" s="363"/>
      <c r="BU243" s="363"/>
      <c r="BV243" s="363"/>
      <c r="BW243" s="363"/>
      <c r="BX243" s="363"/>
      <c r="BY243" s="363"/>
      <c r="BZ243" s="363"/>
      <c r="CA243" s="363"/>
      <c r="CB243" s="363"/>
      <c r="CC243" s="323"/>
      <c r="CD243" s="323"/>
      <c r="CE243" s="323"/>
      <c r="CF243" s="323"/>
      <c r="CG243" s="323"/>
      <c r="CH243" s="323"/>
      <c r="CI243" s="323"/>
      <c r="CJ243" s="323"/>
      <c r="CK243" s="323"/>
      <c r="CL243" s="323"/>
      <c r="CM243" s="323"/>
      <c r="CN243" s="323"/>
      <c r="CO243" s="323"/>
      <c r="CP243" s="323"/>
    </row>
    <row r="244" spans="59:94" hidden="1" x14ac:dyDescent="0.25">
      <c r="BG244" s="318"/>
      <c r="BH244" s="319"/>
      <c r="BI244" s="319" t="s">
        <v>211</v>
      </c>
      <c r="BJ244" s="352" t="e">
        <f>BJ243*BJ71</f>
        <v>#VALUE!</v>
      </c>
      <c r="BK244" s="321"/>
      <c r="BL244" s="321"/>
      <c r="BM244" s="321"/>
      <c r="BN244" s="354"/>
      <c r="BO244" s="354"/>
      <c r="BP244" s="363"/>
      <c r="BQ244" s="354"/>
      <c r="BR244" s="354"/>
      <c r="BS244" s="363"/>
      <c r="BT244" s="363"/>
      <c r="BU244" s="363"/>
      <c r="BV244" s="363"/>
      <c r="BW244" s="363"/>
      <c r="BX244" s="363"/>
      <c r="BY244" s="363"/>
      <c r="BZ244" s="363"/>
      <c r="CA244" s="363"/>
      <c r="CB244" s="363"/>
      <c r="CC244" s="323"/>
      <c r="CD244" s="323"/>
      <c r="CE244" s="323"/>
      <c r="CF244" s="323"/>
      <c r="CG244" s="323"/>
      <c r="CH244" s="323"/>
      <c r="CI244" s="323"/>
      <c r="CJ244" s="323"/>
      <c r="CK244" s="323"/>
      <c r="CL244" s="323"/>
      <c r="CM244" s="323"/>
      <c r="CN244" s="323"/>
      <c r="CO244" s="323"/>
      <c r="CP244" s="323"/>
    </row>
    <row r="245" spans="59:94" hidden="1" x14ac:dyDescent="0.25">
      <c r="BG245" s="318"/>
      <c r="BH245" s="319"/>
      <c r="BI245" s="319" t="s">
        <v>592</v>
      </c>
      <c r="BJ245" s="321"/>
      <c r="BK245" s="321"/>
      <c r="BL245" s="321"/>
      <c r="BM245" s="321"/>
      <c r="BN245" s="354"/>
      <c r="BO245" s="354"/>
      <c r="BP245" s="363"/>
      <c r="BQ245" s="354"/>
      <c r="BR245" s="354"/>
      <c r="BS245" s="363"/>
      <c r="BT245" s="363"/>
      <c r="BU245" s="363"/>
      <c r="BV245" s="363"/>
      <c r="BW245" s="363"/>
      <c r="BX245" s="363"/>
      <c r="BY245" s="363"/>
      <c r="BZ245" s="363"/>
      <c r="CA245" s="363"/>
      <c r="CB245" s="363"/>
      <c r="CC245" s="323"/>
      <c r="CD245" s="323"/>
      <c r="CE245" s="323"/>
      <c r="CF245" s="323"/>
      <c r="CG245" s="323"/>
      <c r="CH245" s="323"/>
      <c r="CI245" s="323"/>
      <c r="CJ245" s="323"/>
      <c r="CK245" s="323"/>
      <c r="CL245" s="323"/>
      <c r="CM245" s="323"/>
      <c r="CN245" s="323"/>
      <c r="CO245" s="323"/>
      <c r="CP245" s="323"/>
    </row>
    <row r="246" spans="59:94" hidden="1" x14ac:dyDescent="0.25">
      <c r="BG246" s="318"/>
      <c r="BH246" s="319"/>
      <c r="BI246" s="319" t="s">
        <v>607</v>
      </c>
      <c r="BJ246" s="367" t="e">
        <f>BJ244/CG53</f>
        <v>#VALUE!</v>
      </c>
      <c r="BK246" s="367"/>
      <c r="BL246" s="321"/>
      <c r="BM246" s="321"/>
      <c r="BN246" s="354"/>
      <c r="BO246" s="354"/>
      <c r="BP246" s="363"/>
      <c r="BQ246" s="354"/>
      <c r="BR246" s="354"/>
      <c r="BS246" s="363"/>
      <c r="BT246" s="363"/>
      <c r="BU246" s="363"/>
      <c r="BV246" s="363"/>
      <c r="BW246" s="363"/>
      <c r="BX246" s="363"/>
      <c r="BY246" s="363"/>
      <c r="BZ246" s="363"/>
      <c r="CA246" s="363"/>
      <c r="CB246" s="363"/>
      <c r="CC246" s="323"/>
      <c r="CD246" s="323"/>
      <c r="CE246" s="323"/>
      <c r="CF246" s="323"/>
      <c r="CG246" s="323"/>
      <c r="CH246" s="323"/>
      <c r="CI246" s="323"/>
      <c r="CJ246" s="323"/>
      <c r="CK246" s="323"/>
      <c r="CL246" s="323"/>
      <c r="CM246" s="323"/>
      <c r="CN246" s="323"/>
      <c r="CO246" s="323"/>
      <c r="CP246" s="323"/>
    </row>
    <row r="247" spans="59:94" hidden="1" x14ac:dyDescent="0.25">
      <c r="BG247" s="318"/>
      <c r="BH247" s="319"/>
      <c r="BI247" s="319"/>
      <c r="BJ247" s="321"/>
      <c r="BK247" s="321"/>
      <c r="BL247" s="321"/>
      <c r="BM247" s="321"/>
      <c r="BN247" s="354"/>
      <c r="BO247" s="354"/>
      <c r="BP247" s="363"/>
      <c r="BQ247" s="354"/>
      <c r="BR247" s="354"/>
      <c r="BS247" s="363"/>
      <c r="BT247" s="363"/>
      <c r="BU247" s="363"/>
      <c r="BV247" s="363"/>
      <c r="BW247" s="363"/>
      <c r="BX247" s="363"/>
      <c r="BY247" s="363"/>
      <c r="BZ247" s="363"/>
      <c r="CA247" s="363"/>
      <c r="CB247" s="363"/>
      <c r="CC247" s="323"/>
      <c r="CD247" s="323"/>
      <c r="CE247" s="323"/>
      <c r="CF247" s="323"/>
      <c r="CG247" s="323"/>
      <c r="CH247" s="323"/>
      <c r="CI247" s="323"/>
      <c r="CJ247" s="323"/>
      <c r="CK247" s="323"/>
      <c r="CL247" s="323"/>
      <c r="CM247" s="323"/>
      <c r="CN247" s="323"/>
      <c r="CO247" s="323"/>
      <c r="CP247" s="323"/>
    </row>
    <row r="248" spans="59:94" hidden="1" x14ac:dyDescent="0.25">
      <c r="BG248" s="318"/>
      <c r="BH248" s="319" t="s">
        <v>608</v>
      </c>
      <c r="BI248" s="319" t="s">
        <v>590</v>
      </c>
      <c r="BJ248" s="352" t="e">
        <f>1.57*BJ70^-0.0302</f>
        <v>#VALUE!</v>
      </c>
      <c r="BK248" s="321"/>
      <c r="BL248" s="321"/>
      <c r="BM248" s="321"/>
      <c r="BN248" s="354"/>
      <c r="BO248" s="354"/>
      <c r="BP248" s="363"/>
      <c r="BQ248" s="354"/>
      <c r="BR248" s="354"/>
      <c r="BS248" s="363"/>
      <c r="BT248" s="363"/>
      <c r="BU248" s="363"/>
      <c r="BV248" s="363"/>
      <c r="BW248" s="363"/>
      <c r="BX248" s="363"/>
      <c r="BY248" s="363"/>
      <c r="BZ248" s="363"/>
      <c r="CA248" s="363"/>
      <c r="CB248" s="363"/>
      <c r="CC248" s="323"/>
      <c r="CD248" s="323"/>
      <c r="CE248" s="323"/>
      <c r="CF248" s="323"/>
      <c r="CG248" s="323"/>
      <c r="CH248" s="323"/>
      <c r="CI248" s="323"/>
      <c r="CJ248" s="323"/>
      <c r="CK248" s="323"/>
      <c r="CL248" s="323"/>
      <c r="CM248" s="323"/>
      <c r="CN248" s="323"/>
      <c r="CO248" s="323"/>
      <c r="CP248" s="323"/>
    </row>
    <row r="249" spans="59:94" hidden="1" x14ac:dyDescent="0.25">
      <c r="BG249" s="318"/>
      <c r="BH249" s="319"/>
      <c r="BI249" s="319" t="s">
        <v>211</v>
      </c>
      <c r="BJ249" s="352" t="e">
        <f>BJ248*BJ71</f>
        <v>#VALUE!</v>
      </c>
      <c r="BK249" s="321"/>
      <c r="BL249" s="321"/>
      <c r="BM249" s="321"/>
      <c r="BN249" s="354"/>
      <c r="BO249" s="354"/>
      <c r="BP249" s="363"/>
      <c r="BQ249" s="354"/>
      <c r="BR249" s="354"/>
      <c r="BS249" s="363"/>
      <c r="BT249" s="363"/>
      <c r="BU249" s="363"/>
      <c r="BV249" s="363"/>
      <c r="BW249" s="363"/>
      <c r="BX249" s="363"/>
      <c r="BY249" s="363"/>
      <c r="BZ249" s="363"/>
      <c r="CA249" s="363"/>
      <c r="CB249" s="363"/>
      <c r="CC249" s="323"/>
      <c r="CD249" s="323"/>
      <c r="CE249" s="323"/>
      <c r="CF249" s="323"/>
      <c r="CG249" s="323"/>
      <c r="CH249" s="323"/>
      <c r="CI249" s="323"/>
      <c r="CJ249" s="323"/>
      <c r="CK249" s="323"/>
      <c r="CL249" s="323"/>
      <c r="CM249" s="323"/>
      <c r="CN249" s="323"/>
      <c r="CO249" s="323"/>
      <c r="CP249" s="323"/>
    </row>
    <row r="250" spans="59:94" hidden="1" x14ac:dyDescent="0.25">
      <c r="BG250" s="318"/>
      <c r="BH250" s="319"/>
      <c r="BI250" s="319" t="s">
        <v>592</v>
      </c>
      <c r="BJ250" s="321"/>
      <c r="BK250" s="321"/>
      <c r="BL250" s="321"/>
      <c r="BM250" s="321"/>
      <c r="BN250" s="354"/>
      <c r="BO250" s="354"/>
      <c r="BP250" s="363"/>
      <c r="BQ250" s="354"/>
      <c r="BR250" s="354"/>
      <c r="BS250" s="363"/>
      <c r="BT250" s="363"/>
      <c r="BU250" s="363"/>
      <c r="BV250" s="363"/>
      <c r="BW250" s="363"/>
      <c r="BX250" s="363"/>
      <c r="BY250" s="363"/>
      <c r="BZ250" s="363"/>
      <c r="CA250" s="363"/>
      <c r="CB250" s="363"/>
      <c r="CC250" s="323"/>
      <c r="CD250" s="323"/>
      <c r="CE250" s="323"/>
      <c r="CF250" s="323"/>
      <c r="CG250" s="323"/>
      <c r="CH250" s="323"/>
      <c r="CI250" s="323"/>
      <c r="CJ250" s="323"/>
      <c r="CK250" s="323"/>
      <c r="CL250" s="323"/>
      <c r="CM250" s="323"/>
      <c r="CN250" s="323"/>
      <c r="CO250" s="323"/>
      <c r="CP250" s="323"/>
    </row>
    <row r="251" spans="59:94" hidden="1" x14ac:dyDescent="0.25">
      <c r="BG251" s="318"/>
      <c r="BH251" s="319"/>
      <c r="BI251" s="319" t="s">
        <v>609</v>
      </c>
      <c r="BJ251" s="367" t="e">
        <f>BJ249/CG55</f>
        <v>#VALUE!</v>
      </c>
      <c r="BK251" s="367"/>
      <c r="BL251" s="321"/>
      <c r="BM251" s="321"/>
      <c r="BN251" s="354"/>
      <c r="BO251" s="354"/>
      <c r="BP251" s="363"/>
      <c r="BQ251" s="354"/>
      <c r="BR251" s="354"/>
      <c r="BS251" s="363"/>
      <c r="BT251" s="363"/>
      <c r="BU251" s="363"/>
      <c r="BV251" s="363"/>
      <c r="BW251" s="363"/>
      <c r="BX251" s="363"/>
      <c r="BY251" s="363"/>
      <c r="BZ251" s="363"/>
      <c r="CA251" s="363"/>
      <c r="CB251" s="363"/>
      <c r="CC251" s="323"/>
      <c r="CD251" s="323"/>
      <c r="CE251" s="323"/>
      <c r="CF251" s="323"/>
      <c r="CG251" s="323"/>
      <c r="CH251" s="323"/>
      <c r="CI251" s="323"/>
      <c r="CJ251" s="323"/>
      <c r="CK251" s="323"/>
      <c r="CL251" s="323"/>
      <c r="CM251" s="323"/>
      <c r="CN251" s="323"/>
      <c r="CO251" s="323"/>
      <c r="CP251" s="323"/>
    </row>
    <row r="252" spans="59:94" hidden="1" x14ac:dyDescent="0.25">
      <c r="BG252" s="318"/>
      <c r="BH252" s="319"/>
      <c r="BI252" s="319"/>
      <c r="BJ252" s="321"/>
      <c r="BK252" s="321"/>
      <c r="BL252" s="321"/>
      <c r="BM252" s="321"/>
      <c r="BN252" s="354"/>
      <c r="BO252" s="354"/>
      <c r="BP252" s="363"/>
      <c r="BQ252" s="354"/>
      <c r="BR252" s="354"/>
      <c r="BS252" s="363"/>
      <c r="BT252" s="363"/>
      <c r="BU252" s="363"/>
      <c r="BV252" s="363"/>
      <c r="BW252" s="363"/>
      <c r="BX252" s="363"/>
      <c r="BY252" s="363"/>
      <c r="BZ252" s="363"/>
      <c r="CA252" s="363"/>
      <c r="CB252" s="363"/>
      <c r="CC252" s="323"/>
      <c r="CD252" s="323"/>
      <c r="CE252" s="323"/>
      <c r="CF252" s="323"/>
      <c r="CG252" s="323"/>
      <c r="CH252" s="323"/>
      <c r="CI252" s="323"/>
      <c r="CJ252" s="323"/>
      <c r="CK252" s="323"/>
      <c r="CL252" s="323"/>
      <c r="CM252" s="323"/>
      <c r="CN252" s="323"/>
      <c r="CO252" s="323"/>
      <c r="CP252" s="323"/>
    </row>
    <row r="253" spans="59:94" hidden="1" x14ac:dyDescent="0.25">
      <c r="BG253" s="318"/>
      <c r="BH253" s="319" t="s">
        <v>610</v>
      </c>
      <c r="BI253" s="319" t="s">
        <v>590</v>
      </c>
      <c r="BJ253" s="352" t="e">
        <f>9.61*BJ70^-0.0249</f>
        <v>#VALUE!</v>
      </c>
      <c r="BK253" s="321"/>
      <c r="BL253" s="321"/>
      <c r="BM253" s="321"/>
      <c r="BN253" s="354"/>
      <c r="BO253" s="354"/>
      <c r="BP253" s="363"/>
      <c r="BQ253" s="354"/>
      <c r="BR253" s="354"/>
      <c r="BS253" s="363"/>
      <c r="BT253" s="363"/>
      <c r="BU253" s="363"/>
      <c r="BV253" s="363"/>
      <c r="BW253" s="363"/>
      <c r="BX253" s="363"/>
      <c r="BY253" s="363"/>
      <c r="BZ253" s="363"/>
      <c r="CA253" s="363"/>
      <c r="CB253" s="363"/>
      <c r="CC253" s="323"/>
      <c r="CD253" s="323"/>
      <c r="CE253" s="323"/>
      <c r="CF253" s="323"/>
      <c r="CG253" s="323"/>
      <c r="CH253" s="323"/>
      <c r="CI253" s="323"/>
      <c r="CJ253" s="323"/>
      <c r="CK253" s="323"/>
      <c r="CL253" s="323"/>
      <c r="CM253" s="323"/>
      <c r="CN253" s="323"/>
      <c r="CO253" s="323"/>
      <c r="CP253" s="323"/>
    </row>
    <row r="254" spans="59:94" hidden="1" x14ac:dyDescent="0.25">
      <c r="BG254" s="318"/>
      <c r="BH254" s="319"/>
      <c r="BI254" s="319" t="s">
        <v>211</v>
      </c>
      <c r="BJ254" s="352" t="e">
        <f>BJ253*BJ71</f>
        <v>#VALUE!</v>
      </c>
      <c r="BK254" s="321"/>
      <c r="BL254" s="321"/>
      <c r="BM254" s="321"/>
      <c r="BN254" s="354"/>
      <c r="BO254" s="354"/>
      <c r="BP254" s="363"/>
      <c r="BQ254" s="354"/>
      <c r="BR254" s="354"/>
      <c r="BS254" s="363"/>
      <c r="BT254" s="363"/>
      <c r="BU254" s="363"/>
      <c r="BV254" s="363"/>
      <c r="BW254" s="363"/>
      <c r="BX254" s="363"/>
      <c r="BY254" s="363"/>
      <c r="BZ254" s="363"/>
      <c r="CA254" s="363"/>
      <c r="CB254" s="363"/>
      <c r="CC254" s="323"/>
      <c r="CD254" s="323"/>
      <c r="CE254" s="323"/>
      <c r="CF254" s="323"/>
      <c r="CG254" s="323"/>
      <c r="CH254" s="323"/>
      <c r="CI254" s="323"/>
      <c r="CJ254" s="323"/>
      <c r="CK254" s="323"/>
      <c r="CL254" s="323"/>
      <c r="CM254" s="323"/>
      <c r="CN254" s="323"/>
      <c r="CO254" s="323"/>
      <c r="CP254" s="323"/>
    </row>
    <row r="255" spans="59:94" hidden="1" x14ac:dyDescent="0.25">
      <c r="BG255" s="318"/>
      <c r="BH255" s="319"/>
      <c r="BI255" s="319" t="s">
        <v>592</v>
      </c>
      <c r="BJ255" s="321"/>
      <c r="BK255" s="321"/>
      <c r="BL255" s="321"/>
      <c r="BM255" s="321"/>
      <c r="BN255" s="354"/>
      <c r="BO255" s="354"/>
      <c r="BP255" s="363"/>
      <c r="BQ255" s="354"/>
      <c r="BR255" s="354"/>
      <c r="BS255" s="363"/>
      <c r="BT255" s="363"/>
      <c r="BU255" s="363"/>
      <c r="BV255" s="363"/>
      <c r="BW255" s="363"/>
      <c r="BX255" s="363"/>
      <c r="BY255" s="363"/>
      <c r="BZ255" s="363"/>
      <c r="CA255" s="363"/>
      <c r="CB255" s="363"/>
      <c r="CC255" s="323"/>
      <c r="CD255" s="323"/>
      <c r="CE255" s="323"/>
      <c r="CF255" s="323"/>
      <c r="CG255" s="323"/>
      <c r="CH255" s="323"/>
      <c r="CI255" s="323"/>
      <c r="CJ255" s="323"/>
      <c r="CK255" s="323"/>
      <c r="CL255" s="323"/>
      <c r="CM255" s="323"/>
      <c r="CN255" s="323"/>
      <c r="CO255" s="323"/>
      <c r="CP255" s="323"/>
    </row>
    <row r="256" spans="59:94" hidden="1" x14ac:dyDescent="0.25">
      <c r="BG256" s="318"/>
      <c r="BH256" s="319"/>
      <c r="BI256" s="319" t="s">
        <v>611</v>
      </c>
      <c r="BJ256" s="367" t="e">
        <f>BJ254/CG57</f>
        <v>#VALUE!</v>
      </c>
      <c r="BK256" s="367"/>
      <c r="BL256" s="321"/>
      <c r="BM256" s="321"/>
      <c r="BN256" s="354"/>
      <c r="BO256" s="354"/>
      <c r="BP256" s="363"/>
      <c r="BQ256" s="354"/>
      <c r="BR256" s="354"/>
      <c r="BS256" s="363"/>
      <c r="BT256" s="363"/>
      <c r="BU256" s="363"/>
      <c r="BV256" s="363"/>
      <c r="BW256" s="363"/>
      <c r="BX256" s="363"/>
      <c r="BY256" s="363"/>
      <c r="BZ256" s="363"/>
      <c r="CA256" s="363"/>
      <c r="CB256" s="363"/>
      <c r="CC256" s="323"/>
      <c r="CD256" s="323"/>
      <c r="CE256" s="323"/>
      <c r="CF256" s="323"/>
      <c r="CG256" s="323"/>
      <c r="CH256" s="323"/>
      <c r="CI256" s="323"/>
      <c r="CJ256" s="323"/>
      <c r="CK256" s="323"/>
      <c r="CL256" s="323"/>
      <c r="CM256" s="323"/>
      <c r="CN256" s="323"/>
      <c r="CO256" s="323"/>
      <c r="CP256" s="323"/>
    </row>
    <row r="257" spans="59:94" hidden="1" x14ac:dyDescent="0.25">
      <c r="BG257" s="318"/>
      <c r="BH257" s="319"/>
      <c r="BI257" s="319"/>
      <c r="BJ257" s="321"/>
      <c r="BK257" s="321"/>
      <c r="BL257" s="321"/>
      <c r="BM257" s="321"/>
      <c r="BN257" s="354"/>
      <c r="BO257" s="354"/>
      <c r="BP257" s="363"/>
      <c r="BQ257" s="354"/>
      <c r="BR257" s="354"/>
      <c r="BS257" s="363"/>
      <c r="BT257" s="363"/>
      <c r="BU257" s="363"/>
      <c r="BV257" s="363"/>
      <c r="BW257" s="363"/>
      <c r="BX257" s="363"/>
      <c r="BY257" s="363"/>
      <c r="BZ257" s="363"/>
      <c r="CA257" s="363"/>
      <c r="CB257" s="363"/>
      <c r="CC257" s="323"/>
      <c r="CD257" s="323"/>
      <c r="CE257" s="323"/>
      <c r="CF257" s="323"/>
      <c r="CG257" s="323"/>
      <c r="CH257" s="323"/>
      <c r="CI257" s="323"/>
      <c r="CJ257" s="323"/>
      <c r="CK257" s="323"/>
      <c r="CL257" s="323"/>
      <c r="CM257" s="323"/>
      <c r="CN257" s="323"/>
      <c r="CO257" s="323"/>
      <c r="CP257" s="323"/>
    </row>
    <row r="258" spans="59:94" hidden="1" x14ac:dyDescent="0.25">
      <c r="BG258" s="318"/>
      <c r="BH258" s="319" t="s">
        <v>612</v>
      </c>
      <c r="BI258" s="319" t="s">
        <v>590</v>
      </c>
      <c r="BJ258" s="352" t="e">
        <f>34.2*BJ70^-0.1885</f>
        <v>#VALUE!</v>
      </c>
      <c r="BK258" s="321"/>
      <c r="BL258" s="321"/>
      <c r="BM258" s="321"/>
      <c r="BN258" s="354"/>
      <c r="BO258" s="354"/>
      <c r="BP258" s="363"/>
      <c r="BQ258" s="354"/>
      <c r="BR258" s="354"/>
      <c r="BS258" s="363"/>
      <c r="BT258" s="363"/>
      <c r="BU258" s="363"/>
      <c r="BV258" s="363"/>
      <c r="BW258" s="363"/>
      <c r="BX258" s="363"/>
      <c r="BY258" s="363"/>
      <c r="BZ258" s="363"/>
      <c r="CA258" s="363"/>
      <c r="CB258" s="363"/>
      <c r="CC258" s="323"/>
      <c r="CD258" s="323"/>
      <c r="CE258" s="323"/>
      <c r="CF258" s="323"/>
      <c r="CG258" s="323"/>
      <c r="CH258" s="323"/>
      <c r="CI258" s="323"/>
      <c r="CJ258" s="323"/>
      <c r="CK258" s="323"/>
      <c r="CL258" s="323"/>
      <c r="CM258" s="323"/>
      <c r="CN258" s="323"/>
      <c r="CO258" s="323"/>
      <c r="CP258" s="323"/>
    </row>
    <row r="259" spans="59:94" hidden="1" x14ac:dyDescent="0.25">
      <c r="BG259" s="318"/>
      <c r="BH259" s="319"/>
      <c r="BI259" s="319" t="s">
        <v>211</v>
      </c>
      <c r="BJ259" s="352" t="e">
        <f>BJ258*BJ71</f>
        <v>#VALUE!</v>
      </c>
      <c r="BK259" s="321"/>
      <c r="BL259" s="321"/>
      <c r="BM259" s="321"/>
      <c r="BN259" s="354"/>
      <c r="BO259" s="354"/>
      <c r="BP259" s="363"/>
      <c r="BQ259" s="354"/>
      <c r="BR259" s="354"/>
      <c r="BS259" s="363"/>
      <c r="BT259" s="363"/>
      <c r="BU259" s="363"/>
      <c r="BV259" s="363"/>
      <c r="BW259" s="363"/>
      <c r="BX259" s="363"/>
      <c r="BY259" s="363"/>
      <c r="BZ259" s="363"/>
      <c r="CA259" s="363"/>
      <c r="CB259" s="363"/>
      <c r="CC259" s="323"/>
      <c r="CD259" s="323"/>
      <c r="CE259" s="323"/>
      <c r="CF259" s="323"/>
      <c r="CG259" s="323"/>
      <c r="CH259" s="323"/>
      <c r="CI259" s="323"/>
      <c r="CJ259" s="323"/>
      <c r="CK259" s="323"/>
      <c r="CL259" s="323"/>
      <c r="CM259" s="323"/>
      <c r="CN259" s="323"/>
      <c r="CO259" s="323"/>
      <c r="CP259" s="323"/>
    </row>
    <row r="260" spans="59:94" hidden="1" x14ac:dyDescent="0.25">
      <c r="BG260" s="318"/>
      <c r="BH260" s="319"/>
      <c r="BI260" s="319" t="s">
        <v>592</v>
      </c>
      <c r="BJ260" s="321"/>
      <c r="BK260" s="321"/>
      <c r="BL260" s="321"/>
      <c r="BM260" s="321"/>
      <c r="BN260" s="354"/>
      <c r="BO260" s="354"/>
      <c r="BP260" s="363"/>
      <c r="BQ260" s="354"/>
      <c r="BR260" s="354"/>
      <c r="BS260" s="363"/>
      <c r="BT260" s="363"/>
      <c r="BU260" s="363"/>
      <c r="BV260" s="363"/>
      <c r="BW260" s="363"/>
      <c r="BX260" s="363"/>
      <c r="BY260" s="363"/>
      <c r="BZ260" s="363"/>
      <c r="CA260" s="363"/>
      <c r="CB260" s="363"/>
      <c r="CC260" s="323"/>
      <c r="CD260" s="323"/>
      <c r="CE260" s="323"/>
      <c r="CF260" s="323"/>
      <c r="CG260" s="323"/>
      <c r="CH260" s="323"/>
      <c r="CI260" s="323"/>
      <c r="CJ260" s="323"/>
      <c r="CK260" s="323"/>
      <c r="CL260" s="323"/>
      <c r="CM260" s="323"/>
      <c r="CN260" s="323"/>
      <c r="CO260" s="323"/>
      <c r="CP260" s="323"/>
    </row>
    <row r="261" spans="59:94" hidden="1" x14ac:dyDescent="0.25">
      <c r="BG261" s="318"/>
      <c r="BH261" s="319"/>
      <c r="BI261" s="319" t="s">
        <v>613</v>
      </c>
      <c r="BJ261" s="367" t="e">
        <f>BJ259/CG60</f>
        <v>#VALUE!</v>
      </c>
      <c r="BK261" s="321"/>
      <c r="BL261" s="321"/>
      <c r="BM261" s="321"/>
      <c r="BN261" s="354"/>
      <c r="BO261" s="354"/>
      <c r="BP261" s="363"/>
      <c r="BQ261" s="354"/>
      <c r="BR261" s="354"/>
      <c r="BS261" s="363"/>
      <c r="BT261" s="363"/>
      <c r="BU261" s="363"/>
      <c r="BV261" s="363"/>
      <c r="BW261" s="363"/>
      <c r="BX261" s="363"/>
      <c r="BY261" s="363"/>
      <c r="BZ261" s="363"/>
      <c r="CA261" s="363"/>
      <c r="CB261" s="363"/>
      <c r="CC261" s="323"/>
      <c r="CD261" s="323"/>
      <c r="CE261" s="323"/>
      <c r="CF261" s="323"/>
      <c r="CG261" s="323"/>
      <c r="CH261" s="323"/>
      <c r="CI261" s="323"/>
      <c r="CJ261" s="323"/>
      <c r="CK261" s="323"/>
      <c r="CL261" s="323"/>
      <c r="CM261" s="323"/>
      <c r="CN261" s="323"/>
      <c r="CO261" s="323"/>
      <c r="CP261" s="323"/>
    </row>
    <row r="262" spans="59:94" hidden="1" x14ac:dyDescent="0.25">
      <c r="BG262" s="318"/>
      <c r="BH262" s="319"/>
      <c r="BI262" s="319"/>
      <c r="BJ262" s="321"/>
      <c r="BK262" s="321"/>
      <c r="BL262" s="321"/>
      <c r="BM262" s="321"/>
      <c r="BN262" s="354"/>
      <c r="BO262" s="354"/>
      <c r="BP262" s="363"/>
      <c r="BQ262" s="354"/>
      <c r="BR262" s="354"/>
      <c r="BS262" s="363"/>
      <c r="BT262" s="363"/>
      <c r="BU262" s="363"/>
      <c r="BV262" s="363"/>
      <c r="BW262" s="363"/>
      <c r="BX262" s="363"/>
      <c r="BY262" s="363"/>
      <c r="BZ262" s="363"/>
      <c r="CA262" s="363"/>
      <c r="CB262" s="363"/>
      <c r="CC262" s="323"/>
      <c r="CD262" s="323"/>
      <c r="CE262" s="323"/>
      <c r="CF262" s="323"/>
      <c r="CG262" s="323"/>
      <c r="CH262" s="323"/>
      <c r="CI262" s="323"/>
      <c r="CJ262" s="323"/>
      <c r="CK262" s="323"/>
      <c r="CL262" s="323"/>
      <c r="CM262" s="323"/>
      <c r="CN262" s="323"/>
      <c r="CO262" s="323"/>
      <c r="CP262" s="323"/>
    </row>
    <row r="263" spans="59:94" hidden="1" x14ac:dyDescent="0.25">
      <c r="BG263" s="318"/>
      <c r="BH263" s="319" t="s">
        <v>614</v>
      </c>
      <c r="BI263" s="319" t="s">
        <v>590</v>
      </c>
      <c r="BJ263" s="352" t="e">
        <f>23.4*BJ70^-0.1249</f>
        <v>#VALUE!</v>
      </c>
      <c r="BK263" s="321"/>
      <c r="BL263" s="321"/>
      <c r="BM263" s="321"/>
      <c r="BN263" s="354"/>
      <c r="BO263" s="354"/>
      <c r="BP263" s="363"/>
      <c r="BQ263" s="354"/>
      <c r="BR263" s="354"/>
      <c r="BS263" s="363"/>
      <c r="BT263" s="363"/>
      <c r="BU263" s="363"/>
      <c r="BV263" s="363"/>
      <c r="BW263" s="363"/>
      <c r="BX263" s="363"/>
      <c r="BY263" s="363"/>
      <c r="BZ263" s="363"/>
      <c r="CA263" s="363"/>
      <c r="CB263" s="363"/>
      <c r="CC263" s="323"/>
      <c r="CD263" s="323"/>
      <c r="CE263" s="323"/>
      <c r="CF263" s="323"/>
      <c r="CG263" s="323"/>
      <c r="CH263" s="323"/>
      <c r="CI263" s="323"/>
      <c r="CJ263" s="323"/>
      <c r="CK263" s="323"/>
      <c r="CL263" s="323"/>
      <c r="CM263" s="323"/>
      <c r="CN263" s="323"/>
      <c r="CO263" s="323"/>
      <c r="CP263" s="323"/>
    </row>
    <row r="264" spans="59:94" hidden="1" x14ac:dyDescent="0.25">
      <c r="BG264" s="318"/>
      <c r="BH264" s="319"/>
      <c r="BI264" s="319" t="s">
        <v>211</v>
      </c>
      <c r="BJ264" s="352" t="e">
        <f>BJ263*BJ71</f>
        <v>#VALUE!</v>
      </c>
      <c r="BK264" s="321"/>
      <c r="BL264" s="321"/>
      <c r="BM264" s="321"/>
      <c r="BN264" s="354"/>
      <c r="BO264" s="354"/>
      <c r="BP264" s="363"/>
      <c r="BQ264" s="354"/>
      <c r="BR264" s="354"/>
      <c r="BS264" s="363"/>
      <c r="BT264" s="363"/>
      <c r="BU264" s="363"/>
      <c r="BV264" s="363"/>
      <c r="BW264" s="363"/>
      <c r="BX264" s="363"/>
      <c r="BY264" s="363"/>
      <c r="BZ264" s="363"/>
      <c r="CA264" s="363"/>
      <c r="CB264" s="363"/>
      <c r="CC264" s="323"/>
      <c r="CD264" s="323"/>
      <c r="CE264" s="323"/>
      <c r="CF264" s="323"/>
      <c r="CG264" s="323"/>
      <c r="CH264" s="323"/>
      <c r="CI264" s="323"/>
      <c r="CJ264" s="323"/>
      <c r="CK264" s="323"/>
      <c r="CL264" s="323"/>
      <c r="CM264" s="323"/>
      <c r="CN264" s="323"/>
      <c r="CO264" s="323"/>
      <c r="CP264" s="323"/>
    </row>
    <row r="265" spans="59:94" hidden="1" x14ac:dyDescent="0.25">
      <c r="BG265" s="318"/>
      <c r="BH265" s="319"/>
      <c r="BI265" s="319" t="s">
        <v>592</v>
      </c>
      <c r="BJ265" s="321"/>
      <c r="BK265" s="321"/>
      <c r="BL265" s="321"/>
      <c r="BM265" s="321"/>
      <c r="BN265" s="354"/>
      <c r="BO265" s="354"/>
      <c r="BP265" s="363"/>
      <c r="BQ265" s="354"/>
      <c r="BR265" s="354"/>
      <c r="BS265" s="363"/>
      <c r="BT265" s="363"/>
      <c r="BU265" s="363"/>
      <c r="BV265" s="363"/>
      <c r="BW265" s="363"/>
      <c r="BX265" s="363"/>
      <c r="BY265" s="363"/>
      <c r="BZ265" s="363"/>
      <c r="CA265" s="363"/>
      <c r="CB265" s="363"/>
      <c r="CC265" s="323"/>
      <c r="CD265" s="323"/>
      <c r="CE265" s="323"/>
      <c r="CF265" s="323"/>
      <c r="CG265" s="323"/>
      <c r="CH265" s="323"/>
      <c r="CI265" s="323"/>
      <c r="CJ265" s="323"/>
      <c r="CK265" s="323"/>
      <c r="CL265" s="323"/>
      <c r="CM265" s="323"/>
      <c r="CN265" s="323"/>
      <c r="CO265" s="323"/>
      <c r="CP265" s="323"/>
    </row>
    <row r="266" spans="59:94" hidden="1" x14ac:dyDescent="0.25">
      <c r="BG266" s="318"/>
      <c r="BH266" s="319"/>
      <c r="BI266" s="319" t="s">
        <v>615</v>
      </c>
      <c r="BJ266" s="367" t="e">
        <f>BJ264/CG62</f>
        <v>#VALUE!</v>
      </c>
      <c r="BK266" s="367"/>
      <c r="BL266" s="321"/>
      <c r="BM266" s="321"/>
      <c r="BN266" s="354"/>
      <c r="BO266" s="354"/>
      <c r="BP266" s="363"/>
      <c r="BQ266" s="354"/>
      <c r="BR266" s="354"/>
      <c r="BS266" s="363"/>
      <c r="BT266" s="363"/>
      <c r="BU266" s="363"/>
      <c r="BV266" s="363"/>
      <c r="BW266" s="363"/>
      <c r="BX266" s="363"/>
      <c r="BY266" s="363"/>
      <c r="BZ266" s="363"/>
      <c r="CA266" s="363"/>
      <c r="CB266" s="363"/>
      <c r="CC266" s="323"/>
      <c r="CD266" s="323"/>
      <c r="CE266" s="323"/>
      <c r="CF266" s="323"/>
      <c r="CG266" s="323"/>
      <c r="CH266" s="323"/>
      <c r="CI266" s="323"/>
      <c r="CJ266" s="323"/>
      <c r="CK266" s="323"/>
      <c r="CL266" s="323"/>
      <c r="CM266" s="323"/>
      <c r="CN266" s="323"/>
      <c r="CO266" s="323"/>
      <c r="CP266" s="323"/>
    </row>
    <row r="267" spans="59:94" hidden="1" x14ac:dyDescent="0.25">
      <c r="BG267" s="318"/>
      <c r="BH267" s="319"/>
      <c r="BI267" s="319"/>
      <c r="BJ267" s="321"/>
      <c r="BK267" s="321"/>
      <c r="BL267" s="321"/>
      <c r="BM267" s="321"/>
      <c r="BN267" s="354"/>
      <c r="BO267" s="354"/>
      <c r="BP267" s="363"/>
      <c r="BQ267" s="354"/>
      <c r="BR267" s="354"/>
      <c r="BS267" s="363"/>
      <c r="BT267" s="363"/>
      <c r="BU267" s="363"/>
      <c r="BV267" s="363"/>
      <c r="BW267" s="363"/>
      <c r="BX267" s="363"/>
      <c r="BY267" s="363"/>
      <c r="BZ267" s="363"/>
      <c r="CA267" s="363"/>
      <c r="CB267" s="363"/>
      <c r="CC267" s="323"/>
      <c r="CD267" s="323"/>
      <c r="CE267" s="323"/>
      <c r="CF267" s="323"/>
      <c r="CG267" s="323"/>
      <c r="CH267" s="323"/>
      <c r="CI267" s="323"/>
      <c r="CJ267" s="323"/>
      <c r="CK267" s="323"/>
      <c r="CL267" s="323"/>
      <c r="CM267" s="323"/>
      <c r="CN267" s="323"/>
      <c r="CO267" s="323"/>
      <c r="CP267" s="323"/>
    </row>
    <row r="268" spans="59:94" hidden="1" x14ac:dyDescent="0.25">
      <c r="BG268" s="318"/>
      <c r="BH268" s="319" t="s">
        <v>616</v>
      </c>
      <c r="BI268" s="319" t="s">
        <v>590</v>
      </c>
      <c r="BJ268" s="352" t="e">
        <f>1.64*BJ70^0.0111</f>
        <v>#VALUE!</v>
      </c>
      <c r="BK268" s="321"/>
      <c r="BL268" s="321"/>
      <c r="BM268" s="321"/>
      <c r="BN268" s="354"/>
      <c r="BO268" s="354"/>
      <c r="BP268" s="363"/>
      <c r="BQ268" s="354"/>
      <c r="BR268" s="354"/>
      <c r="BS268" s="363"/>
      <c r="BT268" s="363"/>
      <c r="BU268" s="363"/>
      <c r="BV268" s="363"/>
      <c r="BW268" s="363"/>
      <c r="BX268" s="363"/>
      <c r="BY268" s="363"/>
      <c r="BZ268" s="363"/>
      <c r="CA268" s="363"/>
      <c r="CB268" s="363"/>
      <c r="CC268" s="323"/>
      <c r="CD268" s="323"/>
      <c r="CE268" s="323"/>
      <c r="CF268" s="323"/>
      <c r="CG268" s="323"/>
      <c r="CH268" s="323"/>
      <c r="CI268" s="323"/>
      <c r="CJ268" s="323"/>
      <c r="CK268" s="323"/>
      <c r="CL268" s="323"/>
      <c r="CM268" s="323"/>
      <c r="CN268" s="323"/>
      <c r="CO268" s="323"/>
      <c r="CP268" s="323"/>
    </row>
    <row r="269" spans="59:94" hidden="1" x14ac:dyDescent="0.25">
      <c r="BG269" s="318"/>
      <c r="BH269" s="319"/>
      <c r="BI269" s="319" t="s">
        <v>211</v>
      </c>
      <c r="BJ269" s="352" t="e">
        <f>BJ268*BJ71</f>
        <v>#VALUE!</v>
      </c>
      <c r="BK269" s="321"/>
      <c r="BL269" s="321"/>
      <c r="BM269" s="321"/>
      <c r="BN269" s="354"/>
      <c r="BO269" s="354"/>
      <c r="BP269" s="363"/>
      <c r="BQ269" s="354"/>
      <c r="BR269" s="354"/>
      <c r="BS269" s="363"/>
      <c r="BT269" s="363"/>
      <c r="BU269" s="363"/>
      <c r="BV269" s="363"/>
      <c r="BW269" s="363"/>
      <c r="BX269" s="363"/>
      <c r="BY269" s="363"/>
      <c r="BZ269" s="363"/>
      <c r="CA269" s="363"/>
      <c r="CB269" s="363"/>
      <c r="CC269" s="323"/>
      <c r="CD269" s="323"/>
      <c r="CE269" s="323"/>
      <c r="CF269" s="323"/>
      <c r="CG269" s="323"/>
      <c r="CH269" s="323"/>
      <c r="CI269" s="323"/>
      <c r="CJ269" s="323"/>
      <c r="CK269" s="323"/>
      <c r="CL269" s="323"/>
      <c r="CM269" s="323"/>
      <c r="CN269" s="323"/>
      <c r="CO269" s="323"/>
      <c r="CP269" s="323"/>
    </row>
    <row r="270" spans="59:94" hidden="1" x14ac:dyDescent="0.25">
      <c r="BG270" s="318"/>
      <c r="BH270" s="319"/>
      <c r="BI270" s="319" t="s">
        <v>592</v>
      </c>
      <c r="BJ270" s="321"/>
      <c r="BK270" s="321"/>
      <c r="BL270" s="321"/>
      <c r="BM270" s="321"/>
      <c r="BN270" s="354"/>
      <c r="BO270" s="354"/>
      <c r="BP270" s="363"/>
      <c r="BQ270" s="354"/>
      <c r="BR270" s="354"/>
      <c r="BS270" s="363"/>
      <c r="BT270" s="363"/>
      <c r="BU270" s="363"/>
      <c r="BV270" s="363"/>
      <c r="BW270" s="363"/>
      <c r="BX270" s="363"/>
      <c r="BY270" s="363"/>
      <c r="BZ270" s="363"/>
      <c r="CA270" s="363"/>
      <c r="CB270" s="363"/>
      <c r="CC270" s="323"/>
      <c r="CD270" s="323"/>
      <c r="CE270" s="323"/>
      <c r="CF270" s="323"/>
      <c r="CG270" s="323"/>
      <c r="CH270" s="323"/>
      <c r="CI270" s="323"/>
      <c r="CJ270" s="323"/>
      <c r="CK270" s="323"/>
      <c r="CL270" s="323"/>
      <c r="CM270" s="323"/>
      <c r="CN270" s="323"/>
      <c r="CO270" s="323"/>
      <c r="CP270" s="323"/>
    </row>
    <row r="271" spans="59:94" hidden="1" x14ac:dyDescent="0.25">
      <c r="BG271" s="318"/>
      <c r="BH271" s="319"/>
      <c r="BI271" s="319" t="s">
        <v>617</v>
      </c>
      <c r="BJ271" s="367" t="e">
        <f>BJ269/CG64</f>
        <v>#VALUE!</v>
      </c>
      <c r="BK271" s="367"/>
      <c r="BL271" s="321"/>
      <c r="BM271" s="321"/>
      <c r="BN271" s="354"/>
      <c r="BO271" s="354"/>
      <c r="BP271" s="363"/>
      <c r="BQ271" s="354"/>
      <c r="BR271" s="354"/>
      <c r="BS271" s="363"/>
      <c r="BT271" s="363"/>
      <c r="BU271" s="363"/>
      <c r="BV271" s="363"/>
      <c r="BW271" s="363"/>
      <c r="BX271" s="363"/>
      <c r="BY271" s="363"/>
      <c r="BZ271" s="363"/>
      <c r="CA271" s="363"/>
      <c r="CB271" s="363"/>
      <c r="CC271" s="323"/>
      <c r="CD271" s="323"/>
      <c r="CE271" s="323"/>
      <c r="CF271" s="323"/>
      <c r="CG271" s="323"/>
      <c r="CH271" s="323"/>
      <c r="CI271" s="323"/>
      <c r="CJ271" s="323"/>
      <c r="CK271" s="323"/>
      <c r="CL271" s="323"/>
      <c r="CM271" s="323"/>
      <c r="CN271" s="323"/>
      <c r="CO271" s="323"/>
      <c r="CP271" s="323"/>
    </row>
    <row r="272" spans="59:94" hidden="1" x14ac:dyDescent="0.25">
      <c r="BG272" s="318"/>
      <c r="BH272" s="319"/>
      <c r="BI272" s="319"/>
      <c r="BJ272" s="321"/>
      <c r="BK272" s="321"/>
      <c r="BL272" s="321"/>
      <c r="BM272" s="321"/>
      <c r="BN272" s="354"/>
      <c r="BO272" s="354"/>
      <c r="BP272" s="363"/>
      <c r="BQ272" s="354"/>
      <c r="BR272" s="354"/>
      <c r="BS272" s="363"/>
      <c r="BT272" s="363"/>
      <c r="BU272" s="363"/>
      <c r="BV272" s="363"/>
      <c r="BW272" s="363"/>
      <c r="BX272" s="363"/>
      <c r="BY272" s="363"/>
      <c r="BZ272" s="363"/>
      <c r="CA272" s="363"/>
      <c r="CB272" s="363"/>
      <c r="CC272" s="323"/>
      <c r="CD272" s="323"/>
      <c r="CE272" s="323"/>
      <c r="CF272" s="323"/>
      <c r="CG272" s="323"/>
      <c r="CH272" s="323"/>
      <c r="CI272" s="323"/>
      <c r="CJ272" s="323"/>
      <c r="CK272" s="323"/>
      <c r="CL272" s="323"/>
      <c r="CM272" s="323"/>
      <c r="CN272" s="323"/>
      <c r="CO272" s="323"/>
      <c r="CP272" s="323"/>
    </row>
    <row r="273" spans="59:94" hidden="1" x14ac:dyDescent="0.25">
      <c r="BG273" s="318"/>
      <c r="BH273" s="319" t="s">
        <v>618</v>
      </c>
      <c r="BI273" s="319" t="s">
        <v>590</v>
      </c>
      <c r="BJ273" s="352" t="e">
        <f>37.7*BJ70^-0.0942</f>
        <v>#VALUE!</v>
      </c>
      <c r="BK273" s="321"/>
      <c r="BL273" s="321"/>
      <c r="BM273" s="321"/>
      <c r="BN273" s="354"/>
      <c r="BO273" s="354"/>
      <c r="BP273" s="363"/>
      <c r="BQ273" s="354"/>
      <c r="BR273" s="354"/>
      <c r="BS273" s="363"/>
      <c r="BT273" s="363"/>
      <c r="BU273" s="363"/>
      <c r="BV273" s="363"/>
      <c r="BW273" s="363"/>
      <c r="BX273" s="363"/>
      <c r="BY273" s="363"/>
      <c r="BZ273" s="363"/>
      <c r="CA273" s="363"/>
      <c r="CB273" s="363"/>
      <c r="CC273" s="323"/>
      <c r="CD273" s="323"/>
      <c r="CE273" s="323"/>
      <c r="CF273" s="323"/>
      <c r="CG273" s="323"/>
      <c r="CH273" s="323"/>
      <c r="CI273" s="323"/>
      <c r="CJ273" s="323"/>
      <c r="CK273" s="323"/>
      <c r="CL273" s="323"/>
      <c r="CM273" s="323"/>
      <c r="CN273" s="323"/>
      <c r="CO273" s="323"/>
      <c r="CP273" s="323"/>
    </row>
    <row r="274" spans="59:94" hidden="1" x14ac:dyDescent="0.25">
      <c r="BG274" s="318"/>
      <c r="BH274" s="319"/>
      <c r="BI274" s="319" t="s">
        <v>211</v>
      </c>
      <c r="BJ274" s="352" t="e">
        <f>BJ273*BJ71</f>
        <v>#VALUE!</v>
      </c>
      <c r="BK274" s="321"/>
      <c r="BL274" s="321"/>
      <c r="BM274" s="321"/>
      <c r="BN274" s="354"/>
      <c r="BO274" s="354"/>
      <c r="BP274" s="363"/>
      <c r="BQ274" s="354"/>
      <c r="BR274" s="354"/>
      <c r="BS274" s="363"/>
      <c r="BT274" s="363"/>
      <c r="BU274" s="363"/>
      <c r="BV274" s="363"/>
      <c r="BW274" s="363"/>
      <c r="BX274" s="363"/>
      <c r="BY274" s="363"/>
      <c r="BZ274" s="363"/>
      <c r="CA274" s="363"/>
      <c r="CB274" s="363"/>
      <c r="CC274" s="323"/>
      <c r="CD274" s="323"/>
      <c r="CE274" s="323"/>
      <c r="CF274" s="323"/>
      <c r="CG274" s="323"/>
      <c r="CH274" s="323"/>
      <c r="CI274" s="323"/>
      <c r="CJ274" s="323"/>
      <c r="CK274" s="323"/>
      <c r="CL274" s="323"/>
      <c r="CM274" s="323"/>
      <c r="CN274" s="323"/>
      <c r="CO274" s="323"/>
      <c r="CP274" s="323"/>
    </row>
    <row r="275" spans="59:94" hidden="1" x14ac:dyDescent="0.25">
      <c r="BG275" s="318"/>
      <c r="BH275" s="319"/>
      <c r="BI275" s="319" t="s">
        <v>592</v>
      </c>
      <c r="BJ275" s="321"/>
      <c r="BK275" s="321"/>
      <c r="BL275" s="321"/>
      <c r="BM275" s="321"/>
      <c r="BN275" s="354"/>
      <c r="BO275" s="354"/>
      <c r="BP275" s="363"/>
      <c r="BQ275" s="354"/>
      <c r="BR275" s="354"/>
      <c r="BS275" s="363"/>
      <c r="BT275" s="363"/>
      <c r="BU275" s="363"/>
      <c r="BV275" s="363"/>
      <c r="BW275" s="363"/>
      <c r="BX275" s="363"/>
      <c r="BY275" s="363"/>
      <c r="BZ275" s="363"/>
      <c r="CA275" s="363"/>
      <c r="CB275" s="363"/>
      <c r="CC275" s="323"/>
      <c r="CD275" s="323"/>
      <c r="CE275" s="323"/>
      <c r="CF275" s="323"/>
      <c r="CG275" s="323"/>
      <c r="CH275" s="323"/>
      <c r="CI275" s="323"/>
      <c r="CJ275" s="323"/>
      <c r="CK275" s="323"/>
      <c r="CL275" s="323"/>
      <c r="CM275" s="323"/>
      <c r="CN275" s="323"/>
      <c r="CO275" s="323"/>
      <c r="CP275" s="323"/>
    </row>
    <row r="276" spans="59:94" hidden="1" x14ac:dyDescent="0.25">
      <c r="BG276" s="318"/>
      <c r="BH276" s="319"/>
      <c r="BI276" s="319" t="s">
        <v>619</v>
      </c>
      <c r="BJ276" s="367" t="e">
        <f>BJ274/CG66</f>
        <v>#VALUE!</v>
      </c>
      <c r="BK276" s="367"/>
      <c r="BL276" s="321"/>
      <c r="BM276" s="321"/>
      <c r="BN276" s="354"/>
      <c r="BO276" s="354"/>
      <c r="BP276" s="363"/>
      <c r="BQ276" s="354"/>
      <c r="BR276" s="354"/>
      <c r="BS276" s="363"/>
      <c r="BT276" s="363"/>
      <c r="BU276" s="363"/>
      <c r="BV276" s="363"/>
      <c r="BW276" s="363"/>
      <c r="BX276" s="363"/>
      <c r="BY276" s="363"/>
      <c r="BZ276" s="363"/>
      <c r="CA276" s="363"/>
      <c r="CB276" s="363"/>
      <c r="CC276" s="323"/>
      <c r="CD276" s="323"/>
      <c r="CE276" s="323"/>
      <c r="CF276" s="323"/>
      <c r="CG276" s="323"/>
      <c r="CH276" s="323"/>
      <c r="CI276" s="323"/>
      <c r="CJ276" s="323"/>
      <c r="CK276" s="323"/>
      <c r="CL276" s="323"/>
      <c r="CM276" s="323"/>
      <c r="CN276" s="323"/>
      <c r="CO276" s="323"/>
      <c r="CP276" s="323"/>
    </row>
    <row r="277" spans="59:94" hidden="1" x14ac:dyDescent="0.25">
      <c r="BG277" s="318"/>
      <c r="BH277" s="319"/>
      <c r="BI277" s="319"/>
      <c r="BJ277" s="321"/>
      <c r="BK277" s="321"/>
      <c r="BL277" s="321"/>
      <c r="BM277" s="321"/>
      <c r="BN277" s="354"/>
      <c r="BO277" s="354"/>
      <c r="BP277" s="363"/>
      <c r="BQ277" s="354"/>
      <c r="BR277" s="354"/>
      <c r="BS277" s="363"/>
      <c r="BT277" s="363"/>
      <c r="BU277" s="363"/>
      <c r="BV277" s="363"/>
      <c r="BW277" s="363"/>
      <c r="BX277" s="363"/>
      <c r="BY277" s="363"/>
      <c r="BZ277" s="363"/>
      <c r="CA277" s="363"/>
      <c r="CB277" s="363"/>
      <c r="CC277" s="323"/>
      <c r="CD277" s="323"/>
      <c r="CE277" s="323"/>
      <c r="CF277" s="323"/>
      <c r="CG277" s="323"/>
      <c r="CH277" s="323"/>
      <c r="CI277" s="323"/>
      <c r="CJ277" s="323"/>
      <c r="CK277" s="323"/>
      <c r="CL277" s="323"/>
      <c r="CM277" s="323"/>
      <c r="CN277" s="323"/>
      <c r="CO277" s="323"/>
      <c r="CP277" s="323"/>
    </row>
    <row r="278" spans="59:94" hidden="1" x14ac:dyDescent="0.25">
      <c r="BG278" s="318"/>
      <c r="BH278" s="319" t="s">
        <v>620</v>
      </c>
      <c r="BI278" s="319" t="s">
        <v>590</v>
      </c>
      <c r="BJ278" s="352" t="e">
        <f>82.7*BJ70^-0.2709</f>
        <v>#VALUE!</v>
      </c>
      <c r="BK278" s="321"/>
      <c r="BL278" s="321"/>
      <c r="BM278" s="321"/>
      <c r="BN278" s="354"/>
      <c r="BO278" s="354"/>
      <c r="BP278" s="363"/>
      <c r="BQ278" s="354"/>
      <c r="BR278" s="354"/>
      <c r="BS278" s="363"/>
      <c r="BT278" s="363"/>
      <c r="BU278" s="363"/>
      <c r="BV278" s="363"/>
      <c r="BW278" s="363"/>
      <c r="BX278" s="363"/>
      <c r="BY278" s="363"/>
      <c r="BZ278" s="363"/>
      <c r="CA278" s="363"/>
      <c r="CB278" s="363"/>
      <c r="CC278" s="323"/>
      <c r="CD278" s="323"/>
      <c r="CE278" s="323"/>
      <c r="CF278" s="323"/>
      <c r="CG278" s="323"/>
      <c r="CH278" s="323"/>
      <c r="CI278" s="323"/>
      <c r="CJ278" s="323"/>
      <c r="CK278" s="323"/>
      <c r="CL278" s="323"/>
      <c r="CM278" s="323"/>
      <c r="CN278" s="323"/>
      <c r="CO278" s="323"/>
      <c r="CP278" s="323"/>
    </row>
    <row r="279" spans="59:94" hidden="1" x14ac:dyDescent="0.25">
      <c r="BG279" s="318"/>
      <c r="BH279" s="319"/>
      <c r="BI279" s="319" t="s">
        <v>211</v>
      </c>
      <c r="BJ279" s="352" t="e">
        <f>BJ278*BJ71</f>
        <v>#VALUE!</v>
      </c>
      <c r="BK279" s="321"/>
      <c r="BL279" s="321"/>
      <c r="BM279" s="321"/>
      <c r="BN279" s="354"/>
      <c r="BO279" s="354"/>
      <c r="BP279" s="363"/>
      <c r="BQ279" s="354"/>
      <c r="BR279" s="354"/>
      <c r="BS279" s="363"/>
      <c r="BT279" s="363"/>
      <c r="BU279" s="363"/>
      <c r="BV279" s="363"/>
      <c r="BW279" s="363"/>
      <c r="BX279" s="363"/>
      <c r="BY279" s="363"/>
      <c r="BZ279" s="363"/>
      <c r="CA279" s="363"/>
      <c r="CB279" s="363"/>
      <c r="CC279" s="323"/>
      <c r="CD279" s="323"/>
      <c r="CE279" s="323"/>
      <c r="CF279" s="323"/>
      <c r="CG279" s="323"/>
      <c r="CH279" s="323"/>
      <c r="CI279" s="323"/>
      <c r="CJ279" s="323"/>
      <c r="CK279" s="323"/>
      <c r="CL279" s="323"/>
      <c r="CM279" s="323"/>
      <c r="CN279" s="323"/>
      <c r="CO279" s="323"/>
      <c r="CP279" s="323"/>
    </row>
    <row r="280" spans="59:94" hidden="1" x14ac:dyDescent="0.25">
      <c r="BG280" s="318"/>
      <c r="BH280" s="319"/>
      <c r="BI280" s="319" t="s">
        <v>592</v>
      </c>
      <c r="BJ280" s="321"/>
      <c r="BK280" s="321"/>
      <c r="BL280" s="321"/>
      <c r="BM280" s="321"/>
      <c r="BN280" s="354"/>
      <c r="BO280" s="354"/>
      <c r="BP280" s="363"/>
      <c r="BQ280" s="354"/>
      <c r="BR280" s="354"/>
      <c r="BS280" s="363"/>
      <c r="BT280" s="363"/>
      <c r="BU280" s="363"/>
      <c r="BV280" s="363"/>
      <c r="BW280" s="363"/>
      <c r="BX280" s="363"/>
      <c r="BY280" s="363"/>
      <c r="BZ280" s="363"/>
      <c r="CA280" s="363"/>
      <c r="CB280" s="363"/>
      <c r="CC280" s="323"/>
      <c r="CD280" s="323"/>
      <c r="CE280" s="323"/>
      <c r="CF280" s="323"/>
      <c r="CG280" s="323"/>
      <c r="CH280" s="323"/>
      <c r="CI280" s="323"/>
      <c r="CJ280" s="323"/>
      <c r="CK280" s="323"/>
      <c r="CL280" s="323"/>
      <c r="CM280" s="323"/>
      <c r="CN280" s="323"/>
      <c r="CO280" s="323"/>
      <c r="CP280" s="323"/>
    </row>
    <row r="281" spans="59:94" hidden="1" x14ac:dyDescent="0.25">
      <c r="BG281" s="318"/>
      <c r="BH281" s="319"/>
      <c r="BI281" s="319" t="s">
        <v>621</v>
      </c>
      <c r="BJ281" s="367" t="e">
        <f>BJ279/CG68</f>
        <v>#VALUE!</v>
      </c>
      <c r="BK281" s="367"/>
      <c r="BL281" s="321"/>
      <c r="BM281" s="321"/>
      <c r="BN281" s="354"/>
      <c r="BO281" s="354"/>
      <c r="BP281" s="363"/>
      <c r="BQ281" s="354"/>
      <c r="BR281" s="354"/>
      <c r="BS281" s="363"/>
      <c r="BT281" s="363"/>
      <c r="BU281" s="363"/>
      <c r="BV281" s="363"/>
      <c r="BW281" s="363"/>
      <c r="BX281" s="363"/>
      <c r="BY281" s="363"/>
      <c r="BZ281" s="363"/>
      <c r="CA281" s="363"/>
      <c r="CB281" s="363"/>
      <c r="CC281" s="323"/>
      <c r="CD281" s="323"/>
      <c r="CE281" s="323"/>
      <c r="CF281" s="323"/>
      <c r="CG281" s="323"/>
      <c r="CH281" s="323"/>
      <c r="CI281" s="323"/>
      <c r="CJ281" s="323"/>
      <c r="CK281" s="323"/>
      <c r="CL281" s="323"/>
      <c r="CM281" s="323"/>
      <c r="CN281" s="323"/>
      <c r="CO281" s="323"/>
      <c r="CP281" s="323"/>
    </row>
    <row r="282" spans="59:94" hidden="1" x14ac:dyDescent="0.25">
      <c r="BG282" s="318"/>
      <c r="BH282" s="319"/>
      <c r="BI282" s="319"/>
      <c r="BJ282" s="321"/>
      <c r="BK282" s="321"/>
      <c r="BL282" s="321"/>
      <c r="BM282" s="321"/>
      <c r="BN282" s="354"/>
      <c r="BO282" s="354"/>
      <c r="BP282" s="363"/>
      <c r="BQ282" s="354"/>
      <c r="BR282" s="354"/>
      <c r="BS282" s="363"/>
      <c r="BT282" s="363"/>
      <c r="BU282" s="363"/>
      <c r="BV282" s="363"/>
      <c r="BW282" s="363"/>
      <c r="BX282" s="363"/>
      <c r="BY282" s="363"/>
      <c r="BZ282" s="363"/>
      <c r="CA282" s="363"/>
      <c r="CB282" s="363"/>
      <c r="CC282" s="323"/>
      <c r="CD282" s="323"/>
      <c r="CE282" s="323"/>
      <c r="CF282" s="323"/>
      <c r="CG282" s="323"/>
      <c r="CH282" s="323"/>
      <c r="CI282" s="323"/>
      <c r="CJ282" s="323"/>
      <c r="CK282" s="323"/>
      <c r="CL282" s="323"/>
      <c r="CM282" s="323"/>
      <c r="CN282" s="323"/>
      <c r="CO282" s="323"/>
      <c r="CP282" s="323"/>
    </row>
    <row r="283" spans="59:94" hidden="1" x14ac:dyDescent="0.25">
      <c r="BG283" s="318"/>
      <c r="BH283" s="319" t="s">
        <v>622</v>
      </c>
      <c r="BI283" s="319" t="s">
        <v>590</v>
      </c>
      <c r="BJ283" s="352" t="e">
        <f>47.7*BJ70^-0.245</f>
        <v>#VALUE!</v>
      </c>
      <c r="BK283" s="321"/>
      <c r="BL283" s="321"/>
      <c r="BM283" s="321"/>
      <c r="BN283" s="354"/>
      <c r="BO283" s="354"/>
      <c r="BP283" s="363"/>
      <c r="BQ283" s="354"/>
      <c r="BR283" s="354"/>
      <c r="BS283" s="363"/>
      <c r="BT283" s="363"/>
      <c r="BU283" s="363"/>
      <c r="BV283" s="363"/>
      <c r="BW283" s="363"/>
      <c r="BX283" s="363"/>
      <c r="BY283" s="363"/>
      <c r="BZ283" s="363"/>
      <c r="CA283" s="363"/>
      <c r="CB283" s="363"/>
      <c r="CC283" s="323"/>
      <c r="CD283" s="323"/>
      <c r="CE283" s="323"/>
      <c r="CF283" s="323"/>
      <c r="CG283" s="323"/>
      <c r="CH283" s="323"/>
      <c r="CI283" s="323"/>
      <c r="CJ283" s="323"/>
      <c r="CK283" s="323"/>
      <c r="CL283" s="323"/>
      <c r="CM283" s="323"/>
      <c r="CN283" s="323"/>
      <c r="CO283" s="323"/>
      <c r="CP283" s="323"/>
    </row>
    <row r="284" spans="59:94" hidden="1" x14ac:dyDescent="0.25">
      <c r="BG284" s="318"/>
      <c r="BH284" s="319"/>
      <c r="BI284" s="319" t="s">
        <v>211</v>
      </c>
      <c r="BJ284" s="352" t="e">
        <f>BJ283*BJ71</f>
        <v>#VALUE!</v>
      </c>
      <c r="BK284" s="321"/>
      <c r="BL284" s="321"/>
      <c r="BM284" s="321"/>
      <c r="BN284" s="354"/>
      <c r="BO284" s="354"/>
      <c r="BP284" s="363"/>
      <c r="BQ284" s="354"/>
      <c r="BR284" s="354"/>
      <c r="BS284" s="363"/>
      <c r="BT284" s="363"/>
      <c r="BU284" s="363"/>
      <c r="BV284" s="363"/>
      <c r="BW284" s="363"/>
      <c r="BX284" s="363"/>
      <c r="BY284" s="363"/>
      <c r="BZ284" s="363"/>
      <c r="CA284" s="363"/>
      <c r="CB284" s="363"/>
      <c r="CC284" s="323"/>
      <c r="CD284" s="323"/>
      <c r="CE284" s="323"/>
      <c r="CF284" s="323"/>
      <c r="CG284" s="323"/>
      <c r="CH284" s="323"/>
      <c r="CI284" s="323"/>
      <c r="CJ284" s="323"/>
      <c r="CK284" s="323"/>
      <c r="CL284" s="323"/>
      <c r="CM284" s="323"/>
      <c r="CN284" s="323"/>
      <c r="CO284" s="323"/>
      <c r="CP284" s="323"/>
    </row>
    <row r="285" spans="59:94" hidden="1" x14ac:dyDescent="0.25">
      <c r="BG285" s="318"/>
      <c r="BH285" s="319"/>
      <c r="BI285" s="319" t="s">
        <v>592</v>
      </c>
      <c r="BJ285" s="321"/>
      <c r="BK285" s="321"/>
      <c r="BL285" s="321"/>
      <c r="BM285" s="321"/>
      <c r="BN285" s="354"/>
      <c r="BO285" s="354"/>
      <c r="BP285" s="363"/>
      <c r="BQ285" s="354"/>
      <c r="BR285" s="354"/>
      <c r="BS285" s="363"/>
      <c r="BT285" s="363"/>
      <c r="BU285" s="363"/>
      <c r="BV285" s="363"/>
      <c r="BW285" s="363"/>
      <c r="BX285" s="363"/>
      <c r="BY285" s="363"/>
      <c r="BZ285" s="363"/>
      <c r="CA285" s="363"/>
      <c r="CB285" s="363"/>
      <c r="CC285" s="323"/>
      <c r="CD285" s="323"/>
      <c r="CE285" s="323"/>
      <c r="CF285" s="323"/>
      <c r="CG285" s="323"/>
      <c r="CH285" s="323"/>
      <c r="CI285" s="323"/>
      <c r="CJ285" s="323"/>
      <c r="CK285" s="323"/>
      <c r="CL285" s="323"/>
      <c r="CM285" s="323"/>
      <c r="CN285" s="323"/>
      <c r="CO285" s="323"/>
      <c r="CP285" s="323"/>
    </row>
    <row r="286" spans="59:94" hidden="1" x14ac:dyDescent="0.25">
      <c r="BG286" s="318"/>
      <c r="BH286" s="319"/>
      <c r="BI286" s="319" t="s">
        <v>623</v>
      </c>
      <c r="BJ286" s="367" t="e">
        <f>BJ284/CG70</f>
        <v>#VALUE!</v>
      </c>
      <c r="BK286" s="367"/>
      <c r="BL286" s="321"/>
      <c r="BM286" s="321"/>
      <c r="BN286" s="354"/>
      <c r="BO286" s="354"/>
      <c r="BP286" s="363"/>
      <c r="BQ286" s="354"/>
      <c r="BR286" s="354"/>
      <c r="BS286" s="363"/>
      <c r="BT286" s="363"/>
      <c r="BU286" s="363"/>
      <c r="BV286" s="363"/>
      <c r="BW286" s="363"/>
      <c r="BX286" s="363"/>
      <c r="BY286" s="363"/>
      <c r="CA286" s="363"/>
      <c r="CB286" s="363"/>
      <c r="CC286" s="323"/>
      <c r="CD286" s="323"/>
      <c r="CE286" s="323"/>
      <c r="CF286" s="323"/>
      <c r="CG286" s="323"/>
      <c r="CH286" s="323"/>
      <c r="CI286" s="323"/>
      <c r="CJ286" s="323"/>
      <c r="CK286" s="323"/>
      <c r="CL286" s="323"/>
      <c r="CM286" s="323"/>
      <c r="CN286" s="323"/>
      <c r="CO286" s="323"/>
      <c r="CP286" s="323"/>
    </row>
    <row r="287" spans="59:94" hidden="1" x14ac:dyDescent="0.25">
      <c r="BG287" s="318"/>
      <c r="BH287" s="319"/>
      <c r="BI287" s="319"/>
      <c r="BJ287" s="321"/>
      <c r="BK287" s="321"/>
      <c r="BL287" s="321"/>
      <c r="BM287" s="321"/>
      <c r="BN287" s="354"/>
      <c r="BO287" s="354"/>
      <c r="BP287" s="363"/>
      <c r="BQ287" s="354"/>
      <c r="BR287" s="354"/>
      <c r="BS287" s="363"/>
      <c r="BT287" s="363"/>
      <c r="BU287" s="363"/>
      <c r="BV287" s="363"/>
      <c r="BW287" s="363"/>
      <c r="BX287" s="363"/>
      <c r="BY287" s="363"/>
      <c r="CB287" s="363"/>
      <c r="CC287" s="323"/>
      <c r="CD287" s="323"/>
      <c r="CE287" s="323"/>
      <c r="CF287" s="323"/>
      <c r="CG287" s="323"/>
      <c r="CH287" s="323"/>
      <c r="CI287" s="323"/>
      <c r="CJ287" s="323"/>
      <c r="CK287" s="323"/>
      <c r="CL287" s="323"/>
      <c r="CM287" s="323"/>
      <c r="CN287" s="323"/>
      <c r="CO287" s="323"/>
      <c r="CP287" s="323"/>
    </row>
    <row r="288" spans="59:94" hidden="1" x14ac:dyDescent="0.25">
      <c r="BG288" s="318"/>
      <c r="BH288" s="319" t="s">
        <v>624</v>
      </c>
      <c r="BI288" s="319" t="s">
        <v>590</v>
      </c>
      <c r="BJ288" s="352" t="e">
        <f>16*BJ70^-0.1509</f>
        <v>#VALUE!</v>
      </c>
      <c r="BK288" s="321"/>
      <c r="BL288" s="321"/>
      <c r="BM288" s="321"/>
      <c r="BN288" s="354"/>
      <c r="BO288" s="354"/>
      <c r="BP288" s="363"/>
      <c r="BQ288" s="354"/>
      <c r="BR288" s="354"/>
      <c r="BS288" s="363"/>
      <c r="BT288" s="363"/>
      <c r="BU288" s="363"/>
      <c r="BV288" s="363"/>
      <c r="BW288" s="363"/>
      <c r="BX288" s="363"/>
      <c r="BY288" s="363"/>
      <c r="CB288" s="363"/>
      <c r="CC288" s="323"/>
      <c r="CD288" s="323"/>
      <c r="CE288" s="323"/>
      <c r="CF288" s="323"/>
      <c r="CG288" s="323"/>
      <c r="CH288" s="323"/>
      <c r="CI288" s="323"/>
      <c r="CJ288" s="323"/>
      <c r="CK288" s="323"/>
      <c r="CL288" s="323"/>
      <c r="CM288" s="323"/>
      <c r="CN288" s="323"/>
      <c r="CO288" s="323"/>
      <c r="CP288" s="323"/>
    </row>
    <row r="289" spans="59:94" hidden="1" x14ac:dyDescent="0.25">
      <c r="BG289" s="318"/>
      <c r="BH289" s="319"/>
      <c r="BI289" s="319" t="s">
        <v>211</v>
      </c>
      <c r="BJ289" s="352" t="e">
        <f>BJ288*BJ71</f>
        <v>#VALUE!</v>
      </c>
      <c r="BK289" s="321"/>
      <c r="BL289" s="321"/>
      <c r="BM289" s="321"/>
      <c r="BN289" s="354"/>
      <c r="BO289" s="354"/>
      <c r="BP289" s="363"/>
      <c r="BQ289" s="354"/>
      <c r="BR289" s="354"/>
      <c r="BS289" s="363"/>
      <c r="BT289" s="363"/>
      <c r="BU289" s="363"/>
      <c r="BV289" s="363"/>
      <c r="BW289" s="363"/>
      <c r="BX289" s="363"/>
      <c r="BY289" s="363"/>
      <c r="CB289" s="363"/>
      <c r="CC289" s="323"/>
      <c r="CD289" s="323"/>
      <c r="CE289" s="323"/>
      <c r="CF289" s="323"/>
      <c r="CG289" s="323"/>
      <c r="CH289" s="323"/>
      <c r="CI289" s="323"/>
      <c r="CJ289" s="323"/>
      <c r="CK289" s="323"/>
      <c r="CL289" s="323"/>
      <c r="CM289" s="323"/>
      <c r="CN289" s="323"/>
      <c r="CO289" s="323"/>
      <c r="CP289" s="323"/>
    </row>
    <row r="290" spans="59:94" hidden="1" x14ac:dyDescent="0.25">
      <c r="BG290" s="318"/>
      <c r="BH290" s="319"/>
      <c r="BI290" s="319" t="s">
        <v>592</v>
      </c>
      <c r="BJ290" s="321"/>
      <c r="BK290" s="321"/>
      <c r="BL290" s="321"/>
      <c r="BM290" s="321"/>
      <c r="BN290" s="354"/>
      <c r="BO290" s="354"/>
      <c r="BP290" s="363"/>
      <c r="BQ290" s="354"/>
      <c r="BR290" s="354"/>
      <c r="BS290" s="363"/>
      <c r="BT290" s="363"/>
      <c r="BU290" s="363"/>
      <c r="BV290" s="363"/>
      <c r="BW290" s="363"/>
      <c r="BX290" s="363"/>
      <c r="BY290" s="363"/>
      <c r="CB290" s="363"/>
      <c r="CC290" s="323"/>
      <c r="CD290" s="323"/>
      <c r="CE290" s="323"/>
      <c r="CF290" s="323"/>
      <c r="CG290" s="323"/>
      <c r="CH290" s="323"/>
      <c r="CI290" s="323"/>
      <c r="CJ290" s="323"/>
      <c r="CK290" s="323"/>
      <c r="CL290" s="323"/>
      <c r="CM290" s="323"/>
      <c r="CN290" s="323"/>
      <c r="CO290" s="323"/>
      <c r="CP290" s="323"/>
    </row>
    <row r="291" spans="59:94" hidden="1" x14ac:dyDescent="0.25">
      <c r="BG291" s="318"/>
      <c r="BH291" s="319"/>
      <c r="BI291" s="319" t="s">
        <v>625</v>
      </c>
      <c r="BJ291" s="367" t="e">
        <f>BJ289/CG72</f>
        <v>#VALUE!</v>
      </c>
      <c r="BK291" s="321"/>
      <c r="BL291" s="321"/>
      <c r="BM291" s="321"/>
      <c r="BN291" s="354"/>
      <c r="BO291" s="354"/>
      <c r="BP291" s="363"/>
      <c r="BQ291" s="354"/>
      <c r="BR291" s="354"/>
      <c r="BS291" s="363"/>
      <c r="BT291" s="363"/>
      <c r="BU291" s="363"/>
      <c r="BV291" s="363"/>
      <c r="BW291" s="363"/>
      <c r="BX291" s="363"/>
      <c r="BY291" s="363"/>
      <c r="CB291" s="363"/>
      <c r="CC291" s="323"/>
      <c r="CD291" s="323"/>
      <c r="CE291" s="323"/>
      <c r="CF291" s="323"/>
      <c r="CG291" s="323"/>
      <c r="CH291" s="323"/>
      <c r="CI291" s="323"/>
      <c r="CJ291" s="323"/>
      <c r="CK291" s="323"/>
      <c r="CL291" s="323"/>
      <c r="CM291" s="323"/>
      <c r="CN291" s="323"/>
      <c r="CO291" s="323"/>
      <c r="CP291" s="323"/>
    </row>
    <row r="292" spans="59:94" hidden="1" x14ac:dyDescent="0.25">
      <c r="BG292" s="318"/>
      <c r="BH292" s="319"/>
      <c r="BI292" s="319"/>
      <c r="BJ292" s="321"/>
      <c r="BK292" s="321"/>
      <c r="BL292" s="321"/>
      <c r="BM292" s="321"/>
      <c r="BN292" s="354"/>
      <c r="BO292" s="354"/>
      <c r="BP292" s="363"/>
      <c r="BQ292" s="354"/>
      <c r="BR292" s="354"/>
      <c r="BS292" s="363"/>
      <c r="BT292" s="363"/>
      <c r="BU292" s="363"/>
      <c r="BV292" s="363"/>
      <c r="BW292" s="363"/>
      <c r="BX292" s="363"/>
      <c r="BY292" s="363"/>
      <c r="CB292" s="363"/>
      <c r="CC292" s="323"/>
      <c r="CD292" s="323"/>
      <c r="CE292" s="323"/>
      <c r="CF292" s="323"/>
      <c r="CG292" s="323"/>
      <c r="CH292" s="323"/>
      <c r="CI292" s="323"/>
      <c r="CJ292" s="323"/>
      <c r="CK292" s="323"/>
      <c r="CL292" s="323"/>
      <c r="CM292" s="323"/>
      <c r="CN292" s="323"/>
      <c r="CO292" s="323"/>
      <c r="CP292" s="323"/>
    </row>
    <row r="293" spans="59:94" hidden="1" x14ac:dyDescent="0.25">
      <c r="BG293" s="318"/>
      <c r="BH293" s="319" t="s">
        <v>626</v>
      </c>
      <c r="BI293" s="319" t="s">
        <v>590</v>
      </c>
      <c r="BJ293" s="352" t="e">
        <f>6.53*BJ70^-0.0526</f>
        <v>#VALUE!</v>
      </c>
      <c r="BK293" s="321"/>
      <c r="BL293" s="321"/>
      <c r="BM293" s="321"/>
      <c r="BN293" s="354"/>
      <c r="BO293" s="354"/>
      <c r="BP293" s="363"/>
      <c r="BQ293" s="354"/>
      <c r="BR293" s="354"/>
      <c r="BS293" s="363"/>
      <c r="BT293" s="363"/>
      <c r="BU293" s="363"/>
      <c r="BV293" s="363"/>
      <c r="BW293" s="363"/>
      <c r="BX293" s="363"/>
      <c r="BY293" s="363"/>
      <c r="CB293" s="363"/>
      <c r="CC293" s="323"/>
      <c r="CD293" s="323"/>
      <c r="CE293" s="323"/>
      <c r="CF293" s="323"/>
      <c r="CG293" s="323"/>
      <c r="CH293" s="323"/>
      <c r="CI293" s="323"/>
      <c r="CJ293" s="323"/>
      <c r="CK293" s="323"/>
      <c r="CL293" s="323"/>
      <c r="CM293" s="323"/>
      <c r="CN293" s="323"/>
      <c r="CO293" s="323"/>
      <c r="CP293" s="323"/>
    </row>
    <row r="294" spans="59:94" hidden="1" x14ac:dyDescent="0.25">
      <c r="BG294" s="318"/>
      <c r="BH294" s="319"/>
      <c r="BI294" s="319" t="s">
        <v>211</v>
      </c>
      <c r="BJ294" s="352" t="e">
        <f>BJ293*BJ71</f>
        <v>#VALUE!</v>
      </c>
      <c r="BK294" s="321"/>
      <c r="BL294" s="321"/>
      <c r="BM294" s="321"/>
      <c r="BN294" s="354"/>
      <c r="BO294" s="354"/>
      <c r="BP294" s="363"/>
      <c r="BQ294" s="354"/>
      <c r="BR294" s="354"/>
      <c r="BS294" s="363"/>
      <c r="BT294" s="363"/>
      <c r="BU294" s="363"/>
      <c r="BV294" s="363"/>
      <c r="BW294" s="363"/>
      <c r="BX294" s="363"/>
      <c r="BY294" s="363"/>
      <c r="CB294" s="363"/>
      <c r="CC294" s="323"/>
      <c r="CD294" s="323"/>
      <c r="CE294" s="323"/>
      <c r="CF294" s="323"/>
      <c r="CG294" s="323"/>
      <c r="CH294" s="323"/>
      <c r="CI294" s="323"/>
      <c r="CJ294" s="323"/>
      <c r="CK294" s="323"/>
      <c r="CL294" s="323"/>
      <c r="CM294" s="323"/>
      <c r="CN294" s="323"/>
      <c r="CO294" s="323"/>
      <c r="CP294" s="323"/>
    </row>
    <row r="295" spans="59:94" hidden="1" x14ac:dyDescent="0.25">
      <c r="BG295" s="318"/>
      <c r="BH295" s="319"/>
      <c r="BI295" s="319" t="s">
        <v>592</v>
      </c>
      <c r="BJ295" s="321"/>
      <c r="BK295" s="321"/>
      <c r="BL295" s="321"/>
      <c r="BM295" s="321"/>
      <c r="BN295" s="354"/>
      <c r="BO295" s="354"/>
      <c r="BP295" s="363"/>
      <c r="BQ295" s="354"/>
      <c r="BR295" s="354"/>
      <c r="BS295" s="363"/>
      <c r="BT295" s="363"/>
      <c r="BU295" s="363"/>
      <c r="BV295" s="363"/>
      <c r="BW295" s="363"/>
      <c r="BX295" s="363"/>
      <c r="BY295" s="363"/>
      <c r="CB295" s="363"/>
      <c r="CC295" s="323"/>
      <c r="CD295" s="323"/>
      <c r="CE295" s="323"/>
      <c r="CF295" s="323"/>
      <c r="CG295" s="323"/>
      <c r="CH295" s="323"/>
      <c r="CI295" s="323"/>
      <c r="CJ295" s="323"/>
      <c r="CK295" s="323"/>
      <c r="CL295" s="323"/>
      <c r="CM295" s="323"/>
      <c r="CN295" s="323"/>
      <c r="CO295" s="323"/>
      <c r="CP295" s="323"/>
    </row>
    <row r="296" spans="59:94" hidden="1" x14ac:dyDescent="0.25">
      <c r="BG296" s="318"/>
      <c r="BH296" s="319"/>
      <c r="BI296" s="319" t="s">
        <v>627</v>
      </c>
      <c r="BJ296" s="367" t="e">
        <f>BJ294/CG74</f>
        <v>#VALUE!</v>
      </c>
      <c r="BK296" s="321"/>
      <c r="BL296" s="321"/>
      <c r="BM296" s="321"/>
      <c r="BN296" s="354"/>
      <c r="BO296" s="354"/>
      <c r="BP296" s="363"/>
      <c r="BQ296" s="354"/>
      <c r="BR296" s="354"/>
      <c r="BS296" s="363"/>
      <c r="BT296" s="363"/>
      <c r="BU296" s="363"/>
      <c r="BV296" s="363"/>
      <c r="BW296" s="363"/>
      <c r="BX296" s="363"/>
      <c r="BY296" s="363"/>
      <c r="CB296" s="363"/>
      <c r="CC296" s="323"/>
      <c r="CD296" s="323"/>
      <c r="CE296" s="323"/>
      <c r="CF296" s="323"/>
      <c r="CG296" s="323"/>
      <c r="CH296" s="323"/>
      <c r="CI296" s="323"/>
      <c r="CJ296" s="323"/>
      <c r="CK296" s="323"/>
      <c r="CL296" s="323"/>
      <c r="CM296" s="323"/>
      <c r="CN296" s="323"/>
      <c r="CO296" s="323"/>
      <c r="CP296" s="323"/>
    </row>
    <row r="297" spans="59:94" hidden="1" x14ac:dyDescent="0.25">
      <c r="BG297" s="318"/>
      <c r="BH297" s="319"/>
      <c r="BI297" s="319"/>
      <c r="BJ297" s="321"/>
      <c r="BK297" s="321"/>
      <c r="BL297" s="321"/>
      <c r="BM297" s="321"/>
      <c r="BN297" s="354"/>
      <c r="BO297" s="354"/>
      <c r="BP297" s="363"/>
      <c r="BQ297" s="354"/>
      <c r="BR297" s="354"/>
      <c r="BS297" s="363"/>
      <c r="BT297" s="363"/>
      <c r="BU297" s="363"/>
      <c r="BV297" s="363"/>
      <c r="BW297" s="363"/>
      <c r="BX297" s="363"/>
      <c r="BY297" s="363"/>
      <c r="CB297" s="363"/>
      <c r="CC297" s="323"/>
      <c r="CD297" s="323"/>
      <c r="CE297" s="323"/>
      <c r="CF297" s="323"/>
      <c r="CG297" s="323"/>
      <c r="CH297" s="323"/>
      <c r="CI297" s="323"/>
      <c r="CJ297" s="323"/>
      <c r="CK297" s="323"/>
      <c r="CL297" s="323"/>
      <c r="CM297" s="323"/>
      <c r="CN297" s="323"/>
      <c r="CO297" s="323"/>
      <c r="CP297" s="323"/>
    </row>
    <row r="298" spans="59:94" hidden="1" x14ac:dyDescent="0.25">
      <c r="BG298" s="318"/>
      <c r="BH298" s="319"/>
      <c r="BI298" s="319"/>
      <c r="BJ298" s="321"/>
      <c r="BK298" s="321"/>
      <c r="BL298" s="321"/>
      <c r="BM298" s="321"/>
      <c r="BN298" s="354"/>
      <c r="BO298" s="354"/>
      <c r="BP298" s="363"/>
      <c r="BQ298" s="354"/>
      <c r="BR298" s="354"/>
      <c r="BS298" s="363"/>
      <c r="BT298" s="363"/>
      <c r="BU298" s="363"/>
      <c r="BV298" s="363"/>
      <c r="BW298" s="363"/>
      <c r="BX298" s="363"/>
      <c r="BY298" s="363"/>
      <c r="CB298" s="363"/>
      <c r="CC298" s="323"/>
      <c r="CD298" s="323"/>
      <c r="CE298" s="323"/>
      <c r="CF298" s="323"/>
      <c r="CG298" s="323"/>
      <c r="CH298" s="323"/>
      <c r="CI298" s="323"/>
      <c r="CJ298" s="323"/>
      <c r="CK298" s="323"/>
      <c r="CL298" s="323"/>
      <c r="CM298" s="323"/>
      <c r="CN298" s="323"/>
      <c r="CO298" s="323"/>
      <c r="CP298" s="323"/>
    </row>
    <row r="299" spans="59:94" ht="30" hidden="1" x14ac:dyDescent="0.25">
      <c r="BG299" s="318"/>
      <c r="BH299" s="351" t="s">
        <v>460</v>
      </c>
      <c r="BI299" s="351"/>
      <c r="BJ299" s="352" t="str">
        <f>C8</f>
        <v/>
      </c>
      <c r="BK299" s="321"/>
      <c r="BL299" s="321"/>
      <c r="BM299" s="321"/>
      <c r="BN299" s="354"/>
      <c r="BO299" s="354"/>
      <c r="BP299" s="363"/>
      <c r="BQ299" s="354"/>
      <c r="BR299" s="354"/>
      <c r="BS299" s="363"/>
      <c r="BT299" s="363"/>
      <c r="BU299" s="363"/>
      <c r="BV299" s="363"/>
      <c r="BW299" s="363"/>
      <c r="BX299" s="363"/>
      <c r="BY299" s="363"/>
      <c r="CB299" s="363"/>
      <c r="CC299" s="323"/>
      <c r="CD299" s="323"/>
      <c r="CE299" s="323"/>
      <c r="CF299" s="323"/>
      <c r="CG299" s="323"/>
      <c r="CH299" s="323"/>
      <c r="CI299" s="323"/>
      <c r="CJ299" s="323"/>
      <c r="CK299" s="323"/>
      <c r="CL299" s="323"/>
      <c r="CM299" s="323"/>
      <c r="CN299" s="323"/>
      <c r="CO299" s="323"/>
      <c r="CP299" s="323"/>
    </row>
    <row r="300" spans="59:94" hidden="1" x14ac:dyDescent="0.25">
      <c r="BG300" s="318"/>
      <c r="BH300" s="351" t="s">
        <v>589</v>
      </c>
      <c r="BI300" s="351"/>
      <c r="BJ300" s="368">
        <f>C9</f>
        <v>0</v>
      </c>
      <c r="BK300" s="321"/>
      <c r="BL300" s="321"/>
      <c r="BM300" s="321"/>
      <c r="BN300" s="354"/>
      <c r="BO300" s="354"/>
      <c r="BP300" s="363"/>
      <c r="BQ300" s="354"/>
      <c r="BR300" s="354"/>
      <c r="BS300" s="363"/>
      <c r="BT300" s="363"/>
      <c r="BU300" s="363"/>
      <c r="BV300" s="363"/>
      <c r="BW300" s="363"/>
      <c r="BX300" s="363"/>
      <c r="BY300" s="363"/>
      <c r="CB300" s="363"/>
      <c r="CC300" s="323"/>
      <c r="CD300" s="323"/>
      <c r="CE300" s="323"/>
      <c r="CF300" s="323"/>
      <c r="CG300" s="323"/>
      <c r="CH300" s="323"/>
      <c r="CI300" s="323"/>
      <c r="CJ300" s="323"/>
      <c r="CK300" s="323"/>
      <c r="CL300" s="323"/>
      <c r="CM300" s="323"/>
      <c r="CN300" s="323"/>
      <c r="CO300" s="323"/>
      <c r="CP300" s="323"/>
    </row>
    <row r="301" spans="59:94" hidden="1" x14ac:dyDescent="0.25">
      <c r="BG301" s="318"/>
      <c r="BH301" s="318"/>
      <c r="BI301" s="318"/>
      <c r="BJ301" s="318"/>
      <c r="BK301" s="321"/>
      <c r="BL301" s="321"/>
      <c r="BM301" s="321"/>
      <c r="BN301" s="354"/>
      <c r="BO301" s="354"/>
      <c r="BP301" s="363"/>
      <c r="BQ301" s="354"/>
      <c r="BR301" s="354"/>
      <c r="BS301" s="363"/>
      <c r="BT301" s="363"/>
      <c r="BU301" s="363"/>
      <c r="BV301" s="363"/>
      <c r="BW301" s="363"/>
      <c r="BX301" s="363"/>
      <c r="BY301" s="363"/>
      <c r="CB301" s="363"/>
      <c r="CC301" s="323"/>
      <c r="CD301" s="323"/>
      <c r="CE301" s="323"/>
      <c r="CF301" s="323"/>
      <c r="CG301" s="323"/>
      <c r="CH301" s="323"/>
      <c r="CI301" s="323"/>
      <c r="CJ301" s="323"/>
      <c r="CK301" s="323"/>
      <c r="CL301" s="323"/>
      <c r="CM301" s="323"/>
      <c r="CN301" s="323"/>
      <c r="CO301" s="323"/>
      <c r="CP301" s="323"/>
    </row>
  </sheetData>
  <sheetProtection algorithmName="SHA-512" hashValue="nPVj7sqjAChM+PvH0tVPUV0qMWrXcZktkanIS6hvh540yF1q5naljFtWDQmrPU4WlF45rpo6w2ZINTIMJ7r7UA==" saltValue="STnJnuv+mAXCcpX3iDNzRg==" spinCount="100000" sheet="1" objects="1" scenarios="1" selectLockedCells="1"/>
  <mergeCells count="16">
    <mergeCell ref="Z20:AB21"/>
    <mergeCell ref="Z5:AB5"/>
    <mergeCell ref="Z6:AA6"/>
    <mergeCell ref="CT31:CU31"/>
    <mergeCell ref="B5:C5"/>
    <mergeCell ref="E5:H5"/>
    <mergeCell ref="J25:K25"/>
    <mergeCell ref="B10:B11"/>
    <mergeCell ref="B15:C15"/>
    <mergeCell ref="R5:X5"/>
    <mergeCell ref="B27:U27"/>
    <mergeCell ref="R22:X22"/>
    <mergeCell ref="R23:X23"/>
    <mergeCell ref="R24:X24"/>
    <mergeCell ref="J5:P5"/>
    <mergeCell ref="F21:G21"/>
  </mergeCells>
  <conditionalFormatting sqref="F21">
    <cfRule type="cellIs" dxfId="58" priority="45" operator="lessThan">
      <formula>1</formula>
    </cfRule>
    <cfRule type="cellIs" dxfId="57" priority="46" operator="greaterThan">
      <formula>1</formula>
    </cfRule>
  </conditionalFormatting>
  <conditionalFormatting sqref="O7:P10 O11:O15 N7:N15 N16:O23">
    <cfRule type="cellIs" dxfId="56" priority="38" operator="equal">
      <formula>"REDUZIR"</formula>
    </cfRule>
    <cfRule type="cellIs" dxfId="55" priority="39" operator="equal">
      <formula>"AUMENTAR"</formula>
    </cfRule>
    <cfRule type="cellIs" dxfId="54" priority="40" operator="equal">
      <formula>"Sobra"</formula>
    </cfRule>
    <cfRule type="cellIs" dxfId="53" priority="41" operator="equal">
      <formula>"Falta"</formula>
    </cfRule>
    <cfRule type="cellIs" dxfId="52" priority="42" operator="equal">
      <formula>"Ok"</formula>
    </cfRule>
  </conditionalFormatting>
  <conditionalFormatting sqref="C11">
    <cfRule type="expression" dxfId="51" priority="47">
      <formula>#REF!="Zebuíno"</formula>
    </cfRule>
  </conditionalFormatting>
  <conditionalFormatting sqref="P11:P17">
    <cfRule type="cellIs" dxfId="50" priority="21" operator="equal">
      <formula>"REDUZIR"</formula>
    </cfRule>
    <cfRule type="cellIs" dxfId="49" priority="22" operator="equal">
      <formula>"AUMENTAR"</formula>
    </cfRule>
    <cfRule type="cellIs" dxfId="48" priority="23" operator="equal">
      <formula>"Sobra"</formula>
    </cfRule>
    <cfRule type="cellIs" dxfId="47" priority="24" operator="equal">
      <formula>"Falta"</formula>
    </cfRule>
    <cfRule type="cellIs" dxfId="46" priority="25" operator="equal">
      <formula>"Ok"</formula>
    </cfRule>
  </conditionalFormatting>
  <conditionalFormatting sqref="P18:P22">
    <cfRule type="cellIs" dxfId="45" priority="16" operator="equal">
      <formula>"REDUZIR"</formula>
    </cfRule>
    <cfRule type="cellIs" dxfId="44" priority="17" operator="equal">
      <formula>"AUMENTAR"</formula>
    </cfRule>
    <cfRule type="cellIs" dxfId="43" priority="18" operator="equal">
      <formula>"Sobra"</formula>
    </cfRule>
    <cfRule type="cellIs" dxfId="42" priority="19" operator="equal">
      <formula>"Falta"</formula>
    </cfRule>
    <cfRule type="cellIs" dxfId="41" priority="20" operator="equal">
      <formula>"Ok"</formula>
    </cfRule>
  </conditionalFormatting>
  <conditionalFormatting sqref="P23">
    <cfRule type="cellIs" dxfId="40" priority="11" operator="equal">
      <formula>"REDUZIR"</formula>
    </cfRule>
    <cfRule type="cellIs" dxfId="39" priority="12" operator="equal">
      <formula>"AUMENTAR"</formula>
    </cfRule>
    <cfRule type="cellIs" dxfId="38" priority="13" operator="equal">
      <formula>"Sobra"</formula>
    </cfRule>
    <cfRule type="cellIs" dxfId="37" priority="14" operator="equal">
      <formula>"Falta"</formula>
    </cfRule>
    <cfRule type="cellIs" dxfId="36" priority="15" operator="equal">
      <formula>"Ok"</formula>
    </cfRule>
  </conditionalFormatting>
  <conditionalFormatting sqref="J23:P23">
    <cfRule type="expression" dxfId="35" priority="10">
      <formula>$N$23="Reduzir"</formula>
    </cfRule>
  </conditionalFormatting>
  <conditionalFormatting sqref="J8:P8">
    <cfRule type="expression" dxfId="34" priority="9">
      <formula>$N$8="Reduzir"</formula>
    </cfRule>
  </conditionalFormatting>
  <conditionalFormatting sqref="J9:P9">
    <cfRule type="expression" dxfId="33" priority="8">
      <formula>$N$9="Reduzir"</formula>
    </cfRule>
  </conditionalFormatting>
  <conditionalFormatting sqref="B29:U40">
    <cfRule type="expression" dxfId="32" priority="7">
      <formula>COUNTIF($R$7:$R$20, $B29)</formula>
    </cfRule>
  </conditionalFormatting>
  <conditionalFormatting sqref="B43:X54">
    <cfRule type="expression" dxfId="31" priority="6">
      <formula>COUNTIF($E$7:$E$21, $B43)</formula>
    </cfRule>
  </conditionalFormatting>
  <conditionalFormatting sqref="B57:W68">
    <cfRule type="expression" dxfId="30" priority="5">
      <formula>COUNTIF($E$7:$E$21, $B57)</formula>
    </cfRule>
  </conditionalFormatting>
  <conditionalFormatting sqref="W43:W54">
    <cfRule type="colorScale" priority="3">
      <colorScale>
        <cfvo type="min"/>
        <cfvo type="percentile" val="50"/>
        <cfvo type="max"/>
        <color rgb="FF63BE7B"/>
        <color rgb="FFFFEB84"/>
        <color rgb="FFF8696B"/>
      </colorScale>
    </cfRule>
  </conditionalFormatting>
  <conditionalFormatting sqref="X43:X54">
    <cfRule type="colorScale" priority="2">
      <colorScale>
        <cfvo type="min"/>
        <cfvo type="percentile" val="50"/>
        <cfvo type="max"/>
        <color rgb="FF63BE7B"/>
        <color rgb="FFFFEB84"/>
        <color rgb="FFF8696B"/>
      </colorScale>
    </cfRule>
  </conditionalFormatting>
  <conditionalFormatting sqref="N23">
    <cfRule type="expression" dxfId="29" priority="1">
      <formula>$N$8="Reduzir"</formula>
    </cfRule>
  </conditionalFormatting>
  <dataValidations count="13">
    <dataValidation type="list" allowBlank="1" showInputMessage="1" showErrorMessage="1" sqref="AE14" xr:uid="{7D87A91C-F41B-4B65-A635-DDA90D5B6D6B}">
      <formula1>"Corte,Cruzado leiteiro,Leiteiro"</formula1>
    </dataValidation>
    <dataValidation type="list" allowBlank="1" showInputMessage="1" showErrorMessage="1" sqref="AE13" xr:uid="{BEE7A579-0C8D-4B25-95CB-6E789D9A940C}">
      <formula1>"Sim,Não"</formula1>
    </dataValidation>
    <dataValidation type="whole" allowBlank="1" showInputMessage="1" showErrorMessage="1" sqref="C6:C7" xr:uid="{5CE08C64-004D-4FFC-8C76-6CA1EFB45E14}">
      <formula1>0</formula1>
      <formula2>1000</formula2>
    </dataValidation>
    <dataValidation type="decimal" allowBlank="1" showInputMessage="1" showErrorMessage="1" errorTitle="ESSE GMD NÃO É ACEITO" error="O GMD deve estar entre 0 e 2 kg/dia." promptTitle="ESSE GMD NÃO É ACEITO" sqref="C9" xr:uid="{20F25A07-F93B-4B96-85B8-087EDC54F226}">
      <formula1>0</formula1>
      <formula2>2</formula2>
    </dataValidation>
    <dataValidation type="list" allowBlank="1" showInputMessage="1" showErrorMessage="1" errorTitle="ERRO!" error="Apenas: Zebuíno ou Cruzado" sqref="C10" xr:uid="{CE946C1C-AA5F-4EB3-A0B6-CEF2619E4BCF}">
      <formula1>"Zebuíno,Cruzado"</formula1>
    </dataValidation>
    <dataValidation type="list" allowBlank="1" showInputMessage="1" showErrorMessage="1" errorTitle="ERRO!" error="Apenas: Corte ou Leite" sqref="C11" xr:uid="{8F44908B-C467-4D5B-B2F2-87257D1AFFDA}">
      <formula1>"Corte,Leite"</formula1>
    </dataValidation>
    <dataValidation type="list" allowBlank="1" showInputMessage="1" showErrorMessage="1" sqref="C12" xr:uid="{DE8DB5F2-B72A-4C65-A0C3-FA720E93FE5E}">
      <formula1>"Fêmea,Macho cadastrado,Macho não castrado"</formula1>
    </dataValidation>
    <dataValidation type="list" allowBlank="1" showInputMessage="1" showErrorMessage="1" sqref="C13" xr:uid="{AF2AC93F-7D7B-49AC-9CE1-C2E82E68D320}">
      <formula1>"Confinamento,Pasto"</formula1>
    </dataValidation>
    <dataValidation type="decimal" allowBlank="1" showInputMessage="1" showErrorMessage="1" promptTitle="CUIDADO!" prompt="Só faça um acréscimo de consumo se já dominar de forma avançada tudo que envolve nutrição animal!" sqref="L25" xr:uid="{9AC1B266-FE94-40C2-AC10-C17D739E2E93}">
      <formula1>0</formula1>
      <formula2>1</formula2>
    </dataValidation>
    <dataValidation type="list" allowBlank="1" showInputMessage="1" showErrorMessage="1" sqref="C18" xr:uid="{D141F967-5582-4789-98FC-6C5AD06EF585}">
      <formula1>$B$29:$B$40</formula1>
    </dataValidation>
    <dataValidation type="list" allowBlank="1" showInputMessage="1" showErrorMessage="1" sqref="E7:E13" xr:uid="{5513140F-8AE7-4E86-B230-4D1F0839B6C2}">
      <formula1>$B$43:$B$55</formula1>
    </dataValidation>
    <dataValidation type="list" allowBlank="1" showInputMessage="1" showErrorMessage="1" sqref="E14:E20" xr:uid="{E64DCA5D-9579-4DC4-B53F-0CAB1F8D6964}">
      <formula1>$B$57:$B$68</formula1>
    </dataValidation>
    <dataValidation type="decimal" allowBlank="1" showInputMessage="1" showErrorMessage="1" sqref="C19" xr:uid="{FFEABB69-2B85-4573-BE85-800AA5F3B97E}">
      <formula1>0</formula1>
      <formula2>0.025</formula2>
    </dataValidation>
  </dataValidations>
  <pageMargins left="0.511811024" right="0.511811024" top="0.78740157499999996" bottom="0.78740157499999996" header="0.31496062000000002" footer="0.31496062000000002"/>
  <ignoredErrors>
    <ignoredError sqref="L16 L18 L21 N8" formula="1"/>
  </ignoredErrors>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668E9-8E2B-41EE-AD80-52C1FC4C4F63}">
  <sheetPr codeName="Planilha10">
    <tabColor theme="7" tint="0.79998168889431442"/>
  </sheetPr>
  <dimension ref="A1:J109"/>
  <sheetViews>
    <sheetView showGridLines="0" zoomScale="130" zoomScaleNormal="130" workbookViewId="0">
      <selection activeCell="E57" sqref="E57:F57"/>
    </sheetView>
  </sheetViews>
  <sheetFormatPr defaultRowHeight="15" x14ac:dyDescent="0.25"/>
  <sheetData>
    <row r="1" spans="1:10" ht="21" x14ac:dyDescent="0.25">
      <c r="A1" s="628" t="s">
        <v>280</v>
      </c>
      <c r="B1" s="628"/>
      <c r="C1" s="628"/>
      <c r="D1" s="628"/>
      <c r="E1" s="628"/>
      <c r="F1" s="628"/>
      <c r="G1" s="628"/>
      <c r="H1" s="628"/>
      <c r="I1" s="628"/>
      <c r="J1" s="628"/>
    </row>
    <row r="3" spans="1:10" ht="15" customHeight="1" x14ac:dyDescent="0.25">
      <c r="B3" s="407" t="s">
        <v>737</v>
      </c>
      <c r="C3" s="403"/>
      <c r="D3" s="403"/>
      <c r="E3" s="403"/>
      <c r="F3" s="403"/>
      <c r="G3" s="403"/>
      <c r="H3" s="403"/>
      <c r="I3" s="403"/>
    </row>
    <row r="4" spans="1:10" ht="57" customHeight="1" x14ac:dyDescent="0.25">
      <c r="B4" s="629" t="str">
        <f>"O suplemento formulado abaixo, são para animais com peso médio de "&amp;'Formulação de suplemento'!C8&amp;" kg (iniciando com "&amp;'Formulação de suplemento'!C6&amp;" kg e finalizando com "&amp;'Formulação de suplemento'!C7&amp;" kg) com estimativa de GMD de "&amp;'Formulação de suplemento'!C9&amp;" kg/dia, para pastos com a qualidade informada pelo aluno."</f>
        <v>O suplemento formulado abaixo, são para animais com peso médio de  kg (iniciando com  kg e finalizando com  kg) com estimativa de GMD de  kg/dia, para pastos com a qualidade informada pelo aluno.</v>
      </c>
      <c r="C4" s="629"/>
      <c r="D4" s="629"/>
      <c r="E4" s="629"/>
      <c r="F4" s="629"/>
      <c r="G4" s="629"/>
      <c r="H4" s="629"/>
      <c r="I4" s="629"/>
    </row>
    <row r="6" spans="1:10" ht="15" customHeight="1" x14ac:dyDescent="0.25">
      <c r="B6" s="407" t="s">
        <v>738</v>
      </c>
      <c r="C6" s="403"/>
      <c r="D6" s="403"/>
      <c r="E6" s="403"/>
      <c r="F6" s="403"/>
      <c r="G6" s="403"/>
      <c r="H6" s="403"/>
      <c r="I6" s="403"/>
    </row>
    <row r="7" spans="1:10" ht="36" customHeight="1" x14ac:dyDescent="0.25">
      <c r="B7" s="602" t="s">
        <v>739</v>
      </c>
      <c r="C7" s="602"/>
      <c r="D7" s="602"/>
      <c r="E7" s="602"/>
      <c r="F7" s="602"/>
      <c r="G7" s="602"/>
      <c r="H7" s="602"/>
      <c r="I7" s="602"/>
    </row>
    <row r="9" spans="1:10" ht="16.5" thickBot="1" x14ac:dyDescent="0.3">
      <c r="B9" s="591" t="s">
        <v>740</v>
      </c>
      <c r="C9" s="591"/>
      <c r="D9" s="591"/>
      <c r="E9" s="591"/>
      <c r="F9" s="591"/>
      <c r="G9" s="591"/>
      <c r="H9" s="591"/>
      <c r="I9" s="591"/>
    </row>
    <row r="10" spans="1:10" ht="16.5" thickTop="1" thickBot="1" x14ac:dyDescent="0.3">
      <c r="B10" s="597" t="str">
        <f>'Formulação de suplemento'!E6</f>
        <v>Ingrediente</v>
      </c>
      <c r="C10" s="597"/>
      <c r="D10" s="597" t="str">
        <f>'Formulação de suplemento'!F6</f>
        <v>%</v>
      </c>
      <c r="E10" s="597"/>
      <c r="F10" s="597" t="str">
        <f>'Formulação de suplemento'!G6</f>
        <v>R$/kg</v>
      </c>
      <c r="G10" s="597"/>
      <c r="H10" s="597" t="str">
        <f>'Formulação de suplemento'!H6</f>
        <v>R$</v>
      </c>
      <c r="I10" s="597"/>
    </row>
    <row r="11" spans="1:10" ht="15.75" thickTop="1" x14ac:dyDescent="0.25">
      <c r="B11" s="627" t="str">
        <f>IF('Formulação de suplemento'!E7=0,"Ocultar",'Formulação de suplemento'!E7)</f>
        <v>Ocultar</v>
      </c>
      <c r="C11" s="627"/>
      <c r="D11" s="626" t="str">
        <f>IF('Formulação de suplemento'!F7=0,"Ocultar",'Formulação de suplemento'!F7)</f>
        <v>Ocultar</v>
      </c>
      <c r="E11" s="626"/>
      <c r="F11" s="624" t="str">
        <f>IF('Formulação de suplemento'!G7=0,"Ocultar",'Formulação de suplemento'!G7)</f>
        <v>Ocultar</v>
      </c>
      <c r="G11" s="624"/>
      <c r="H11" s="625" t="str">
        <f>IF('Formulação de suplemento'!H7=0,"Ocultar",'Formulação de suplemento'!H7)</f>
        <v>Ocultar</v>
      </c>
      <c r="I11" s="625"/>
    </row>
    <row r="12" spans="1:10" x14ac:dyDescent="0.25">
      <c r="B12" s="627" t="str">
        <f>IF('Formulação de suplemento'!E8=0,"Ocultar",'Formulação de suplemento'!E8)</f>
        <v>Ocultar</v>
      </c>
      <c r="C12" s="627"/>
      <c r="D12" s="626" t="str">
        <f>IF('Formulação de suplemento'!F8=0,"Ocultar",'Formulação de suplemento'!F8)</f>
        <v>Ocultar</v>
      </c>
      <c r="E12" s="626"/>
      <c r="F12" s="624" t="str">
        <f>IF('Formulação de suplemento'!G8=0,"Ocultar",'Formulação de suplemento'!G8)</f>
        <v>Ocultar</v>
      </c>
      <c r="G12" s="624"/>
      <c r="H12" s="625" t="str">
        <f>IF('Formulação de suplemento'!H8=0,"Ocultar",'Formulação de suplemento'!H8)</f>
        <v>Ocultar</v>
      </c>
      <c r="I12" s="625"/>
    </row>
    <row r="13" spans="1:10" x14ac:dyDescent="0.25">
      <c r="B13" s="627" t="str">
        <f>IF('Formulação de suplemento'!E9=0,"Ocultar",'Formulação de suplemento'!E9)</f>
        <v>Ocultar</v>
      </c>
      <c r="C13" s="627"/>
      <c r="D13" s="626" t="str">
        <f>IF('Formulação de suplemento'!F9=0,"Ocultar",'Formulação de suplemento'!F9)</f>
        <v>Ocultar</v>
      </c>
      <c r="E13" s="626"/>
      <c r="F13" s="624" t="str">
        <f>IF('Formulação de suplemento'!G9=0,"Ocultar",'Formulação de suplemento'!G9)</f>
        <v>Ocultar</v>
      </c>
      <c r="G13" s="624"/>
      <c r="H13" s="625" t="str">
        <f>IF('Formulação de suplemento'!H9=0,"Ocultar",'Formulação de suplemento'!H9)</f>
        <v>Ocultar</v>
      </c>
      <c r="I13" s="625"/>
    </row>
    <row r="14" spans="1:10" x14ac:dyDescent="0.25">
      <c r="B14" s="627" t="str">
        <f>IF('Formulação de suplemento'!E10=0,"Ocultar",'Formulação de suplemento'!E10)</f>
        <v>Ocultar</v>
      </c>
      <c r="C14" s="627"/>
      <c r="D14" s="626" t="str">
        <f>IF('Formulação de suplemento'!F10=0,"Ocultar",'Formulação de suplemento'!F10)</f>
        <v>Ocultar</v>
      </c>
      <c r="E14" s="626"/>
      <c r="F14" s="624" t="str">
        <f>IF('Formulação de suplemento'!G10=0,"Ocultar",'Formulação de suplemento'!G10)</f>
        <v>Ocultar</v>
      </c>
      <c r="G14" s="624"/>
      <c r="H14" s="625" t="str">
        <f>IF('Formulação de suplemento'!H10=0,"Ocultar",'Formulação de suplemento'!H10)</f>
        <v>Ocultar</v>
      </c>
      <c r="I14" s="625"/>
    </row>
    <row r="15" spans="1:10" x14ac:dyDescent="0.25">
      <c r="B15" s="627" t="str">
        <f>IF('Formulação de suplemento'!E11=0,"Ocultar",'Formulação de suplemento'!E11)</f>
        <v>Ocultar</v>
      </c>
      <c r="C15" s="627"/>
      <c r="D15" s="626" t="str">
        <f>IF('Formulação de suplemento'!F11=0,"Ocultar",'Formulação de suplemento'!F11)</f>
        <v>Ocultar</v>
      </c>
      <c r="E15" s="626"/>
      <c r="F15" s="624" t="str">
        <f>IF('Formulação de suplemento'!G11=0,"Ocultar",'Formulação de suplemento'!G11)</f>
        <v>Ocultar</v>
      </c>
      <c r="G15" s="624"/>
      <c r="H15" s="625" t="str">
        <f>IF('Formulação de suplemento'!H11=0,"Ocultar",'Formulação de suplemento'!H11)</f>
        <v>Ocultar</v>
      </c>
      <c r="I15" s="625"/>
    </row>
    <row r="16" spans="1:10" x14ac:dyDescent="0.25">
      <c r="B16" s="627" t="str">
        <f>IF('Formulação de suplemento'!E12=0,"Ocultar",'Formulação de suplemento'!E12)</f>
        <v>Ocultar</v>
      </c>
      <c r="C16" s="627"/>
      <c r="D16" s="626" t="str">
        <f>IF('Formulação de suplemento'!F12=0,"Ocultar",'Formulação de suplemento'!F12)</f>
        <v>Ocultar</v>
      </c>
      <c r="E16" s="626"/>
      <c r="F16" s="624" t="str">
        <f>IF('Formulação de suplemento'!G12=0,"Ocultar",'Formulação de suplemento'!G12)</f>
        <v>Ocultar</v>
      </c>
      <c r="G16" s="624"/>
      <c r="H16" s="625" t="str">
        <f>IF('Formulação de suplemento'!H12=0,"Ocultar",'Formulação de suplemento'!H12)</f>
        <v>Ocultar</v>
      </c>
      <c r="I16" s="625"/>
    </row>
    <row r="17" spans="2:9" x14ac:dyDescent="0.25">
      <c r="B17" s="627" t="str">
        <f>IF('Formulação de suplemento'!E13=0,"Ocultar",'Formulação de suplemento'!E13)</f>
        <v>Ocultar</v>
      </c>
      <c r="C17" s="627"/>
      <c r="D17" s="626" t="str">
        <f>IF('Formulação de suplemento'!F13=0,"Ocultar",'Formulação de suplemento'!F13)</f>
        <v>Ocultar</v>
      </c>
      <c r="E17" s="626"/>
      <c r="F17" s="624" t="str">
        <f>IF('Formulação de suplemento'!G13=0,"Ocultar",'Formulação de suplemento'!G13)</f>
        <v>Ocultar</v>
      </c>
      <c r="G17" s="624"/>
      <c r="H17" s="625" t="str">
        <f>IF('Formulação de suplemento'!H13=0,"Ocultar",'Formulação de suplemento'!H13)</f>
        <v>Ocultar</v>
      </c>
      <c r="I17" s="625"/>
    </row>
    <row r="18" spans="2:9" x14ac:dyDescent="0.25">
      <c r="B18" s="627" t="str">
        <f>IF('Formulação de suplemento'!E14=0,"Ocultar",'Formulação de suplemento'!E14)</f>
        <v>Ocultar</v>
      </c>
      <c r="C18" s="627"/>
      <c r="D18" s="626" t="str">
        <f>IF('Formulação de suplemento'!F14=0,"Ocultar",'Formulação de suplemento'!F14)</f>
        <v>Ocultar</v>
      </c>
      <c r="E18" s="626"/>
      <c r="F18" s="624" t="str">
        <f>IF('Formulação de suplemento'!G14=0,"Ocultar",'Formulação de suplemento'!G14)</f>
        <v>Ocultar</v>
      </c>
      <c r="G18" s="624"/>
      <c r="H18" s="625" t="str">
        <f>IF('Formulação de suplemento'!H14=0,"Ocultar",'Formulação de suplemento'!H14)</f>
        <v>Ocultar</v>
      </c>
      <c r="I18" s="625"/>
    </row>
    <row r="19" spans="2:9" x14ac:dyDescent="0.25">
      <c r="B19" s="627" t="str">
        <f>IF('Formulação de suplemento'!E15=0,"Ocultar",'Formulação de suplemento'!E15)</f>
        <v>Ocultar</v>
      </c>
      <c r="C19" s="627"/>
      <c r="D19" s="626" t="str">
        <f>IF('Formulação de suplemento'!F15=0,"Ocultar",'Formulação de suplemento'!F15)</f>
        <v>Ocultar</v>
      </c>
      <c r="E19" s="626"/>
      <c r="F19" s="624" t="str">
        <f>IF('Formulação de suplemento'!G15=0,"Ocultar",'Formulação de suplemento'!G15)</f>
        <v>Ocultar</v>
      </c>
      <c r="G19" s="624"/>
      <c r="H19" s="625" t="str">
        <f>IF('Formulação de suplemento'!H15=0,"Ocultar",'Formulação de suplemento'!H15)</f>
        <v>Ocultar</v>
      </c>
      <c r="I19" s="625"/>
    </row>
    <row r="20" spans="2:9" x14ac:dyDescent="0.25">
      <c r="B20" s="627" t="str">
        <f>IF('Formulação de suplemento'!E16=0,"Ocultar",'Formulação de suplemento'!E16)</f>
        <v>Ocultar</v>
      </c>
      <c r="C20" s="627"/>
      <c r="D20" s="626" t="str">
        <f>IF('Formulação de suplemento'!F16=0,"Ocultar",'Formulação de suplemento'!F16)</f>
        <v>Ocultar</v>
      </c>
      <c r="E20" s="626"/>
      <c r="F20" s="624" t="str">
        <f>IF('Formulação de suplemento'!G16=0,"Ocultar",'Formulação de suplemento'!G16)</f>
        <v>Ocultar</v>
      </c>
      <c r="G20" s="624"/>
      <c r="H20" s="625" t="str">
        <f>IF('Formulação de suplemento'!H16=0,"Ocultar",'Formulação de suplemento'!H16)</f>
        <v>Ocultar</v>
      </c>
      <c r="I20" s="625"/>
    </row>
    <row r="21" spans="2:9" x14ac:dyDescent="0.25">
      <c r="B21" s="627" t="str">
        <f>IF('Formulação de suplemento'!E17=0,"Ocultar",'Formulação de suplemento'!E17)</f>
        <v>Ocultar</v>
      </c>
      <c r="C21" s="627"/>
      <c r="D21" s="626" t="str">
        <f>IF('Formulação de suplemento'!F17=0,"Ocultar",'Formulação de suplemento'!F17)</f>
        <v>Ocultar</v>
      </c>
      <c r="E21" s="626"/>
      <c r="F21" s="624" t="str">
        <f>IF('Formulação de suplemento'!G17=0,"Ocultar",'Formulação de suplemento'!G17)</f>
        <v>Ocultar</v>
      </c>
      <c r="G21" s="624"/>
      <c r="H21" s="625" t="str">
        <f>IF('Formulação de suplemento'!H17=0,"Ocultar",'Formulação de suplemento'!H17)</f>
        <v>Ocultar</v>
      </c>
      <c r="I21" s="625"/>
    </row>
    <row r="22" spans="2:9" x14ac:dyDescent="0.25">
      <c r="B22" s="627" t="str">
        <f>IF('Formulação de suplemento'!E18=0,"Ocultar",'Formulação de suplemento'!E18)</f>
        <v>Ocultar</v>
      </c>
      <c r="C22" s="627"/>
      <c r="D22" s="626" t="str">
        <f>IF('Formulação de suplemento'!F18=0,"Ocultar",'Formulação de suplemento'!F18)</f>
        <v>Ocultar</v>
      </c>
      <c r="E22" s="626"/>
      <c r="F22" s="624" t="str">
        <f>IF('Formulação de suplemento'!G18=0,"Ocultar",'Formulação de suplemento'!G18)</f>
        <v>Ocultar</v>
      </c>
      <c r="G22" s="624"/>
      <c r="H22" s="625" t="str">
        <f>IF('Formulação de suplemento'!H18=0,"Ocultar",'Formulação de suplemento'!H18)</f>
        <v>Ocultar</v>
      </c>
      <c r="I22" s="625"/>
    </row>
    <row r="23" spans="2:9" ht="15.75" thickBot="1" x14ac:dyDescent="0.3">
      <c r="B23" s="627" t="str">
        <f>IF('Formulação de suplemento'!E19=0,"Ocultar",'Formulação de suplemento'!E19)</f>
        <v>Ocultar</v>
      </c>
      <c r="C23" s="627"/>
      <c r="D23" s="626" t="str">
        <f>IF('Formulação de suplemento'!F19=0,"Ocultar",'Formulação de suplemento'!F19)</f>
        <v>Ocultar</v>
      </c>
      <c r="E23" s="626"/>
      <c r="F23" s="624" t="str">
        <f>IF('Formulação de suplemento'!G19=0,"Ocultar",'Formulação de suplemento'!G19)</f>
        <v>Ocultar</v>
      </c>
      <c r="G23" s="624"/>
      <c r="H23" s="625" t="str">
        <f>IF('Formulação de suplemento'!H19=0,"Ocultar",'Formulação de suplemento'!H19)</f>
        <v>Ocultar</v>
      </c>
      <c r="I23" s="625"/>
    </row>
    <row r="24" spans="2:9" ht="16.5" thickTop="1" thickBot="1" x14ac:dyDescent="0.3">
      <c r="B24" s="597" t="str">
        <f>'Formulação de suplemento'!E21</f>
        <v>Total</v>
      </c>
      <c r="C24" s="597"/>
      <c r="D24" s="597">
        <f>'Formulação de suplemento'!F21</f>
        <v>0</v>
      </c>
      <c r="E24" s="597"/>
      <c r="F24" s="597" t="s">
        <v>751</v>
      </c>
      <c r="G24" s="597"/>
      <c r="H24" s="623">
        <f>'Formulação de suplemento'!H21</f>
        <v>0</v>
      </c>
      <c r="I24" s="623"/>
    </row>
    <row r="25" spans="2:9" ht="16.5" thickTop="1" thickBot="1" x14ac:dyDescent="0.3">
      <c r="B25" s="1"/>
      <c r="C25" s="392"/>
      <c r="D25" s="1"/>
      <c r="F25" s="621" t="str">
        <f>'Formulação de suplemento'!E23</f>
        <v>R$/kg mão de obra</v>
      </c>
      <c r="G25" s="621"/>
      <c r="H25" s="622">
        <f>'Formulação de suplemento'!F23</f>
        <v>0</v>
      </c>
      <c r="I25" s="622"/>
    </row>
    <row r="26" spans="2:9" ht="16.5" thickTop="1" thickBot="1" x14ac:dyDescent="0.3">
      <c r="B26" s="1"/>
      <c r="C26" s="392"/>
      <c r="D26" s="1"/>
      <c r="F26" s="621" t="str">
        <f>'Formulação de suplemento'!G23</f>
        <v>R$/kg final</v>
      </c>
      <c r="G26" s="621"/>
      <c r="H26" s="623">
        <f>'Formulação de suplemento'!H23</f>
        <v>0</v>
      </c>
      <c r="I26" s="623"/>
    </row>
    <row r="27" spans="2:9" ht="15.75" thickTop="1" x14ac:dyDescent="0.25">
      <c r="B27" s="1"/>
      <c r="C27" s="392"/>
      <c r="D27" s="1"/>
      <c r="F27" s="393"/>
      <c r="G27" s="393"/>
      <c r="H27" s="394"/>
      <c r="I27" s="394"/>
    </row>
    <row r="28" spans="2:9" ht="101.25" customHeight="1" x14ac:dyDescent="0.25">
      <c r="B28" s="602" t="str">
        <f>"- O suplemento acima foi formulado para um consumo de "&amp;'Formulação de suplemento'!C19*100&amp;"% do peso vivo dos animais que irão consumir. Como o peso médio informado desses animais é de "&amp;'Formulação de suplemento'!C8&amp;" kg, o consumo diário de cada animal deve ser de "&amp;'Formulação de suplemento'!AB7&amp;" kg por dia. Para saber a quantidade que deve ser colocada no cocho para o lote todo, basta multiplicar esse consumo de kg por dia, pela quantidade de cabeças no lote. Exemplo: se o lote tem "&amp;'Formulação de suplemento'!C20&amp;" cabeças, o consumo seria de: "&amp;'Formulação de suplemento'!C20&amp;" x "&amp;'Formulação de suplemento'!AB7&amp;" = "&amp;'Formulação de suplemento'!AB8&amp;" kg/lote/dia."</f>
        <v>- O suplemento acima foi formulado para um consumo de 0% do peso vivo dos animais que irão consumir. Como o peso médio informado desses animais é de  kg, o consumo diário de cada animal deve ser de  kg por dia. Para saber a quantidade que deve ser colocada no cocho para o lote todo, basta multiplicar esse consumo de kg por dia, pela quantidade de cabeças no lote. Exemplo: se o lote tem  cabeças, o consumo seria de:  x  =  kg/lote/dia.</v>
      </c>
      <c r="C28" s="602"/>
      <c r="D28" s="602"/>
      <c r="E28" s="602"/>
      <c r="F28" s="602"/>
      <c r="G28" s="602"/>
      <c r="H28" s="602"/>
      <c r="I28" s="602"/>
    </row>
    <row r="29" spans="2:9" x14ac:dyDescent="0.25">
      <c r="B29" s="395" t="s">
        <v>741</v>
      </c>
      <c r="C29" s="396"/>
      <c r="D29" s="396"/>
      <c r="E29" s="396"/>
      <c r="F29" s="396"/>
      <c r="G29" s="396"/>
      <c r="H29" s="396"/>
      <c r="I29" s="396"/>
    </row>
    <row r="30" spans="2:9" x14ac:dyDescent="0.25">
      <c r="B30" s="397"/>
      <c r="C30" s="396"/>
      <c r="D30" s="396"/>
      <c r="E30" s="396"/>
      <c r="F30" s="396"/>
      <c r="G30" s="396"/>
      <c r="H30" s="396"/>
      <c r="I30" s="396"/>
    </row>
    <row r="31" spans="2:9" ht="15" customHeight="1" x14ac:dyDescent="0.25">
      <c r="B31" s="407" t="s">
        <v>742</v>
      </c>
      <c r="C31" s="403"/>
      <c r="D31" s="403"/>
      <c r="E31" s="403"/>
      <c r="F31" s="403"/>
      <c r="G31" s="403"/>
      <c r="H31" s="403"/>
      <c r="I31" s="403"/>
    </row>
    <row r="32" spans="2:9" ht="40.5" customHeight="1" x14ac:dyDescent="0.25">
      <c r="B32" s="602" t="s">
        <v>743</v>
      </c>
      <c r="C32" s="602"/>
      <c r="D32" s="602"/>
      <c r="E32" s="602"/>
      <c r="F32" s="602"/>
      <c r="G32" s="602"/>
      <c r="H32" s="602"/>
      <c r="I32" s="602"/>
    </row>
    <row r="33" spans="2:9" x14ac:dyDescent="0.25">
      <c r="B33" s="398"/>
      <c r="C33" s="249"/>
      <c r="D33" s="249"/>
      <c r="E33" s="249"/>
      <c r="F33" s="249"/>
      <c r="G33" s="249"/>
      <c r="H33" s="249"/>
      <c r="I33" s="249"/>
    </row>
    <row r="34" spans="2:9" ht="16.5" thickBot="1" x14ac:dyDescent="0.3">
      <c r="B34" s="591" t="s">
        <v>744</v>
      </c>
      <c r="C34" s="591"/>
      <c r="D34" s="591"/>
      <c r="E34" s="591"/>
      <c r="F34" s="591"/>
      <c r="G34" s="591"/>
      <c r="H34" s="591"/>
      <c r="I34" s="591"/>
    </row>
    <row r="35" spans="2:9" ht="16.5" thickTop="1" thickBot="1" x14ac:dyDescent="0.3">
      <c r="B35" s="590" t="str">
        <f t="shared" ref="B35:B49" si="0">B10</f>
        <v>Ingrediente</v>
      </c>
      <c r="C35" s="590"/>
      <c r="D35" s="590"/>
      <c r="E35" s="399">
        <v>250</v>
      </c>
      <c r="F35" s="399">
        <v>500</v>
      </c>
      <c r="G35" s="399">
        <v>750</v>
      </c>
      <c r="H35" s="399">
        <v>1000</v>
      </c>
      <c r="I35" s="399">
        <v>1500</v>
      </c>
    </row>
    <row r="36" spans="2:9" ht="15.75" thickTop="1" x14ac:dyDescent="0.25">
      <c r="B36" s="618" t="str">
        <f>IF(B11=0,"Ocultar",B11)</f>
        <v>Ocultar</v>
      </c>
      <c r="C36" s="618"/>
      <c r="D36" s="618"/>
      <c r="E36" s="400" t="str">
        <f>IF(IFERROR($D11*E$35,"Ocultar")=0,"Ocultar",IFERROR($D11*E$35,"Ocultar"))</f>
        <v>Ocultar</v>
      </c>
      <c r="F36" s="400" t="str">
        <f t="shared" ref="F36:I36" si="1">IF(IFERROR($D11*F$35,"Ocultar")=0,"Ocultar",IFERROR($D11*F$35,"Ocultar"))</f>
        <v>Ocultar</v>
      </c>
      <c r="G36" s="400" t="str">
        <f t="shared" si="1"/>
        <v>Ocultar</v>
      </c>
      <c r="H36" s="400" t="str">
        <f t="shared" si="1"/>
        <v>Ocultar</v>
      </c>
      <c r="I36" s="400" t="str">
        <f t="shared" si="1"/>
        <v>Ocultar</v>
      </c>
    </row>
    <row r="37" spans="2:9" x14ac:dyDescent="0.25">
      <c r="B37" s="618" t="str">
        <f t="shared" ref="B37:B48" si="2">IF(B12=0,"Ocultar",B12)</f>
        <v>Ocultar</v>
      </c>
      <c r="C37" s="618"/>
      <c r="D37" s="618"/>
      <c r="E37" s="400" t="str">
        <f t="shared" ref="E37:I37" si="3">IF(IFERROR($D12*E$35,"Ocultar")=0,"Ocultar",IFERROR($D12*E$35,"Ocultar"))</f>
        <v>Ocultar</v>
      </c>
      <c r="F37" s="400" t="str">
        <f t="shared" si="3"/>
        <v>Ocultar</v>
      </c>
      <c r="G37" s="400" t="str">
        <f t="shared" si="3"/>
        <v>Ocultar</v>
      </c>
      <c r="H37" s="400" t="str">
        <f t="shared" si="3"/>
        <v>Ocultar</v>
      </c>
      <c r="I37" s="400" t="str">
        <f t="shared" si="3"/>
        <v>Ocultar</v>
      </c>
    </row>
    <row r="38" spans="2:9" x14ac:dyDescent="0.25">
      <c r="B38" s="618" t="str">
        <f t="shared" si="2"/>
        <v>Ocultar</v>
      </c>
      <c r="C38" s="618"/>
      <c r="D38" s="618"/>
      <c r="E38" s="400" t="str">
        <f t="shared" ref="E38:I38" si="4">IF(IFERROR($D13*E$35,"Ocultar")=0,"Ocultar",IFERROR($D13*E$35,"Ocultar"))</f>
        <v>Ocultar</v>
      </c>
      <c r="F38" s="400" t="str">
        <f t="shared" si="4"/>
        <v>Ocultar</v>
      </c>
      <c r="G38" s="400" t="str">
        <f t="shared" si="4"/>
        <v>Ocultar</v>
      </c>
      <c r="H38" s="400" t="str">
        <f t="shared" si="4"/>
        <v>Ocultar</v>
      </c>
      <c r="I38" s="400" t="str">
        <f t="shared" si="4"/>
        <v>Ocultar</v>
      </c>
    </row>
    <row r="39" spans="2:9" x14ac:dyDescent="0.25">
      <c r="B39" s="618" t="str">
        <f t="shared" si="2"/>
        <v>Ocultar</v>
      </c>
      <c r="C39" s="618"/>
      <c r="D39" s="618"/>
      <c r="E39" s="400" t="str">
        <f t="shared" ref="E39:I39" si="5">IF(IFERROR($D14*E$35,"Ocultar")=0,"Ocultar",IFERROR($D14*E$35,"Ocultar"))</f>
        <v>Ocultar</v>
      </c>
      <c r="F39" s="400" t="str">
        <f t="shared" si="5"/>
        <v>Ocultar</v>
      </c>
      <c r="G39" s="400" t="str">
        <f t="shared" si="5"/>
        <v>Ocultar</v>
      </c>
      <c r="H39" s="400" t="str">
        <f t="shared" si="5"/>
        <v>Ocultar</v>
      </c>
      <c r="I39" s="400" t="str">
        <f t="shared" si="5"/>
        <v>Ocultar</v>
      </c>
    </row>
    <row r="40" spans="2:9" x14ac:dyDescent="0.25">
      <c r="B40" s="618" t="str">
        <f t="shared" si="2"/>
        <v>Ocultar</v>
      </c>
      <c r="C40" s="618"/>
      <c r="D40" s="618"/>
      <c r="E40" s="400" t="str">
        <f t="shared" ref="E40:I40" si="6">IF(IFERROR($D15*E$35,"Ocultar")=0,"Ocultar",IFERROR($D15*E$35,"Ocultar"))</f>
        <v>Ocultar</v>
      </c>
      <c r="F40" s="400" t="str">
        <f t="shared" si="6"/>
        <v>Ocultar</v>
      </c>
      <c r="G40" s="400" t="str">
        <f t="shared" si="6"/>
        <v>Ocultar</v>
      </c>
      <c r="H40" s="400" t="str">
        <f t="shared" si="6"/>
        <v>Ocultar</v>
      </c>
      <c r="I40" s="400" t="str">
        <f t="shared" si="6"/>
        <v>Ocultar</v>
      </c>
    </row>
    <row r="41" spans="2:9" x14ac:dyDescent="0.25">
      <c r="B41" s="618" t="str">
        <f t="shared" si="2"/>
        <v>Ocultar</v>
      </c>
      <c r="C41" s="618"/>
      <c r="D41" s="618"/>
      <c r="E41" s="400" t="str">
        <f t="shared" ref="E41:I41" si="7">IF(IFERROR($D16*E$35,"Ocultar")=0,"Ocultar",IFERROR($D16*E$35,"Ocultar"))</f>
        <v>Ocultar</v>
      </c>
      <c r="F41" s="400" t="str">
        <f t="shared" si="7"/>
        <v>Ocultar</v>
      </c>
      <c r="G41" s="400" t="str">
        <f t="shared" si="7"/>
        <v>Ocultar</v>
      </c>
      <c r="H41" s="400" t="str">
        <f t="shared" si="7"/>
        <v>Ocultar</v>
      </c>
      <c r="I41" s="400" t="str">
        <f t="shared" si="7"/>
        <v>Ocultar</v>
      </c>
    </row>
    <row r="42" spans="2:9" x14ac:dyDescent="0.25">
      <c r="B42" s="618" t="str">
        <f t="shared" si="2"/>
        <v>Ocultar</v>
      </c>
      <c r="C42" s="618"/>
      <c r="D42" s="618"/>
      <c r="E42" s="400" t="str">
        <f t="shared" ref="E42:I42" si="8">IF(IFERROR($D17*E$35,"Ocultar")=0,"Ocultar",IFERROR($D17*E$35,"Ocultar"))</f>
        <v>Ocultar</v>
      </c>
      <c r="F42" s="400" t="str">
        <f t="shared" si="8"/>
        <v>Ocultar</v>
      </c>
      <c r="G42" s="400" t="str">
        <f t="shared" si="8"/>
        <v>Ocultar</v>
      </c>
      <c r="H42" s="400" t="str">
        <f t="shared" si="8"/>
        <v>Ocultar</v>
      </c>
      <c r="I42" s="400" t="str">
        <f t="shared" si="8"/>
        <v>Ocultar</v>
      </c>
    </row>
    <row r="43" spans="2:9" x14ac:dyDescent="0.25">
      <c r="B43" s="618" t="str">
        <f t="shared" si="2"/>
        <v>Ocultar</v>
      </c>
      <c r="C43" s="618"/>
      <c r="D43" s="618"/>
      <c r="E43" s="400" t="str">
        <f t="shared" ref="E43:I43" si="9">IF(IFERROR($D18*E$35,"Ocultar")=0,"Ocultar",IFERROR($D18*E$35,"Ocultar"))</f>
        <v>Ocultar</v>
      </c>
      <c r="F43" s="400" t="str">
        <f t="shared" si="9"/>
        <v>Ocultar</v>
      </c>
      <c r="G43" s="400" t="str">
        <f t="shared" si="9"/>
        <v>Ocultar</v>
      </c>
      <c r="H43" s="400" t="str">
        <f t="shared" si="9"/>
        <v>Ocultar</v>
      </c>
      <c r="I43" s="400" t="str">
        <f t="shared" si="9"/>
        <v>Ocultar</v>
      </c>
    </row>
    <row r="44" spans="2:9" x14ac:dyDescent="0.25">
      <c r="B44" s="618" t="str">
        <f t="shared" si="2"/>
        <v>Ocultar</v>
      </c>
      <c r="C44" s="618"/>
      <c r="D44" s="618"/>
      <c r="E44" s="400" t="str">
        <f t="shared" ref="E44:I44" si="10">IF(IFERROR($D19*E$35,"Ocultar")=0,"Ocultar",IFERROR($D19*E$35,"Ocultar"))</f>
        <v>Ocultar</v>
      </c>
      <c r="F44" s="400" t="str">
        <f t="shared" si="10"/>
        <v>Ocultar</v>
      </c>
      <c r="G44" s="400" t="str">
        <f t="shared" si="10"/>
        <v>Ocultar</v>
      </c>
      <c r="H44" s="400" t="str">
        <f t="shared" si="10"/>
        <v>Ocultar</v>
      </c>
      <c r="I44" s="400" t="str">
        <f t="shared" si="10"/>
        <v>Ocultar</v>
      </c>
    </row>
    <row r="45" spans="2:9" x14ac:dyDescent="0.25">
      <c r="B45" s="618" t="str">
        <f t="shared" si="2"/>
        <v>Ocultar</v>
      </c>
      <c r="C45" s="618"/>
      <c r="D45" s="618"/>
      <c r="E45" s="400" t="str">
        <f t="shared" ref="E45:I45" si="11">IF(IFERROR($D20*E$35,"Ocultar")=0,"Ocultar",IFERROR($D20*E$35,"Ocultar"))</f>
        <v>Ocultar</v>
      </c>
      <c r="F45" s="400" t="str">
        <f t="shared" si="11"/>
        <v>Ocultar</v>
      </c>
      <c r="G45" s="400" t="str">
        <f t="shared" si="11"/>
        <v>Ocultar</v>
      </c>
      <c r="H45" s="400" t="str">
        <f t="shared" si="11"/>
        <v>Ocultar</v>
      </c>
      <c r="I45" s="400" t="str">
        <f t="shared" si="11"/>
        <v>Ocultar</v>
      </c>
    </row>
    <row r="46" spans="2:9" x14ac:dyDescent="0.25">
      <c r="B46" s="618" t="str">
        <f t="shared" si="2"/>
        <v>Ocultar</v>
      </c>
      <c r="C46" s="618"/>
      <c r="D46" s="618"/>
      <c r="E46" s="400" t="str">
        <f t="shared" ref="E46:I46" si="12">IF(IFERROR($D21*E$35,"Ocultar")=0,"Ocultar",IFERROR($D21*E$35,"Ocultar"))</f>
        <v>Ocultar</v>
      </c>
      <c r="F46" s="400" t="str">
        <f t="shared" si="12"/>
        <v>Ocultar</v>
      </c>
      <c r="G46" s="400" t="str">
        <f t="shared" si="12"/>
        <v>Ocultar</v>
      </c>
      <c r="H46" s="400" t="str">
        <f t="shared" si="12"/>
        <v>Ocultar</v>
      </c>
      <c r="I46" s="400" t="str">
        <f t="shared" si="12"/>
        <v>Ocultar</v>
      </c>
    </row>
    <row r="47" spans="2:9" x14ac:dyDescent="0.25">
      <c r="B47" s="618" t="str">
        <f t="shared" si="2"/>
        <v>Ocultar</v>
      </c>
      <c r="C47" s="618"/>
      <c r="D47" s="618"/>
      <c r="E47" s="400" t="str">
        <f t="shared" ref="E47:I47" si="13">IF(IFERROR($D22*E$35,"Ocultar")=0,"Ocultar",IFERROR($D22*E$35,"Ocultar"))</f>
        <v>Ocultar</v>
      </c>
      <c r="F47" s="400" t="str">
        <f t="shared" si="13"/>
        <v>Ocultar</v>
      </c>
      <c r="G47" s="400" t="str">
        <f t="shared" si="13"/>
        <v>Ocultar</v>
      </c>
      <c r="H47" s="400" t="str">
        <f t="shared" si="13"/>
        <v>Ocultar</v>
      </c>
      <c r="I47" s="400" t="str">
        <f t="shared" si="13"/>
        <v>Ocultar</v>
      </c>
    </row>
    <row r="48" spans="2:9" ht="15.75" thickBot="1" x14ac:dyDescent="0.3">
      <c r="B48" s="619" t="str">
        <f t="shared" si="2"/>
        <v>Ocultar</v>
      </c>
      <c r="C48" s="619"/>
      <c r="D48" s="619"/>
      <c r="E48" s="400" t="str">
        <f t="shared" ref="E48:I48" si="14">IF(IFERROR($D23*E$35,"Ocultar")=0,"Ocultar",IFERROR($D23*E$35,"Ocultar"))</f>
        <v>Ocultar</v>
      </c>
      <c r="F48" s="400" t="str">
        <f t="shared" si="14"/>
        <v>Ocultar</v>
      </c>
      <c r="G48" s="400" t="str">
        <f t="shared" si="14"/>
        <v>Ocultar</v>
      </c>
      <c r="H48" s="400" t="str">
        <f t="shared" si="14"/>
        <v>Ocultar</v>
      </c>
      <c r="I48" s="400" t="str">
        <f t="shared" si="14"/>
        <v>Ocultar</v>
      </c>
    </row>
    <row r="49" spans="2:9" ht="16.5" thickTop="1" thickBot="1" x14ac:dyDescent="0.3">
      <c r="B49" s="620" t="str">
        <f t="shared" si="0"/>
        <v>Total</v>
      </c>
      <c r="C49" s="620"/>
      <c r="D49" s="620"/>
      <c r="E49" s="401">
        <f>SUM(E36:E48)</f>
        <v>0</v>
      </c>
      <c r="F49" s="401">
        <f t="shared" ref="F49:I49" si="15">SUM(F36:F48)</f>
        <v>0</v>
      </c>
      <c r="G49" s="401">
        <f t="shared" si="15"/>
        <v>0</v>
      </c>
      <c r="H49" s="401">
        <f t="shared" si="15"/>
        <v>0</v>
      </c>
      <c r="I49" s="401">
        <f t="shared" si="15"/>
        <v>0</v>
      </c>
    </row>
    <row r="50" spans="2:9" ht="15.75" thickTop="1" x14ac:dyDescent="0.25">
      <c r="B50" s="398"/>
      <c r="C50" s="249"/>
      <c r="D50" s="249"/>
      <c r="E50" s="249"/>
      <c r="F50" s="249"/>
      <c r="G50" s="249"/>
      <c r="H50" s="249"/>
      <c r="I50" s="249"/>
    </row>
    <row r="51" spans="2:9" ht="15" customHeight="1" x14ac:dyDescent="0.25">
      <c r="B51" s="407" t="s">
        <v>745</v>
      </c>
      <c r="C51" s="403"/>
      <c r="D51" s="403"/>
      <c r="E51" s="403"/>
      <c r="F51" s="403"/>
      <c r="G51" s="403"/>
      <c r="H51" s="403"/>
      <c r="I51" s="403"/>
    </row>
    <row r="52" spans="2:9" ht="41.25" customHeight="1" x14ac:dyDescent="0.25">
      <c r="B52" s="602" t="str">
        <f>"A tabela abaixo apresenta a quantidade em quilos de cada ingrediente que cada animal e o lote todo ("&amp;'Formulação de suplemento'!C20&amp;" cabeças) deve ingerir por dia."</f>
        <v>A tabela abaixo apresenta a quantidade em quilos de cada ingrediente que cada animal e o lote todo ( cabeças) deve ingerir por dia.</v>
      </c>
      <c r="C52" s="602"/>
      <c r="D52" s="602"/>
      <c r="E52" s="602"/>
      <c r="F52" s="602"/>
      <c r="G52" s="602"/>
      <c r="H52" s="602"/>
      <c r="I52" s="602"/>
    </row>
    <row r="53" spans="2:9" x14ac:dyDescent="0.25">
      <c r="B53" s="402"/>
      <c r="C53" s="403"/>
      <c r="D53" s="403"/>
      <c r="E53" s="403"/>
      <c r="F53" s="403"/>
      <c r="G53" s="403"/>
      <c r="H53" s="403"/>
      <c r="I53" s="403"/>
    </row>
    <row r="54" spans="2:9" ht="16.5" thickBot="1" x14ac:dyDescent="0.3">
      <c r="B54" s="591" t="s">
        <v>746</v>
      </c>
      <c r="C54" s="591"/>
      <c r="D54" s="591"/>
      <c r="E54" s="591"/>
      <c r="F54" s="591"/>
      <c r="G54" s="591"/>
      <c r="H54" s="591"/>
      <c r="I54" s="403"/>
    </row>
    <row r="55" spans="2:9" ht="16.5" thickTop="1" thickBot="1" x14ac:dyDescent="0.3">
      <c r="B55" s="590" t="s">
        <v>183</v>
      </c>
      <c r="C55" s="590"/>
      <c r="D55" s="590"/>
      <c r="E55" s="597" t="s">
        <v>747</v>
      </c>
      <c r="F55" s="597"/>
      <c r="G55" s="597" t="s">
        <v>748</v>
      </c>
      <c r="H55" s="597"/>
      <c r="I55" s="403"/>
    </row>
    <row r="56" spans="2:9" ht="15.75" thickTop="1" x14ac:dyDescent="0.25">
      <c r="B56" s="605" t="s">
        <v>436</v>
      </c>
      <c r="C56" s="605"/>
      <c r="D56" s="605"/>
      <c r="E56" s="616" t="str">
        <f>IFERROR('Formulação de suplemento'!S7,"Ocultar")</f>
        <v/>
      </c>
      <c r="F56" s="616"/>
      <c r="G56" s="617" t="str">
        <f>IFERROR('Formulação de suplemento'!$C$20*'Relatório de suplementação'!E56,"Ocultar")</f>
        <v>Ocultar</v>
      </c>
      <c r="H56" s="617"/>
      <c r="I56" s="403"/>
    </row>
    <row r="57" spans="2:9" x14ac:dyDescent="0.25">
      <c r="B57" s="605" t="str">
        <f>IF('Formulação de suplemento'!R8="","Ocultar",'Formulação de suplemento'!R8)</f>
        <v>Ocultar</v>
      </c>
      <c r="C57" s="605"/>
      <c r="D57" s="605"/>
      <c r="E57" s="612" t="str">
        <f>IFERROR('Formulação de suplemento'!S8,"Ocultar")</f>
        <v/>
      </c>
      <c r="F57" s="612"/>
      <c r="G57" s="613" t="str">
        <f>IFERROR('Formulação de suplemento'!$C$20*'Relatório de suplementação'!E57,"Ocultar")</f>
        <v>Ocultar</v>
      </c>
      <c r="H57" s="613"/>
      <c r="I57" s="403"/>
    </row>
    <row r="58" spans="2:9" x14ac:dyDescent="0.25">
      <c r="B58" s="605" t="str">
        <f>IF('Formulação de suplemento'!R9="","Ocultar",'Formulação de suplemento'!R9)</f>
        <v>Ocultar</v>
      </c>
      <c r="C58" s="605"/>
      <c r="D58" s="605"/>
      <c r="E58" s="612" t="str">
        <f>IFERROR('Formulação de suplemento'!S9,"Ocultar")</f>
        <v/>
      </c>
      <c r="F58" s="612"/>
      <c r="G58" s="613" t="str">
        <f>IFERROR('Formulação de suplemento'!$C$20*'Relatório de suplementação'!E58,"Ocultar")</f>
        <v>Ocultar</v>
      </c>
      <c r="H58" s="613"/>
      <c r="I58" s="403"/>
    </row>
    <row r="59" spans="2:9" x14ac:dyDescent="0.25">
      <c r="B59" s="605" t="str">
        <f>IF('Formulação de suplemento'!R10="","Ocultar",'Formulação de suplemento'!R10)</f>
        <v>Ocultar</v>
      </c>
      <c r="C59" s="605"/>
      <c r="D59" s="605"/>
      <c r="E59" s="612" t="str">
        <f>IFERROR('Formulação de suplemento'!S10,"Ocultar")</f>
        <v/>
      </c>
      <c r="F59" s="612"/>
      <c r="G59" s="613" t="str">
        <f>IFERROR('Formulação de suplemento'!$C$20*'Relatório de suplementação'!E59,"Ocultar")</f>
        <v>Ocultar</v>
      </c>
      <c r="H59" s="613"/>
      <c r="I59" s="403"/>
    </row>
    <row r="60" spans="2:9" x14ac:dyDescent="0.25">
      <c r="B60" s="605" t="str">
        <f>IF('Formulação de suplemento'!R11="","Ocultar",'Formulação de suplemento'!R11)</f>
        <v>Ocultar</v>
      </c>
      <c r="C60" s="605"/>
      <c r="D60" s="605"/>
      <c r="E60" s="612" t="str">
        <f>IFERROR('Formulação de suplemento'!S11,"Ocultar")</f>
        <v/>
      </c>
      <c r="F60" s="612"/>
      <c r="G60" s="613" t="str">
        <f>IFERROR('Formulação de suplemento'!$C$20*'Relatório de suplementação'!E60,"Ocultar")</f>
        <v>Ocultar</v>
      </c>
      <c r="H60" s="613"/>
      <c r="I60" s="403"/>
    </row>
    <row r="61" spans="2:9" x14ac:dyDescent="0.25">
      <c r="B61" s="605" t="str">
        <f>IF('Formulação de suplemento'!R12="","Ocultar",'Formulação de suplemento'!R12)</f>
        <v>Ocultar</v>
      </c>
      <c r="C61" s="605"/>
      <c r="D61" s="605"/>
      <c r="E61" s="612" t="str">
        <f>IFERROR('Formulação de suplemento'!S12,"Ocultar")</f>
        <v/>
      </c>
      <c r="F61" s="612"/>
      <c r="G61" s="613" t="str">
        <f>IFERROR('Formulação de suplemento'!$C$20*'Relatório de suplementação'!E61,"Ocultar")</f>
        <v>Ocultar</v>
      </c>
      <c r="H61" s="613"/>
      <c r="I61" s="249"/>
    </row>
    <row r="62" spans="2:9" x14ac:dyDescent="0.25">
      <c r="B62" s="605" t="str">
        <f>IF('Formulação de suplemento'!R13="","Ocultar",'Formulação de suplemento'!R13)</f>
        <v>Ocultar</v>
      </c>
      <c r="C62" s="605"/>
      <c r="D62" s="605"/>
      <c r="E62" s="612" t="str">
        <f>IFERROR('Formulação de suplemento'!S13,"Ocultar")</f>
        <v/>
      </c>
      <c r="F62" s="612"/>
      <c r="G62" s="613" t="str">
        <f>IFERROR('Formulação de suplemento'!$C$20*'Relatório de suplementação'!E62,"Ocultar")</f>
        <v>Ocultar</v>
      </c>
      <c r="H62" s="613"/>
      <c r="I62" s="249"/>
    </row>
    <row r="63" spans="2:9" x14ac:dyDescent="0.25">
      <c r="B63" s="605" t="str">
        <f>IF('Formulação de suplemento'!R14="","Ocultar",'Formulação de suplemento'!R14)</f>
        <v>Ocultar</v>
      </c>
      <c r="C63" s="605"/>
      <c r="D63" s="605"/>
      <c r="E63" s="612" t="str">
        <f>IFERROR('Formulação de suplemento'!S14,"Ocultar")</f>
        <v/>
      </c>
      <c r="F63" s="612"/>
      <c r="G63" s="613" t="str">
        <f>IFERROR('Formulação de suplemento'!$C$20*'Relatório de suplementação'!E63,"Ocultar")</f>
        <v>Ocultar</v>
      </c>
      <c r="H63" s="613"/>
      <c r="I63" s="249"/>
    </row>
    <row r="64" spans="2:9" x14ac:dyDescent="0.25">
      <c r="B64" s="605" t="str">
        <f>IF('Formulação de suplemento'!R15="","Ocultar",'Formulação de suplemento'!R15)</f>
        <v>Ocultar</v>
      </c>
      <c r="C64" s="605"/>
      <c r="D64" s="605"/>
      <c r="E64" s="612" t="str">
        <f>IFERROR('Formulação de suplemento'!S15,"Ocultar")</f>
        <v/>
      </c>
      <c r="F64" s="612"/>
      <c r="G64" s="613" t="str">
        <f>IFERROR('Formulação de suplemento'!$C$20*'Relatório de suplementação'!E64,"Ocultar")</f>
        <v>Ocultar</v>
      </c>
      <c r="H64" s="613"/>
      <c r="I64" s="249"/>
    </row>
    <row r="65" spans="2:9" x14ac:dyDescent="0.25">
      <c r="B65" s="605" t="str">
        <f>IF('Formulação de suplemento'!R16="","Ocultar",'Formulação de suplemento'!R16)</f>
        <v>Ocultar</v>
      </c>
      <c r="C65" s="605"/>
      <c r="D65" s="605"/>
      <c r="E65" s="612" t="str">
        <f>IFERROR('Formulação de suplemento'!S16,"Ocultar")</f>
        <v/>
      </c>
      <c r="F65" s="612"/>
      <c r="G65" s="613" t="str">
        <f>IFERROR('Formulação de suplemento'!$C$20*'Relatório de suplementação'!E65,"Ocultar")</f>
        <v>Ocultar</v>
      </c>
      <c r="H65" s="613"/>
      <c r="I65" s="249"/>
    </row>
    <row r="66" spans="2:9" x14ac:dyDescent="0.25">
      <c r="B66" s="605" t="str">
        <f>IF('Formulação de suplemento'!R17="","Ocultar",'Formulação de suplemento'!R17)</f>
        <v>Ocultar</v>
      </c>
      <c r="C66" s="605"/>
      <c r="D66" s="605"/>
      <c r="E66" s="612" t="str">
        <f>IFERROR('Formulação de suplemento'!S17,"Ocultar")</f>
        <v/>
      </c>
      <c r="F66" s="612"/>
      <c r="G66" s="613" t="str">
        <f>IFERROR('Formulação de suplemento'!$C$20*'Relatório de suplementação'!E66,"Ocultar")</f>
        <v>Ocultar</v>
      </c>
      <c r="H66" s="613"/>
      <c r="I66" s="249"/>
    </row>
    <row r="67" spans="2:9" x14ac:dyDescent="0.25">
      <c r="B67" s="605" t="str">
        <f>IF('Formulação de suplemento'!R18="","Ocultar",'Formulação de suplemento'!R18)</f>
        <v>Ocultar</v>
      </c>
      <c r="C67" s="605"/>
      <c r="D67" s="605"/>
      <c r="E67" s="612" t="str">
        <f>IFERROR('Formulação de suplemento'!S18,"Ocultar")</f>
        <v/>
      </c>
      <c r="F67" s="612"/>
      <c r="G67" s="613" t="str">
        <f>IFERROR('Formulação de suplemento'!$C$20*'Relatório de suplementação'!E67,"Ocultar")</f>
        <v>Ocultar</v>
      </c>
      <c r="H67" s="613"/>
      <c r="I67" s="249"/>
    </row>
    <row r="68" spans="2:9" ht="15.75" thickBot="1" x14ac:dyDescent="0.3">
      <c r="B68" s="607" t="str">
        <f>IF('Formulação de suplemento'!R19="","Ocultar",'Formulação de suplemento'!R19)</f>
        <v>Ocultar</v>
      </c>
      <c r="C68" s="607"/>
      <c r="D68" s="607"/>
      <c r="E68" s="614" t="str">
        <f>IFERROR('Formulação de suplemento'!S19,"Ocultar")</f>
        <v/>
      </c>
      <c r="F68" s="614"/>
      <c r="G68" s="615" t="str">
        <f>IFERROR('Formulação de suplemento'!$C$20*'Relatório de suplementação'!E68,"Ocultar")</f>
        <v>Ocultar</v>
      </c>
      <c r="H68" s="615"/>
      <c r="I68" s="249"/>
    </row>
    <row r="69" spans="2:9" ht="16.5" thickTop="1" thickBot="1" x14ac:dyDescent="0.3">
      <c r="B69" s="590" t="s">
        <v>42</v>
      </c>
      <c r="C69" s="590"/>
      <c r="D69" s="590"/>
      <c r="E69" s="611">
        <f>SUM(E56:F68)</f>
        <v>0</v>
      </c>
      <c r="F69" s="611"/>
      <c r="G69" s="611">
        <f>SUM(G56:H68)</f>
        <v>0</v>
      </c>
      <c r="H69" s="611"/>
      <c r="I69" s="249"/>
    </row>
    <row r="70" spans="2:9" ht="15.75" thickTop="1" x14ac:dyDescent="0.25">
      <c r="B70" s="408"/>
      <c r="C70" s="409"/>
      <c r="D70" s="409"/>
      <c r="E70" s="409"/>
      <c r="F70" s="409"/>
      <c r="G70" s="409"/>
      <c r="H70" s="249"/>
      <c r="I70" s="249"/>
    </row>
    <row r="71" spans="2:9" ht="49.5" customHeight="1" x14ac:dyDescent="0.25">
      <c r="B71" s="604" t="s">
        <v>749</v>
      </c>
      <c r="C71" s="604"/>
      <c r="D71" s="604"/>
      <c r="E71" s="604"/>
      <c r="F71" s="604"/>
      <c r="G71" s="604"/>
      <c r="H71" s="604"/>
      <c r="I71" s="404"/>
    </row>
    <row r="72" spans="2:9" x14ac:dyDescent="0.25">
      <c r="B72" s="404"/>
      <c r="C72" s="404"/>
      <c r="D72" s="404"/>
      <c r="E72" s="404"/>
      <c r="F72" s="404"/>
      <c r="G72" s="404"/>
      <c r="H72" s="404"/>
      <c r="I72" s="404"/>
    </row>
    <row r="73" spans="2:9" ht="65.25" customHeight="1" x14ac:dyDescent="0.25">
      <c r="B73" s="602" t="str">
        <f>"- A tabela abaixo mostra o consumo total dos itens da dieta, considerando que o consumo esteja travado no peso médio do lote de "&amp;'Formulação de suplemento'!C8&amp;" kg, com um total de "&amp;'Formulação de suplemento'!C20&amp;" cabeças e que o período de trato é de "&amp;'Formulação de suplemento'!C16&amp;" dias, conforme informado."</f>
        <v>- A tabela abaixo mostra o consumo total dos itens da dieta, considerando que o consumo esteja travado no peso médio do lote de  kg, com um total de  cabeças e que o período de trato é de  dias, conforme informado.</v>
      </c>
      <c r="C73" s="602"/>
      <c r="D73" s="602"/>
      <c r="E73" s="602"/>
      <c r="F73" s="602"/>
      <c r="G73" s="602"/>
      <c r="H73" s="602"/>
      <c r="I73" s="405"/>
    </row>
    <row r="74" spans="2:9" ht="15" customHeight="1" x14ac:dyDescent="0.25">
      <c r="B74" s="410"/>
      <c r="C74" s="410"/>
      <c r="D74" s="410"/>
      <c r="E74" s="410"/>
      <c r="F74" s="410"/>
      <c r="G74" s="410"/>
      <c r="H74" s="410"/>
      <c r="I74" s="405"/>
    </row>
    <row r="75" spans="2:9" ht="16.5" thickBot="1" x14ac:dyDescent="0.3">
      <c r="B75" s="591" t="s">
        <v>752</v>
      </c>
      <c r="C75" s="591"/>
      <c r="D75" s="591"/>
      <c r="E75" s="591"/>
      <c r="F75" s="591"/>
      <c r="G75" s="591"/>
      <c r="H75" s="249"/>
      <c r="I75" s="249"/>
    </row>
    <row r="76" spans="2:9" ht="16.5" thickTop="1" thickBot="1" x14ac:dyDescent="0.3">
      <c r="B76" s="610" t="str">
        <f t="shared" ref="B76:B90" si="16">B55</f>
        <v>Alimentos</v>
      </c>
      <c r="C76" s="610"/>
      <c r="D76" s="610"/>
      <c r="E76" s="590" t="str">
        <f>"Qnt. Consumida em "&amp;'Formulação de suplemento'!C16&amp;" dias"</f>
        <v>Qnt. Consumida em  dias</v>
      </c>
      <c r="F76" s="590"/>
      <c r="G76" s="590"/>
      <c r="H76" s="249"/>
      <c r="I76" s="249"/>
    </row>
    <row r="77" spans="2:9" ht="15.75" thickTop="1" x14ac:dyDescent="0.25">
      <c r="B77" s="605" t="str">
        <f t="shared" si="16"/>
        <v>Pasto</v>
      </c>
      <c r="C77" s="605"/>
      <c r="D77" s="605"/>
      <c r="E77" s="609" t="e">
        <f>IF(B77="Ocultar","Ocultar", G56*'Formulação de suplemento'!$C$16)</f>
        <v>#VALUE!</v>
      </c>
      <c r="F77" s="609"/>
      <c r="G77" s="609"/>
      <c r="H77" s="249"/>
      <c r="I77" s="249"/>
    </row>
    <row r="78" spans="2:9" x14ac:dyDescent="0.25">
      <c r="B78" s="605" t="str">
        <f t="shared" ref="B78" si="17">B57</f>
        <v>Ocultar</v>
      </c>
      <c r="C78" s="605"/>
      <c r="D78" s="605"/>
      <c r="E78" s="606" t="str">
        <f>IF(B78="Ocultar","Ocultar", G57*'Formulação de suplemento'!$C$16)</f>
        <v>Ocultar</v>
      </c>
      <c r="F78" s="606"/>
      <c r="G78" s="606"/>
      <c r="H78" s="249"/>
      <c r="I78" s="249"/>
    </row>
    <row r="79" spans="2:9" x14ac:dyDescent="0.25">
      <c r="B79" s="605" t="str">
        <f t="shared" ref="B79" si="18">B58</f>
        <v>Ocultar</v>
      </c>
      <c r="C79" s="605"/>
      <c r="D79" s="605"/>
      <c r="E79" s="606" t="str">
        <f>IF(B79="Ocultar","Ocultar", G58*'Formulação de suplemento'!$C$16)</f>
        <v>Ocultar</v>
      </c>
      <c r="F79" s="606"/>
      <c r="G79" s="606"/>
      <c r="H79" s="249"/>
      <c r="I79" s="249"/>
    </row>
    <row r="80" spans="2:9" x14ac:dyDescent="0.25">
      <c r="B80" s="605" t="str">
        <f t="shared" ref="B80" si="19">B59</f>
        <v>Ocultar</v>
      </c>
      <c r="C80" s="605"/>
      <c r="D80" s="605"/>
      <c r="E80" s="606" t="str">
        <f>IF(B80="Ocultar","Ocultar", G59*'Formulação de suplemento'!$C$16)</f>
        <v>Ocultar</v>
      </c>
      <c r="F80" s="606"/>
      <c r="G80" s="606"/>
    </row>
    <row r="81" spans="2:9" x14ac:dyDescent="0.25">
      <c r="B81" s="605" t="str">
        <f t="shared" ref="B81" si="20">B60</f>
        <v>Ocultar</v>
      </c>
      <c r="C81" s="605"/>
      <c r="D81" s="605"/>
      <c r="E81" s="606" t="str">
        <f>IF(B81="Ocultar","Ocultar", G60*'Formulação de suplemento'!$C$16)</f>
        <v>Ocultar</v>
      </c>
      <c r="F81" s="606"/>
      <c r="G81" s="606"/>
    </row>
    <row r="82" spans="2:9" x14ac:dyDescent="0.25">
      <c r="B82" s="605" t="str">
        <f t="shared" ref="B82" si="21">B61</f>
        <v>Ocultar</v>
      </c>
      <c r="C82" s="605"/>
      <c r="D82" s="605"/>
      <c r="E82" s="606" t="str">
        <f>IF(B82="Ocultar","Ocultar", G61*'Formulação de suplemento'!$C$16)</f>
        <v>Ocultar</v>
      </c>
      <c r="F82" s="606"/>
      <c r="G82" s="606"/>
    </row>
    <row r="83" spans="2:9" x14ac:dyDescent="0.25">
      <c r="B83" s="605" t="str">
        <f t="shared" ref="B83" si="22">B62</f>
        <v>Ocultar</v>
      </c>
      <c r="C83" s="605"/>
      <c r="D83" s="605"/>
      <c r="E83" s="606" t="str">
        <f>IF(B83="Ocultar","Ocultar", G62*'Formulação de suplemento'!$C$16)</f>
        <v>Ocultar</v>
      </c>
      <c r="F83" s="606"/>
      <c r="G83" s="606"/>
    </row>
    <row r="84" spans="2:9" x14ac:dyDescent="0.25">
      <c r="B84" s="605" t="str">
        <f t="shared" ref="B84" si="23">B63</f>
        <v>Ocultar</v>
      </c>
      <c r="C84" s="605"/>
      <c r="D84" s="605"/>
      <c r="E84" s="606" t="str">
        <f>IF(B84="Ocultar","Ocultar", G63*'Formulação de suplemento'!$C$16)</f>
        <v>Ocultar</v>
      </c>
      <c r="F84" s="606"/>
      <c r="G84" s="606"/>
    </row>
    <row r="85" spans="2:9" x14ac:dyDescent="0.25">
      <c r="B85" s="605" t="str">
        <f t="shared" ref="B85" si="24">B64</f>
        <v>Ocultar</v>
      </c>
      <c r="C85" s="605"/>
      <c r="D85" s="605"/>
      <c r="E85" s="606" t="str">
        <f>IF(B85="Ocultar","Ocultar", G64*'Formulação de suplemento'!$C$16)</f>
        <v>Ocultar</v>
      </c>
      <c r="F85" s="606"/>
      <c r="G85" s="606"/>
    </row>
    <row r="86" spans="2:9" ht="15.75" x14ac:dyDescent="0.25">
      <c r="B86" s="605" t="str">
        <f t="shared" ref="B86" si="25">B65</f>
        <v>Ocultar</v>
      </c>
      <c r="C86" s="605"/>
      <c r="D86" s="605"/>
      <c r="E86" s="606" t="str">
        <f>IF(B86="Ocultar","Ocultar", G65*'Formulação de suplemento'!$C$16)</f>
        <v>Ocultar</v>
      </c>
      <c r="F86" s="606"/>
      <c r="G86" s="606"/>
      <c r="H86" s="406"/>
      <c r="I86" s="406"/>
    </row>
    <row r="87" spans="2:9" x14ac:dyDescent="0.25">
      <c r="B87" s="605" t="str">
        <f t="shared" ref="B87" si="26">B66</f>
        <v>Ocultar</v>
      </c>
      <c r="C87" s="605"/>
      <c r="D87" s="605"/>
      <c r="E87" s="606" t="str">
        <f>IF(B87="Ocultar","Ocultar", G66*'Formulação de suplemento'!$C$16)</f>
        <v>Ocultar</v>
      </c>
      <c r="F87" s="606"/>
      <c r="G87" s="606"/>
    </row>
    <row r="88" spans="2:9" x14ac:dyDescent="0.25">
      <c r="B88" s="605" t="str">
        <f t="shared" ref="B88" si="27">B67</f>
        <v>Ocultar</v>
      </c>
      <c r="C88" s="605"/>
      <c r="D88" s="605"/>
      <c r="E88" s="606" t="str">
        <f>IF(B88="Ocultar","Ocultar", G67*'Formulação de suplemento'!$C$16)</f>
        <v>Ocultar</v>
      </c>
      <c r="F88" s="606"/>
      <c r="G88" s="606"/>
    </row>
    <row r="89" spans="2:9" ht="15.75" thickBot="1" x14ac:dyDescent="0.3">
      <c r="B89" s="607" t="str">
        <f t="shared" ref="B89" si="28">B68</f>
        <v>Ocultar</v>
      </c>
      <c r="C89" s="607"/>
      <c r="D89" s="607"/>
      <c r="E89" s="608" t="str">
        <f>IF(B89="Ocultar","Ocultar", G68*'Formulação de suplemento'!$C$16)</f>
        <v>Ocultar</v>
      </c>
      <c r="F89" s="608"/>
      <c r="G89" s="608"/>
    </row>
    <row r="90" spans="2:9" ht="16.5" thickTop="1" thickBot="1" x14ac:dyDescent="0.3">
      <c r="B90" s="590" t="str">
        <f t="shared" si="16"/>
        <v>Total</v>
      </c>
      <c r="C90" s="590"/>
      <c r="D90" s="590"/>
      <c r="E90" s="603" t="e">
        <f>SUM(E77:G89)</f>
        <v>#VALUE!</v>
      </c>
      <c r="F90" s="603"/>
      <c r="G90" s="603"/>
    </row>
    <row r="91" spans="2:9" ht="15.75" thickTop="1" x14ac:dyDescent="0.25"/>
    <row r="92" spans="2:9" ht="30" customHeight="1" x14ac:dyDescent="0.25">
      <c r="B92" s="604" t="s">
        <v>750</v>
      </c>
      <c r="C92" s="604"/>
      <c r="D92" s="604"/>
      <c r="E92" s="604"/>
      <c r="F92" s="604"/>
      <c r="G92" s="604"/>
      <c r="H92" s="604"/>
      <c r="I92" s="604"/>
    </row>
    <row r="94" spans="2:9" ht="16.5" thickBot="1" x14ac:dyDescent="0.3">
      <c r="B94" s="591" t="str">
        <f>'Formulação de suplemento'!Z5</f>
        <v>OUTRAS INFORMAÇÕES</v>
      </c>
      <c r="C94" s="591"/>
      <c r="D94" s="591"/>
      <c r="E94" s="591"/>
      <c r="F94" s="591"/>
      <c r="G94" s="591"/>
    </row>
    <row r="95" spans="2:9" ht="16.5" thickTop="1" thickBot="1" x14ac:dyDescent="0.3">
      <c r="B95" s="590" t="str">
        <f>'Formulação de suplemento'!Z6</f>
        <v>Descrição</v>
      </c>
      <c r="C95" s="590">
        <f>'Formulação de suplemento'!AA6</f>
        <v>0</v>
      </c>
      <c r="D95" s="590"/>
      <c r="E95" s="590"/>
      <c r="F95" s="597" t="str">
        <f>'Formulação de suplemento'!AB6</f>
        <v>Resultado</v>
      </c>
      <c r="G95" s="597"/>
    </row>
    <row r="96" spans="2:9" ht="15.75" thickTop="1" x14ac:dyDescent="0.25">
      <c r="B96" s="595" t="str">
        <f>'Formulação de suplemento'!Z7</f>
        <v>Consumo de supl. diário/cab</v>
      </c>
      <c r="C96" s="595"/>
      <c r="D96" s="595"/>
      <c r="F96" s="598" t="str">
        <f>'Formulação de suplemento'!AB7</f>
        <v/>
      </c>
      <c r="G96" s="598"/>
    </row>
    <row r="97" spans="2:7" x14ac:dyDescent="0.25">
      <c r="B97" s="595" t="str">
        <f>'Formulação de suplemento'!Z8</f>
        <v>Consumo de supl. diário no lote</v>
      </c>
      <c r="C97" s="595"/>
      <c r="D97" s="595"/>
      <c r="F97" s="599" t="str">
        <f>'Formulação de suplemento'!AB8</f>
        <v/>
      </c>
      <c r="G97" s="599"/>
    </row>
    <row r="98" spans="2:7" x14ac:dyDescent="0.25">
      <c r="B98" s="595" t="str">
        <f>'Formulação de suplemento'!Z9</f>
        <v>Consumo de supl. total no período</v>
      </c>
      <c r="C98" s="595"/>
      <c r="D98" s="595"/>
      <c r="F98" s="600" t="str">
        <f>'Formulação de suplemento'!AB9</f>
        <v/>
      </c>
      <c r="G98" s="600"/>
    </row>
    <row r="99" spans="2:7" x14ac:dyDescent="0.25">
      <c r="B99" s="595" t="str">
        <f>'Formulação de suplemento'!Z10</f>
        <v>Diária do suplemento (R$/cab)</v>
      </c>
      <c r="C99" s="595"/>
      <c r="D99" s="595"/>
      <c r="F99" s="593" t="str">
        <f>'Formulação de suplemento'!AB10</f>
        <v/>
      </c>
      <c r="G99" s="593"/>
    </row>
    <row r="100" spans="2:7" x14ac:dyDescent="0.25">
      <c r="B100" s="595" t="str">
        <f>'Formulação de suplemento'!Z11</f>
        <v>Diária total (R$/cab)</v>
      </c>
      <c r="C100" s="595"/>
      <c r="D100" s="595"/>
      <c r="F100" s="593" t="str">
        <f>'Formulação de suplemento'!AB11</f>
        <v/>
      </c>
      <c r="G100" s="593"/>
    </row>
    <row r="101" spans="2:7" x14ac:dyDescent="0.25">
      <c r="B101" s="595" t="str">
        <f>'Formulação de suplemento'!Z12</f>
        <v>Desembolso (R$/cab/mês)</v>
      </c>
      <c r="C101" s="595"/>
      <c r="D101" s="595"/>
      <c r="F101" s="601" t="str">
        <f>'Formulação de suplemento'!AB12</f>
        <v/>
      </c>
      <c r="G101" s="601"/>
    </row>
    <row r="102" spans="2:7" x14ac:dyDescent="0.25">
      <c r="B102" s="595" t="str">
        <f>'Formulação de suplemento'!Z13</f>
        <v>GMD de equilíbrio</v>
      </c>
      <c r="C102" s="595"/>
      <c r="D102" s="595"/>
      <c r="F102" s="592" t="str">
        <f>'Formulação de suplemento'!AB13</f>
        <v/>
      </c>
      <c r="G102" s="592"/>
    </row>
    <row r="103" spans="2:7" x14ac:dyDescent="0.25">
      <c r="B103" s="595" t="str">
        <f>'Formulação de suplemento'!Z14</f>
        <v>GMC de equilíbrio</v>
      </c>
      <c r="C103" s="595"/>
      <c r="D103" s="595"/>
      <c r="F103" s="592" t="str">
        <f>'Formulação de suplemento'!AB14</f>
        <v/>
      </c>
      <c r="G103" s="592"/>
    </row>
    <row r="104" spans="2:7" x14ac:dyDescent="0.25">
      <c r="B104" s="595" t="str">
        <f>'Formulação de suplemento'!Z15</f>
        <v>Custo da @ produzia (R$)</v>
      </c>
      <c r="C104" s="595"/>
      <c r="D104" s="595"/>
      <c r="F104" s="593" t="str">
        <f>'Formulação de suplemento'!AB15</f>
        <v/>
      </c>
      <c r="G104" s="593"/>
    </row>
    <row r="105" spans="2:7" x14ac:dyDescent="0.25">
      <c r="B105" s="595" t="str">
        <f>'Formulação de suplemento'!Z16</f>
        <v>Dias para produzir 1@</v>
      </c>
      <c r="C105" s="595"/>
      <c r="D105" s="595"/>
      <c r="F105" s="594" t="str">
        <f>'Formulação de suplemento'!AB16</f>
        <v/>
      </c>
      <c r="G105" s="594"/>
    </row>
    <row r="106" spans="2:7" x14ac:dyDescent="0.25">
      <c r="B106" s="595" t="str">
        <f>'Formulação de suplemento'!Z17</f>
        <v>R$ produzidos/cab/dia</v>
      </c>
      <c r="C106" s="595"/>
      <c r="D106" s="595"/>
      <c r="F106" s="593">
        <f>'Formulação de suplemento'!AB17</f>
        <v>0</v>
      </c>
      <c r="G106" s="593"/>
    </row>
    <row r="107" spans="2:7" x14ac:dyDescent="0.25">
      <c r="B107" s="595" t="str">
        <f>'Formulação de suplemento'!Z18</f>
        <v>Margem de produção/cab/dia</v>
      </c>
      <c r="C107" s="595"/>
      <c r="D107" s="595"/>
      <c r="F107" s="593" t="str">
        <f>'Formulação de suplemento'!AB18</f>
        <v/>
      </c>
      <c r="G107" s="593"/>
    </row>
    <row r="108" spans="2:7" ht="15.75" thickBot="1" x14ac:dyDescent="0.3">
      <c r="B108" s="596" t="str">
        <f>'Formulação de suplemento'!Z19</f>
        <v>Margem R$/cab/mês</v>
      </c>
      <c r="C108" s="596"/>
      <c r="D108" s="596"/>
      <c r="E108" s="411"/>
      <c r="F108" s="589" t="str">
        <f>'Formulação de suplemento'!AB19</f>
        <v/>
      </c>
      <c r="G108" s="589"/>
    </row>
    <row r="109" spans="2:7" ht="15.75" thickTop="1" x14ac:dyDescent="0.25"/>
  </sheetData>
  <sheetProtection algorithmName="SHA-512" hashValue="QrK6GRZUYnTAZVOniN/EWRO4ULqmiu33XoVxj8ov8GWhy15dm4Y4h7OUIy/BQKqYOIX1Qa1DPEzmG8vcetEMlg==" saltValue="VZVhkmr0QyDZquCSFE9uzg==" spinCount="100000" sheet="1" objects="1" scenarios="1" selectLockedCells="1" selectUnlockedCells="1"/>
  <mergeCells count="196">
    <mergeCell ref="A1:J1"/>
    <mergeCell ref="F11:G11"/>
    <mergeCell ref="H11:I11"/>
    <mergeCell ref="F12:G12"/>
    <mergeCell ref="H12:I12"/>
    <mergeCell ref="B11:C11"/>
    <mergeCell ref="B12:C12"/>
    <mergeCell ref="B4:I4"/>
    <mergeCell ref="B7:I7"/>
    <mergeCell ref="B9:I9"/>
    <mergeCell ref="F10:G10"/>
    <mergeCell ref="H10:I10"/>
    <mergeCell ref="B10:C10"/>
    <mergeCell ref="D10:E10"/>
    <mergeCell ref="D11:E11"/>
    <mergeCell ref="D12:E12"/>
    <mergeCell ref="F15:G15"/>
    <mergeCell ref="H15:I15"/>
    <mergeCell ref="F16:G16"/>
    <mergeCell ref="H16:I16"/>
    <mergeCell ref="D15:E15"/>
    <mergeCell ref="D16:E16"/>
    <mergeCell ref="B15:C15"/>
    <mergeCell ref="B16:C16"/>
    <mergeCell ref="F13:G13"/>
    <mergeCell ref="H13:I13"/>
    <mergeCell ref="F14:G14"/>
    <mergeCell ref="H14:I14"/>
    <mergeCell ref="D14:E14"/>
    <mergeCell ref="B13:C13"/>
    <mergeCell ref="B14:C14"/>
    <mergeCell ref="D13:E13"/>
    <mergeCell ref="F19:G19"/>
    <mergeCell ref="H19:I19"/>
    <mergeCell ref="F20:G20"/>
    <mergeCell ref="H20:I20"/>
    <mergeCell ref="D19:E19"/>
    <mergeCell ref="D20:E20"/>
    <mergeCell ref="B19:C19"/>
    <mergeCell ref="B20:C20"/>
    <mergeCell ref="F17:G17"/>
    <mergeCell ref="H17:I17"/>
    <mergeCell ref="F18:G18"/>
    <mergeCell ref="H18:I18"/>
    <mergeCell ref="D17:E17"/>
    <mergeCell ref="D18:E18"/>
    <mergeCell ref="B17:C17"/>
    <mergeCell ref="B18:C18"/>
    <mergeCell ref="F23:G23"/>
    <mergeCell ref="H23:I23"/>
    <mergeCell ref="F24:G24"/>
    <mergeCell ref="H24:I24"/>
    <mergeCell ref="D23:E23"/>
    <mergeCell ref="B23:C23"/>
    <mergeCell ref="B24:C24"/>
    <mergeCell ref="D24:E24"/>
    <mergeCell ref="F21:G21"/>
    <mergeCell ref="H21:I21"/>
    <mergeCell ref="F22:G22"/>
    <mergeCell ref="H22:I22"/>
    <mergeCell ref="D21:E21"/>
    <mergeCell ref="D22:E22"/>
    <mergeCell ref="B21:C21"/>
    <mergeCell ref="B22:C22"/>
    <mergeCell ref="B32:I32"/>
    <mergeCell ref="B35:D35"/>
    <mergeCell ref="B36:D36"/>
    <mergeCell ref="B37:D37"/>
    <mergeCell ref="B38:D38"/>
    <mergeCell ref="F25:G25"/>
    <mergeCell ref="H25:I25"/>
    <mergeCell ref="F26:G26"/>
    <mergeCell ref="H26:I26"/>
    <mergeCell ref="B28:I28"/>
    <mergeCell ref="B34:I34"/>
    <mergeCell ref="B45:D45"/>
    <mergeCell ref="B46:D46"/>
    <mergeCell ref="B47:D47"/>
    <mergeCell ref="B48:D48"/>
    <mergeCell ref="B49:D49"/>
    <mergeCell ref="B39:D39"/>
    <mergeCell ref="B40:D40"/>
    <mergeCell ref="B41:D41"/>
    <mergeCell ref="B42:D42"/>
    <mergeCell ref="B43:D43"/>
    <mergeCell ref="B44:D44"/>
    <mergeCell ref="B57:D57"/>
    <mergeCell ref="E57:F57"/>
    <mergeCell ref="G57:H57"/>
    <mergeCell ref="B58:D58"/>
    <mergeCell ref="E58:F58"/>
    <mergeCell ref="G58:H58"/>
    <mergeCell ref="B52:I52"/>
    <mergeCell ref="B54:H54"/>
    <mergeCell ref="B55:D55"/>
    <mergeCell ref="E55:F55"/>
    <mergeCell ref="G55:H55"/>
    <mergeCell ref="B56:D56"/>
    <mergeCell ref="E56:F56"/>
    <mergeCell ref="G56:H56"/>
    <mergeCell ref="B61:D61"/>
    <mergeCell ref="E61:F61"/>
    <mergeCell ref="G61:H61"/>
    <mergeCell ref="B62:D62"/>
    <mergeCell ref="E62:F62"/>
    <mergeCell ref="G62:H62"/>
    <mergeCell ref="B59:D59"/>
    <mergeCell ref="E59:F59"/>
    <mergeCell ref="G59:H59"/>
    <mergeCell ref="B60:D60"/>
    <mergeCell ref="E60:F60"/>
    <mergeCell ref="G60:H60"/>
    <mergeCell ref="B65:D65"/>
    <mergeCell ref="E65:F65"/>
    <mergeCell ref="G65:H65"/>
    <mergeCell ref="B66:D66"/>
    <mergeCell ref="E66:F66"/>
    <mergeCell ref="G66:H66"/>
    <mergeCell ref="B63:D63"/>
    <mergeCell ref="E63:F63"/>
    <mergeCell ref="G63:H63"/>
    <mergeCell ref="B64:D64"/>
    <mergeCell ref="E64:F64"/>
    <mergeCell ref="G64:H64"/>
    <mergeCell ref="B69:D69"/>
    <mergeCell ref="E69:F69"/>
    <mergeCell ref="G69:H69"/>
    <mergeCell ref="B71:H71"/>
    <mergeCell ref="B67:D67"/>
    <mergeCell ref="E67:F67"/>
    <mergeCell ref="G67:H67"/>
    <mergeCell ref="B68:D68"/>
    <mergeCell ref="E68:F68"/>
    <mergeCell ref="G68:H68"/>
    <mergeCell ref="E81:G81"/>
    <mergeCell ref="B76:D76"/>
    <mergeCell ref="E76:G76"/>
    <mergeCell ref="B77:D77"/>
    <mergeCell ref="B85:D85"/>
    <mergeCell ref="E85:G85"/>
    <mergeCell ref="B86:D86"/>
    <mergeCell ref="E86:G86"/>
    <mergeCell ref="B82:D82"/>
    <mergeCell ref="E82:G82"/>
    <mergeCell ref="B83:D83"/>
    <mergeCell ref="E83:G83"/>
    <mergeCell ref="B84:D84"/>
    <mergeCell ref="E84:G84"/>
    <mergeCell ref="B104:D104"/>
    <mergeCell ref="B105:D105"/>
    <mergeCell ref="B96:D96"/>
    <mergeCell ref="B97:D97"/>
    <mergeCell ref="B98:D98"/>
    <mergeCell ref="B99:D99"/>
    <mergeCell ref="B73:H73"/>
    <mergeCell ref="E90:G90"/>
    <mergeCell ref="B90:D90"/>
    <mergeCell ref="B92:I92"/>
    <mergeCell ref="B88:D88"/>
    <mergeCell ref="E88:G88"/>
    <mergeCell ref="B89:D89"/>
    <mergeCell ref="E89:G89"/>
    <mergeCell ref="B87:D87"/>
    <mergeCell ref="E87:G87"/>
    <mergeCell ref="E77:G77"/>
    <mergeCell ref="B78:D78"/>
    <mergeCell ref="E78:G78"/>
    <mergeCell ref="B79:D79"/>
    <mergeCell ref="E79:G79"/>
    <mergeCell ref="B80:D80"/>
    <mergeCell ref="E80:G80"/>
    <mergeCell ref="B81:D81"/>
    <mergeCell ref="F108:G108"/>
    <mergeCell ref="B95:E95"/>
    <mergeCell ref="B94:G94"/>
    <mergeCell ref="B75:G75"/>
    <mergeCell ref="F102:G102"/>
    <mergeCell ref="F103:G103"/>
    <mergeCell ref="F104:G104"/>
    <mergeCell ref="F105:G105"/>
    <mergeCell ref="F106:G106"/>
    <mergeCell ref="F107:G107"/>
    <mergeCell ref="B106:D106"/>
    <mergeCell ref="B107:D107"/>
    <mergeCell ref="B108:D108"/>
    <mergeCell ref="F95:G95"/>
    <mergeCell ref="F96:G96"/>
    <mergeCell ref="F97:G97"/>
    <mergeCell ref="F98:G98"/>
    <mergeCell ref="F99:G99"/>
    <mergeCell ref="F100:G100"/>
    <mergeCell ref="F101:G101"/>
    <mergeCell ref="B100:D100"/>
    <mergeCell ref="B101:D101"/>
    <mergeCell ref="B102:D102"/>
    <mergeCell ref="B103:D103"/>
  </mergeCells>
  <conditionalFormatting sqref="B70:I70 B8:I8 B27:I27 B25:E26 B28 B9:B24 D10:D24 F10:F24 H10:H24 I54:I69 G55:G69 B54:B69 E55:E69">
    <cfRule type="cellIs" dxfId="28" priority="15" operator="equal">
      <formula>"Ocultar"</formula>
    </cfRule>
  </conditionalFormatting>
  <conditionalFormatting sqref="B3:I3 B4 B5:I6 B7 B29:B30 B71:B73 H75:I75 H77:I79 H81:I90 G91:I91">
    <cfRule type="cellIs" dxfId="27" priority="16" operator="equal">
      <formula>"Ocultar"</formula>
    </cfRule>
  </conditionalFormatting>
  <conditionalFormatting sqref="B50:I51 B34:B49 E35:I49 B53:I53 B52">
    <cfRule type="cellIs" dxfId="26" priority="13" operator="equal">
      <formula>"Ocultar"</formula>
    </cfRule>
  </conditionalFormatting>
  <conditionalFormatting sqref="B92">
    <cfRule type="cellIs" dxfId="25" priority="7" operator="equal">
      <formula>"Ocultar"</formula>
    </cfRule>
  </conditionalFormatting>
  <conditionalFormatting sqref="B76:B90">
    <cfRule type="cellIs" dxfId="24" priority="11" operator="equal">
      <formula>"Ocultar"</formula>
    </cfRule>
  </conditionalFormatting>
  <conditionalFormatting sqref="B55:B69 G55:G69 E55:E69">
    <cfRule type="cellIs" dxfId="23" priority="12" operator="equal">
      <formula>"Ocultar"</formula>
    </cfRule>
  </conditionalFormatting>
  <conditionalFormatting sqref="B31:I31 B33:I33 B32">
    <cfRule type="cellIs" dxfId="22" priority="14" operator="equal">
      <formula>"Ocultar"</formula>
    </cfRule>
  </conditionalFormatting>
  <conditionalFormatting sqref="E77:E89">
    <cfRule type="cellIs" dxfId="21" priority="9" operator="equal">
      <formula>"Ocultar"</formula>
    </cfRule>
  </conditionalFormatting>
  <conditionalFormatting sqref="E90">
    <cfRule type="cellIs" dxfId="20" priority="8" operator="equal">
      <formula>"Ocultar"</formula>
    </cfRule>
  </conditionalFormatting>
  <conditionalFormatting sqref="E76 H76:I76">
    <cfRule type="cellIs" dxfId="19" priority="10" operator="equal">
      <formula>"Ocultar"</formula>
    </cfRule>
  </conditionalFormatting>
  <conditionalFormatting sqref="F25:I26">
    <cfRule type="cellIs" dxfId="18" priority="6" operator="equal">
      <formula>"Ocultar"</formula>
    </cfRule>
  </conditionalFormatting>
  <conditionalFormatting sqref="B95">
    <cfRule type="cellIs" dxfId="17" priority="5" operator="equal">
      <formula>"Ocultar"</formula>
    </cfRule>
  </conditionalFormatting>
  <conditionalFormatting sqref="F95">
    <cfRule type="cellIs" dxfId="16" priority="4" operator="equal">
      <formula>"Ocultar"</formula>
    </cfRule>
  </conditionalFormatting>
  <conditionalFormatting sqref="B94">
    <cfRule type="cellIs" dxfId="15" priority="3" operator="equal">
      <formula>"Ocultar"</formula>
    </cfRule>
  </conditionalFormatting>
  <conditionalFormatting sqref="B75">
    <cfRule type="cellIs" dxfId="14" priority="2" operator="equal">
      <formula>"Ocultar"</formula>
    </cfRule>
  </conditionalFormatting>
  <conditionalFormatting sqref="A1:J33 A35:J103 A34:B34 J34">
    <cfRule type="cellIs" dxfId="13" priority="1" operator="equal">
      <formula>"Ocultar"</formula>
    </cfRule>
  </conditionalFormatting>
  <pageMargins left="0.511811024" right="0.511811024" top="0.78740157499999996" bottom="0.78740157499999996" header="0.31496062000000002" footer="0.31496062000000002"/>
  <pageSetup paperSize="9" orientation="portrait" r:id="rId1"/>
  <headerFooter>
    <oddHeader>&amp;L&amp;"-,Negrito"&amp;14&amp;K1F4B31RELATÓRIO DE FORMULAÇÃO E DIETA&amp;R&amp;G</oddHeader>
  </headerFooter>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94D0C-FA39-42B1-AA03-19B0E7BF89B7}">
  <sheetPr codeName="Planilha2">
    <tabColor theme="7" tint="0.79998168889431442"/>
  </sheetPr>
  <dimension ref="A1:O47"/>
  <sheetViews>
    <sheetView zoomScale="145" zoomScaleNormal="145" workbookViewId="0">
      <selection activeCell="E9" sqref="E9"/>
    </sheetView>
  </sheetViews>
  <sheetFormatPr defaultColWidth="0" defaultRowHeight="15" x14ac:dyDescent="0.25"/>
  <cols>
    <col min="1" max="1" width="7.7109375" customWidth="1"/>
    <col min="2" max="2" width="18.28515625" bestFit="1" customWidth="1"/>
    <col min="3" max="4" width="15.7109375" customWidth="1"/>
    <col min="5" max="5" width="33.28515625" bestFit="1" customWidth="1"/>
    <col min="6" max="6" width="11" customWidth="1"/>
    <col min="7" max="15" width="0" hidden="1" customWidth="1"/>
    <col min="16" max="16384" width="9.140625" hidden="1"/>
  </cols>
  <sheetData>
    <row r="1" spans="1:6" ht="31.5" customHeight="1" x14ac:dyDescent="0.25">
      <c r="A1" s="628" t="s">
        <v>280</v>
      </c>
      <c r="B1" s="628"/>
      <c r="C1" s="628"/>
      <c r="D1" s="628"/>
      <c r="E1" s="628"/>
      <c r="F1" s="628"/>
    </row>
    <row r="2" spans="1:6" x14ac:dyDescent="0.25">
      <c r="A2" s="17"/>
      <c r="B2" s="16"/>
      <c r="C2" s="16"/>
      <c r="D2" s="16"/>
      <c r="E2" s="16"/>
      <c r="F2" s="17"/>
    </row>
    <row r="3" spans="1:6" x14ac:dyDescent="0.25">
      <c r="A3" s="17"/>
      <c r="B3" s="634" t="s">
        <v>64</v>
      </c>
      <c r="C3" s="634"/>
      <c r="D3" s="61">
        <f>'Formulação de suplemento'!H23</f>
        <v>0</v>
      </c>
      <c r="E3" s="26" t="s">
        <v>282</v>
      </c>
      <c r="F3" s="17"/>
    </row>
    <row r="4" spans="1:6" x14ac:dyDescent="0.25">
      <c r="A4" s="17"/>
      <c r="B4" s="634" t="s">
        <v>66</v>
      </c>
      <c r="C4" s="634"/>
      <c r="D4" s="62">
        <f>'Formulação de suplemento'!C19</f>
        <v>0</v>
      </c>
      <c r="E4" s="26" t="s">
        <v>282</v>
      </c>
      <c r="F4" s="17"/>
    </row>
    <row r="5" spans="1:6" x14ac:dyDescent="0.25">
      <c r="A5" s="17"/>
      <c r="B5" s="16"/>
      <c r="C5" s="16"/>
      <c r="D5" s="16"/>
      <c r="E5" s="16"/>
      <c r="F5" s="17"/>
    </row>
    <row r="6" spans="1:6" x14ac:dyDescent="0.25">
      <c r="A6" s="17"/>
      <c r="B6" s="633" t="s">
        <v>65</v>
      </c>
      <c r="C6" s="633"/>
      <c r="D6" s="16"/>
      <c r="E6" s="16"/>
      <c r="F6" s="17"/>
    </row>
    <row r="7" spans="1:6" x14ac:dyDescent="0.25">
      <c r="A7" s="17"/>
      <c r="B7" s="19" t="s">
        <v>43</v>
      </c>
      <c r="C7" s="10">
        <f>'Vamos ver'!$C$6</f>
        <v>0</v>
      </c>
      <c r="D7" s="26" t="s">
        <v>283</v>
      </c>
      <c r="E7" s="16"/>
      <c r="F7" s="17"/>
    </row>
    <row r="8" spans="1:6" x14ac:dyDescent="0.25">
      <c r="A8" s="17"/>
      <c r="B8" s="19" t="s">
        <v>44</v>
      </c>
      <c r="C8" s="10">
        <f>'Vamos ver'!$C$8</f>
        <v>0</v>
      </c>
      <c r="D8" s="26" t="s">
        <v>283</v>
      </c>
      <c r="E8" s="16"/>
      <c r="F8" s="17"/>
    </row>
    <row r="9" spans="1:6" x14ac:dyDescent="0.25">
      <c r="A9" s="17"/>
      <c r="B9" s="19" t="s">
        <v>46</v>
      </c>
      <c r="C9" s="10">
        <f>'Vamos ver'!$C$7</f>
        <v>0</v>
      </c>
      <c r="D9" s="26" t="s">
        <v>283</v>
      </c>
      <c r="E9" s="16"/>
      <c r="F9" s="17"/>
    </row>
    <row r="10" spans="1:6" x14ac:dyDescent="0.25">
      <c r="A10" s="17"/>
      <c r="B10" s="19" t="s">
        <v>45</v>
      </c>
      <c r="C10" s="63">
        <f>'Vamos ver'!$C$5</f>
        <v>0</v>
      </c>
      <c r="D10" s="26" t="s">
        <v>283</v>
      </c>
      <c r="E10" s="17"/>
      <c r="F10" s="17"/>
    </row>
    <row r="11" spans="1:6" x14ac:dyDescent="0.25">
      <c r="A11" s="17"/>
      <c r="B11" s="17"/>
      <c r="C11" s="17"/>
      <c r="D11" s="17"/>
      <c r="E11" s="17"/>
      <c r="F11" s="17"/>
    </row>
    <row r="12" spans="1:6" x14ac:dyDescent="0.25">
      <c r="A12" s="17"/>
      <c r="B12" s="631" t="s">
        <v>47</v>
      </c>
      <c r="C12" s="632"/>
      <c r="D12" s="17"/>
      <c r="E12" s="17"/>
      <c r="F12" s="17"/>
    </row>
    <row r="13" spans="1:6" x14ac:dyDescent="0.25">
      <c r="A13" s="17"/>
      <c r="B13" s="22" t="s">
        <v>50</v>
      </c>
      <c r="C13" s="23" t="s">
        <v>52</v>
      </c>
      <c r="D13" s="17"/>
      <c r="E13" s="17"/>
      <c r="F13" s="17"/>
    </row>
    <row r="14" spans="1:6" ht="15" customHeight="1" x14ac:dyDescent="0.25">
      <c r="A14" s="17"/>
      <c r="B14" s="21" t="s">
        <v>49</v>
      </c>
      <c r="C14" s="25">
        <f>C10*AVERAGE(C8,C7)*C9*D4</f>
        <v>0</v>
      </c>
      <c r="D14" s="17" t="s">
        <v>68</v>
      </c>
      <c r="E14" s="17"/>
      <c r="F14" s="17"/>
    </row>
    <row r="15" spans="1:6" x14ac:dyDescent="0.25">
      <c r="A15" s="17"/>
      <c r="B15" s="24" t="s">
        <v>53</v>
      </c>
      <c r="C15" s="25">
        <f>IFERROR(C14/Metas!C7,0)</f>
        <v>0</v>
      </c>
      <c r="D15" s="17" t="s">
        <v>69</v>
      </c>
      <c r="E15" s="17"/>
      <c r="F15" s="17"/>
    </row>
    <row r="16" spans="1:6" x14ac:dyDescent="0.25">
      <c r="A16" s="17"/>
      <c r="B16" s="20" t="s">
        <v>48</v>
      </c>
      <c r="C16" s="18">
        <f>C14*D3</f>
        <v>0</v>
      </c>
      <c r="D16" s="17" t="s">
        <v>67</v>
      </c>
      <c r="E16" s="17"/>
      <c r="F16" s="17"/>
    </row>
    <row r="17" spans="1:6" x14ac:dyDescent="0.25">
      <c r="A17" s="17"/>
      <c r="B17" s="20" t="s">
        <v>51</v>
      </c>
      <c r="C17" s="18">
        <f>IFERROR(C16/C10,0)</f>
        <v>0</v>
      </c>
      <c r="D17" s="17" t="s">
        <v>284</v>
      </c>
      <c r="E17" s="17"/>
      <c r="F17" s="17"/>
    </row>
    <row r="18" spans="1:6" x14ac:dyDescent="0.25">
      <c r="A18" s="17"/>
      <c r="B18" s="20" t="s">
        <v>54</v>
      </c>
      <c r="C18" s="18">
        <f>IFERROR(C17/C9,0)</f>
        <v>0</v>
      </c>
      <c r="D18" s="17" t="s">
        <v>285</v>
      </c>
      <c r="E18" s="17"/>
      <c r="F18" s="17"/>
    </row>
    <row r="19" spans="1:6" x14ac:dyDescent="0.25">
      <c r="A19" s="17"/>
      <c r="B19" s="17"/>
      <c r="C19" s="16"/>
      <c r="D19" s="17"/>
      <c r="E19" s="17"/>
      <c r="F19" s="17"/>
    </row>
    <row r="20" spans="1:6" x14ac:dyDescent="0.25">
      <c r="A20" s="17"/>
      <c r="B20" s="17"/>
      <c r="C20" s="16"/>
      <c r="D20" s="17"/>
      <c r="E20" s="17"/>
      <c r="F20" s="17"/>
    </row>
    <row r="21" spans="1:6" x14ac:dyDescent="0.25">
      <c r="A21" s="17"/>
      <c r="B21" s="630" t="s">
        <v>191</v>
      </c>
      <c r="C21" s="630"/>
      <c r="D21" s="229" t="s">
        <v>432</v>
      </c>
      <c r="E21" s="229" t="s">
        <v>433</v>
      </c>
      <c r="F21" s="17"/>
    </row>
    <row r="22" spans="1:6" x14ac:dyDescent="0.25">
      <c r="A22" s="17"/>
      <c r="B22" s="17" t="str">
        <f>IF('Formulação de suplemento'!E7="","",'Formulação de suplemento'!E7)</f>
        <v/>
      </c>
      <c r="C22" s="16"/>
      <c r="D22" s="230" t="str">
        <f>IF('Formulação de suplemento'!F7="","",'Formulação de suplemento'!F7)</f>
        <v/>
      </c>
      <c r="E22" s="232" t="str">
        <f>IF(D22="","", D22*$C$14)</f>
        <v/>
      </c>
      <c r="F22" s="17"/>
    </row>
    <row r="23" spans="1:6" x14ac:dyDescent="0.25">
      <c r="A23" s="17"/>
      <c r="B23" s="17" t="str" cm="1">
        <f t="array" ref="B23">IF('Formulação de suplemento'!E8:E8="","",'Formulação de suplemento'!E8:E8)</f>
        <v/>
      </c>
      <c r="C23" s="16"/>
      <c r="D23" s="230" t="str">
        <f>IF('Formulação de suplemento'!F8="","",'Formulação de suplemento'!F8)</f>
        <v/>
      </c>
      <c r="E23" s="192" t="str">
        <f t="shared" ref="E23:E34" si="0">IF(D23="","", D23*$C$14)</f>
        <v/>
      </c>
      <c r="F23" s="17"/>
    </row>
    <row r="24" spans="1:6" x14ac:dyDescent="0.25">
      <c r="A24" s="17"/>
      <c r="B24" s="17" t="str" cm="1">
        <f t="array" ref="B24">IF('Formulação de suplemento'!E9:E9="","",'Formulação de suplemento'!E9:E9)</f>
        <v/>
      </c>
      <c r="C24" s="16"/>
      <c r="D24" s="230" t="str">
        <f>IF('Formulação de suplemento'!F9="","",'Formulação de suplemento'!F9)</f>
        <v/>
      </c>
      <c r="E24" s="192" t="str">
        <f t="shared" si="0"/>
        <v/>
      </c>
      <c r="F24" s="17"/>
    </row>
    <row r="25" spans="1:6" x14ac:dyDescent="0.25">
      <c r="A25" s="17"/>
      <c r="B25" s="17" t="str" cm="1">
        <f t="array" ref="B25">IF('Formulação de suplemento'!E10:E10="","",'Formulação de suplemento'!E10:E10)</f>
        <v/>
      </c>
      <c r="C25" s="16"/>
      <c r="D25" s="230" t="str">
        <f>IF('Formulação de suplemento'!F10="","",'Formulação de suplemento'!F10)</f>
        <v/>
      </c>
      <c r="E25" s="192" t="str">
        <f t="shared" si="0"/>
        <v/>
      </c>
      <c r="F25" s="17"/>
    </row>
    <row r="26" spans="1:6" x14ac:dyDescent="0.25">
      <c r="A26" s="17"/>
      <c r="B26" s="17" t="str" cm="1">
        <f t="array" ref="B26">IF('Formulação de suplemento'!E11:E11="","",'Formulação de suplemento'!E11:E11)</f>
        <v/>
      </c>
      <c r="C26" s="16"/>
      <c r="D26" s="230" t="str">
        <f>IF('Formulação de suplemento'!F11="","",'Formulação de suplemento'!F11)</f>
        <v/>
      </c>
      <c r="E26" s="192" t="str">
        <f t="shared" si="0"/>
        <v/>
      </c>
      <c r="F26" s="17"/>
    </row>
    <row r="27" spans="1:6" x14ac:dyDescent="0.25">
      <c r="A27" s="17"/>
      <c r="B27" s="17" t="str" cm="1">
        <f t="array" ref="B27">IF('Formulação de suplemento'!E13:E13="","",'Formulação de suplemento'!E13:E13)</f>
        <v/>
      </c>
      <c r="C27" s="16"/>
      <c r="D27" s="230" t="str">
        <f>IF('Formulação de suplemento'!F13="","",'Formulação de suplemento'!F13)</f>
        <v/>
      </c>
      <c r="E27" s="192" t="str">
        <f t="shared" si="0"/>
        <v/>
      </c>
      <c r="F27" s="17"/>
    </row>
    <row r="28" spans="1:6" x14ac:dyDescent="0.25">
      <c r="A28" s="17"/>
      <c r="B28" s="17" t="str" cm="1">
        <f t="array" ref="B28">IF('Formulação de suplemento'!E14:E14="","",'Formulação de suplemento'!E14:E14)</f>
        <v/>
      </c>
      <c r="C28" s="16"/>
      <c r="D28" s="230" t="str">
        <f>IF('Formulação de suplemento'!F14="","",'Formulação de suplemento'!F14)</f>
        <v/>
      </c>
      <c r="E28" s="192" t="str">
        <f t="shared" si="0"/>
        <v/>
      </c>
      <c r="F28" s="17"/>
    </row>
    <row r="29" spans="1:6" x14ac:dyDescent="0.25">
      <c r="A29" s="17"/>
      <c r="B29" s="17" t="str" cm="1">
        <f t="array" ref="B29">IF('Formulação de suplemento'!E15:E15="","",'Formulação de suplemento'!E15:E15)</f>
        <v/>
      </c>
      <c r="C29" s="16"/>
      <c r="D29" s="230" t="str">
        <f>IF('Formulação de suplemento'!F15="","",'Formulação de suplemento'!F15)</f>
        <v/>
      </c>
      <c r="E29" s="192" t="str">
        <f t="shared" si="0"/>
        <v/>
      </c>
      <c r="F29" s="17"/>
    </row>
    <row r="30" spans="1:6" x14ac:dyDescent="0.25">
      <c r="A30" s="17"/>
      <c r="B30" s="17" t="str" cm="1">
        <f t="array" ref="B30">IF('Formulação de suplemento'!E16:E16="","",'Formulação de suplemento'!E16:E16)</f>
        <v/>
      </c>
      <c r="C30" s="16"/>
      <c r="D30" s="230" t="str">
        <f>IF('Formulação de suplemento'!F16="","",'Formulação de suplemento'!F16)</f>
        <v/>
      </c>
      <c r="E30" s="192" t="str">
        <f t="shared" si="0"/>
        <v/>
      </c>
      <c r="F30" s="17"/>
    </row>
    <row r="31" spans="1:6" x14ac:dyDescent="0.25">
      <c r="A31" s="17"/>
      <c r="B31" s="17" t="str" cm="1">
        <f t="array" ref="B31">IF('Formulação de suplemento'!E17:E17="","",'Formulação de suplemento'!E17:E17)</f>
        <v/>
      </c>
      <c r="C31" s="16"/>
      <c r="D31" s="230" t="str">
        <f>IF('Formulação de suplemento'!F17="","",'Formulação de suplemento'!F17)</f>
        <v/>
      </c>
      <c r="E31" s="192" t="str">
        <f t="shared" si="0"/>
        <v/>
      </c>
      <c r="F31" s="17"/>
    </row>
    <row r="32" spans="1:6" x14ac:dyDescent="0.25">
      <c r="A32" s="17"/>
      <c r="B32" s="17" t="str" cm="1">
        <f t="array" ref="B32">IF('Formulação de suplemento'!E18:E18="","",'Formulação de suplemento'!E18:E18)</f>
        <v/>
      </c>
      <c r="C32" s="16"/>
      <c r="D32" s="230" t="str">
        <f>IF('Formulação de suplemento'!F18="","",'Formulação de suplemento'!F18)</f>
        <v/>
      </c>
      <c r="E32" s="192" t="str">
        <f t="shared" si="0"/>
        <v/>
      </c>
      <c r="F32" s="17"/>
    </row>
    <row r="33" spans="1:6" x14ac:dyDescent="0.25">
      <c r="A33" s="17"/>
      <c r="B33" s="17" t="str" cm="1">
        <f t="array" ref="B33">IF('Formulação de suplemento'!E19:E19="","",'Formulação de suplemento'!E19:E19)</f>
        <v/>
      </c>
      <c r="C33" s="16"/>
      <c r="D33" s="230" t="str">
        <f>IF('Formulação de suplemento'!F19="","",'Formulação de suplemento'!F19)</f>
        <v/>
      </c>
      <c r="E33" s="192" t="str">
        <f t="shared" si="0"/>
        <v/>
      </c>
      <c r="F33" s="17"/>
    </row>
    <row r="34" spans="1:6" x14ac:dyDescent="0.25">
      <c r="A34" s="17"/>
      <c r="B34" s="129" t="str" cm="1">
        <f t="array" ref="B34">IF('Formulação de suplemento'!E20:E20="","",'Formulação de suplemento'!E20:E20)</f>
        <v/>
      </c>
      <c r="C34" s="228"/>
      <c r="D34" s="231" t="str">
        <f>IF('Formulação de suplemento'!F20="","",'Formulação de suplemento'!F20)</f>
        <v/>
      </c>
      <c r="E34" s="233" t="str">
        <f t="shared" si="0"/>
        <v/>
      </c>
      <c r="F34" s="17"/>
    </row>
    <row r="35" spans="1:6" x14ac:dyDescent="0.25">
      <c r="A35" s="17"/>
      <c r="B35" s="17"/>
      <c r="C35" s="16"/>
      <c r="D35" s="17"/>
      <c r="E35" s="17"/>
      <c r="F35" s="17"/>
    </row>
    <row r="36" spans="1:6" x14ac:dyDescent="0.25">
      <c r="A36" s="17"/>
      <c r="B36" s="17"/>
      <c r="C36" s="16"/>
      <c r="D36" s="17"/>
      <c r="E36" s="17"/>
      <c r="F36" s="17"/>
    </row>
    <row r="37" spans="1:6" x14ac:dyDescent="0.25">
      <c r="A37" s="17"/>
      <c r="B37" s="17"/>
      <c r="C37" s="16"/>
      <c r="D37" s="17"/>
      <c r="E37" s="17"/>
      <c r="F37" s="17"/>
    </row>
    <row r="38" spans="1:6" x14ac:dyDescent="0.25">
      <c r="A38" s="17"/>
      <c r="B38" s="17"/>
      <c r="C38" s="16"/>
      <c r="D38" s="17"/>
      <c r="E38" s="17"/>
      <c r="F38" s="17"/>
    </row>
    <row r="39" spans="1:6" x14ac:dyDescent="0.25">
      <c r="A39" s="17"/>
      <c r="B39" s="17"/>
      <c r="C39" s="16"/>
      <c r="D39" s="17"/>
      <c r="E39" s="17"/>
      <c r="F39" s="17"/>
    </row>
    <row r="40" spans="1:6" x14ac:dyDescent="0.25">
      <c r="A40" s="17"/>
      <c r="B40" s="17"/>
      <c r="C40" s="16"/>
      <c r="D40" s="17"/>
      <c r="E40" s="17"/>
      <c r="F40" s="17"/>
    </row>
    <row r="41" spans="1:6" x14ac:dyDescent="0.25">
      <c r="A41" s="17"/>
      <c r="B41" s="17"/>
      <c r="C41" s="16"/>
      <c r="D41" s="17"/>
      <c r="E41" s="17"/>
      <c r="F41" s="17"/>
    </row>
    <row r="42" spans="1:6" x14ac:dyDescent="0.25">
      <c r="A42" s="17"/>
      <c r="B42" s="17"/>
      <c r="C42" s="16"/>
      <c r="D42" s="17"/>
      <c r="E42" s="17"/>
      <c r="F42" s="17"/>
    </row>
    <row r="43" spans="1:6" x14ac:dyDescent="0.25">
      <c r="A43" s="17"/>
      <c r="B43" s="17"/>
      <c r="C43" s="16"/>
      <c r="D43" s="17"/>
      <c r="E43" s="17"/>
      <c r="F43" s="17"/>
    </row>
    <row r="44" spans="1:6" x14ac:dyDescent="0.25">
      <c r="A44" s="17"/>
      <c r="B44" s="17"/>
      <c r="C44" s="16"/>
      <c r="D44" s="17"/>
      <c r="E44" s="17"/>
      <c r="F44" s="17"/>
    </row>
    <row r="45" spans="1:6" x14ac:dyDescent="0.25">
      <c r="A45" s="17"/>
      <c r="B45" s="17"/>
      <c r="C45" s="16"/>
      <c r="D45" s="17"/>
      <c r="E45" s="17"/>
      <c r="F45" s="17"/>
    </row>
    <row r="46" spans="1:6" x14ac:dyDescent="0.25">
      <c r="A46" s="17"/>
      <c r="B46" s="17"/>
      <c r="C46" s="16"/>
      <c r="D46" s="17"/>
      <c r="E46" s="17"/>
      <c r="F46" s="17"/>
    </row>
    <row r="47" spans="1:6" x14ac:dyDescent="0.25">
      <c r="A47" s="17"/>
      <c r="B47" s="17"/>
      <c r="C47" s="16"/>
      <c r="D47" s="17"/>
      <c r="E47" s="17"/>
      <c r="F47" s="17"/>
    </row>
  </sheetData>
  <sheetProtection algorithmName="SHA-512" hashValue="wYHkI7vH2UewtQiU+fQZx2yUJRpEA+p2xc+yKmfTgnHntjL1FucBnTjUilJydF1RK1CdAdshBpm318S4lZTGmg==" saltValue="nij6NR1fvQpOEmYF/Pa+JA==" spinCount="100000" sheet="1" objects="1" scenarios="1" selectLockedCells="1" selectUnlockedCells="1"/>
  <mergeCells count="6">
    <mergeCell ref="B21:C21"/>
    <mergeCell ref="B12:C12"/>
    <mergeCell ref="A1:F1"/>
    <mergeCell ref="B6:C6"/>
    <mergeCell ref="B3:C3"/>
    <mergeCell ref="B4:C4"/>
  </mergeCells>
  <conditionalFormatting sqref="C10">
    <cfRule type="containsText" dxfId="12" priority="2" operator="containsText" text="Falta">
      <formula>NOT(ISERROR(SEARCH("Falta",C10)))</formula>
    </cfRule>
  </conditionalFormatting>
  <pageMargins left="0.511811024" right="0.511811024" top="0.78740157499999996" bottom="0.78740157499999996" header="0.31496062000000002" footer="0.3149606200000000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D7D43-FA37-4C55-8A46-EE67F5C7CC75}">
  <sheetPr codeName="Planilha11"/>
  <dimension ref="A1:AC31"/>
  <sheetViews>
    <sheetView showGridLines="0" topLeftCell="C1" zoomScale="85" zoomScaleNormal="85" workbookViewId="0">
      <selection activeCell="M17" sqref="M17"/>
    </sheetView>
  </sheetViews>
  <sheetFormatPr defaultRowHeight="15" x14ac:dyDescent="0.25"/>
  <cols>
    <col min="1" max="1" width="5" customWidth="1"/>
    <col min="3" max="3" width="29.7109375" style="1" bestFit="1" customWidth="1"/>
    <col min="4" max="4" width="14.28515625" style="1" bestFit="1" customWidth="1"/>
    <col min="5" max="5" width="19.5703125" style="1" customWidth="1"/>
    <col min="6" max="6" width="23.140625" style="1" bestFit="1" customWidth="1"/>
    <col min="7" max="7" width="24.28515625" style="1" customWidth="1"/>
    <col min="9" max="9" width="7.85546875" customWidth="1"/>
    <col min="10" max="10" width="10" customWidth="1"/>
    <col min="11" max="11" width="29.7109375" bestFit="1" customWidth="1"/>
    <col min="12" max="12" width="14.42578125" customWidth="1"/>
    <col min="13" max="13" width="18.28515625" customWidth="1"/>
    <col min="14" max="14" width="22.85546875" bestFit="1" customWidth="1"/>
    <col min="15" max="15" width="20.85546875" bestFit="1" customWidth="1"/>
    <col min="17" max="17" width="8.140625" customWidth="1"/>
    <col min="19" max="19" width="17.140625" customWidth="1"/>
    <col min="20" max="20" width="21.28515625" customWidth="1"/>
    <col min="21" max="21" width="16.42578125" customWidth="1"/>
    <col min="22" max="22" width="14.5703125" customWidth="1"/>
    <col min="23" max="23" width="19.42578125" customWidth="1"/>
  </cols>
  <sheetData>
    <row r="1" spans="1:25" ht="32.25" customHeight="1" x14ac:dyDescent="0.25">
      <c r="A1" s="628" t="s">
        <v>430</v>
      </c>
      <c r="B1" s="628"/>
      <c r="C1" s="628"/>
      <c r="D1" s="628"/>
      <c r="E1" s="628"/>
      <c r="F1" s="628"/>
      <c r="G1" s="628"/>
      <c r="H1" s="628"/>
      <c r="I1" s="628"/>
      <c r="J1" s="628"/>
      <c r="K1" s="628"/>
      <c r="L1" s="628"/>
      <c r="M1" s="628"/>
      <c r="N1" s="628"/>
      <c r="O1" s="628"/>
      <c r="P1" s="628"/>
      <c r="Q1" s="628"/>
      <c r="R1" s="628"/>
      <c r="S1" s="628"/>
      <c r="T1" s="628"/>
      <c r="U1" s="628"/>
      <c r="V1" s="628"/>
      <c r="W1" s="628"/>
      <c r="X1" s="628"/>
      <c r="Y1" s="628"/>
    </row>
    <row r="3" spans="1:25" ht="35.25" customHeight="1" x14ac:dyDescent="0.25">
      <c r="B3" s="642" t="s">
        <v>429</v>
      </c>
      <c r="C3" s="642"/>
      <c r="D3" s="642"/>
      <c r="E3" s="642"/>
      <c r="F3" s="642"/>
      <c r="G3" s="642"/>
      <c r="H3" s="642"/>
      <c r="J3" s="642" t="s">
        <v>428</v>
      </c>
      <c r="K3" s="642"/>
      <c r="L3" s="642"/>
      <c r="M3" s="642"/>
      <c r="N3" s="642"/>
      <c r="O3" s="642"/>
      <c r="P3" s="642"/>
      <c r="R3" s="642" t="s">
        <v>427</v>
      </c>
      <c r="S3" s="642"/>
      <c r="T3" s="642"/>
      <c r="U3" s="642"/>
      <c r="V3" s="642"/>
      <c r="W3" s="642"/>
      <c r="X3" s="642"/>
    </row>
    <row r="4" spans="1:25" x14ac:dyDescent="0.25">
      <c r="B4" s="34"/>
      <c r="C4" s="35"/>
      <c r="D4" s="35"/>
      <c r="E4" s="35"/>
      <c r="F4" s="35"/>
      <c r="G4" s="35"/>
      <c r="H4" s="34"/>
      <c r="J4" s="34"/>
      <c r="K4" s="34"/>
      <c r="L4" s="34"/>
      <c r="M4" s="34"/>
      <c r="N4" s="34"/>
      <c r="O4" s="34"/>
      <c r="P4" s="34"/>
      <c r="R4" s="34"/>
      <c r="S4" s="34"/>
      <c r="T4" s="34"/>
      <c r="U4" s="34"/>
      <c r="V4" s="34"/>
      <c r="W4" s="34"/>
      <c r="X4" s="34"/>
    </row>
    <row r="5" spans="1:25" x14ac:dyDescent="0.25">
      <c r="B5" s="34"/>
      <c r="C5" s="635" t="s">
        <v>426</v>
      </c>
      <c r="D5" s="636"/>
      <c r="E5" s="35"/>
      <c r="F5" s="635" t="s">
        <v>47</v>
      </c>
      <c r="G5" s="636"/>
      <c r="H5" s="34"/>
      <c r="J5" s="34"/>
      <c r="K5" s="635" t="s">
        <v>426</v>
      </c>
      <c r="L5" s="636"/>
      <c r="M5" s="34"/>
      <c r="N5" s="635" t="s">
        <v>47</v>
      </c>
      <c r="O5" s="636"/>
      <c r="P5" s="34"/>
      <c r="R5" s="34"/>
      <c r="S5" s="34"/>
      <c r="T5" s="34"/>
      <c r="U5" s="34"/>
      <c r="V5" s="34"/>
      <c r="W5" s="34"/>
      <c r="X5" s="34"/>
    </row>
    <row r="6" spans="1:25" ht="15" customHeight="1" x14ac:dyDescent="0.25">
      <c r="B6" s="34"/>
      <c r="C6" s="106" t="s">
        <v>425</v>
      </c>
      <c r="D6" s="111"/>
      <c r="E6" s="35"/>
      <c r="F6" s="106" t="s">
        <v>424</v>
      </c>
      <c r="G6" s="102" t="e">
        <f>D6/D7</f>
        <v>#DIV/0!</v>
      </c>
      <c r="H6" s="34"/>
      <c r="J6" s="34"/>
      <c r="K6" s="106" t="s">
        <v>425</v>
      </c>
      <c r="L6" s="111"/>
      <c r="M6" s="34"/>
      <c r="N6" s="106" t="s">
        <v>424</v>
      </c>
      <c r="O6" s="102" t="e">
        <f>L6/L7</f>
        <v>#DIV/0!</v>
      </c>
      <c r="P6" s="34"/>
      <c r="R6" s="34"/>
      <c r="S6" s="34"/>
      <c r="T6" s="34"/>
      <c r="U6" s="34"/>
      <c r="V6" s="34"/>
      <c r="W6" s="34"/>
      <c r="X6" s="34"/>
    </row>
    <row r="7" spans="1:25" ht="15" customHeight="1" x14ac:dyDescent="0.25">
      <c r="B7" s="34"/>
      <c r="C7" s="106" t="s">
        <v>423</v>
      </c>
      <c r="D7" s="111"/>
      <c r="E7" s="35"/>
      <c r="F7" s="106" t="s">
        <v>422</v>
      </c>
      <c r="G7" s="102">
        <f>D6*D8</f>
        <v>0</v>
      </c>
      <c r="H7" s="34"/>
      <c r="J7" s="34"/>
      <c r="K7" s="106" t="s">
        <v>423</v>
      </c>
      <c r="L7" s="111"/>
      <c r="M7" s="34"/>
      <c r="N7" s="106" t="s">
        <v>422</v>
      </c>
      <c r="O7" s="102">
        <f>L6*L8</f>
        <v>0</v>
      </c>
      <c r="P7" s="34"/>
      <c r="R7" s="34"/>
      <c r="S7" s="34"/>
      <c r="T7" s="34"/>
      <c r="U7" s="34"/>
      <c r="V7" s="34"/>
      <c r="W7" s="34"/>
      <c r="X7" s="34"/>
    </row>
    <row r="8" spans="1:25" ht="15" customHeight="1" x14ac:dyDescent="0.25">
      <c r="B8" s="34"/>
      <c r="C8" s="106" t="s">
        <v>421</v>
      </c>
      <c r="D8" s="111"/>
      <c r="E8" s="35"/>
      <c r="F8" s="107" t="s">
        <v>420</v>
      </c>
      <c r="G8" s="102">
        <f>(D9*2)+IF(D10="Sim",4*D11,0)</f>
        <v>0</v>
      </c>
      <c r="H8" s="34"/>
      <c r="J8" s="34"/>
      <c r="K8" s="106" t="s">
        <v>421</v>
      </c>
      <c r="L8" s="111"/>
      <c r="M8" s="34"/>
      <c r="N8" s="107" t="s">
        <v>420</v>
      </c>
      <c r="O8" s="102">
        <f>(L9*2)+(O9*2)+IF(L10="Sim",4*L11,0)</f>
        <v>0</v>
      </c>
      <c r="P8" s="34"/>
      <c r="R8" s="34"/>
      <c r="S8" s="34"/>
      <c r="T8" s="34"/>
      <c r="U8" s="34"/>
      <c r="V8" s="34"/>
      <c r="W8" s="34"/>
      <c r="X8" s="34"/>
    </row>
    <row r="9" spans="1:25" ht="15" customHeight="1" x14ac:dyDescent="0.25">
      <c r="B9" s="34"/>
      <c r="C9" s="106" t="s">
        <v>418</v>
      </c>
      <c r="D9" s="111"/>
      <c r="E9" s="35"/>
      <c r="F9" s="107" t="s">
        <v>419</v>
      </c>
      <c r="G9" s="102">
        <f>D9</f>
        <v>0</v>
      </c>
      <c r="H9" s="34"/>
      <c r="J9" s="34"/>
      <c r="K9" s="106" t="s">
        <v>418</v>
      </c>
      <c r="L9" s="111"/>
      <c r="M9" s="34"/>
      <c r="N9" s="107" t="s">
        <v>417</v>
      </c>
      <c r="O9" s="102">
        <f>L9+IF(L10="Sim",2*L11,0)</f>
        <v>0</v>
      </c>
      <c r="P9" s="34"/>
      <c r="R9" s="34"/>
      <c r="S9" s="34"/>
      <c r="T9" s="34"/>
      <c r="U9" s="34"/>
      <c r="V9" s="34"/>
      <c r="W9" s="34"/>
      <c r="X9" s="34"/>
    </row>
    <row r="10" spans="1:25" ht="15" customHeight="1" x14ac:dyDescent="0.25">
      <c r="B10" s="34"/>
      <c r="C10" s="106" t="s">
        <v>415</v>
      </c>
      <c r="D10" s="111"/>
      <c r="E10" s="35"/>
      <c r="F10" s="107" t="s">
        <v>416</v>
      </c>
      <c r="G10" s="102">
        <f>IF(D10="Sim",2*D11,0)</f>
        <v>0</v>
      </c>
      <c r="H10" s="34"/>
      <c r="J10" s="34"/>
      <c r="K10" s="106" t="s">
        <v>415</v>
      </c>
      <c r="L10" s="111"/>
      <c r="M10" s="34"/>
      <c r="N10" s="34"/>
      <c r="O10" s="34"/>
      <c r="P10" s="34"/>
      <c r="R10" s="34"/>
      <c r="S10" s="34"/>
      <c r="T10" s="34"/>
      <c r="U10" s="34"/>
      <c r="V10" s="34"/>
      <c r="W10" s="34"/>
      <c r="X10" s="34"/>
    </row>
    <row r="11" spans="1:25" ht="15" customHeight="1" x14ac:dyDescent="0.25">
      <c r="B11" s="34"/>
      <c r="C11" s="106" t="s">
        <v>414</v>
      </c>
      <c r="D11" s="111"/>
      <c r="E11" s="35"/>
      <c r="F11" s="106" t="s">
        <v>413</v>
      </c>
      <c r="G11" s="74">
        <f>ROUNDUP(D6/3000,0)</f>
        <v>0</v>
      </c>
      <c r="H11" s="34"/>
      <c r="J11" s="34"/>
      <c r="K11" s="106" t="s">
        <v>414</v>
      </c>
      <c r="L11" s="111"/>
      <c r="M11" s="34"/>
      <c r="N11" s="34"/>
      <c r="O11" s="34"/>
      <c r="P11" s="34"/>
      <c r="R11" s="34"/>
      <c r="S11" s="34"/>
      <c r="T11" s="34"/>
      <c r="U11" s="34"/>
      <c r="V11" s="34"/>
      <c r="W11" s="34"/>
      <c r="X11" s="34"/>
    </row>
    <row r="12" spans="1:25" ht="15" customHeight="1" x14ac:dyDescent="0.25">
      <c r="B12" s="34"/>
      <c r="C12" s="35"/>
      <c r="D12" s="35"/>
      <c r="E12" s="35"/>
      <c r="F12" s="106" t="s">
        <v>412</v>
      </c>
      <c r="G12" s="102" t="e">
        <f>G6</f>
        <v>#DIV/0!</v>
      </c>
      <c r="H12" s="34"/>
      <c r="J12" s="34"/>
      <c r="K12" s="34"/>
      <c r="L12" s="34"/>
      <c r="M12" s="34"/>
      <c r="N12" s="34"/>
      <c r="O12" s="34"/>
      <c r="P12" s="34"/>
      <c r="R12" s="34"/>
      <c r="S12" s="34"/>
      <c r="T12" s="34"/>
      <c r="U12" s="34"/>
      <c r="V12" s="34"/>
      <c r="W12" s="34"/>
      <c r="X12" s="34"/>
    </row>
    <row r="13" spans="1:25" ht="15" customHeight="1" x14ac:dyDescent="0.25">
      <c r="B13" s="34"/>
      <c r="C13" s="35"/>
      <c r="D13" s="35"/>
      <c r="E13" s="35"/>
      <c r="F13" s="106" t="s">
        <v>411</v>
      </c>
      <c r="G13" s="102">
        <f>IF(G11&lt;=3,3,G11)</f>
        <v>3</v>
      </c>
      <c r="H13" s="34"/>
      <c r="J13" s="34"/>
      <c r="K13" s="34"/>
      <c r="L13" s="34"/>
      <c r="M13" s="34"/>
      <c r="N13" s="34"/>
      <c r="O13" s="34"/>
      <c r="P13" s="34"/>
      <c r="R13" s="34"/>
      <c r="S13" s="34"/>
      <c r="T13" s="34"/>
      <c r="U13" s="34"/>
      <c r="V13" s="34"/>
      <c r="W13" s="34"/>
      <c r="X13" s="34"/>
    </row>
    <row r="14" spans="1:25" ht="21" customHeight="1" x14ac:dyDescent="0.25">
      <c r="B14" s="34"/>
      <c r="C14" s="35"/>
      <c r="D14" s="35"/>
      <c r="E14" s="35"/>
      <c r="F14" s="35"/>
      <c r="G14" s="35"/>
      <c r="H14" s="34"/>
      <c r="J14" s="34"/>
      <c r="K14" s="34"/>
      <c r="L14" s="34"/>
      <c r="M14" s="34"/>
      <c r="N14" s="34"/>
      <c r="O14" s="34"/>
      <c r="P14" s="34"/>
      <c r="R14" s="34"/>
      <c r="S14" s="34"/>
      <c r="T14" s="34"/>
      <c r="U14" s="34"/>
      <c r="V14" s="34"/>
      <c r="W14" s="34"/>
      <c r="X14" s="34"/>
    </row>
    <row r="15" spans="1:25" ht="21" x14ac:dyDescent="0.25">
      <c r="B15" s="34"/>
      <c r="C15" s="639" t="s">
        <v>410</v>
      </c>
      <c r="D15" s="640"/>
      <c r="E15" s="640"/>
      <c r="F15" s="640"/>
      <c r="G15" s="641"/>
      <c r="H15" s="34"/>
      <c r="J15" s="34"/>
      <c r="K15" s="639" t="s">
        <v>410</v>
      </c>
      <c r="L15" s="640"/>
      <c r="M15" s="640"/>
      <c r="N15" s="640"/>
      <c r="O15" s="641"/>
      <c r="P15" s="34"/>
      <c r="R15" s="34"/>
      <c r="S15" s="639" t="s">
        <v>410</v>
      </c>
      <c r="T15" s="640"/>
      <c r="U15" s="640"/>
      <c r="V15" s="640"/>
      <c r="W15" s="641"/>
      <c r="X15" s="34"/>
    </row>
    <row r="16" spans="1:25" x14ac:dyDescent="0.25">
      <c r="B16" s="34"/>
      <c r="C16" s="105" t="s">
        <v>409</v>
      </c>
      <c r="D16" s="90" t="s">
        <v>408</v>
      </c>
      <c r="E16" s="105" t="s">
        <v>407</v>
      </c>
      <c r="F16" s="90" t="s">
        <v>406</v>
      </c>
      <c r="G16" s="90" t="s">
        <v>140</v>
      </c>
      <c r="H16" s="34"/>
      <c r="J16" s="34"/>
      <c r="K16" s="105" t="s">
        <v>409</v>
      </c>
      <c r="L16" s="90" t="s">
        <v>408</v>
      </c>
      <c r="M16" s="90" t="s">
        <v>407</v>
      </c>
      <c r="N16" s="90" t="s">
        <v>406</v>
      </c>
      <c r="O16" s="104" t="s">
        <v>140</v>
      </c>
      <c r="P16" s="34"/>
      <c r="R16" s="34"/>
      <c r="S16" s="103" t="s">
        <v>409</v>
      </c>
      <c r="T16" s="103" t="s">
        <v>408</v>
      </c>
      <c r="U16" s="103" t="s">
        <v>407</v>
      </c>
      <c r="V16" s="103" t="s">
        <v>406</v>
      </c>
      <c r="W16" s="103" t="s">
        <v>140</v>
      </c>
      <c r="X16" s="34"/>
    </row>
    <row r="17" spans="2:29" ht="45" customHeight="1" x14ac:dyDescent="0.25">
      <c r="B17" s="34"/>
      <c r="C17" s="102"/>
      <c r="D17" s="98" t="s">
        <v>405</v>
      </c>
      <c r="E17" s="108"/>
      <c r="F17" s="97" t="e">
        <f>G6</f>
        <v>#DIV/0!</v>
      </c>
      <c r="G17" s="96" t="e">
        <f t="shared" ref="G17:G29" si="0">F17*E17</f>
        <v>#DIV/0!</v>
      </c>
      <c r="H17" s="34"/>
      <c r="J17" s="34"/>
      <c r="K17" s="102"/>
      <c r="L17" s="98" t="s">
        <v>405</v>
      </c>
      <c r="M17" s="108"/>
      <c r="N17" s="102" t="e">
        <f>O6</f>
        <v>#DIV/0!</v>
      </c>
      <c r="O17" s="96" t="e">
        <f t="shared" ref="O17:O29" si="1">N17*M17</f>
        <v>#DIV/0!</v>
      </c>
      <c r="P17" s="34"/>
      <c r="R17" s="34"/>
      <c r="S17" s="102"/>
      <c r="T17" s="116" t="s">
        <v>404</v>
      </c>
      <c r="U17" s="108"/>
      <c r="V17" s="111"/>
      <c r="W17" s="96">
        <f t="shared" ref="W17:W29" si="2">V17*U17</f>
        <v>0</v>
      </c>
      <c r="X17" s="34"/>
    </row>
    <row r="18" spans="2:29" ht="45" customHeight="1" x14ac:dyDescent="0.25">
      <c r="B18" s="34"/>
      <c r="C18" s="102"/>
      <c r="D18" s="98" t="s">
        <v>403</v>
      </c>
      <c r="E18" s="108"/>
      <c r="F18" s="97">
        <f>G7</f>
        <v>0</v>
      </c>
      <c r="G18" s="96">
        <f t="shared" si="0"/>
        <v>0</v>
      </c>
      <c r="H18" s="34"/>
      <c r="J18" s="34"/>
      <c r="K18" s="102"/>
      <c r="L18" s="98" t="s">
        <v>403</v>
      </c>
      <c r="M18" s="108"/>
      <c r="N18" s="102">
        <f>O7</f>
        <v>0</v>
      </c>
      <c r="O18" s="96">
        <f t="shared" si="1"/>
        <v>0</v>
      </c>
      <c r="P18" s="34"/>
      <c r="R18" s="34"/>
      <c r="S18" s="102"/>
      <c r="T18" s="116" t="s">
        <v>402</v>
      </c>
      <c r="U18" s="108"/>
      <c r="V18" s="111"/>
      <c r="W18" s="96">
        <f t="shared" si="2"/>
        <v>0</v>
      </c>
      <c r="X18" s="34"/>
    </row>
    <row r="19" spans="2:29" ht="45" customHeight="1" x14ac:dyDescent="0.25">
      <c r="B19" s="34"/>
      <c r="C19" s="102"/>
      <c r="D19" s="98" t="s">
        <v>401</v>
      </c>
      <c r="E19" s="108"/>
      <c r="F19" s="97">
        <f>G10</f>
        <v>0</v>
      </c>
      <c r="G19" s="96">
        <f t="shared" si="0"/>
        <v>0</v>
      </c>
      <c r="H19" s="34"/>
      <c r="J19" s="34"/>
      <c r="K19" s="102"/>
      <c r="L19" s="98" t="s">
        <v>401</v>
      </c>
      <c r="M19" s="108"/>
      <c r="N19" s="102">
        <f>O9</f>
        <v>0</v>
      </c>
      <c r="O19" s="96">
        <f t="shared" si="1"/>
        <v>0</v>
      </c>
      <c r="P19" s="34"/>
      <c r="R19" s="34"/>
      <c r="S19" s="102"/>
      <c r="T19" s="116" t="s">
        <v>400</v>
      </c>
      <c r="U19" s="108"/>
      <c r="V19" s="111"/>
      <c r="W19" s="96">
        <f t="shared" si="2"/>
        <v>0</v>
      </c>
      <c r="X19" s="34"/>
    </row>
    <row r="20" spans="2:29" ht="45" customHeight="1" x14ac:dyDescent="0.25">
      <c r="B20" s="34"/>
      <c r="C20" s="99"/>
      <c r="D20" s="98" t="s">
        <v>399</v>
      </c>
      <c r="E20" s="108"/>
      <c r="F20" s="97">
        <f>G8</f>
        <v>0</v>
      </c>
      <c r="G20" s="96">
        <f t="shared" si="0"/>
        <v>0</v>
      </c>
      <c r="H20" s="34"/>
      <c r="J20" s="34"/>
      <c r="K20" s="99"/>
      <c r="L20" s="98" t="s">
        <v>399</v>
      </c>
      <c r="M20" s="108"/>
      <c r="N20" s="102">
        <f>O8</f>
        <v>0</v>
      </c>
      <c r="O20" s="96">
        <f t="shared" si="1"/>
        <v>0</v>
      </c>
      <c r="P20" s="34"/>
      <c r="R20" s="34"/>
      <c r="S20" s="102"/>
      <c r="T20" s="116" t="s">
        <v>398</v>
      </c>
      <c r="U20" s="108"/>
      <c r="V20" s="111"/>
      <c r="W20" s="96">
        <f t="shared" si="2"/>
        <v>0</v>
      </c>
      <c r="X20" s="34"/>
    </row>
    <row r="21" spans="2:29" ht="45" customHeight="1" x14ac:dyDescent="0.25">
      <c r="B21" s="34"/>
      <c r="C21" s="99"/>
      <c r="D21" s="98" t="s">
        <v>397</v>
      </c>
      <c r="E21" s="108"/>
      <c r="F21" s="97">
        <f>G9</f>
        <v>0</v>
      </c>
      <c r="G21" s="96">
        <f t="shared" si="0"/>
        <v>0</v>
      </c>
      <c r="H21" s="34"/>
      <c r="J21" s="34"/>
      <c r="K21" s="99"/>
      <c r="L21" s="98" t="s">
        <v>387</v>
      </c>
      <c r="M21" s="108"/>
      <c r="N21" s="102">
        <f>L6/1000</f>
        <v>0</v>
      </c>
      <c r="O21" s="96">
        <f t="shared" si="1"/>
        <v>0</v>
      </c>
      <c r="P21" s="34"/>
      <c r="R21" s="34"/>
      <c r="S21" s="102"/>
      <c r="T21" s="116" t="s">
        <v>396</v>
      </c>
      <c r="U21" s="108"/>
      <c r="V21" s="111"/>
      <c r="W21" s="96">
        <f t="shared" si="2"/>
        <v>0</v>
      </c>
      <c r="X21" s="34"/>
    </row>
    <row r="22" spans="2:29" ht="45" customHeight="1" x14ac:dyDescent="0.25">
      <c r="B22" s="34"/>
      <c r="C22" s="99"/>
      <c r="D22" s="98" t="s">
        <v>395</v>
      </c>
      <c r="E22" s="108"/>
      <c r="F22" s="97">
        <f>F20*2.5</f>
        <v>0</v>
      </c>
      <c r="G22" s="96">
        <f t="shared" si="0"/>
        <v>0</v>
      </c>
      <c r="H22" s="34"/>
      <c r="J22" s="34"/>
      <c r="K22" s="109"/>
      <c r="L22" s="110"/>
      <c r="M22" s="108"/>
      <c r="N22" s="111"/>
      <c r="O22" s="96">
        <f t="shared" si="1"/>
        <v>0</v>
      </c>
      <c r="P22" s="34"/>
      <c r="R22" s="34"/>
      <c r="S22" s="102"/>
      <c r="T22" s="116" t="s">
        <v>394</v>
      </c>
      <c r="U22" s="108"/>
      <c r="V22" s="111"/>
      <c r="W22" s="96">
        <f t="shared" si="2"/>
        <v>0</v>
      </c>
      <c r="X22" s="34"/>
    </row>
    <row r="23" spans="2:29" ht="45" customHeight="1" x14ac:dyDescent="0.25">
      <c r="B23" s="34"/>
      <c r="C23" s="99"/>
      <c r="D23" s="98" t="s">
        <v>393</v>
      </c>
      <c r="E23" s="108"/>
      <c r="F23" s="97" t="e">
        <f>F17</f>
        <v>#DIV/0!</v>
      </c>
      <c r="G23" s="96" t="e">
        <f t="shared" si="0"/>
        <v>#DIV/0!</v>
      </c>
      <c r="H23" s="34"/>
      <c r="J23" s="34"/>
      <c r="K23" s="109"/>
      <c r="L23" s="110"/>
      <c r="M23" s="108"/>
      <c r="N23" s="111"/>
      <c r="O23" s="96">
        <f t="shared" si="1"/>
        <v>0</v>
      </c>
      <c r="P23" s="34"/>
      <c r="R23" s="34"/>
      <c r="S23" s="102"/>
      <c r="T23" s="116" t="s">
        <v>392</v>
      </c>
      <c r="U23" s="108"/>
      <c r="V23" s="111"/>
      <c r="W23" s="96">
        <f t="shared" si="2"/>
        <v>0</v>
      </c>
      <c r="X23" s="34"/>
    </row>
    <row r="24" spans="2:29" ht="45" customHeight="1" x14ac:dyDescent="0.25">
      <c r="B24" s="34"/>
      <c r="C24" s="99"/>
      <c r="D24" s="98" t="str">
        <f>"Eletrificador "&amp;G11&amp;"J"</f>
        <v>Eletrificador 0J</v>
      </c>
      <c r="E24" s="108"/>
      <c r="F24" s="97">
        <v>1</v>
      </c>
      <c r="G24" s="96">
        <f t="shared" si="0"/>
        <v>0</v>
      </c>
      <c r="H24" s="34"/>
      <c r="I24" s="101"/>
      <c r="J24" s="100"/>
      <c r="K24" s="109"/>
      <c r="L24" s="110"/>
      <c r="M24" s="108"/>
      <c r="N24" s="111"/>
      <c r="O24" s="96">
        <f t="shared" si="1"/>
        <v>0</v>
      </c>
      <c r="P24" s="34"/>
      <c r="R24" s="34"/>
      <c r="S24" s="102"/>
      <c r="T24" s="116" t="s">
        <v>391</v>
      </c>
      <c r="U24" s="108"/>
      <c r="V24" s="111"/>
      <c r="W24" s="96">
        <f t="shared" si="2"/>
        <v>0</v>
      </c>
      <c r="X24" s="34"/>
    </row>
    <row r="25" spans="2:29" ht="45" customHeight="1" x14ac:dyDescent="0.25">
      <c r="B25" s="34"/>
      <c r="C25" s="99"/>
      <c r="D25" s="98" t="s">
        <v>390</v>
      </c>
      <c r="E25" s="108"/>
      <c r="F25" s="97">
        <f>$G$13</f>
        <v>3</v>
      </c>
      <c r="G25" s="96">
        <f t="shared" si="0"/>
        <v>0</v>
      </c>
      <c r="H25" s="34"/>
      <c r="I25" s="101"/>
      <c r="J25" s="100"/>
      <c r="K25" s="109"/>
      <c r="L25" s="110"/>
      <c r="M25" s="108"/>
      <c r="N25" s="111"/>
      <c r="O25" s="96">
        <f t="shared" si="1"/>
        <v>0</v>
      </c>
      <c r="P25" s="34"/>
      <c r="R25" s="34"/>
      <c r="S25" s="102"/>
      <c r="T25" s="116" t="s">
        <v>389</v>
      </c>
      <c r="U25" s="108"/>
      <c r="V25" s="111"/>
      <c r="W25" s="96">
        <f t="shared" si="2"/>
        <v>0</v>
      </c>
      <c r="X25" s="34"/>
    </row>
    <row r="26" spans="2:29" ht="45" customHeight="1" x14ac:dyDescent="0.25">
      <c r="B26" s="34"/>
      <c r="C26" s="99"/>
      <c r="D26" s="98" t="s">
        <v>388</v>
      </c>
      <c r="E26" s="108"/>
      <c r="F26" s="97">
        <f>(($G$9+$G$10)*5)+($G$8*1)</f>
        <v>0</v>
      </c>
      <c r="G26" s="96">
        <f t="shared" si="0"/>
        <v>0</v>
      </c>
      <c r="H26" s="34"/>
      <c r="I26" s="101"/>
      <c r="J26" s="100"/>
      <c r="K26" s="109"/>
      <c r="L26" s="110"/>
      <c r="M26" s="108"/>
      <c r="N26" s="111"/>
      <c r="O26" s="96">
        <f t="shared" si="1"/>
        <v>0</v>
      </c>
      <c r="P26" s="34"/>
      <c r="R26" s="34"/>
      <c r="S26" s="113"/>
      <c r="T26" s="116" t="s">
        <v>431</v>
      </c>
      <c r="U26" s="114"/>
      <c r="V26" s="115"/>
      <c r="W26" s="96">
        <f t="shared" si="2"/>
        <v>0</v>
      </c>
      <c r="X26" s="34"/>
    </row>
    <row r="27" spans="2:29" ht="45" customHeight="1" x14ac:dyDescent="0.25">
      <c r="B27" s="34"/>
      <c r="C27" s="99"/>
      <c r="D27" s="98" t="s">
        <v>387</v>
      </c>
      <c r="E27" s="108"/>
      <c r="F27" s="97">
        <f>$D$6/1000</f>
        <v>0</v>
      </c>
      <c r="G27" s="96">
        <f t="shared" si="0"/>
        <v>0</v>
      </c>
      <c r="H27" s="34"/>
      <c r="J27" s="34"/>
      <c r="K27" s="109"/>
      <c r="L27" s="110"/>
      <c r="M27" s="108"/>
      <c r="N27" s="111"/>
      <c r="O27" s="96">
        <f t="shared" si="1"/>
        <v>0</v>
      </c>
      <c r="P27" s="34"/>
      <c r="R27" s="34"/>
      <c r="S27" s="111"/>
      <c r="T27" s="110"/>
      <c r="U27" s="108"/>
      <c r="V27" s="111"/>
      <c r="W27" s="96">
        <f t="shared" si="2"/>
        <v>0</v>
      </c>
      <c r="X27" s="34"/>
    </row>
    <row r="28" spans="2:29" ht="45" customHeight="1" x14ac:dyDescent="0.25">
      <c r="B28" s="34"/>
      <c r="C28" s="109"/>
      <c r="D28" s="110"/>
      <c r="E28" s="108"/>
      <c r="F28" s="111"/>
      <c r="G28" s="96">
        <f t="shared" si="0"/>
        <v>0</v>
      </c>
      <c r="H28" s="34"/>
      <c r="J28" s="34"/>
      <c r="K28" s="109"/>
      <c r="L28" s="110"/>
      <c r="M28" s="108"/>
      <c r="N28" s="111"/>
      <c r="O28" s="96">
        <f t="shared" si="1"/>
        <v>0</v>
      </c>
      <c r="P28" s="34"/>
      <c r="R28" s="34"/>
      <c r="S28" s="111"/>
      <c r="T28" s="110"/>
      <c r="U28" s="108"/>
      <c r="V28" s="111"/>
      <c r="W28" s="96">
        <f t="shared" si="2"/>
        <v>0</v>
      </c>
      <c r="X28" s="34"/>
    </row>
    <row r="29" spans="2:29" ht="45" customHeight="1" x14ac:dyDescent="0.25">
      <c r="B29" s="34"/>
      <c r="C29" s="111"/>
      <c r="D29" s="110"/>
      <c r="E29" s="108"/>
      <c r="F29" s="111"/>
      <c r="G29" s="96">
        <f t="shared" si="0"/>
        <v>0</v>
      </c>
      <c r="H29" s="34"/>
      <c r="J29" s="34"/>
      <c r="K29" s="111"/>
      <c r="L29" s="110"/>
      <c r="M29" s="108"/>
      <c r="N29" s="112"/>
      <c r="O29" s="96">
        <f t="shared" si="1"/>
        <v>0</v>
      </c>
      <c r="P29" s="34"/>
      <c r="R29" s="34"/>
      <c r="S29" s="111"/>
      <c r="T29" s="110"/>
      <c r="U29" s="108"/>
      <c r="V29" s="111"/>
      <c r="W29" s="96">
        <f t="shared" si="2"/>
        <v>0</v>
      </c>
      <c r="X29" s="34"/>
    </row>
    <row r="30" spans="2:29" ht="40.9" customHeight="1" x14ac:dyDescent="0.25">
      <c r="B30" s="34"/>
      <c r="C30" s="643" t="s">
        <v>42</v>
      </c>
      <c r="D30" s="643"/>
      <c r="E30" s="643"/>
      <c r="F30" s="643"/>
      <c r="G30" s="95" t="e">
        <f>SUM(G17:G29)</f>
        <v>#DIV/0!</v>
      </c>
      <c r="H30" s="34"/>
      <c r="J30" s="34"/>
      <c r="K30" s="637" t="s">
        <v>42</v>
      </c>
      <c r="L30" s="637"/>
      <c r="M30" s="637"/>
      <c r="N30" s="638"/>
      <c r="O30" s="95" t="e">
        <f>SUM(O17:O29)</f>
        <v>#DIV/0!</v>
      </c>
      <c r="P30" s="34"/>
      <c r="R30" s="34"/>
      <c r="S30" s="637" t="s">
        <v>42</v>
      </c>
      <c r="T30" s="637"/>
      <c r="U30" s="637"/>
      <c r="V30" s="638"/>
      <c r="W30" s="95">
        <f>SUM(W17:W29)</f>
        <v>0</v>
      </c>
      <c r="X30" s="34"/>
    </row>
    <row r="31" spans="2:29" ht="40.9" customHeight="1" x14ac:dyDescent="0.25">
      <c r="B31" s="34"/>
      <c r="C31" s="35"/>
      <c r="D31" s="35"/>
      <c r="E31" s="35"/>
      <c r="F31" s="35"/>
      <c r="G31" s="94"/>
      <c r="H31" s="34"/>
      <c r="J31" s="34"/>
      <c r="K31" s="34"/>
      <c r="L31" s="34"/>
      <c r="M31" s="34"/>
      <c r="N31" s="34"/>
      <c r="O31" s="34"/>
      <c r="P31" s="34"/>
      <c r="R31" s="34"/>
      <c r="S31" s="34"/>
      <c r="T31" s="34"/>
      <c r="U31" s="34"/>
      <c r="V31" s="34"/>
      <c r="W31" s="34"/>
      <c r="X31" s="34"/>
      <c r="AB31" s="1"/>
      <c r="AC31" s="1"/>
    </row>
  </sheetData>
  <sheetProtection algorithmName="SHA-512" hashValue="+xHPydeIYpqj3Yn+a3Akfe0BSNbkHTusLcer8DCHwmF9JB0qaILc0ci+MBBO4KKS9/HMOGCnthgU7yC20ZYUwA==" saltValue="CFpJpDKauq1AknKIHXMghw==" spinCount="100000" sheet="1" objects="1" scenarios="1" selectLockedCells="1"/>
  <mergeCells count="14">
    <mergeCell ref="F5:G5"/>
    <mergeCell ref="K30:N30"/>
    <mergeCell ref="K5:L5"/>
    <mergeCell ref="A1:Y1"/>
    <mergeCell ref="S30:V30"/>
    <mergeCell ref="S15:W15"/>
    <mergeCell ref="R3:X3"/>
    <mergeCell ref="N5:O5"/>
    <mergeCell ref="B3:H3"/>
    <mergeCell ref="C15:G15"/>
    <mergeCell ref="K15:O15"/>
    <mergeCell ref="J3:P3"/>
    <mergeCell ref="C30:F30"/>
    <mergeCell ref="C5:D5"/>
  </mergeCells>
  <dataValidations disablePrompts="1" count="1">
    <dataValidation type="list" allowBlank="1" showInputMessage="1" showErrorMessage="1" sqref="D10 L10" xr:uid="{D12413C5-04DC-44C8-9C72-28E56DE568DC}">
      <formula1>"Sim,Não"</formula1>
    </dataValidation>
  </dataValidations>
  <pageMargins left="0.511811024" right="0.511811024" top="0.78740157499999996" bottom="0.78740157499999996" header="0.31496062000000002" footer="0.3149606200000000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A54FE-4E08-4A05-8F4A-5D1389F6B0AE}">
  <sheetPr codeName="Planilha5"/>
  <dimension ref="A1:AE53"/>
  <sheetViews>
    <sheetView showGridLines="0" zoomScaleNormal="100" workbookViewId="0">
      <selection activeCell="C24" sqref="C24"/>
    </sheetView>
  </sheetViews>
  <sheetFormatPr defaultColWidth="0" defaultRowHeight="15" customHeight="1" zeroHeight="1" x14ac:dyDescent="0.25"/>
  <cols>
    <col min="1" max="1" width="8.28515625" style="3" customWidth="1"/>
    <col min="2" max="2" width="27" style="3" bestFit="1" customWidth="1"/>
    <col min="3" max="3" width="17.7109375" style="3" bestFit="1" customWidth="1"/>
    <col min="4" max="4" width="5.42578125" style="3" customWidth="1"/>
    <col min="5" max="5" width="23.140625" style="3" customWidth="1"/>
    <col min="6" max="6" width="15.7109375" style="3" customWidth="1"/>
    <col min="7" max="7" width="12.7109375" style="4" customWidth="1"/>
    <col min="8" max="8" width="12.7109375" style="5" customWidth="1"/>
    <col min="9" max="13" width="12.7109375" style="3" customWidth="1"/>
    <col min="14" max="14" width="30.7109375" style="3" customWidth="1"/>
    <col min="15" max="15" width="27.28515625" style="3" customWidth="1"/>
    <col min="16" max="16" width="24.5703125" style="3" customWidth="1"/>
    <col min="17" max="17" width="23.28515625" style="3" customWidth="1"/>
    <col min="18" max="18" width="12.7109375" style="3" customWidth="1"/>
    <col min="19" max="20" width="12.7109375" style="3" hidden="1" customWidth="1"/>
    <col min="21" max="31" width="0" style="3" hidden="1" customWidth="1"/>
    <col min="32" max="16384" width="8.85546875" style="3" hidden="1"/>
  </cols>
  <sheetData>
    <row r="1" spans="1:18" customFormat="1" ht="23.25" x14ac:dyDescent="0.25">
      <c r="A1" s="9"/>
      <c r="B1" s="528" t="s">
        <v>167</v>
      </c>
      <c r="C1" s="528"/>
      <c r="D1" s="528"/>
      <c r="E1" s="528"/>
      <c r="F1" s="528"/>
      <c r="G1" s="528"/>
      <c r="H1" s="528"/>
      <c r="I1" s="528"/>
      <c r="J1" s="528"/>
      <c r="K1" s="528"/>
      <c r="L1" s="528"/>
      <c r="M1" s="528"/>
      <c r="N1" s="528"/>
      <c r="O1" s="528"/>
      <c r="P1" s="528"/>
      <c r="Q1" s="528"/>
      <c r="R1" s="528"/>
    </row>
    <row r="2" spans="1:18" ht="23.25" x14ac:dyDescent="0.25">
      <c r="D2" s="33"/>
      <c r="R2" s="33"/>
    </row>
    <row r="3" spans="1:18" customFormat="1" x14ac:dyDescent="0.25">
      <c r="A3" s="3"/>
      <c r="B3" s="3"/>
      <c r="C3" s="3"/>
      <c r="D3" s="3"/>
      <c r="E3" s="532" t="s">
        <v>13</v>
      </c>
      <c r="F3" s="532"/>
      <c r="G3" s="532"/>
      <c r="H3" s="532"/>
      <c r="I3" s="532"/>
      <c r="J3" s="532"/>
      <c r="K3" s="532"/>
      <c r="L3" s="532"/>
      <c r="M3" s="532"/>
      <c r="N3" s="532"/>
      <c r="O3" s="532"/>
      <c r="P3" s="532"/>
      <c r="Q3" s="532"/>
      <c r="R3" s="3"/>
    </row>
    <row r="4" spans="1:18" customFormat="1" x14ac:dyDescent="0.25">
      <c r="A4" s="3"/>
      <c r="B4" s="543" t="s">
        <v>72</v>
      </c>
      <c r="C4" s="544"/>
      <c r="D4" s="3"/>
      <c r="E4" s="532"/>
      <c r="F4" s="532"/>
      <c r="G4" s="532"/>
      <c r="H4" s="532"/>
      <c r="I4" s="532"/>
      <c r="J4" s="532"/>
      <c r="K4" s="532"/>
      <c r="L4" s="532"/>
      <c r="M4" s="532"/>
      <c r="N4" s="532"/>
      <c r="O4" s="532"/>
      <c r="P4" s="532"/>
      <c r="Q4" s="532"/>
      <c r="R4" s="3"/>
    </row>
    <row r="5" spans="1:18" customFormat="1" x14ac:dyDescent="0.25">
      <c r="A5" s="3"/>
      <c r="B5" s="119" t="s">
        <v>45</v>
      </c>
      <c r="C5" s="91"/>
      <c r="D5" s="4"/>
      <c r="E5" s="529" t="str">
        <f>IF(C5&lt;=250,"Quantas cabeças quer rodar nesse sistema? (no máximo 250 por lote).","REDUZIR TAMANHO DO LOTE, SEJA POR REDUÇÃO NA ÁREA OU DIMINUINDO A META DE LOTAÇÃO!")</f>
        <v>Quantas cabeças quer rodar nesse sistema? (no máximo 250 por lote).</v>
      </c>
      <c r="F5" s="530"/>
      <c r="G5" s="530"/>
      <c r="H5" s="530"/>
      <c r="I5" s="530"/>
      <c r="J5" s="530"/>
      <c r="K5" s="530"/>
      <c r="L5" s="530"/>
      <c r="M5" s="530"/>
      <c r="N5" s="530"/>
      <c r="O5" s="530"/>
      <c r="P5" s="530"/>
      <c r="Q5" s="531"/>
      <c r="R5" s="3"/>
    </row>
    <row r="6" spans="1:18" customFormat="1" x14ac:dyDescent="0.25">
      <c r="A6" s="3"/>
      <c r="B6" s="122" t="s">
        <v>14</v>
      </c>
      <c r="C6" s="92"/>
      <c r="D6" s="4"/>
      <c r="E6" s="522" t="s">
        <v>63</v>
      </c>
      <c r="F6" s="523"/>
      <c r="G6" s="523"/>
      <c r="H6" s="523"/>
      <c r="I6" s="523"/>
      <c r="J6" s="523"/>
      <c r="K6" s="523"/>
      <c r="L6" s="523"/>
      <c r="M6" s="523"/>
      <c r="N6" s="523"/>
      <c r="O6" s="523"/>
      <c r="P6" s="523"/>
      <c r="Q6" s="524"/>
      <c r="R6" s="3"/>
    </row>
    <row r="7" spans="1:18" customFormat="1" x14ac:dyDescent="0.25">
      <c r="A7" s="3"/>
      <c r="B7" s="122" t="s">
        <v>281</v>
      </c>
      <c r="C7" s="93"/>
      <c r="D7" s="124">
        <f>C7/30</f>
        <v>0</v>
      </c>
      <c r="E7" s="125" t="s">
        <v>11</v>
      </c>
      <c r="F7" s="17"/>
      <c r="G7" s="7"/>
      <c r="H7" s="16"/>
      <c r="I7" s="17"/>
      <c r="J7" s="26"/>
      <c r="K7" s="26"/>
      <c r="L7" s="26"/>
      <c r="M7" s="26"/>
      <c r="N7" s="26"/>
      <c r="O7" s="26"/>
      <c r="P7" s="26"/>
      <c r="Q7" s="123"/>
      <c r="R7" s="3"/>
    </row>
    <row r="8" spans="1:18" customFormat="1" x14ac:dyDescent="0.25">
      <c r="A8" s="3"/>
      <c r="B8" s="122" t="s">
        <v>15</v>
      </c>
      <c r="C8" s="92"/>
      <c r="D8" s="4"/>
      <c r="E8" s="125" t="s">
        <v>86</v>
      </c>
      <c r="F8" s="26"/>
      <c r="G8" s="26"/>
      <c r="H8" s="26"/>
      <c r="I8" s="26"/>
      <c r="J8" s="26"/>
      <c r="K8" s="26"/>
      <c r="L8" s="26"/>
      <c r="M8" s="26"/>
      <c r="N8" s="26"/>
      <c r="O8" s="26"/>
      <c r="P8" s="26"/>
      <c r="Q8" s="123"/>
      <c r="R8" s="3"/>
    </row>
    <row r="9" spans="1:18" customFormat="1" x14ac:dyDescent="0.25">
      <c r="A9" s="3"/>
      <c r="B9" s="126" t="s">
        <v>16</v>
      </c>
      <c r="C9" s="127" t="str">
        <f>IFERROR((C8-C6)/C7,"")</f>
        <v/>
      </c>
      <c r="D9" s="4"/>
      <c r="E9" s="128" t="s">
        <v>85</v>
      </c>
      <c r="F9" s="129"/>
      <c r="G9" s="130"/>
      <c r="H9" s="130"/>
      <c r="I9" s="130"/>
      <c r="J9" s="130"/>
      <c r="K9" s="130"/>
      <c r="L9" s="130"/>
      <c r="M9" s="130"/>
      <c r="N9" s="130"/>
      <c r="O9" s="130"/>
      <c r="P9" s="130"/>
      <c r="Q9" s="131"/>
      <c r="R9" s="3"/>
    </row>
    <row r="10" spans="1:18" customFormat="1" x14ac:dyDescent="0.25">
      <c r="A10" s="3"/>
      <c r="B10" s="122" t="s">
        <v>2</v>
      </c>
      <c r="C10" s="89"/>
      <c r="D10" s="6"/>
      <c r="E10" s="125" t="s">
        <v>20</v>
      </c>
      <c r="F10" s="26"/>
      <c r="G10" s="26"/>
      <c r="H10" s="26"/>
      <c r="I10" s="26"/>
      <c r="J10" s="26"/>
      <c r="K10" s="26"/>
      <c r="L10" s="26"/>
      <c r="M10" s="26"/>
      <c r="N10" s="26"/>
      <c r="O10" s="26"/>
      <c r="P10" s="26"/>
      <c r="Q10" s="123"/>
      <c r="R10" s="3"/>
    </row>
    <row r="11" spans="1:18" customFormat="1" x14ac:dyDescent="0.25">
      <c r="A11" s="3"/>
      <c r="B11" s="122" t="s">
        <v>3</v>
      </c>
      <c r="C11" s="132" t="str">
        <f>IFERROR(((C8-C6)/C9)+C10,"")</f>
        <v/>
      </c>
      <c r="D11" s="6"/>
      <c r="E11" s="128" t="s">
        <v>87</v>
      </c>
      <c r="F11" s="130"/>
      <c r="G11" s="130"/>
      <c r="H11" s="130"/>
      <c r="I11" s="130"/>
      <c r="J11" s="130"/>
      <c r="K11" s="130"/>
      <c r="L11" s="130"/>
      <c r="M11" s="130"/>
      <c r="N11" s="130"/>
      <c r="O11" s="130"/>
      <c r="P11" s="130"/>
      <c r="Q11" s="131"/>
      <c r="R11" s="3"/>
    </row>
    <row r="12" spans="1:18" customFormat="1" x14ac:dyDescent="0.25">
      <c r="A12" s="3"/>
      <c r="B12" s="119" t="s">
        <v>70</v>
      </c>
      <c r="C12" s="27"/>
      <c r="D12" s="4"/>
      <c r="E12" s="522" t="s">
        <v>88</v>
      </c>
      <c r="F12" s="523"/>
      <c r="G12" s="523"/>
      <c r="H12" s="523"/>
      <c r="I12" s="523"/>
      <c r="J12" s="523"/>
      <c r="K12" s="523"/>
      <c r="L12" s="523"/>
      <c r="M12" s="523"/>
      <c r="N12" s="523"/>
      <c r="O12" s="523"/>
      <c r="P12" s="523"/>
      <c r="Q12" s="524"/>
      <c r="R12" s="3"/>
    </row>
    <row r="13" spans="1:18" customFormat="1" x14ac:dyDescent="0.25">
      <c r="A13" s="3"/>
      <c r="B13" s="122" t="s">
        <v>1</v>
      </c>
      <c r="C13" s="133" t="str">
        <f>IFERROR(C5/C12,"")</f>
        <v/>
      </c>
      <c r="D13" s="4"/>
      <c r="E13" s="125"/>
      <c r="F13" s="17"/>
      <c r="G13" s="7"/>
      <c r="H13" s="16"/>
      <c r="I13" s="17"/>
      <c r="J13" s="17"/>
      <c r="K13" s="17"/>
      <c r="L13" s="17"/>
      <c r="M13" s="17"/>
      <c r="N13" s="17"/>
      <c r="O13" s="17"/>
      <c r="P13" s="17"/>
      <c r="Q13" s="134"/>
      <c r="R13" s="3"/>
    </row>
    <row r="14" spans="1:18" customFormat="1" x14ac:dyDescent="0.25">
      <c r="A14" s="3"/>
      <c r="B14" s="122" t="s">
        <v>17</v>
      </c>
      <c r="C14" s="135" t="str">
        <f>IFERROR((C13*C6)/450,"")</f>
        <v/>
      </c>
      <c r="D14" s="136"/>
      <c r="E14" s="125" t="str">
        <f>IF(C14="","",IF(C14&gt;4,"Cuidado, essa lotação de entrada está alta. Para que ela aconteça, o capim já deve estar alto no início do período, ou com uma boa fertilidade inicial.","Ok"))</f>
        <v/>
      </c>
      <c r="F14" s="17"/>
      <c r="G14" s="7"/>
      <c r="H14" s="16"/>
      <c r="I14" s="17"/>
      <c r="J14" s="17"/>
      <c r="K14" s="17"/>
      <c r="L14" s="17"/>
      <c r="M14" s="17"/>
      <c r="N14" s="17"/>
      <c r="O14" s="17"/>
      <c r="P14" s="17"/>
      <c r="Q14" s="134"/>
      <c r="R14" s="3"/>
    </row>
    <row r="15" spans="1:18" customFormat="1" x14ac:dyDescent="0.25">
      <c r="A15" s="3"/>
      <c r="B15" s="122" t="s">
        <v>18</v>
      </c>
      <c r="C15" s="135" t="str">
        <f>IFERROR(AVERAGE(C14,C16),"")</f>
        <v/>
      </c>
      <c r="D15" s="136"/>
      <c r="E15" s="522" t="str">
        <f>IF(C15="","",IF(C15&gt;ROUND(C7/30.3,0),"Pelo período de chuva disponível em sua região, você não conseguirá intensificar nesse nível. Diminua a meta de produção ou aumente os dias de capim verde (se for possível). Seu limite é de "&amp;ROUND(C7/30.3,0)&amp;" U.A/ha",IF(C15&gt;5,"Cuidado, essa lotação média está alta. Recomendo que seu rotacionado tenha pelo menos 8 piquetes para aproveitar melhor o capim. Você aprenderá isso na aula sobre rotacionado.","Ok")))</f>
        <v/>
      </c>
      <c r="F15" s="523"/>
      <c r="G15" s="523"/>
      <c r="H15" s="523"/>
      <c r="I15" s="523"/>
      <c r="J15" s="523"/>
      <c r="K15" s="523"/>
      <c r="L15" s="523"/>
      <c r="M15" s="523"/>
      <c r="N15" s="523"/>
      <c r="O15" s="523"/>
      <c r="P15" s="523"/>
      <c r="Q15" s="524"/>
      <c r="R15" s="3"/>
    </row>
    <row r="16" spans="1:18" customFormat="1" x14ac:dyDescent="0.25">
      <c r="A16" s="3"/>
      <c r="B16" s="126" t="s">
        <v>19</v>
      </c>
      <c r="C16" s="137" t="str">
        <f>IFERROR((C13*C8)/450,"")</f>
        <v/>
      </c>
      <c r="D16" s="136"/>
      <c r="E16" s="525" t="str">
        <f>IF(C16="","",IF(C16&gt;6,"Cuidado, essa lotação de saída está alta. Garanta que seus animais tenham o GMD necessário para sair até final de chuva, já que provavelmente não será possível usar esse pasto na seca","Ok"))</f>
        <v/>
      </c>
      <c r="F16" s="526"/>
      <c r="G16" s="526"/>
      <c r="H16" s="526"/>
      <c r="I16" s="526"/>
      <c r="J16" s="526"/>
      <c r="K16" s="526"/>
      <c r="L16" s="526"/>
      <c r="M16" s="526"/>
      <c r="N16" s="526"/>
      <c r="O16" s="526"/>
      <c r="P16" s="526"/>
      <c r="Q16" s="527"/>
      <c r="R16" s="3"/>
    </row>
    <row r="17" spans="1:18" customFormat="1" x14ac:dyDescent="0.25">
      <c r="A17" s="3"/>
      <c r="B17" s="3"/>
      <c r="C17" s="3"/>
      <c r="D17" s="3"/>
      <c r="E17" s="3"/>
      <c r="F17" s="3"/>
      <c r="G17" s="4"/>
      <c r="H17" s="5"/>
      <c r="I17" s="3"/>
      <c r="J17" s="3"/>
      <c r="K17" s="3"/>
      <c r="L17" s="3"/>
      <c r="M17" s="3"/>
      <c r="N17" s="3"/>
      <c r="O17" s="3"/>
      <c r="P17" s="3"/>
      <c r="Q17" s="3"/>
      <c r="R17" s="3"/>
    </row>
    <row r="18" spans="1:18" customFormat="1" x14ac:dyDescent="0.25">
      <c r="A18" s="3"/>
      <c r="B18" s="543" t="s">
        <v>73</v>
      </c>
      <c r="C18" s="544"/>
      <c r="D18" s="3"/>
      <c r="E18" s="3"/>
      <c r="F18" s="3"/>
      <c r="G18" s="4"/>
      <c r="H18" s="5"/>
      <c r="I18" s="3"/>
      <c r="J18" s="3"/>
      <c r="K18" s="3"/>
      <c r="L18" s="3"/>
      <c r="M18" s="3"/>
      <c r="N18" s="3"/>
      <c r="O18" s="3"/>
      <c r="P18" s="3"/>
      <c r="Q18" s="3"/>
      <c r="R18" s="3"/>
    </row>
    <row r="19" spans="1:18" customFormat="1" x14ac:dyDescent="0.25">
      <c r="A19" s="3"/>
      <c r="B19" s="138" t="s">
        <v>74</v>
      </c>
      <c r="C19" s="28"/>
      <c r="D19" s="136"/>
      <c r="E19" s="529" t="s">
        <v>89</v>
      </c>
      <c r="F19" s="530"/>
      <c r="G19" s="530"/>
      <c r="H19" s="530"/>
      <c r="I19" s="530"/>
      <c r="J19" s="530"/>
      <c r="K19" s="530"/>
      <c r="L19" s="530"/>
      <c r="M19" s="530"/>
      <c r="N19" s="530"/>
      <c r="O19" s="530"/>
      <c r="P19" s="530"/>
      <c r="Q19" s="531"/>
      <c r="R19" s="3"/>
    </row>
    <row r="20" spans="1:18" customFormat="1" x14ac:dyDescent="0.25">
      <c r="A20" s="3"/>
      <c r="B20" s="139" t="s">
        <v>75</v>
      </c>
      <c r="C20" s="29"/>
      <c r="D20" s="3"/>
      <c r="E20" s="525" t="s">
        <v>90</v>
      </c>
      <c r="F20" s="526"/>
      <c r="G20" s="526"/>
      <c r="H20" s="526"/>
      <c r="I20" s="526"/>
      <c r="J20" s="526"/>
      <c r="K20" s="526"/>
      <c r="L20" s="526"/>
      <c r="M20" s="526"/>
      <c r="N20" s="526"/>
      <c r="O20" s="526"/>
      <c r="P20" s="526"/>
      <c r="Q20" s="527"/>
      <c r="R20" s="3"/>
    </row>
    <row r="21" spans="1:18" customFormat="1" x14ac:dyDescent="0.25">
      <c r="A21" s="3"/>
      <c r="B21" s="140" t="s">
        <v>95</v>
      </c>
      <c r="C21" s="141" t="str">
        <f>IFERROR((C24/C5/(C7/30)),"")</f>
        <v/>
      </c>
      <c r="D21" s="3"/>
      <c r="E21" s="3"/>
      <c r="F21" s="3"/>
      <c r="G21" s="4"/>
      <c r="H21" s="5"/>
      <c r="I21" s="3"/>
      <c r="J21" s="3"/>
      <c r="K21" s="3"/>
      <c r="L21" s="3"/>
      <c r="M21" s="3"/>
      <c r="N21" s="3"/>
      <c r="O21" s="3"/>
      <c r="P21" s="3"/>
      <c r="Q21" s="3"/>
      <c r="R21" s="3"/>
    </row>
    <row r="22" spans="1:18" customFormat="1" x14ac:dyDescent="0.25">
      <c r="A22" s="3"/>
      <c r="B22" s="138" t="s">
        <v>77</v>
      </c>
      <c r="C22" s="142">
        <f>(C6/30)*C5*C19</f>
        <v>0</v>
      </c>
      <c r="D22" s="3"/>
      <c r="E22" s="3"/>
      <c r="F22" s="3"/>
      <c r="G22" s="4"/>
      <c r="H22" s="5"/>
      <c r="I22" s="3"/>
      <c r="J22" s="3"/>
      <c r="K22" s="3"/>
      <c r="L22" s="3"/>
      <c r="M22" s="3"/>
      <c r="N22" s="3"/>
      <c r="O22" s="3"/>
      <c r="P22" s="3"/>
      <c r="Q22" s="3"/>
      <c r="R22" s="3"/>
    </row>
    <row r="23" spans="1:18" customFormat="1" x14ac:dyDescent="0.25">
      <c r="A23" s="3"/>
      <c r="B23" s="139" t="s">
        <v>76</v>
      </c>
      <c r="C23" s="143" t="str">
        <f>IFERROR(C22/C5,"")</f>
        <v/>
      </c>
      <c r="D23" s="3"/>
      <c r="E23" s="3"/>
      <c r="F23" s="3"/>
      <c r="G23" s="4"/>
      <c r="H23" s="5"/>
      <c r="I23" s="3"/>
      <c r="J23" s="3"/>
      <c r="K23" s="3"/>
      <c r="L23" s="3"/>
      <c r="M23" s="3"/>
      <c r="N23" s="3"/>
      <c r="O23" s="3"/>
      <c r="P23" s="3"/>
      <c r="Q23" s="3"/>
      <c r="R23" s="3"/>
    </row>
    <row r="24" spans="1:18" customFormat="1" x14ac:dyDescent="0.25">
      <c r="A24" s="3"/>
      <c r="B24" s="138" t="s">
        <v>79</v>
      </c>
      <c r="C24" s="163"/>
      <c r="D24" s="3"/>
      <c r="E24" s="529" t="s">
        <v>286</v>
      </c>
      <c r="F24" s="530"/>
      <c r="G24" s="530"/>
      <c r="H24" s="530"/>
      <c r="I24" s="530"/>
      <c r="J24" s="530"/>
      <c r="K24" s="530"/>
      <c r="L24" s="530"/>
      <c r="M24" s="530"/>
      <c r="N24" s="530"/>
      <c r="O24" s="530"/>
      <c r="P24" s="530"/>
      <c r="Q24" s="531"/>
      <c r="R24" s="3"/>
    </row>
    <row r="25" spans="1:18" customFormat="1" x14ac:dyDescent="0.25">
      <c r="A25" s="3"/>
      <c r="B25" s="139" t="s">
        <v>91</v>
      </c>
      <c r="C25" s="144">
        <f>IFERROR(C24/C5,0)</f>
        <v>0</v>
      </c>
      <c r="D25" s="3"/>
      <c r="E25" s="522" t="s">
        <v>287</v>
      </c>
      <c r="F25" s="523"/>
      <c r="G25" s="523"/>
      <c r="H25" s="523"/>
      <c r="I25" s="523"/>
      <c r="J25" s="523"/>
      <c r="K25" s="523"/>
      <c r="L25" s="523"/>
      <c r="M25" s="523"/>
      <c r="N25" s="523"/>
      <c r="O25" s="523"/>
      <c r="P25" s="523"/>
      <c r="Q25" s="524"/>
      <c r="R25" s="3"/>
    </row>
    <row r="26" spans="1:18" customFormat="1" x14ac:dyDescent="0.25">
      <c r="A26" s="3"/>
      <c r="B26" s="139" t="s">
        <v>59</v>
      </c>
      <c r="C26" s="144">
        <f>IFERROR(C24/C12,0)</f>
        <v>0</v>
      </c>
      <c r="D26" s="3"/>
      <c r="E26" s="525" t="s">
        <v>288</v>
      </c>
      <c r="F26" s="526"/>
      <c r="G26" s="526"/>
      <c r="H26" s="526"/>
      <c r="I26" s="526"/>
      <c r="J26" s="526"/>
      <c r="K26" s="526"/>
      <c r="L26" s="526"/>
      <c r="M26" s="526"/>
      <c r="N26" s="526"/>
      <c r="O26" s="526"/>
      <c r="P26" s="526"/>
      <c r="Q26" s="527"/>
      <c r="R26" s="3"/>
    </row>
    <row r="27" spans="1:18" customFormat="1" x14ac:dyDescent="0.25">
      <c r="A27" s="3"/>
      <c r="B27" s="138" t="s">
        <v>81</v>
      </c>
      <c r="C27" s="142">
        <f>(C22+C24)</f>
        <v>0</v>
      </c>
      <c r="D27" s="3"/>
      <c r="E27" s="3"/>
      <c r="F27" s="3"/>
      <c r="G27" s="4"/>
      <c r="H27" s="5"/>
      <c r="I27" s="3"/>
      <c r="J27" s="3"/>
      <c r="K27" s="3"/>
      <c r="L27" s="3"/>
      <c r="M27" s="3"/>
      <c r="N27" s="3"/>
      <c r="O27" s="3"/>
      <c r="P27" s="3"/>
      <c r="Q27" s="3"/>
      <c r="R27" s="3"/>
    </row>
    <row r="28" spans="1:18" customFormat="1" x14ac:dyDescent="0.25">
      <c r="A28" s="3"/>
      <c r="B28" s="139" t="s">
        <v>82</v>
      </c>
      <c r="C28" s="143">
        <f>IFERROR(C27/C5,0)</f>
        <v>0</v>
      </c>
      <c r="D28" s="3"/>
      <c r="E28" s="529" t="s">
        <v>98</v>
      </c>
      <c r="F28" s="530"/>
      <c r="G28" s="530"/>
      <c r="H28" s="530"/>
      <c r="I28" s="530"/>
      <c r="J28" s="530"/>
      <c r="K28" s="530"/>
      <c r="L28" s="530"/>
      <c r="M28" s="530"/>
      <c r="N28" s="530"/>
      <c r="O28" s="530"/>
      <c r="P28" s="530"/>
      <c r="Q28" s="531"/>
      <c r="R28" s="3"/>
    </row>
    <row r="29" spans="1:18" customFormat="1" x14ac:dyDescent="0.25">
      <c r="A29" s="3"/>
      <c r="B29" s="140" t="s">
        <v>83</v>
      </c>
      <c r="C29" s="145">
        <f>IFERROR(C27/C12,0)</f>
        <v>0</v>
      </c>
      <c r="D29" s="3"/>
      <c r="E29" s="525" t="s">
        <v>97</v>
      </c>
      <c r="F29" s="526"/>
      <c r="G29" s="526"/>
      <c r="H29" s="526"/>
      <c r="I29" s="526"/>
      <c r="J29" s="526"/>
      <c r="K29" s="526"/>
      <c r="L29" s="526"/>
      <c r="M29" s="526"/>
      <c r="N29" s="526"/>
      <c r="O29" s="526"/>
      <c r="P29" s="526"/>
      <c r="Q29" s="527"/>
      <c r="R29" s="3"/>
    </row>
    <row r="30" spans="1:18" customFormat="1" x14ac:dyDescent="0.25">
      <c r="A30" s="3"/>
      <c r="B30" s="138" t="s">
        <v>78</v>
      </c>
      <c r="C30" s="142">
        <f>(C8/30)*C5*C20</f>
        <v>0</v>
      </c>
      <c r="D30" s="3"/>
      <c r="E30" s="3"/>
      <c r="F30" s="3"/>
      <c r="G30" s="4"/>
      <c r="H30" s="5"/>
      <c r="I30" s="3"/>
      <c r="J30" s="3"/>
      <c r="K30" s="3"/>
      <c r="L30" s="3"/>
      <c r="M30" s="3"/>
      <c r="N30" s="3"/>
      <c r="O30" s="3"/>
      <c r="P30" s="3"/>
      <c r="Q30" s="3"/>
      <c r="R30" s="3"/>
    </row>
    <row r="31" spans="1:18" customFormat="1" x14ac:dyDescent="0.25">
      <c r="A31" s="3"/>
      <c r="B31" s="139" t="s">
        <v>92</v>
      </c>
      <c r="C31" s="143">
        <f>IFERROR(C30/C5,0)</f>
        <v>0</v>
      </c>
      <c r="D31" s="3"/>
      <c r="E31" s="529" t="s">
        <v>99</v>
      </c>
      <c r="F31" s="530"/>
      <c r="G31" s="530"/>
      <c r="H31" s="530"/>
      <c r="I31" s="530"/>
      <c r="J31" s="530"/>
      <c r="K31" s="530"/>
      <c r="L31" s="530"/>
      <c r="M31" s="530"/>
      <c r="N31" s="530"/>
      <c r="O31" s="530"/>
      <c r="P31" s="530"/>
      <c r="Q31" s="531"/>
      <c r="R31" s="3"/>
    </row>
    <row r="32" spans="1:18" customFormat="1" x14ac:dyDescent="0.25">
      <c r="A32" s="3"/>
      <c r="B32" s="140" t="s">
        <v>58</v>
      </c>
      <c r="C32" s="145">
        <f>IFERROR(C30/C12,0)</f>
        <v>0</v>
      </c>
      <c r="D32" s="3"/>
      <c r="E32" s="525" t="s">
        <v>100</v>
      </c>
      <c r="F32" s="526"/>
      <c r="G32" s="526"/>
      <c r="H32" s="526"/>
      <c r="I32" s="526"/>
      <c r="J32" s="526"/>
      <c r="K32" s="526"/>
      <c r="L32" s="526"/>
      <c r="M32" s="526"/>
      <c r="N32" s="526"/>
      <c r="O32" s="526"/>
      <c r="P32" s="526"/>
      <c r="Q32" s="527"/>
      <c r="R32" s="3"/>
    </row>
    <row r="33" spans="1:18" customFormat="1" x14ac:dyDescent="0.25">
      <c r="A33" s="3"/>
      <c r="B33" s="138" t="s">
        <v>80</v>
      </c>
      <c r="C33" s="146">
        <f>C30-C27</f>
        <v>0</v>
      </c>
      <c r="D33" s="3"/>
      <c r="E33" s="529" t="s">
        <v>101</v>
      </c>
      <c r="F33" s="530"/>
      <c r="G33" s="530"/>
      <c r="H33" s="530"/>
      <c r="I33" s="530"/>
      <c r="J33" s="530"/>
      <c r="K33" s="530"/>
      <c r="L33" s="530"/>
      <c r="M33" s="530"/>
      <c r="N33" s="530"/>
      <c r="O33" s="530"/>
      <c r="P33" s="530"/>
      <c r="Q33" s="531"/>
      <c r="R33" s="3"/>
    </row>
    <row r="34" spans="1:18" customFormat="1" x14ac:dyDescent="0.25">
      <c r="A34" s="3"/>
      <c r="B34" s="139" t="s">
        <v>103</v>
      </c>
      <c r="C34" s="144">
        <f>IFERROR(C33/C5,0)</f>
        <v>0</v>
      </c>
      <c r="D34" s="3"/>
      <c r="E34" s="522" t="s">
        <v>102</v>
      </c>
      <c r="F34" s="523"/>
      <c r="G34" s="523"/>
      <c r="H34" s="523"/>
      <c r="I34" s="523"/>
      <c r="J34" s="523"/>
      <c r="K34" s="523"/>
      <c r="L34" s="523"/>
      <c r="M34" s="523"/>
      <c r="N34" s="523"/>
      <c r="O34" s="523"/>
      <c r="P34" s="523"/>
      <c r="Q34" s="524"/>
      <c r="R34" s="3"/>
    </row>
    <row r="35" spans="1:18" customFormat="1" x14ac:dyDescent="0.25">
      <c r="A35" s="3"/>
      <c r="B35" s="140" t="s">
        <v>104</v>
      </c>
      <c r="C35" s="147">
        <f>IFERROR(C33/C12,0)</f>
        <v>0</v>
      </c>
      <c r="D35" s="3"/>
      <c r="E35" s="522" t="s">
        <v>291</v>
      </c>
      <c r="F35" s="523"/>
      <c r="G35" s="523"/>
      <c r="H35" s="523"/>
      <c r="I35" s="523"/>
      <c r="J35" s="523"/>
      <c r="K35" s="523"/>
      <c r="L35" s="523"/>
      <c r="M35" s="523"/>
      <c r="N35" s="523"/>
      <c r="O35" s="523"/>
      <c r="P35" s="523"/>
      <c r="Q35" s="524"/>
      <c r="R35" s="3"/>
    </row>
    <row r="36" spans="1:18" customFormat="1" x14ac:dyDescent="0.25">
      <c r="A36" s="3"/>
      <c r="B36" s="140" t="s">
        <v>84</v>
      </c>
      <c r="C36" s="148">
        <f>IFERROR((C33/C27)/D7,0)</f>
        <v>0</v>
      </c>
      <c r="D36" s="3"/>
      <c r="E36" s="525" t="s">
        <v>105</v>
      </c>
      <c r="F36" s="526"/>
      <c r="G36" s="526"/>
      <c r="H36" s="526"/>
      <c r="I36" s="526"/>
      <c r="J36" s="526"/>
      <c r="K36" s="526"/>
      <c r="L36" s="526"/>
      <c r="M36" s="526"/>
      <c r="N36" s="526"/>
      <c r="O36" s="526"/>
      <c r="P36" s="526"/>
      <c r="Q36" s="527"/>
      <c r="R36" s="3"/>
    </row>
    <row r="37" spans="1:18" customFormat="1" x14ac:dyDescent="0.25">
      <c r="A37" s="3"/>
      <c r="B37" s="3"/>
      <c r="C37" s="3"/>
      <c r="D37" s="3"/>
      <c r="E37" s="3"/>
      <c r="F37" s="3"/>
      <c r="G37" s="4"/>
      <c r="H37" s="5"/>
      <c r="I37" s="3"/>
      <c r="J37" s="3"/>
      <c r="K37" s="3"/>
      <c r="L37" s="3"/>
      <c r="M37" s="3"/>
      <c r="N37" s="3"/>
      <c r="O37" s="3"/>
      <c r="P37" s="3"/>
      <c r="Q37" s="3"/>
      <c r="R37" s="3"/>
    </row>
    <row r="38" spans="1:18" customFormat="1" x14ac:dyDescent="0.25">
      <c r="A38" s="3"/>
      <c r="B38" s="543" t="s">
        <v>106</v>
      </c>
      <c r="C38" s="544"/>
      <c r="D38" s="3"/>
      <c r="E38" s="3"/>
      <c r="F38" s="3"/>
      <c r="G38" s="4"/>
      <c r="H38" s="5"/>
      <c r="I38" s="3"/>
      <c r="J38" s="3"/>
      <c r="K38" s="3"/>
      <c r="L38" s="3"/>
      <c r="M38" s="3"/>
      <c r="N38" s="3"/>
      <c r="O38" s="3"/>
      <c r="P38" s="3"/>
      <c r="Q38" s="3"/>
      <c r="R38" s="3"/>
    </row>
    <row r="39" spans="1:18" customFormat="1" x14ac:dyDescent="0.25">
      <c r="A39" s="3"/>
      <c r="B39" s="149" t="s">
        <v>9</v>
      </c>
      <c r="C39" s="150">
        <f>((C8-C6)/30)*C5</f>
        <v>0</v>
      </c>
      <c r="D39" s="3"/>
      <c r="E39" s="3"/>
      <c r="F39" s="3"/>
      <c r="G39" s="4"/>
      <c r="H39" s="5"/>
      <c r="I39" s="3"/>
      <c r="J39" s="3"/>
      <c r="K39" s="3"/>
      <c r="L39" s="3"/>
      <c r="M39" s="3"/>
      <c r="N39" s="3"/>
      <c r="O39" s="3"/>
      <c r="P39" s="3"/>
      <c r="Q39" s="3"/>
      <c r="R39" s="3"/>
    </row>
    <row r="40" spans="1:18" customFormat="1" x14ac:dyDescent="0.25">
      <c r="A40" s="3"/>
      <c r="B40" s="151" t="s">
        <v>108</v>
      </c>
      <c r="C40" s="152">
        <f>IFERROR(C39/C12,0)</f>
        <v>0</v>
      </c>
      <c r="D40" s="3"/>
      <c r="E40" s="545" t="s">
        <v>109</v>
      </c>
      <c r="F40" s="546"/>
      <c r="G40" s="546"/>
      <c r="H40" s="546"/>
      <c r="I40" s="546"/>
      <c r="J40" s="546"/>
      <c r="K40" s="546"/>
      <c r="L40" s="546"/>
      <c r="M40" s="546"/>
      <c r="N40" s="546"/>
      <c r="O40" s="546"/>
      <c r="P40" s="546"/>
      <c r="Q40" s="547"/>
      <c r="R40" s="3"/>
    </row>
    <row r="41" spans="1:18" customFormat="1" x14ac:dyDescent="0.25">
      <c r="A41" s="3"/>
      <c r="B41" s="140" t="s">
        <v>107</v>
      </c>
      <c r="C41" s="141">
        <f>IFERROR(C24/C39,0)</f>
        <v>0</v>
      </c>
      <c r="D41" s="3"/>
      <c r="E41" s="3"/>
      <c r="F41" s="3"/>
      <c r="G41" s="4"/>
      <c r="H41" s="5"/>
      <c r="I41" s="3"/>
      <c r="J41" s="3"/>
      <c r="K41" s="3"/>
      <c r="L41" s="3"/>
      <c r="M41" s="3"/>
      <c r="N41" s="3"/>
      <c r="O41" s="3"/>
      <c r="P41" s="3"/>
      <c r="Q41" s="3"/>
      <c r="R41" s="3"/>
    </row>
    <row r="42" spans="1:18" customFormat="1" x14ac:dyDescent="0.25">
      <c r="A42" s="3"/>
      <c r="B42" s="3"/>
      <c r="C42" s="3"/>
      <c r="D42" s="3"/>
      <c r="E42" s="3"/>
      <c r="F42" s="3"/>
      <c r="G42" s="4"/>
      <c r="H42" s="5"/>
      <c r="I42" s="3"/>
      <c r="J42" s="3"/>
      <c r="K42" s="3"/>
      <c r="L42" s="3"/>
      <c r="M42" s="3"/>
      <c r="N42" s="3"/>
      <c r="O42" s="3"/>
      <c r="P42" s="3"/>
      <c r="Q42" s="3"/>
      <c r="R42" s="3"/>
    </row>
    <row r="43" spans="1:18" x14ac:dyDescent="0.25">
      <c r="B43" s="543" t="s">
        <v>168</v>
      </c>
      <c r="C43" s="544"/>
      <c r="D43" s="153"/>
      <c r="E43" s="154"/>
      <c r="F43" s="6"/>
      <c r="G43" s="6"/>
      <c r="H43" s="6"/>
      <c r="I43" s="6"/>
      <c r="J43" s="6"/>
      <c r="K43" s="6"/>
      <c r="L43" s="6"/>
      <c r="M43" s="6"/>
      <c r="N43" s="155"/>
      <c r="O43" s="155"/>
      <c r="P43" s="155"/>
      <c r="Q43" s="155"/>
    </row>
    <row r="44" spans="1:18" x14ac:dyDescent="0.25">
      <c r="B44" s="156" t="s">
        <v>169</v>
      </c>
      <c r="C44" s="59"/>
      <c r="D44" s="153"/>
      <c r="E44" s="157"/>
      <c r="F44" s="4"/>
      <c r="H44" s="4"/>
      <c r="I44" s="4"/>
      <c r="J44" s="4"/>
      <c r="K44" s="4"/>
      <c r="L44" s="4"/>
      <c r="M44" s="4"/>
      <c r="N44" s="5"/>
      <c r="O44" s="5"/>
      <c r="P44" s="5"/>
      <c r="Q44" s="5"/>
    </row>
    <row r="45" spans="1:18" x14ac:dyDescent="0.25">
      <c r="B45" s="156" t="s">
        <v>170</v>
      </c>
      <c r="C45" s="59"/>
      <c r="D45" s="153"/>
      <c r="E45" s="158"/>
      <c r="F45" s="136"/>
      <c r="G45" s="136"/>
      <c r="H45" s="136"/>
      <c r="I45" s="136"/>
      <c r="J45" s="136"/>
      <c r="K45" s="136"/>
      <c r="L45" s="136"/>
      <c r="M45" s="136"/>
      <c r="N45" s="136"/>
      <c r="O45" s="136"/>
      <c r="P45" s="136"/>
      <c r="Q45" s="136"/>
    </row>
    <row r="46" spans="1:18" ht="15" customHeight="1" x14ac:dyDescent="0.25">
      <c r="B46" s="156" t="s">
        <v>171</v>
      </c>
      <c r="C46" s="59"/>
      <c r="D46" s="153"/>
      <c r="E46" s="159"/>
      <c r="F46" s="4"/>
      <c r="G46" s="136"/>
      <c r="H46" s="136"/>
      <c r="I46" s="136"/>
      <c r="J46" s="136"/>
      <c r="K46" s="136"/>
      <c r="L46" s="136"/>
      <c r="M46" s="136"/>
      <c r="N46" s="136"/>
      <c r="O46" s="136"/>
      <c r="P46" s="136"/>
      <c r="Q46" s="136"/>
    </row>
    <row r="47" spans="1:18" x14ac:dyDescent="0.25">
      <c r="B47" s="156" t="s">
        <v>56</v>
      </c>
      <c r="C47" s="59"/>
      <c r="D47" s="153"/>
      <c r="E47" s="154"/>
      <c r="F47" s="4"/>
      <c r="G47" s="136"/>
      <c r="H47" s="136"/>
      <c r="I47" s="136"/>
      <c r="J47" s="136"/>
      <c r="K47" s="136"/>
      <c r="L47" s="136"/>
      <c r="M47" s="136"/>
      <c r="N47" s="136"/>
      <c r="O47" s="136"/>
      <c r="P47" s="136"/>
      <c r="Q47" s="136"/>
    </row>
    <row r="48" spans="1:18" x14ac:dyDescent="0.25">
      <c r="B48" s="160" t="s">
        <v>42</v>
      </c>
      <c r="C48" s="161">
        <f>C47+C46+C45+C44</f>
        <v>0</v>
      </c>
      <c r="D48" s="153"/>
      <c r="E48" s="154"/>
      <c r="F48" s="4"/>
      <c r="G48" s="136"/>
      <c r="H48" s="136"/>
      <c r="I48" s="136"/>
      <c r="J48" s="136"/>
      <c r="K48" s="136"/>
      <c r="L48" s="136"/>
      <c r="M48" s="136"/>
      <c r="N48" s="136"/>
      <c r="O48" s="136"/>
      <c r="P48" s="136"/>
      <c r="Q48" s="136"/>
    </row>
    <row r="49" spans="2:17" x14ac:dyDescent="0.25">
      <c r="B49" s="160" t="s">
        <v>172</v>
      </c>
      <c r="C49" s="162" t="str">
        <f>IFERROR((C27+C48)/C30,"")</f>
        <v/>
      </c>
      <c r="E49" s="545" t="s">
        <v>289</v>
      </c>
      <c r="F49" s="546"/>
      <c r="G49" s="546"/>
      <c r="H49" s="546"/>
      <c r="I49" s="546"/>
      <c r="J49" s="546"/>
      <c r="K49" s="546"/>
      <c r="L49" s="546"/>
      <c r="M49" s="546"/>
      <c r="N49" s="546"/>
      <c r="O49" s="546"/>
      <c r="P49" s="546"/>
      <c r="Q49" s="547"/>
    </row>
    <row r="50" spans="2:17" x14ac:dyDescent="0.25">
      <c r="B50" s="153"/>
      <c r="C50" s="153"/>
      <c r="E50" s="545" t="s">
        <v>290</v>
      </c>
      <c r="F50" s="546"/>
      <c r="G50" s="546"/>
      <c r="H50" s="546"/>
      <c r="I50" s="546"/>
      <c r="J50" s="546"/>
      <c r="K50" s="546"/>
      <c r="L50" s="546"/>
      <c r="M50" s="546"/>
      <c r="N50" s="546"/>
      <c r="O50" s="546"/>
      <c r="P50" s="546"/>
      <c r="Q50" s="547"/>
    </row>
    <row r="51" spans="2:17" x14ac:dyDescent="0.25">
      <c r="B51" s="160" t="s">
        <v>385</v>
      </c>
      <c r="C51" s="161" t="str">
        <f>IFERROR((C33-C48)/C12,"")</f>
        <v/>
      </c>
      <c r="D51" s="153"/>
      <c r="E51" s="154"/>
      <c r="F51" s="4"/>
      <c r="G51" s="136"/>
      <c r="H51" s="136"/>
      <c r="I51" s="136"/>
      <c r="J51" s="136"/>
      <c r="K51" s="136"/>
      <c r="L51" s="136"/>
      <c r="M51" s="136"/>
      <c r="N51" s="136"/>
      <c r="O51" s="136"/>
      <c r="P51" s="136"/>
      <c r="Q51" s="136"/>
    </row>
    <row r="52" spans="2:17" x14ac:dyDescent="0.25">
      <c r="B52" s="160" t="s">
        <v>386</v>
      </c>
      <c r="C52" s="161">
        <f>C35</f>
        <v>0</v>
      </c>
      <c r="D52" s="153"/>
      <c r="E52" s="154"/>
      <c r="F52" s="4"/>
      <c r="G52" s="136"/>
      <c r="H52" s="136"/>
      <c r="I52" s="136"/>
      <c r="J52" s="136"/>
      <c r="K52" s="136"/>
      <c r="L52" s="136"/>
      <c r="M52" s="136"/>
      <c r="N52" s="136"/>
      <c r="O52" s="136"/>
      <c r="P52" s="136"/>
      <c r="Q52" s="136"/>
    </row>
    <row r="53" spans="2:17" x14ac:dyDescent="0.25">
      <c r="E53" s="5"/>
    </row>
  </sheetData>
  <sheetProtection algorithmName="SHA-512" hashValue="IjOT80jVy38rRm4YooOraigzmDYTPgsWQM2Dcu6rNfPmr9B5Z5E61yIq/J0ANtUOZy/B7WHgCePSawcMl9hbMA==" saltValue="tLrLnqsJ26/bXaGagl2yQQ==" spinCount="100000" sheet="1" objects="1" scenarios="1" selectLockedCells="1"/>
  <mergeCells count="27">
    <mergeCell ref="E24:Q24"/>
    <mergeCell ref="E40:Q40"/>
    <mergeCell ref="E33:Q33"/>
    <mergeCell ref="E34:Q34"/>
    <mergeCell ref="E35:Q35"/>
    <mergeCell ref="E36:Q36"/>
    <mergeCell ref="B1:R1"/>
    <mergeCell ref="E3:Q4"/>
    <mergeCell ref="B4:C4"/>
    <mergeCell ref="E5:Q5"/>
    <mergeCell ref="E6:Q6"/>
    <mergeCell ref="E50:Q50"/>
    <mergeCell ref="E12:Q12"/>
    <mergeCell ref="B43:C43"/>
    <mergeCell ref="E49:Q49"/>
    <mergeCell ref="E32:Q32"/>
    <mergeCell ref="E15:Q15"/>
    <mergeCell ref="E16:Q16"/>
    <mergeCell ref="B18:C18"/>
    <mergeCell ref="E19:Q19"/>
    <mergeCell ref="E20:Q20"/>
    <mergeCell ref="E25:Q25"/>
    <mergeCell ref="E26:Q26"/>
    <mergeCell ref="E28:Q28"/>
    <mergeCell ref="E29:Q29"/>
    <mergeCell ref="E31:Q31"/>
    <mergeCell ref="B38:C38"/>
  </mergeCells>
  <conditionalFormatting sqref="B12:B16 B6:C11">
    <cfRule type="containsText" dxfId="11" priority="9" operator="containsText" text="Falta">
      <formula>NOT(ISERROR(SEARCH("Falta",B6)))</formula>
    </cfRule>
  </conditionalFormatting>
  <conditionalFormatting sqref="C9">
    <cfRule type="containsText" dxfId="10" priority="8" operator="containsText" text="Falta">
      <formula>NOT(ISERROR(SEARCH("Falta",C9)))</formula>
    </cfRule>
  </conditionalFormatting>
  <conditionalFormatting sqref="E5:Q5">
    <cfRule type="containsText" dxfId="9" priority="4" operator="containsText" text="REDUZIR">
      <formula>NOT(ISERROR(SEARCH("REDUZIR",E5)))</formula>
    </cfRule>
  </conditionalFormatting>
  <conditionalFormatting sqref="E15">
    <cfRule type="containsText" dxfId="8" priority="3" operator="containsText" text="você não conseguirá intensificar">
      <formula>NOT(ISERROR(SEARCH("você não conseguirá intensificar",E15)))</formula>
    </cfRule>
  </conditionalFormatting>
  <conditionalFormatting sqref="E15:Q15">
    <cfRule type="containsText" dxfId="7" priority="2" operator="containsText" text="lotação média está alta">
      <formula>NOT(ISERROR(SEARCH("lotação média está alta",E15)))</formula>
    </cfRule>
  </conditionalFormatting>
  <conditionalFormatting sqref="C33:C36">
    <cfRule type="cellIs" dxfId="6" priority="1" operator="lessThan">
      <formula>0</formula>
    </cfRule>
  </conditionalFormatting>
  <dataValidations count="3">
    <dataValidation type="date" allowBlank="1" showInputMessage="1" showErrorMessage="1" sqref="C10" xr:uid="{5784E682-C48F-4FEE-92D6-C5C981FA6E7F}">
      <formula1>1</formula1>
      <formula2>73415</formula2>
    </dataValidation>
    <dataValidation type="whole" allowBlank="1" showInputMessage="1" showErrorMessage="1" errorTitle="Ajustar!" error="Coloque apenas valores inteiros entre 0 e 1000." sqref="C6:C8" xr:uid="{9683D857-F28E-421F-859C-688F37431678}">
      <formula1>0</formula1>
      <formula2>1000</formula2>
    </dataValidation>
    <dataValidation type="whole" allowBlank="1" showInputMessage="1" showErrorMessage="1" errorTitle="Ajustar!" error="Coloque apenas valores inteiros entre 0 e 365." sqref="C7" xr:uid="{2C44F83E-E185-4D84-ABAD-B69CB519C37B}">
      <formula1>0</formula1>
      <formula2>366</formula2>
    </dataValidation>
  </dataValidations>
  <pageMargins left="0.511811024" right="0.511811024" top="0.78740157499999996" bottom="0.78740157499999996" header="0.31496062000000002" footer="0.31496062000000002"/>
  <pageSetup paperSize="9"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E5F67-8E7D-4118-BF80-F9C64F0D7436}">
  <sheetPr codeName="Planilha6"/>
  <dimension ref="A1:AE53"/>
  <sheetViews>
    <sheetView showGridLines="0" zoomScaleNormal="100" workbookViewId="0">
      <selection activeCell="C24" sqref="C24"/>
    </sheetView>
  </sheetViews>
  <sheetFormatPr defaultColWidth="0" defaultRowHeight="15" customHeight="1" zeroHeight="1" x14ac:dyDescent="0.25"/>
  <cols>
    <col min="1" max="1" width="8.28515625" style="3" customWidth="1"/>
    <col min="2" max="2" width="27" style="3" bestFit="1" customWidth="1"/>
    <col min="3" max="3" width="17.7109375" style="3" bestFit="1" customWidth="1"/>
    <col min="4" max="4" width="5.42578125" style="3" customWidth="1"/>
    <col min="5" max="5" width="23.140625" style="3" customWidth="1"/>
    <col min="6" max="6" width="15.7109375" style="3" customWidth="1"/>
    <col min="7" max="7" width="12.7109375" style="4" customWidth="1"/>
    <col min="8" max="8" width="12.7109375" style="5" customWidth="1"/>
    <col min="9" max="13" width="12.7109375" style="3" customWidth="1"/>
    <col min="14" max="14" width="30.7109375" style="3" customWidth="1"/>
    <col min="15" max="15" width="27.28515625" style="3" customWidth="1"/>
    <col min="16" max="16" width="24.5703125" style="3" customWidth="1"/>
    <col min="17" max="17" width="23.28515625" style="3" customWidth="1"/>
    <col min="18" max="18" width="12.7109375" style="3" customWidth="1"/>
    <col min="19" max="20" width="12.7109375" style="3" hidden="1" customWidth="1"/>
    <col min="21" max="31" width="0" style="3" hidden="1" customWidth="1"/>
    <col min="32" max="16384" width="8.85546875" style="3" hidden="1"/>
  </cols>
  <sheetData>
    <row r="1" spans="1:18" customFormat="1" ht="23.25" x14ac:dyDescent="0.25">
      <c r="A1" s="9"/>
      <c r="B1" s="528" t="s">
        <v>167</v>
      </c>
      <c r="C1" s="528"/>
      <c r="D1" s="528"/>
      <c r="E1" s="528"/>
      <c r="F1" s="528"/>
      <c r="G1" s="528"/>
      <c r="H1" s="528"/>
      <c r="I1" s="528"/>
      <c r="J1" s="528"/>
      <c r="K1" s="528"/>
      <c r="L1" s="528"/>
      <c r="M1" s="528"/>
      <c r="N1" s="528"/>
      <c r="O1" s="528"/>
      <c r="P1" s="528"/>
      <c r="Q1" s="528"/>
      <c r="R1" s="528"/>
    </row>
    <row r="2" spans="1:18" ht="23.25" x14ac:dyDescent="0.25">
      <c r="D2" s="33"/>
      <c r="R2" s="33"/>
    </row>
    <row r="3" spans="1:18" customFormat="1" x14ac:dyDescent="0.25">
      <c r="A3" s="3"/>
      <c r="B3" s="3"/>
      <c r="C3" s="3"/>
      <c r="D3" s="3"/>
      <c r="E3" s="532" t="s">
        <v>13</v>
      </c>
      <c r="F3" s="532"/>
      <c r="G3" s="532"/>
      <c r="H3" s="532"/>
      <c r="I3" s="532"/>
      <c r="J3" s="532"/>
      <c r="K3" s="532"/>
      <c r="L3" s="532"/>
      <c r="M3" s="532"/>
      <c r="N3" s="532"/>
      <c r="O3" s="532"/>
      <c r="P3" s="532"/>
      <c r="Q3" s="532"/>
      <c r="R3" s="3"/>
    </row>
    <row r="4" spans="1:18" customFormat="1" x14ac:dyDescent="0.25">
      <c r="A4" s="3"/>
      <c r="B4" s="543" t="s">
        <v>72</v>
      </c>
      <c r="C4" s="544"/>
      <c r="D4" s="3"/>
      <c r="E4" s="532"/>
      <c r="F4" s="532"/>
      <c r="G4" s="532"/>
      <c r="H4" s="532"/>
      <c r="I4" s="532"/>
      <c r="J4" s="532"/>
      <c r="K4" s="532"/>
      <c r="L4" s="532"/>
      <c r="M4" s="532"/>
      <c r="N4" s="532"/>
      <c r="O4" s="532"/>
      <c r="P4" s="532"/>
      <c r="Q4" s="532"/>
      <c r="R4" s="3"/>
    </row>
    <row r="5" spans="1:18" customFormat="1" x14ac:dyDescent="0.25">
      <c r="A5" s="3"/>
      <c r="B5" s="119" t="s">
        <v>45</v>
      </c>
      <c r="C5" s="91"/>
      <c r="D5" s="4"/>
      <c r="E5" s="529" t="str">
        <f>IF(C5&lt;=250,"Quantas cabeças quer rodar nesse sistema? (no máximo 250 por lote).","REDUZIR TAMANHO DO LOTE, SEJA POR REDUÇÃO NA ÁREA OU DIMINUINDO A META DE LOTAÇÃO!")</f>
        <v>Quantas cabeças quer rodar nesse sistema? (no máximo 250 por lote).</v>
      </c>
      <c r="F5" s="530"/>
      <c r="G5" s="530"/>
      <c r="H5" s="530"/>
      <c r="I5" s="530"/>
      <c r="J5" s="530"/>
      <c r="K5" s="530"/>
      <c r="L5" s="530"/>
      <c r="M5" s="530"/>
      <c r="N5" s="530"/>
      <c r="O5" s="530"/>
      <c r="P5" s="530"/>
      <c r="Q5" s="531"/>
      <c r="R5" s="3"/>
    </row>
    <row r="6" spans="1:18" customFormat="1" x14ac:dyDescent="0.25">
      <c r="A6" s="3"/>
      <c r="B6" s="122" t="s">
        <v>14</v>
      </c>
      <c r="C6" s="92"/>
      <c r="D6" s="4"/>
      <c r="E6" s="522" t="s">
        <v>63</v>
      </c>
      <c r="F6" s="523"/>
      <c r="G6" s="523"/>
      <c r="H6" s="523"/>
      <c r="I6" s="523"/>
      <c r="J6" s="523"/>
      <c r="K6" s="523"/>
      <c r="L6" s="523"/>
      <c r="M6" s="523"/>
      <c r="N6" s="523"/>
      <c r="O6" s="523"/>
      <c r="P6" s="523"/>
      <c r="Q6" s="524"/>
      <c r="R6" s="3"/>
    </row>
    <row r="7" spans="1:18" customFormat="1" x14ac:dyDescent="0.25">
      <c r="A7" s="3"/>
      <c r="B7" s="122" t="s">
        <v>281</v>
      </c>
      <c r="C7" s="93"/>
      <c r="D7" s="124">
        <f>C7/30</f>
        <v>0</v>
      </c>
      <c r="E7" s="125" t="s">
        <v>11</v>
      </c>
      <c r="F7" s="17"/>
      <c r="G7" s="7"/>
      <c r="H7" s="16"/>
      <c r="I7" s="17"/>
      <c r="J7" s="26"/>
      <c r="K7" s="26"/>
      <c r="L7" s="26"/>
      <c r="M7" s="26"/>
      <c r="N7" s="26"/>
      <c r="O7" s="26"/>
      <c r="P7" s="26"/>
      <c r="Q7" s="123"/>
      <c r="R7" s="3"/>
    </row>
    <row r="8" spans="1:18" customFormat="1" x14ac:dyDescent="0.25">
      <c r="A8" s="3"/>
      <c r="B8" s="122" t="s">
        <v>15</v>
      </c>
      <c r="C8" s="92"/>
      <c r="D8" s="4"/>
      <c r="E8" s="125" t="s">
        <v>86</v>
      </c>
      <c r="F8" s="26"/>
      <c r="G8" s="26"/>
      <c r="H8" s="26"/>
      <c r="I8" s="26"/>
      <c r="J8" s="26"/>
      <c r="K8" s="26"/>
      <c r="L8" s="26"/>
      <c r="M8" s="26"/>
      <c r="N8" s="26"/>
      <c r="O8" s="26"/>
      <c r="P8" s="26"/>
      <c r="Q8" s="123"/>
      <c r="R8" s="3"/>
    </row>
    <row r="9" spans="1:18" customFormat="1" x14ac:dyDescent="0.25">
      <c r="A9" s="3"/>
      <c r="B9" s="126" t="s">
        <v>16</v>
      </c>
      <c r="C9" s="127" t="str">
        <f>IFERROR((C8-C6)/C7,"")</f>
        <v/>
      </c>
      <c r="D9" s="4"/>
      <c r="E9" s="128" t="s">
        <v>85</v>
      </c>
      <c r="F9" s="129"/>
      <c r="G9" s="130"/>
      <c r="H9" s="130"/>
      <c r="I9" s="130"/>
      <c r="J9" s="130"/>
      <c r="K9" s="130"/>
      <c r="L9" s="130"/>
      <c r="M9" s="130"/>
      <c r="N9" s="130"/>
      <c r="O9" s="130"/>
      <c r="P9" s="130"/>
      <c r="Q9" s="131"/>
      <c r="R9" s="3"/>
    </row>
    <row r="10" spans="1:18" customFormat="1" x14ac:dyDescent="0.25">
      <c r="A10" s="3"/>
      <c r="B10" s="122" t="s">
        <v>2</v>
      </c>
      <c r="C10" s="89"/>
      <c r="D10" s="6"/>
      <c r="E10" s="125" t="s">
        <v>20</v>
      </c>
      <c r="F10" s="26"/>
      <c r="G10" s="26"/>
      <c r="H10" s="26"/>
      <c r="I10" s="26"/>
      <c r="J10" s="26"/>
      <c r="K10" s="26"/>
      <c r="L10" s="26"/>
      <c r="M10" s="26"/>
      <c r="N10" s="26"/>
      <c r="O10" s="26"/>
      <c r="P10" s="26"/>
      <c r="Q10" s="123"/>
      <c r="R10" s="3"/>
    </row>
    <row r="11" spans="1:18" customFormat="1" x14ac:dyDescent="0.25">
      <c r="A11" s="3"/>
      <c r="B11" s="122" t="s">
        <v>3</v>
      </c>
      <c r="C11" s="132" t="str">
        <f>IFERROR(((C8-C6)/C9)+C10,"")</f>
        <v/>
      </c>
      <c r="D11" s="6"/>
      <c r="E11" s="128" t="s">
        <v>87</v>
      </c>
      <c r="F11" s="130"/>
      <c r="G11" s="130"/>
      <c r="H11" s="130"/>
      <c r="I11" s="130"/>
      <c r="J11" s="130"/>
      <c r="K11" s="130"/>
      <c r="L11" s="130"/>
      <c r="M11" s="130"/>
      <c r="N11" s="130"/>
      <c r="O11" s="130"/>
      <c r="P11" s="130"/>
      <c r="Q11" s="131"/>
      <c r="R11" s="3"/>
    </row>
    <row r="12" spans="1:18" customFormat="1" x14ac:dyDescent="0.25">
      <c r="A12" s="3"/>
      <c r="B12" s="119" t="s">
        <v>70</v>
      </c>
      <c r="C12" s="27"/>
      <c r="D12" s="4"/>
      <c r="E12" s="522" t="s">
        <v>88</v>
      </c>
      <c r="F12" s="523"/>
      <c r="G12" s="523"/>
      <c r="H12" s="523"/>
      <c r="I12" s="523"/>
      <c r="J12" s="523"/>
      <c r="K12" s="523"/>
      <c r="L12" s="523"/>
      <c r="M12" s="523"/>
      <c r="N12" s="523"/>
      <c r="O12" s="523"/>
      <c r="P12" s="523"/>
      <c r="Q12" s="524"/>
      <c r="R12" s="3"/>
    </row>
    <row r="13" spans="1:18" customFormat="1" x14ac:dyDescent="0.25">
      <c r="A13" s="3"/>
      <c r="B13" s="122" t="s">
        <v>1</v>
      </c>
      <c r="C13" s="133" t="str">
        <f>IFERROR(C5/C12,"")</f>
        <v/>
      </c>
      <c r="D13" s="4"/>
      <c r="E13" s="125"/>
      <c r="F13" s="17"/>
      <c r="G13" s="7"/>
      <c r="H13" s="16"/>
      <c r="I13" s="17"/>
      <c r="J13" s="17"/>
      <c r="K13" s="17"/>
      <c r="L13" s="17"/>
      <c r="M13" s="17"/>
      <c r="N13" s="17"/>
      <c r="O13" s="17"/>
      <c r="P13" s="17"/>
      <c r="Q13" s="134"/>
      <c r="R13" s="3"/>
    </row>
    <row r="14" spans="1:18" customFormat="1" x14ac:dyDescent="0.25">
      <c r="A14" s="3"/>
      <c r="B14" s="122" t="s">
        <v>17</v>
      </c>
      <c r="C14" s="135" t="str">
        <f>IFERROR((C13*C6)/450,"")</f>
        <v/>
      </c>
      <c r="D14" s="136"/>
      <c r="E14" s="125" t="str">
        <f>IF(C14="","",IF(C14&gt;4,"Cuidado, essa lotação de entrada está alta. Para que ela aconteça, o capim já deve estar alto no início do período, ou com uma boa fertilidade inicial.","Ok"))</f>
        <v/>
      </c>
      <c r="F14" s="17"/>
      <c r="G14" s="7"/>
      <c r="H14" s="16"/>
      <c r="I14" s="17"/>
      <c r="J14" s="17"/>
      <c r="K14" s="17"/>
      <c r="L14" s="17"/>
      <c r="M14" s="17"/>
      <c r="N14" s="17"/>
      <c r="O14" s="17"/>
      <c r="P14" s="17"/>
      <c r="Q14" s="134"/>
      <c r="R14" s="3"/>
    </row>
    <row r="15" spans="1:18" customFormat="1" x14ac:dyDescent="0.25">
      <c r="A15" s="3"/>
      <c r="B15" s="122" t="s">
        <v>18</v>
      </c>
      <c r="C15" s="135" t="str">
        <f>IFERROR(AVERAGE(C14,C16),"")</f>
        <v/>
      </c>
      <c r="D15" s="136"/>
      <c r="E15" s="522" t="str">
        <f>IF(C15="","",IF(C15&gt;ROUND(C7/30.3,0),"Pelo período de chuva disponível em sua região, você não conseguirá intensificar nesse nível. Diminua a meta de produção ou aumente os dias de capim verde (se for possível). Seu limite é de "&amp;ROUND(C7/30.3,0)&amp;" U.A/ha",IF(C15&gt;5,"Cuidado, essa lotação média está alta. Recomendo que seu rotacionado tenha pelo menos 8 piquetes para aproveitar melhor o capim. Você aprenderá isso na aula sobre rotacionado.","Ok")))</f>
        <v/>
      </c>
      <c r="F15" s="523"/>
      <c r="G15" s="523"/>
      <c r="H15" s="523"/>
      <c r="I15" s="523"/>
      <c r="J15" s="523"/>
      <c r="K15" s="523"/>
      <c r="L15" s="523"/>
      <c r="M15" s="523"/>
      <c r="N15" s="523"/>
      <c r="O15" s="523"/>
      <c r="P15" s="523"/>
      <c r="Q15" s="524"/>
      <c r="R15" s="3"/>
    </row>
    <row r="16" spans="1:18" customFormat="1" x14ac:dyDescent="0.25">
      <c r="A16" s="3"/>
      <c r="B16" s="126" t="s">
        <v>19</v>
      </c>
      <c r="C16" s="137" t="str">
        <f>IFERROR((C13*C8)/450,"")</f>
        <v/>
      </c>
      <c r="D16" s="136"/>
      <c r="E16" s="525" t="str">
        <f>IF(C16="","",IF(C16&gt;6,"Cuidado, essa lotação de saída está alta. Garanta que seus animais tenham o GMD necessário para sair até final de chuva, já que provavelmente não será possível usar esse pasto na seca","Ok"))</f>
        <v/>
      </c>
      <c r="F16" s="526"/>
      <c r="G16" s="526"/>
      <c r="H16" s="526"/>
      <c r="I16" s="526"/>
      <c r="J16" s="526"/>
      <c r="K16" s="526"/>
      <c r="L16" s="526"/>
      <c r="M16" s="526"/>
      <c r="N16" s="526"/>
      <c r="O16" s="526"/>
      <c r="P16" s="526"/>
      <c r="Q16" s="527"/>
      <c r="R16" s="3"/>
    </row>
    <row r="17" spans="1:18" customFormat="1" x14ac:dyDescent="0.25">
      <c r="A17" s="3"/>
      <c r="B17" s="3"/>
      <c r="C17" s="3"/>
      <c r="D17" s="3"/>
      <c r="E17" s="3"/>
      <c r="F17" s="3"/>
      <c r="G17" s="4"/>
      <c r="H17" s="5"/>
      <c r="I17" s="3"/>
      <c r="J17" s="3"/>
      <c r="K17" s="3"/>
      <c r="L17" s="3"/>
      <c r="M17" s="3"/>
      <c r="N17" s="3"/>
      <c r="O17" s="3"/>
      <c r="P17" s="3"/>
      <c r="Q17" s="3"/>
      <c r="R17" s="3"/>
    </row>
    <row r="18" spans="1:18" customFormat="1" x14ac:dyDescent="0.25">
      <c r="A18" s="3"/>
      <c r="B18" s="543" t="s">
        <v>73</v>
      </c>
      <c r="C18" s="544"/>
      <c r="D18" s="3"/>
      <c r="E18" s="3"/>
      <c r="F18" s="3"/>
      <c r="G18" s="4"/>
      <c r="H18" s="5"/>
      <c r="I18" s="3"/>
      <c r="J18" s="3"/>
      <c r="K18" s="3"/>
      <c r="L18" s="3"/>
      <c r="M18" s="3"/>
      <c r="N18" s="3"/>
      <c r="O18" s="3"/>
      <c r="P18" s="3"/>
      <c r="Q18" s="3"/>
      <c r="R18" s="3"/>
    </row>
    <row r="19" spans="1:18" customFormat="1" x14ac:dyDescent="0.25">
      <c r="A19" s="3"/>
      <c r="B19" s="138" t="s">
        <v>74</v>
      </c>
      <c r="C19" s="28"/>
      <c r="D19" s="136"/>
      <c r="E19" s="529" t="s">
        <v>89</v>
      </c>
      <c r="F19" s="530"/>
      <c r="G19" s="530"/>
      <c r="H19" s="530"/>
      <c r="I19" s="530"/>
      <c r="J19" s="530"/>
      <c r="K19" s="530"/>
      <c r="L19" s="530"/>
      <c r="M19" s="530"/>
      <c r="N19" s="530"/>
      <c r="O19" s="530"/>
      <c r="P19" s="530"/>
      <c r="Q19" s="531"/>
      <c r="R19" s="3"/>
    </row>
    <row r="20" spans="1:18" customFormat="1" x14ac:dyDescent="0.25">
      <c r="A20" s="3"/>
      <c r="B20" s="139" t="s">
        <v>75</v>
      </c>
      <c r="C20" s="29"/>
      <c r="D20" s="3"/>
      <c r="E20" s="525" t="s">
        <v>90</v>
      </c>
      <c r="F20" s="526"/>
      <c r="G20" s="526"/>
      <c r="H20" s="526"/>
      <c r="I20" s="526"/>
      <c r="J20" s="526"/>
      <c r="K20" s="526"/>
      <c r="L20" s="526"/>
      <c r="M20" s="526"/>
      <c r="N20" s="526"/>
      <c r="O20" s="526"/>
      <c r="P20" s="526"/>
      <c r="Q20" s="527"/>
      <c r="R20" s="3"/>
    </row>
    <row r="21" spans="1:18" customFormat="1" x14ac:dyDescent="0.25">
      <c r="A21" s="3"/>
      <c r="B21" s="140" t="s">
        <v>95</v>
      </c>
      <c r="C21" s="141" t="str">
        <f>IFERROR((C24/C5/(C7/30)),"")</f>
        <v/>
      </c>
      <c r="D21" s="3"/>
      <c r="E21" s="3"/>
      <c r="F21" s="3"/>
      <c r="G21" s="4"/>
      <c r="H21" s="5"/>
      <c r="I21" s="3"/>
      <c r="J21" s="3"/>
      <c r="K21" s="3"/>
      <c r="L21" s="3"/>
      <c r="M21" s="3"/>
      <c r="N21" s="3"/>
      <c r="O21" s="3"/>
      <c r="P21" s="3"/>
      <c r="Q21" s="3"/>
      <c r="R21" s="3"/>
    </row>
    <row r="22" spans="1:18" customFormat="1" x14ac:dyDescent="0.25">
      <c r="A22" s="3"/>
      <c r="B22" s="138" t="s">
        <v>77</v>
      </c>
      <c r="C22" s="142">
        <f>(C6/30)*C5*C19</f>
        <v>0</v>
      </c>
      <c r="D22" s="3"/>
      <c r="E22" s="3"/>
      <c r="F22" s="3"/>
      <c r="G22" s="4"/>
      <c r="H22" s="5"/>
      <c r="I22" s="3"/>
      <c r="J22" s="3"/>
      <c r="K22" s="3"/>
      <c r="L22" s="3"/>
      <c r="M22" s="3"/>
      <c r="N22" s="3"/>
      <c r="O22" s="3"/>
      <c r="P22" s="3"/>
      <c r="Q22" s="3"/>
      <c r="R22" s="3"/>
    </row>
    <row r="23" spans="1:18" customFormat="1" x14ac:dyDescent="0.25">
      <c r="A23" s="3"/>
      <c r="B23" s="139" t="s">
        <v>76</v>
      </c>
      <c r="C23" s="143" t="str">
        <f>IFERROR(C22/C5,"")</f>
        <v/>
      </c>
      <c r="D23" s="3"/>
      <c r="E23" s="3"/>
      <c r="F23" s="3"/>
      <c r="G23" s="4"/>
      <c r="H23" s="5"/>
      <c r="I23" s="3"/>
      <c r="J23" s="3"/>
      <c r="K23" s="3"/>
      <c r="L23" s="3"/>
      <c r="M23" s="3"/>
      <c r="N23" s="3"/>
      <c r="O23" s="3"/>
      <c r="P23" s="3"/>
      <c r="Q23" s="3"/>
      <c r="R23" s="3"/>
    </row>
    <row r="24" spans="1:18" customFormat="1" x14ac:dyDescent="0.25">
      <c r="A24" s="3"/>
      <c r="B24" s="138" t="s">
        <v>79</v>
      </c>
      <c r="C24" s="163"/>
      <c r="D24" s="3"/>
      <c r="E24" s="529" t="s">
        <v>286</v>
      </c>
      <c r="F24" s="530"/>
      <c r="G24" s="530"/>
      <c r="H24" s="530"/>
      <c r="I24" s="530"/>
      <c r="J24" s="530"/>
      <c r="K24" s="530"/>
      <c r="L24" s="530"/>
      <c r="M24" s="530"/>
      <c r="N24" s="530"/>
      <c r="O24" s="530"/>
      <c r="P24" s="530"/>
      <c r="Q24" s="531"/>
      <c r="R24" s="3"/>
    </row>
    <row r="25" spans="1:18" customFormat="1" x14ac:dyDescent="0.25">
      <c r="A25" s="3"/>
      <c r="B25" s="139" t="s">
        <v>91</v>
      </c>
      <c r="C25" s="144">
        <f>IFERROR(C24/C5,0)</f>
        <v>0</v>
      </c>
      <c r="D25" s="3"/>
      <c r="E25" s="522" t="s">
        <v>287</v>
      </c>
      <c r="F25" s="523"/>
      <c r="G25" s="523"/>
      <c r="H25" s="523"/>
      <c r="I25" s="523"/>
      <c r="J25" s="523"/>
      <c r="K25" s="523"/>
      <c r="L25" s="523"/>
      <c r="M25" s="523"/>
      <c r="N25" s="523"/>
      <c r="O25" s="523"/>
      <c r="P25" s="523"/>
      <c r="Q25" s="524"/>
      <c r="R25" s="3"/>
    </row>
    <row r="26" spans="1:18" customFormat="1" x14ac:dyDescent="0.25">
      <c r="A26" s="3"/>
      <c r="B26" s="139" t="s">
        <v>59</v>
      </c>
      <c r="C26" s="144">
        <f>IFERROR(C24/C12,0)</f>
        <v>0</v>
      </c>
      <c r="D26" s="3"/>
      <c r="E26" s="525" t="s">
        <v>288</v>
      </c>
      <c r="F26" s="526"/>
      <c r="G26" s="526"/>
      <c r="H26" s="526"/>
      <c r="I26" s="526"/>
      <c r="J26" s="526"/>
      <c r="K26" s="526"/>
      <c r="L26" s="526"/>
      <c r="M26" s="526"/>
      <c r="N26" s="526"/>
      <c r="O26" s="526"/>
      <c r="P26" s="526"/>
      <c r="Q26" s="527"/>
      <c r="R26" s="3"/>
    </row>
    <row r="27" spans="1:18" customFormat="1" x14ac:dyDescent="0.25">
      <c r="A27" s="3"/>
      <c r="B27" s="138" t="s">
        <v>81</v>
      </c>
      <c r="C27" s="142">
        <f>(C22+C24)</f>
        <v>0</v>
      </c>
      <c r="D27" s="3"/>
      <c r="E27" s="3"/>
      <c r="F27" s="3"/>
      <c r="G27" s="4"/>
      <c r="H27" s="5"/>
      <c r="I27" s="3"/>
      <c r="J27" s="3"/>
      <c r="K27" s="3"/>
      <c r="L27" s="3"/>
      <c r="M27" s="3"/>
      <c r="N27" s="3"/>
      <c r="O27" s="3"/>
      <c r="P27" s="3"/>
      <c r="Q27" s="3"/>
      <c r="R27" s="3"/>
    </row>
    <row r="28" spans="1:18" customFormat="1" x14ac:dyDescent="0.25">
      <c r="A28" s="3"/>
      <c r="B28" s="139" t="s">
        <v>82</v>
      </c>
      <c r="C28" s="143">
        <f>IFERROR(C27/C5,0)</f>
        <v>0</v>
      </c>
      <c r="D28" s="3"/>
      <c r="E28" s="529" t="s">
        <v>98</v>
      </c>
      <c r="F28" s="530"/>
      <c r="G28" s="530"/>
      <c r="H28" s="530"/>
      <c r="I28" s="530"/>
      <c r="J28" s="530"/>
      <c r="K28" s="530"/>
      <c r="L28" s="530"/>
      <c r="M28" s="530"/>
      <c r="N28" s="530"/>
      <c r="O28" s="530"/>
      <c r="P28" s="530"/>
      <c r="Q28" s="531"/>
      <c r="R28" s="3"/>
    </row>
    <row r="29" spans="1:18" customFormat="1" x14ac:dyDescent="0.25">
      <c r="A29" s="3"/>
      <c r="B29" s="140" t="s">
        <v>83</v>
      </c>
      <c r="C29" s="145">
        <f>IFERROR(C27/C12,0)</f>
        <v>0</v>
      </c>
      <c r="D29" s="3"/>
      <c r="E29" s="525" t="s">
        <v>97</v>
      </c>
      <c r="F29" s="526"/>
      <c r="G29" s="526"/>
      <c r="H29" s="526"/>
      <c r="I29" s="526"/>
      <c r="J29" s="526"/>
      <c r="K29" s="526"/>
      <c r="L29" s="526"/>
      <c r="M29" s="526"/>
      <c r="N29" s="526"/>
      <c r="O29" s="526"/>
      <c r="P29" s="526"/>
      <c r="Q29" s="527"/>
      <c r="R29" s="3"/>
    </row>
    <row r="30" spans="1:18" customFormat="1" x14ac:dyDescent="0.25">
      <c r="A30" s="3"/>
      <c r="B30" s="138" t="s">
        <v>78</v>
      </c>
      <c r="C30" s="142">
        <f>(C8/30)*C5*C20</f>
        <v>0</v>
      </c>
      <c r="D30" s="3"/>
      <c r="E30" s="3"/>
      <c r="F30" s="3"/>
      <c r="G30" s="4"/>
      <c r="H30" s="5"/>
      <c r="I30" s="3"/>
      <c r="J30" s="3"/>
      <c r="K30" s="3"/>
      <c r="L30" s="3"/>
      <c r="M30" s="3"/>
      <c r="N30" s="3"/>
      <c r="O30" s="3"/>
      <c r="P30" s="3"/>
      <c r="Q30" s="3"/>
      <c r="R30" s="3"/>
    </row>
    <row r="31" spans="1:18" customFormat="1" x14ac:dyDescent="0.25">
      <c r="A31" s="3"/>
      <c r="B31" s="139" t="s">
        <v>92</v>
      </c>
      <c r="C31" s="143">
        <f>IFERROR(C30/C5,0)</f>
        <v>0</v>
      </c>
      <c r="D31" s="3"/>
      <c r="E31" s="529" t="s">
        <v>99</v>
      </c>
      <c r="F31" s="530"/>
      <c r="G31" s="530"/>
      <c r="H31" s="530"/>
      <c r="I31" s="530"/>
      <c r="J31" s="530"/>
      <c r="K31" s="530"/>
      <c r="L31" s="530"/>
      <c r="M31" s="530"/>
      <c r="N31" s="530"/>
      <c r="O31" s="530"/>
      <c r="P31" s="530"/>
      <c r="Q31" s="531"/>
      <c r="R31" s="3"/>
    </row>
    <row r="32" spans="1:18" customFormat="1" x14ac:dyDescent="0.25">
      <c r="A32" s="3"/>
      <c r="B32" s="140" t="s">
        <v>58</v>
      </c>
      <c r="C32" s="145">
        <f>IFERROR(C30/C12,0)</f>
        <v>0</v>
      </c>
      <c r="D32" s="3"/>
      <c r="E32" s="525" t="s">
        <v>100</v>
      </c>
      <c r="F32" s="526"/>
      <c r="G32" s="526"/>
      <c r="H32" s="526"/>
      <c r="I32" s="526"/>
      <c r="J32" s="526"/>
      <c r="K32" s="526"/>
      <c r="L32" s="526"/>
      <c r="M32" s="526"/>
      <c r="N32" s="526"/>
      <c r="O32" s="526"/>
      <c r="P32" s="526"/>
      <c r="Q32" s="527"/>
      <c r="R32" s="3"/>
    </row>
    <row r="33" spans="1:18" customFormat="1" x14ac:dyDescent="0.25">
      <c r="A33" s="3"/>
      <c r="B33" s="138" t="s">
        <v>80</v>
      </c>
      <c r="C33" s="146">
        <f>C30-C27</f>
        <v>0</v>
      </c>
      <c r="D33" s="3"/>
      <c r="E33" s="529" t="s">
        <v>101</v>
      </c>
      <c r="F33" s="530"/>
      <c r="G33" s="530"/>
      <c r="H33" s="530"/>
      <c r="I33" s="530"/>
      <c r="J33" s="530"/>
      <c r="K33" s="530"/>
      <c r="L33" s="530"/>
      <c r="M33" s="530"/>
      <c r="N33" s="530"/>
      <c r="O33" s="530"/>
      <c r="P33" s="530"/>
      <c r="Q33" s="531"/>
      <c r="R33" s="3"/>
    </row>
    <row r="34" spans="1:18" customFormat="1" x14ac:dyDescent="0.25">
      <c r="A34" s="3"/>
      <c r="B34" s="139" t="s">
        <v>103</v>
      </c>
      <c r="C34" s="144">
        <f>IFERROR(C33/C5,0)</f>
        <v>0</v>
      </c>
      <c r="D34" s="3"/>
      <c r="E34" s="522" t="s">
        <v>102</v>
      </c>
      <c r="F34" s="523"/>
      <c r="G34" s="523"/>
      <c r="H34" s="523"/>
      <c r="I34" s="523"/>
      <c r="J34" s="523"/>
      <c r="K34" s="523"/>
      <c r="L34" s="523"/>
      <c r="M34" s="523"/>
      <c r="N34" s="523"/>
      <c r="O34" s="523"/>
      <c r="P34" s="523"/>
      <c r="Q34" s="524"/>
      <c r="R34" s="3"/>
    </row>
    <row r="35" spans="1:18" customFormat="1" x14ac:dyDescent="0.25">
      <c r="A35" s="3"/>
      <c r="B35" s="140" t="s">
        <v>104</v>
      </c>
      <c r="C35" s="147">
        <f>IFERROR(C33/C12,0)</f>
        <v>0</v>
      </c>
      <c r="D35" s="3"/>
      <c r="E35" s="522" t="s">
        <v>291</v>
      </c>
      <c r="F35" s="523"/>
      <c r="G35" s="523"/>
      <c r="H35" s="523"/>
      <c r="I35" s="523"/>
      <c r="J35" s="523"/>
      <c r="K35" s="523"/>
      <c r="L35" s="523"/>
      <c r="M35" s="523"/>
      <c r="N35" s="523"/>
      <c r="O35" s="523"/>
      <c r="P35" s="523"/>
      <c r="Q35" s="524"/>
      <c r="R35" s="3"/>
    </row>
    <row r="36" spans="1:18" customFormat="1" x14ac:dyDescent="0.25">
      <c r="A36" s="3"/>
      <c r="B36" s="140" t="s">
        <v>84</v>
      </c>
      <c r="C36" s="148">
        <f>IFERROR((C33/C27)/D7,0)</f>
        <v>0</v>
      </c>
      <c r="D36" s="3"/>
      <c r="E36" s="525" t="s">
        <v>105</v>
      </c>
      <c r="F36" s="526"/>
      <c r="G36" s="526"/>
      <c r="H36" s="526"/>
      <c r="I36" s="526"/>
      <c r="J36" s="526"/>
      <c r="K36" s="526"/>
      <c r="L36" s="526"/>
      <c r="M36" s="526"/>
      <c r="N36" s="526"/>
      <c r="O36" s="526"/>
      <c r="P36" s="526"/>
      <c r="Q36" s="527"/>
      <c r="R36" s="3"/>
    </row>
    <row r="37" spans="1:18" customFormat="1" x14ac:dyDescent="0.25">
      <c r="A37" s="3"/>
      <c r="B37" s="3"/>
      <c r="C37" s="3"/>
      <c r="D37" s="3"/>
      <c r="E37" s="3"/>
      <c r="F37" s="3"/>
      <c r="G37" s="4"/>
      <c r="H37" s="5"/>
      <c r="I37" s="3"/>
      <c r="J37" s="3"/>
      <c r="K37" s="3"/>
      <c r="L37" s="3"/>
      <c r="M37" s="3"/>
      <c r="N37" s="3"/>
      <c r="O37" s="3"/>
      <c r="P37" s="3"/>
      <c r="Q37" s="3"/>
      <c r="R37" s="3"/>
    </row>
    <row r="38" spans="1:18" customFormat="1" x14ac:dyDescent="0.25">
      <c r="A38" s="3"/>
      <c r="B38" s="543" t="s">
        <v>106</v>
      </c>
      <c r="C38" s="544"/>
      <c r="D38" s="3"/>
      <c r="E38" s="3"/>
      <c r="F38" s="3"/>
      <c r="G38" s="4"/>
      <c r="H38" s="5"/>
      <c r="I38" s="3"/>
      <c r="J38" s="3"/>
      <c r="K38" s="3"/>
      <c r="L38" s="3"/>
      <c r="M38" s="3"/>
      <c r="N38" s="3"/>
      <c r="O38" s="3"/>
      <c r="P38" s="3"/>
      <c r="Q38" s="3"/>
      <c r="R38" s="3"/>
    </row>
    <row r="39" spans="1:18" customFormat="1" x14ac:dyDescent="0.25">
      <c r="A39" s="3"/>
      <c r="B39" s="149" t="s">
        <v>9</v>
      </c>
      <c r="C39" s="150">
        <f>((C8-C6)/30)*C5</f>
        <v>0</v>
      </c>
      <c r="D39" s="3"/>
      <c r="E39" s="3"/>
      <c r="F39" s="3"/>
      <c r="G39" s="4"/>
      <c r="H39" s="5"/>
      <c r="I39" s="3"/>
      <c r="J39" s="3"/>
      <c r="K39" s="3"/>
      <c r="L39" s="3"/>
      <c r="M39" s="3"/>
      <c r="N39" s="3"/>
      <c r="O39" s="3"/>
      <c r="P39" s="3"/>
      <c r="Q39" s="3"/>
      <c r="R39" s="3"/>
    </row>
    <row r="40" spans="1:18" customFormat="1" x14ac:dyDescent="0.25">
      <c r="A40" s="3"/>
      <c r="B40" s="151" t="s">
        <v>108</v>
      </c>
      <c r="C40" s="152">
        <f>IFERROR(C39/C12,0)</f>
        <v>0</v>
      </c>
      <c r="D40" s="3"/>
      <c r="E40" s="545" t="s">
        <v>109</v>
      </c>
      <c r="F40" s="546"/>
      <c r="G40" s="546"/>
      <c r="H40" s="546"/>
      <c r="I40" s="546"/>
      <c r="J40" s="546"/>
      <c r="K40" s="546"/>
      <c r="L40" s="546"/>
      <c r="M40" s="546"/>
      <c r="N40" s="546"/>
      <c r="O40" s="546"/>
      <c r="P40" s="546"/>
      <c r="Q40" s="547"/>
      <c r="R40" s="3"/>
    </row>
    <row r="41" spans="1:18" customFormat="1" x14ac:dyDescent="0.25">
      <c r="A41" s="3"/>
      <c r="B41" s="140" t="s">
        <v>107</v>
      </c>
      <c r="C41" s="141">
        <f>IFERROR(C24/C39,0)</f>
        <v>0</v>
      </c>
      <c r="D41" s="3"/>
      <c r="E41" s="3"/>
      <c r="F41" s="3"/>
      <c r="G41" s="4"/>
      <c r="H41" s="5"/>
      <c r="I41" s="3"/>
      <c r="J41" s="3"/>
      <c r="K41" s="3"/>
      <c r="L41" s="3"/>
      <c r="M41" s="3"/>
      <c r="N41" s="3"/>
      <c r="O41" s="3"/>
      <c r="P41" s="3"/>
      <c r="Q41" s="3"/>
      <c r="R41" s="3"/>
    </row>
    <row r="42" spans="1:18" customFormat="1" x14ac:dyDescent="0.25">
      <c r="A42" s="3"/>
      <c r="B42" s="3"/>
      <c r="C42" s="3"/>
      <c r="D42" s="3"/>
      <c r="E42" s="3"/>
      <c r="F42" s="3"/>
      <c r="G42" s="4"/>
      <c r="H42" s="5"/>
      <c r="I42" s="3"/>
      <c r="J42" s="3"/>
      <c r="K42" s="3"/>
      <c r="L42" s="3"/>
      <c r="M42" s="3"/>
      <c r="N42" s="3"/>
      <c r="O42" s="3"/>
      <c r="P42" s="3"/>
      <c r="Q42" s="3"/>
      <c r="R42" s="3"/>
    </row>
    <row r="43" spans="1:18" x14ac:dyDescent="0.25">
      <c r="B43" s="543" t="s">
        <v>168</v>
      </c>
      <c r="C43" s="544"/>
      <c r="D43" s="153"/>
      <c r="E43" s="154"/>
      <c r="F43" s="6"/>
      <c r="G43" s="6"/>
      <c r="H43" s="6"/>
      <c r="I43" s="6"/>
      <c r="J43" s="6"/>
      <c r="K43" s="6"/>
      <c r="L43" s="6"/>
      <c r="M43" s="6"/>
      <c r="N43" s="155"/>
      <c r="O43" s="155"/>
      <c r="P43" s="155"/>
      <c r="Q43" s="155"/>
    </row>
    <row r="44" spans="1:18" x14ac:dyDescent="0.25">
      <c r="B44" s="156" t="s">
        <v>169</v>
      </c>
      <c r="C44" s="59"/>
      <c r="D44" s="153"/>
      <c r="E44" s="157"/>
      <c r="F44" s="4"/>
      <c r="H44" s="4"/>
      <c r="I44" s="4"/>
      <c r="J44" s="4"/>
      <c r="K44" s="4"/>
      <c r="L44" s="4"/>
      <c r="M44" s="4"/>
      <c r="N44" s="5"/>
      <c r="O44" s="5"/>
      <c r="P44" s="5"/>
      <c r="Q44" s="5"/>
    </row>
    <row r="45" spans="1:18" x14ac:dyDescent="0.25">
      <c r="B45" s="156" t="s">
        <v>170</v>
      </c>
      <c r="C45" s="59"/>
      <c r="D45" s="153"/>
      <c r="E45" s="158"/>
      <c r="F45" s="136"/>
      <c r="G45" s="136"/>
      <c r="H45" s="136"/>
      <c r="I45" s="136"/>
      <c r="J45" s="136"/>
      <c r="K45" s="136"/>
      <c r="L45" s="136"/>
      <c r="M45" s="136"/>
      <c r="N45" s="136"/>
      <c r="O45" s="136"/>
      <c r="P45" s="136"/>
      <c r="Q45" s="136"/>
    </row>
    <row r="46" spans="1:18" ht="15" customHeight="1" x14ac:dyDescent="0.25">
      <c r="B46" s="156" t="s">
        <v>171</v>
      </c>
      <c r="C46" s="59"/>
      <c r="D46" s="153"/>
      <c r="E46" s="159"/>
      <c r="F46" s="4"/>
      <c r="G46" s="136"/>
      <c r="H46" s="136"/>
      <c r="I46" s="136"/>
      <c r="J46" s="136"/>
      <c r="K46" s="136"/>
      <c r="L46" s="136"/>
      <c r="M46" s="136"/>
      <c r="N46" s="136"/>
      <c r="O46" s="136"/>
      <c r="P46" s="136"/>
      <c r="Q46" s="136"/>
    </row>
    <row r="47" spans="1:18" x14ac:dyDescent="0.25">
      <c r="B47" s="156" t="s">
        <v>56</v>
      </c>
      <c r="C47" s="59"/>
      <c r="D47" s="153"/>
      <c r="E47" s="154"/>
      <c r="F47" s="4"/>
      <c r="G47" s="136"/>
      <c r="H47" s="136"/>
      <c r="I47" s="136"/>
      <c r="J47" s="136"/>
      <c r="K47" s="136"/>
      <c r="L47" s="136"/>
      <c r="M47" s="136"/>
      <c r="N47" s="136"/>
      <c r="O47" s="136"/>
      <c r="P47" s="136"/>
      <c r="Q47" s="136"/>
    </row>
    <row r="48" spans="1:18" x14ac:dyDescent="0.25">
      <c r="B48" s="160" t="s">
        <v>42</v>
      </c>
      <c r="C48" s="161">
        <f>C47+C46+C45+C44</f>
        <v>0</v>
      </c>
      <c r="D48" s="153"/>
      <c r="E48" s="154"/>
      <c r="F48" s="4"/>
      <c r="G48" s="136"/>
      <c r="H48" s="136"/>
      <c r="I48" s="136"/>
      <c r="J48" s="136"/>
      <c r="K48" s="136"/>
      <c r="L48" s="136"/>
      <c r="M48" s="136"/>
      <c r="N48" s="136"/>
      <c r="O48" s="136"/>
      <c r="P48" s="136"/>
      <c r="Q48" s="136"/>
    </row>
    <row r="49" spans="2:17" x14ac:dyDescent="0.25">
      <c r="B49" s="160" t="s">
        <v>172</v>
      </c>
      <c r="C49" s="162" t="str">
        <f>IFERROR((C27+C48)/C30,"")</f>
        <v/>
      </c>
      <c r="E49" s="545" t="s">
        <v>289</v>
      </c>
      <c r="F49" s="546"/>
      <c r="G49" s="546"/>
      <c r="H49" s="546"/>
      <c r="I49" s="546"/>
      <c r="J49" s="546"/>
      <c r="K49" s="546"/>
      <c r="L49" s="546"/>
      <c r="M49" s="546"/>
      <c r="N49" s="546"/>
      <c r="O49" s="546"/>
      <c r="P49" s="546"/>
      <c r="Q49" s="547"/>
    </row>
    <row r="50" spans="2:17" x14ac:dyDescent="0.25">
      <c r="B50" s="153"/>
      <c r="C50" s="153"/>
      <c r="E50" s="545" t="s">
        <v>290</v>
      </c>
      <c r="F50" s="546"/>
      <c r="G50" s="546"/>
      <c r="H50" s="546"/>
      <c r="I50" s="546"/>
      <c r="J50" s="546"/>
      <c r="K50" s="546"/>
      <c r="L50" s="546"/>
      <c r="M50" s="546"/>
      <c r="N50" s="546"/>
      <c r="O50" s="546"/>
      <c r="P50" s="546"/>
      <c r="Q50" s="547"/>
    </row>
    <row r="51" spans="2:17" x14ac:dyDescent="0.25">
      <c r="B51" s="160" t="s">
        <v>385</v>
      </c>
      <c r="C51" s="161" t="str">
        <f>IFERROR((C33-C48)/C12,"")</f>
        <v/>
      </c>
      <c r="D51" s="153"/>
      <c r="E51" s="154"/>
      <c r="F51" s="4"/>
      <c r="G51" s="136"/>
      <c r="H51" s="136"/>
      <c r="I51" s="136"/>
      <c r="J51" s="136"/>
      <c r="K51" s="136"/>
      <c r="L51" s="136"/>
      <c r="M51" s="136"/>
      <c r="N51" s="136"/>
      <c r="O51" s="136"/>
      <c r="P51" s="136"/>
      <c r="Q51" s="136"/>
    </row>
    <row r="52" spans="2:17" x14ac:dyDescent="0.25">
      <c r="B52" s="160" t="s">
        <v>386</v>
      </c>
      <c r="C52" s="161">
        <f>C35</f>
        <v>0</v>
      </c>
      <c r="D52" s="153"/>
      <c r="E52" s="154"/>
      <c r="F52" s="4"/>
      <c r="G52" s="136"/>
      <c r="H52" s="136"/>
      <c r="I52" s="136"/>
      <c r="J52" s="136"/>
      <c r="K52" s="136"/>
      <c r="L52" s="136"/>
      <c r="M52" s="136"/>
      <c r="N52" s="136"/>
      <c r="O52" s="136"/>
      <c r="P52" s="136"/>
      <c r="Q52" s="136"/>
    </row>
    <row r="53" spans="2:17" x14ac:dyDescent="0.25">
      <c r="E53" s="5"/>
    </row>
  </sheetData>
  <sheetProtection algorithmName="SHA-512" hashValue="yBdFTuGLJUtPJggMkBuevP9tbj8+MF+MLh7lVoiAQGUgfPlQcnDwkia1vOldrvwU1noZ/tWgkn44TyWOTgGLXg==" saltValue="2t+uTRl4djJVNryUQKhroQ==" spinCount="100000" sheet="1" objects="1" scenarios="1" selectLockedCells="1"/>
  <mergeCells count="27">
    <mergeCell ref="E12:Q12"/>
    <mergeCell ref="B1:R1"/>
    <mergeCell ref="E3:Q4"/>
    <mergeCell ref="B4:C4"/>
    <mergeCell ref="E5:Q5"/>
    <mergeCell ref="E6:Q6"/>
    <mergeCell ref="E32:Q32"/>
    <mergeCell ref="E15:Q15"/>
    <mergeCell ref="E16:Q16"/>
    <mergeCell ref="B18:C18"/>
    <mergeCell ref="E19:Q19"/>
    <mergeCell ref="E20:Q20"/>
    <mergeCell ref="E24:Q24"/>
    <mergeCell ref="E25:Q25"/>
    <mergeCell ref="E26:Q26"/>
    <mergeCell ref="E28:Q28"/>
    <mergeCell ref="E29:Q29"/>
    <mergeCell ref="E31:Q31"/>
    <mergeCell ref="B43:C43"/>
    <mergeCell ref="E49:Q49"/>
    <mergeCell ref="E50:Q50"/>
    <mergeCell ref="E33:Q33"/>
    <mergeCell ref="E34:Q34"/>
    <mergeCell ref="E35:Q35"/>
    <mergeCell ref="E36:Q36"/>
    <mergeCell ref="B38:C38"/>
    <mergeCell ref="E40:Q40"/>
  </mergeCells>
  <conditionalFormatting sqref="B12:B16 B6:C11">
    <cfRule type="containsText" dxfId="5" priority="6" operator="containsText" text="Falta">
      <formula>NOT(ISERROR(SEARCH("Falta",B6)))</formula>
    </cfRule>
  </conditionalFormatting>
  <conditionalFormatting sqref="C9">
    <cfRule type="containsText" dxfId="4" priority="5" operator="containsText" text="Falta">
      <formula>NOT(ISERROR(SEARCH("Falta",C9)))</formula>
    </cfRule>
  </conditionalFormatting>
  <conditionalFormatting sqref="E5:Q5">
    <cfRule type="containsText" dxfId="3" priority="4" operator="containsText" text="REDUZIR">
      <formula>NOT(ISERROR(SEARCH("REDUZIR",E5)))</formula>
    </cfRule>
  </conditionalFormatting>
  <conditionalFormatting sqref="E15">
    <cfRule type="containsText" dxfId="2" priority="3" operator="containsText" text="você não conseguirá intensificar">
      <formula>NOT(ISERROR(SEARCH("você não conseguirá intensificar",E15)))</formula>
    </cfRule>
  </conditionalFormatting>
  <conditionalFormatting sqref="E15:Q15">
    <cfRule type="containsText" dxfId="1" priority="2" operator="containsText" text="lotação média está alta">
      <formula>NOT(ISERROR(SEARCH("lotação média está alta",E15)))</formula>
    </cfRule>
  </conditionalFormatting>
  <conditionalFormatting sqref="C33:C36">
    <cfRule type="cellIs" dxfId="0" priority="1" operator="lessThan">
      <formula>0</formula>
    </cfRule>
  </conditionalFormatting>
  <dataValidations count="3">
    <dataValidation type="whole" allowBlank="1" showInputMessage="1" showErrorMessage="1" errorTitle="Ajustar!" error="Coloque apenas valores inteiros entre 0 e 365." sqref="C7" xr:uid="{EF0E65E6-F99B-49B9-B2E9-6E187CEC67FE}">
      <formula1>0</formula1>
      <formula2>366</formula2>
    </dataValidation>
    <dataValidation type="whole" allowBlank="1" showInputMessage="1" showErrorMessage="1" errorTitle="Ajustar!" error="Coloque apenas valores inteiros entre 0 e 1000." sqref="C6:C8" xr:uid="{0EB99043-30ED-45A5-9B78-1E61FB2BFFC2}">
      <formula1>0</formula1>
      <formula2>1000</formula2>
    </dataValidation>
    <dataValidation type="date" allowBlank="1" showInputMessage="1" showErrorMessage="1" sqref="C10" xr:uid="{E9F3ADB6-768A-4D60-BB4D-88B13A680108}">
      <formula1>1</formula1>
      <formula2>73415</formula2>
    </dataValidation>
  </dataValidations>
  <pageMargins left="0.511811024" right="0.511811024" top="0.78740157499999996" bottom="0.78740157499999996" header="0.31496062000000002" footer="0.31496062000000002"/>
  <pageSetup paperSize="9"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BBEC3-F423-42FB-938F-1F694FC14797}">
  <sheetPr codeName="Planilha12"/>
  <dimension ref="A1:AB374"/>
  <sheetViews>
    <sheetView zoomScaleNormal="100" workbookViewId="0">
      <pane ySplit="8" topLeftCell="A9" activePane="bottomLeft" state="frozen"/>
      <selection activeCell="B1" sqref="B1"/>
      <selection pane="bottomLeft" activeCell="I16" sqref="I16"/>
    </sheetView>
  </sheetViews>
  <sheetFormatPr defaultColWidth="0" defaultRowHeight="15" customHeight="1" zeroHeight="1" x14ac:dyDescent="0.25"/>
  <cols>
    <col min="1" max="1" width="12.28515625" style="1" customWidth="1"/>
    <col min="2" max="6" width="15.7109375" style="1" customWidth="1"/>
    <col min="7" max="8" width="15.7109375" style="1" hidden="1" customWidth="1"/>
    <col min="9" max="10" width="15.7109375" style="1" customWidth="1"/>
    <col min="11" max="11" width="15.7109375" style="497" customWidth="1"/>
    <col min="12" max="14" width="15.7109375" style="1" customWidth="1"/>
    <col min="15" max="15" width="5.7109375" style="4" customWidth="1"/>
    <col min="16" max="17" width="8.85546875" style="1" customWidth="1"/>
    <col min="18" max="19" width="13.7109375" style="4" hidden="1" customWidth="1"/>
    <col min="20" max="20" width="13.7109375" style="6" hidden="1" customWidth="1"/>
    <col min="21" max="23" width="13.7109375" style="4" hidden="1" customWidth="1"/>
    <col min="24" max="26" width="4.28515625" style="1" hidden="1" customWidth="1"/>
    <col min="27" max="27" width="4.28515625" hidden="1" customWidth="1"/>
    <col min="28" max="28" width="12.85546875" hidden="1" customWidth="1"/>
    <col min="29" max="16384" width="4.28515625" hidden="1"/>
  </cols>
  <sheetData>
    <row r="1" spans="1:25" s="1" customFormat="1" ht="31.5" x14ac:dyDescent="0.5">
      <c r="A1" s="9"/>
      <c r="B1" s="646" t="s">
        <v>39</v>
      </c>
      <c r="C1" s="646"/>
      <c r="D1" s="646"/>
      <c r="E1" s="646"/>
      <c r="F1" s="646"/>
      <c r="G1" s="646"/>
      <c r="H1" s="646"/>
      <c r="I1" s="646"/>
      <c r="J1" s="646"/>
      <c r="K1" s="646"/>
      <c r="L1" s="646"/>
      <c r="M1" s="646"/>
      <c r="N1" s="646"/>
      <c r="O1" s="646"/>
      <c r="P1" s="646"/>
      <c r="Q1" s="646"/>
      <c r="R1" s="646"/>
      <c r="S1" s="474"/>
      <c r="T1" s="475"/>
      <c r="U1" s="474"/>
      <c r="V1" s="474"/>
      <c r="W1" s="474"/>
    </row>
    <row r="2" spans="1:25" s="1" customFormat="1" x14ac:dyDescent="0.25">
      <c r="A2" s="6"/>
      <c r="B2" s="4"/>
      <c r="C2" s="4"/>
      <c r="D2" s="4"/>
      <c r="E2" s="4"/>
      <c r="F2" s="4"/>
      <c r="G2" s="4"/>
      <c r="H2" s="4"/>
      <c r="I2" s="4"/>
      <c r="J2" s="4"/>
      <c r="K2" s="4"/>
      <c r="L2" s="4"/>
      <c r="M2" s="4"/>
      <c r="N2" s="4"/>
      <c r="O2" s="4"/>
      <c r="P2" s="4"/>
      <c r="Q2" s="4"/>
      <c r="R2" s="4"/>
      <c r="S2" s="4"/>
      <c r="T2" s="6"/>
      <c r="U2" s="4"/>
      <c r="V2" s="4"/>
      <c r="W2" s="4"/>
    </row>
    <row r="3" spans="1:25" s="1" customFormat="1" x14ac:dyDescent="0.25">
      <c r="A3" s="647" t="s">
        <v>765</v>
      </c>
      <c r="B3" s="637"/>
      <c r="C3" s="638"/>
      <c r="D3" s="637" t="s">
        <v>766</v>
      </c>
      <c r="E3" s="638"/>
      <c r="F3" s="647" t="s">
        <v>767</v>
      </c>
      <c r="G3" s="637"/>
      <c r="H3" s="637"/>
      <c r="I3" s="637"/>
      <c r="J3" s="638"/>
      <c r="K3" s="647" t="s">
        <v>768</v>
      </c>
      <c r="L3" s="638"/>
      <c r="M3" s="647" t="s">
        <v>769</v>
      </c>
      <c r="N3" s="638"/>
      <c r="O3" s="4"/>
      <c r="P3" s="4"/>
      <c r="Q3" s="4"/>
      <c r="R3" s="4"/>
      <c r="S3" s="4"/>
      <c r="T3" s="6"/>
      <c r="U3" s="4"/>
      <c r="V3" s="4"/>
      <c r="W3" s="4"/>
    </row>
    <row r="4" spans="1:25" s="1" customFormat="1" x14ac:dyDescent="0.25">
      <c r="A4" s="476" t="s">
        <v>30</v>
      </c>
      <c r="B4" s="477" t="s">
        <v>31</v>
      </c>
      <c r="C4" s="478" t="s">
        <v>37</v>
      </c>
      <c r="D4" s="477" t="s">
        <v>32</v>
      </c>
      <c r="E4" s="478" t="s">
        <v>33</v>
      </c>
      <c r="F4" s="476" t="s">
        <v>34</v>
      </c>
      <c r="G4" s="479"/>
      <c r="H4" s="479"/>
      <c r="I4" s="477" t="s">
        <v>35</v>
      </c>
      <c r="J4" s="478" t="s">
        <v>36</v>
      </c>
      <c r="K4" s="476" t="s">
        <v>5</v>
      </c>
      <c r="L4" s="478" t="s">
        <v>4</v>
      </c>
      <c r="M4" s="480" t="s">
        <v>9</v>
      </c>
      <c r="N4" s="481" t="s">
        <v>38</v>
      </c>
      <c r="O4" s="4"/>
      <c r="P4" s="4"/>
      <c r="Q4" s="4"/>
      <c r="R4" s="4"/>
      <c r="S4" s="4"/>
      <c r="T4" s="6"/>
      <c r="U4" s="4"/>
      <c r="V4" s="4"/>
      <c r="W4" s="4"/>
    </row>
    <row r="5" spans="1:25" s="1" customFormat="1" x14ac:dyDescent="0.25">
      <c r="A5" s="482">
        <f>C9</f>
        <v>45931</v>
      </c>
      <c r="B5" s="483">
        <f ca="1">VLOOKUP(LARGE(S:S,1),S:U,2,0)</f>
        <v>46295</v>
      </c>
      <c r="C5" s="484">
        <f ca="1">B5-A5</f>
        <v>364</v>
      </c>
      <c r="D5" s="485">
        <f>F9</f>
        <v>200</v>
      </c>
      <c r="E5" s="486">
        <f ca="1">VLOOKUP(LARGE(S:S,1),S:U,3,0)</f>
        <v>527.59999999999354</v>
      </c>
      <c r="F5" s="487" t="str">
        <f>IFERROR(AVERAGE(N9:N374),"")</f>
        <v/>
      </c>
      <c r="G5" s="488"/>
      <c r="H5" s="488"/>
      <c r="I5" s="489">
        <f>SUM(J9:J374)</f>
        <v>92950.899999999354</v>
      </c>
      <c r="J5" s="490">
        <f>SUM(K9:K374)</f>
        <v>0</v>
      </c>
      <c r="K5" s="491">
        <f ca="1">AVERAGE(V9:V374)</f>
        <v>7.3494949494949013</v>
      </c>
      <c r="L5" s="492">
        <f ca="1">VLOOKUP(LARGE(S:S,1),S:V,4,0)</f>
        <v>10.658585858585727</v>
      </c>
      <c r="M5" s="493">
        <f ca="1">(((VLOOKUP(LARGE(S9:S373,1),A9:F373,6,0)*(VLOOKUP(LARGE(S9:S373,1),A9:F373,4,0))/30)))-((D9*F9)/30)+SUM(W9:W173)</f>
        <v>1091.9999999999786</v>
      </c>
      <c r="N5" s="494">
        <f ca="1">M5/AVERAGE(B9:B374)</f>
        <v>99.272727272725334</v>
      </c>
      <c r="O5" s="4"/>
      <c r="P5" s="4"/>
      <c r="Q5" s="4"/>
      <c r="R5" s="4"/>
      <c r="S5" s="4"/>
      <c r="T5" s="6"/>
      <c r="U5" s="4"/>
      <c r="V5" s="4"/>
      <c r="W5" s="4"/>
    </row>
    <row r="6" spans="1:25" s="1" customFormat="1" x14ac:dyDescent="0.25">
      <c r="A6" s="6"/>
      <c r="B6" s="4"/>
      <c r="C6" s="4"/>
      <c r="D6" s="4"/>
      <c r="E6" s="4"/>
      <c r="F6" s="4"/>
      <c r="G6" s="4"/>
      <c r="H6" s="4"/>
      <c r="I6" s="4"/>
      <c r="J6" s="4"/>
      <c r="K6" s="4"/>
      <c r="L6" s="4"/>
      <c r="M6" s="4"/>
      <c r="N6" s="4"/>
      <c r="O6" s="4"/>
      <c r="P6" s="4"/>
      <c r="Q6" s="4"/>
      <c r="R6" s="4"/>
      <c r="S6" s="4"/>
      <c r="T6" s="6"/>
      <c r="U6" s="4"/>
      <c r="V6" s="4"/>
      <c r="W6" s="4"/>
    </row>
    <row r="7" spans="1:25" s="1" customFormat="1" x14ac:dyDescent="0.25">
      <c r="A7" s="644" t="s">
        <v>40</v>
      </c>
      <c r="B7" s="644"/>
      <c r="C7" s="644"/>
      <c r="D7" s="644"/>
      <c r="E7" s="644"/>
      <c r="F7" s="644"/>
      <c r="G7" s="644"/>
      <c r="H7" s="644"/>
      <c r="I7" s="644"/>
      <c r="J7" s="644"/>
      <c r="K7" s="644"/>
      <c r="L7" s="644"/>
      <c r="M7" s="644"/>
      <c r="N7" s="644"/>
      <c r="O7" s="4"/>
      <c r="P7" s="645" t="s">
        <v>41</v>
      </c>
      <c r="Q7" s="645"/>
      <c r="R7" s="4"/>
      <c r="S7" s="4"/>
      <c r="T7" s="6"/>
      <c r="U7" s="4"/>
      <c r="V7" s="4"/>
      <c r="W7" s="4"/>
      <c r="X7" s="581"/>
      <c r="Y7" s="581"/>
    </row>
    <row r="8" spans="1:25" s="1" customFormat="1" x14ac:dyDescent="0.25">
      <c r="A8" s="495" t="s">
        <v>37</v>
      </c>
      <c r="B8" s="495" t="s">
        <v>21</v>
      </c>
      <c r="C8" s="495" t="s">
        <v>6</v>
      </c>
      <c r="D8" s="495" t="s">
        <v>7</v>
      </c>
      <c r="E8" s="495" t="s">
        <v>16</v>
      </c>
      <c r="F8" s="495" t="s">
        <v>22</v>
      </c>
      <c r="G8" s="495" t="s">
        <v>770</v>
      </c>
      <c r="H8" s="495"/>
      <c r="I8" s="495" t="s">
        <v>23</v>
      </c>
      <c r="J8" s="495" t="s">
        <v>24</v>
      </c>
      <c r="K8" s="495" t="s">
        <v>29</v>
      </c>
      <c r="L8" s="495" t="s">
        <v>25</v>
      </c>
      <c r="M8" s="495" t="s">
        <v>26</v>
      </c>
      <c r="N8" s="495" t="s">
        <v>55</v>
      </c>
      <c r="O8" s="4"/>
      <c r="P8" s="495" t="s">
        <v>27</v>
      </c>
      <c r="Q8" s="495" t="s">
        <v>28</v>
      </c>
      <c r="R8" s="4" t="s">
        <v>771</v>
      </c>
      <c r="S8" s="4" t="s">
        <v>772</v>
      </c>
      <c r="T8" s="6" t="s">
        <v>31</v>
      </c>
      <c r="U8" s="4" t="s">
        <v>773</v>
      </c>
      <c r="V8" s="4" t="s">
        <v>774</v>
      </c>
      <c r="W8" s="496" t="s">
        <v>775</v>
      </c>
      <c r="X8" s="1" t="s">
        <v>27</v>
      </c>
      <c r="Y8" s="1" t="s">
        <v>28</v>
      </c>
    </row>
    <row r="9" spans="1:25" s="1" customFormat="1" x14ac:dyDescent="0.25">
      <c r="A9" s="7">
        <v>1</v>
      </c>
      <c r="B9" s="11">
        <v>11</v>
      </c>
      <c r="C9" s="117">
        <v>45931</v>
      </c>
      <c r="D9" s="11">
        <v>100</v>
      </c>
      <c r="E9" s="12">
        <v>0.9</v>
      </c>
      <c r="F9" s="11">
        <v>200</v>
      </c>
      <c r="G9" s="472"/>
      <c r="H9" s="504">
        <f>I9+G9</f>
        <v>7.0000000000000001E-3</v>
      </c>
      <c r="I9" s="13">
        <v>7.0000000000000001E-3</v>
      </c>
      <c r="J9" s="498">
        <f>H9*F9*D9</f>
        <v>140</v>
      </c>
      <c r="K9" s="11"/>
      <c r="L9" s="8">
        <f>(D9*F9)/450/B9</f>
        <v>4.0404040404040407</v>
      </c>
      <c r="M9" s="8">
        <f>D9/B9</f>
        <v>9.0909090909090917</v>
      </c>
      <c r="N9" s="499" t="str">
        <f>IFERROR(IF(K9="","",K9/F9/D9),"")</f>
        <v/>
      </c>
      <c r="O9" s="4"/>
      <c r="P9" s="118"/>
      <c r="Q9" s="118"/>
      <c r="R9" s="4" t="str">
        <f ca="1">IF(C9&lt;=TODAY(),"Ok","Não")</f>
        <v>Ok</v>
      </c>
      <c r="S9" s="501">
        <f ca="1">IF(R9="Não","",COUNTIFS(R9,"Ok"))</f>
        <v>1</v>
      </c>
      <c r="T9" s="6">
        <f ca="1">IF(R9="Ok",C9,"")</f>
        <v>45931</v>
      </c>
      <c r="U9" s="501">
        <f ca="1">IF(R9="Ok",F9,"")</f>
        <v>200</v>
      </c>
      <c r="V9" s="501">
        <f ca="1">IF(R9="Ok", L9,"")</f>
        <v>4.0404040404040407</v>
      </c>
      <c r="W9" s="501">
        <f>((-(P9*F9)+(Q9*F9))/30)*-1</f>
        <v>0</v>
      </c>
      <c r="X9" s="1">
        <f>IFERROR((P9*$F9)/30,"")</f>
        <v>0</v>
      </c>
      <c r="Y9" s="1">
        <f>IFERROR((Q9*$F9)/30,"")</f>
        <v>0</v>
      </c>
    </row>
    <row r="10" spans="1:25" s="1" customFormat="1" x14ac:dyDescent="0.25">
      <c r="A10" s="7">
        <f>IF(OR(D10=0,D10=""),"",A9+1)</f>
        <v>2</v>
      </c>
      <c r="B10" s="11">
        <f>IFERROR(IF(C10="","",B9),"")</f>
        <v>11</v>
      </c>
      <c r="C10" s="502">
        <f>IF(OR(D10=0,D10=""),"",C9+1)</f>
        <v>45932</v>
      </c>
      <c r="D10" s="7">
        <f>D9-P10+Q10</f>
        <v>100</v>
      </c>
      <c r="E10" s="12">
        <f>IFERROR(IF(C10="","",E9),"")</f>
        <v>0.9</v>
      </c>
      <c r="F10" s="473">
        <f>IFERROR(IF(D10="","",IF(C10="","",F9+E9)),"")</f>
        <v>200.9</v>
      </c>
      <c r="G10" s="472"/>
      <c r="H10" s="504">
        <f>H9+G10</f>
        <v>7.0000000000000001E-3</v>
      </c>
      <c r="I10" s="14">
        <f>IFERROR(IF(F10="","",IF(C10="","",I9)),"")</f>
        <v>7.0000000000000001E-3</v>
      </c>
      <c r="J10" s="498">
        <f t="shared" ref="J10:J73" si="0">H10*F10*D10</f>
        <v>140.63000000000002</v>
      </c>
      <c r="K10" s="11"/>
      <c r="L10" s="8">
        <f>IFERROR(IF(D10="","",IF(C10="","",(D10*F10)/450/B10)),"")</f>
        <v>4.0585858585858583</v>
      </c>
      <c r="M10" s="8">
        <f>IFERROR(IF(D10="","",IF(C10="","",D10/B10)),"")</f>
        <v>9.0909090909090917</v>
      </c>
      <c r="N10" s="499" t="str">
        <f t="shared" ref="N10:N73" si="1">IFERROR(IF(K10="","",K10/F10/D10),"")</f>
        <v/>
      </c>
      <c r="O10" s="4"/>
      <c r="P10" s="118"/>
      <c r="Q10" s="118"/>
      <c r="R10" s="4" t="str">
        <f t="shared" ref="R10:R73" ca="1" si="2">IF(C10&lt;=TODAY(),"Ok","Não")</f>
        <v>Ok</v>
      </c>
      <c r="S10" s="501">
        <f ca="1">IF(R10="Não","",COUNTIFS($R$9:R10,"Ok"))</f>
        <v>2</v>
      </c>
      <c r="T10" s="6">
        <f t="shared" ref="T10:T73" ca="1" si="3">IF(R10="Ok",C10,"")</f>
        <v>45932</v>
      </c>
      <c r="U10" s="501">
        <f t="shared" ref="U10:U73" ca="1" si="4">IF(R10="Ok",F10,"")</f>
        <v>200.9</v>
      </c>
      <c r="V10" s="501">
        <f t="shared" ref="V10:V73" ca="1" si="5">IF(R10="Ok", L10,"")</f>
        <v>4.0585858585858583</v>
      </c>
      <c r="W10" s="501">
        <f t="shared" ref="W10:W73" si="6">((-(P10*F10)+(Q10*F10))/30)*-1</f>
        <v>0</v>
      </c>
      <c r="X10" s="1">
        <f t="shared" ref="X10:Y73" si="7">IFERROR((P10*$F10)/30,"")</f>
        <v>0</v>
      </c>
      <c r="Y10" s="1">
        <f t="shared" si="7"/>
        <v>0</v>
      </c>
    </row>
    <row r="11" spans="1:25" s="1" customFormat="1" x14ac:dyDescent="0.25">
      <c r="A11" s="7">
        <f t="shared" ref="A11:A74" si="8">IF(OR(D11=0,D11=""),"",A10+1)</f>
        <v>3</v>
      </c>
      <c r="B11" s="11">
        <f t="shared" ref="B11:B74" si="9">IFERROR(IF(C11="","",B10),"")</f>
        <v>11</v>
      </c>
      <c r="C11" s="502">
        <f t="shared" ref="C11:C74" si="10">IF(OR(D11=0,D11=""),"",C10+1)</f>
        <v>45933</v>
      </c>
      <c r="D11" s="7">
        <f t="shared" ref="D11:D74" si="11">D10-P11+Q11</f>
        <v>100</v>
      </c>
      <c r="E11" s="12">
        <f t="shared" ref="E11:E74" si="12">IFERROR(IF(C11="","",E10),"")</f>
        <v>0.9</v>
      </c>
      <c r="F11" s="473">
        <f t="shared" ref="F11:F74" si="13">IFERROR(IF(D11="","",IF(C11="","",F10+E10)),"")</f>
        <v>201.8</v>
      </c>
      <c r="G11" s="472"/>
      <c r="H11" s="504">
        <f t="shared" ref="H11:H74" si="14">H10+G11</f>
        <v>7.0000000000000001E-3</v>
      </c>
      <c r="I11" s="14">
        <f t="shared" ref="I11:I74" si="15">IFERROR(IF(F11="","",IF(C11="","",I10)),"")</f>
        <v>7.0000000000000001E-3</v>
      </c>
      <c r="J11" s="498">
        <f t="shared" si="0"/>
        <v>141.26000000000002</v>
      </c>
      <c r="K11" s="11"/>
      <c r="L11" s="8">
        <f t="shared" ref="L11:L74" si="16">IFERROR(IF(D11="","",IF(C11="","",(D11*F11)/450/B11)),"")</f>
        <v>4.0767676767676768</v>
      </c>
      <c r="M11" s="8">
        <f t="shared" ref="M11:M74" si="17">IFERROR(IF(D11="","",IF(C11="","",D11/B11)),"")</f>
        <v>9.0909090909090917</v>
      </c>
      <c r="N11" s="499" t="str">
        <f t="shared" si="1"/>
        <v/>
      </c>
      <c r="O11" s="4"/>
      <c r="P11" s="118"/>
      <c r="Q11" s="118"/>
      <c r="R11" s="4" t="str">
        <f t="shared" ca="1" si="2"/>
        <v>Ok</v>
      </c>
      <c r="S11" s="501">
        <f ca="1">IF(R11="Não","",COUNTIFS($R$9:R11,"Ok"))</f>
        <v>3</v>
      </c>
      <c r="T11" s="6">
        <f t="shared" ca="1" si="3"/>
        <v>45933</v>
      </c>
      <c r="U11" s="501">
        <f t="shared" ca="1" si="4"/>
        <v>201.8</v>
      </c>
      <c r="V11" s="501">
        <f t="shared" ca="1" si="5"/>
        <v>4.0767676767676768</v>
      </c>
      <c r="W11" s="501">
        <f t="shared" si="6"/>
        <v>0</v>
      </c>
      <c r="X11" s="1">
        <f t="shared" si="7"/>
        <v>0</v>
      </c>
      <c r="Y11" s="1">
        <f t="shared" si="7"/>
        <v>0</v>
      </c>
    </row>
    <row r="12" spans="1:25" s="1" customFormat="1" x14ac:dyDescent="0.25">
      <c r="A12" s="7">
        <f t="shared" si="8"/>
        <v>4</v>
      </c>
      <c r="B12" s="11">
        <f t="shared" si="9"/>
        <v>11</v>
      </c>
      <c r="C12" s="502">
        <f t="shared" si="10"/>
        <v>45934</v>
      </c>
      <c r="D12" s="7">
        <f t="shared" si="11"/>
        <v>100</v>
      </c>
      <c r="E12" s="12">
        <f t="shared" si="12"/>
        <v>0.9</v>
      </c>
      <c r="F12" s="473">
        <f t="shared" si="13"/>
        <v>202.70000000000002</v>
      </c>
      <c r="G12" s="472"/>
      <c r="H12" s="504">
        <f t="shared" si="14"/>
        <v>7.0000000000000001E-3</v>
      </c>
      <c r="I12" s="14">
        <f t="shared" si="15"/>
        <v>7.0000000000000001E-3</v>
      </c>
      <c r="J12" s="498">
        <f t="shared" si="0"/>
        <v>141.89000000000001</v>
      </c>
      <c r="K12" s="11"/>
      <c r="L12" s="8">
        <f t="shared" si="16"/>
        <v>4.0949494949494953</v>
      </c>
      <c r="M12" s="8">
        <f t="shared" si="17"/>
        <v>9.0909090909090917</v>
      </c>
      <c r="N12" s="499" t="str">
        <f t="shared" si="1"/>
        <v/>
      </c>
      <c r="O12" s="4"/>
      <c r="P12" s="118"/>
      <c r="Q12" s="118"/>
      <c r="R12" s="4" t="str">
        <f t="shared" ca="1" si="2"/>
        <v>Ok</v>
      </c>
      <c r="S12" s="501">
        <f ca="1">IF(R12="Não","",COUNTIFS($R$9:R12,"Ok"))</f>
        <v>4</v>
      </c>
      <c r="T12" s="6">
        <f t="shared" ca="1" si="3"/>
        <v>45934</v>
      </c>
      <c r="U12" s="501">
        <f t="shared" ca="1" si="4"/>
        <v>202.70000000000002</v>
      </c>
      <c r="V12" s="501">
        <f t="shared" ca="1" si="5"/>
        <v>4.0949494949494953</v>
      </c>
      <c r="W12" s="501">
        <f t="shared" si="6"/>
        <v>0</v>
      </c>
      <c r="X12" s="1">
        <f t="shared" si="7"/>
        <v>0</v>
      </c>
      <c r="Y12" s="1">
        <f t="shared" si="7"/>
        <v>0</v>
      </c>
    </row>
    <row r="13" spans="1:25" s="1" customFormat="1" x14ac:dyDescent="0.25">
      <c r="A13" s="7">
        <f t="shared" si="8"/>
        <v>5</v>
      </c>
      <c r="B13" s="11">
        <f t="shared" si="9"/>
        <v>11</v>
      </c>
      <c r="C13" s="502">
        <f t="shared" si="10"/>
        <v>45935</v>
      </c>
      <c r="D13" s="7">
        <f t="shared" si="11"/>
        <v>100</v>
      </c>
      <c r="E13" s="12">
        <f t="shared" si="12"/>
        <v>0.9</v>
      </c>
      <c r="F13" s="473">
        <f t="shared" si="13"/>
        <v>203.60000000000002</v>
      </c>
      <c r="G13" s="472"/>
      <c r="H13" s="504">
        <f t="shared" si="14"/>
        <v>7.0000000000000001E-3</v>
      </c>
      <c r="I13" s="14">
        <f t="shared" si="15"/>
        <v>7.0000000000000001E-3</v>
      </c>
      <c r="J13" s="498">
        <f t="shared" si="0"/>
        <v>142.52000000000004</v>
      </c>
      <c r="K13" s="11"/>
      <c r="L13" s="8">
        <f t="shared" si="16"/>
        <v>4.1131313131313139</v>
      </c>
      <c r="M13" s="8">
        <f t="shared" si="17"/>
        <v>9.0909090909090917</v>
      </c>
      <c r="N13" s="499" t="str">
        <f t="shared" si="1"/>
        <v/>
      </c>
      <c r="O13" s="4"/>
      <c r="P13" s="118"/>
      <c r="Q13" s="118"/>
      <c r="R13" s="4" t="str">
        <f t="shared" ca="1" si="2"/>
        <v>Ok</v>
      </c>
      <c r="S13" s="501">
        <f ca="1">IF(R13="Não","",COUNTIFS($R$9:R13,"Ok"))</f>
        <v>5</v>
      </c>
      <c r="T13" s="6">
        <f t="shared" ca="1" si="3"/>
        <v>45935</v>
      </c>
      <c r="U13" s="501">
        <f t="shared" ca="1" si="4"/>
        <v>203.60000000000002</v>
      </c>
      <c r="V13" s="501">
        <f t="shared" ca="1" si="5"/>
        <v>4.1131313131313139</v>
      </c>
      <c r="W13" s="501">
        <f t="shared" si="6"/>
        <v>0</v>
      </c>
      <c r="X13" s="1">
        <f t="shared" si="7"/>
        <v>0</v>
      </c>
      <c r="Y13" s="1">
        <f t="shared" si="7"/>
        <v>0</v>
      </c>
    </row>
    <row r="14" spans="1:25" s="1" customFormat="1" x14ac:dyDescent="0.25">
      <c r="A14" s="7">
        <f t="shared" si="8"/>
        <v>6</v>
      </c>
      <c r="B14" s="11">
        <f t="shared" si="9"/>
        <v>11</v>
      </c>
      <c r="C14" s="502">
        <f t="shared" si="10"/>
        <v>45936</v>
      </c>
      <c r="D14" s="7">
        <f t="shared" si="11"/>
        <v>100</v>
      </c>
      <c r="E14" s="12">
        <f t="shared" si="12"/>
        <v>0.9</v>
      </c>
      <c r="F14" s="473">
        <f t="shared" si="13"/>
        <v>204.50000000000003</v>
      </c>
      <c r="G14" s="472"/>
      <c r="H14" s="504">
        <f t="shared" si="14"/>
        <v>7.0000000000000001E-3</v>
      </c>
      <c r="I14" s="14">
        <f t="shared" si="15"/>
        <v>7.0000000000000001E-3</v>
      </c>
      <c r="J14" s="498">
        <f t="shared" si="0"/>
        <v>143.15000000000003</v>
      </c>
      <c r="K14" s="11"/>
      <c r="L14" s="8">
        <f t="shared" si="16"/>
        <v>4.1313131313131315</v>
      </c>
      <c r="M14" s="8">
        <f t="shared" si="17"/>
        <v>9.0909090909090917</v>
      </c>
      <c r="N14" s="499" t="str">
        <f t="shared" si="1"/>
        <v/>
      </c>
      <c r="O14" s="4"/>
      <c r="P14" s="118"/>
      <c r="Q14" s="118"/>
      <c r="R14" s="4" t="str">
        <f t="shared" ca="1" si="2"/>
        <v>Ok</v>
      </c>
      <c r="S14" s="501">
        <f ca="1">IF(R14="Não","",COUNTIFS($R$9:R14,"Ok"))</f>
        <v>6</v>
      </c>
      <c r="T14" s="6">
        <f t="shared" ca="1" si="3"/>
        <v>45936</v>
      </c>
      <c r="U14" s="501">
        <f t="shared" ca="1" si="4"/>
        <v>204.50000000000003</v>
      </c>
      <c r="V14" s="501">
        <f t="shared" ca="1" si="5"/>
        <v>4.1313131313131315</v>
      </c>
      <c r="W14" s="501">
        <f t="shared" si="6"/>
        <v>0</v>
      </c>
      <c r="X14" s="1">
        <f t="shared" si="7"/>
        <v>0</v>
      </c>
      <c r="Y14" s="1">
        <f t="shared" si="7"/>
        <v>0</v>
      </c>
    </row>
    <row r="15" spans="1:25" s="1" customFormat="1" x14ac:dyDescent="0.25">
      <c r="A15" s="7">
        <f t="shared" si="8"/>
        <v>7</v>
      </c>
      <c r="B15" s="11">
        <f t="shared" si="9"/>
        <v>11</v>
      </c>
      <c r="C15" s="502">
        <f t="shared" si="10"/>
        <v>45937</v>
      </c>
      <c r="D15" s="7">
        <f t="shared" si="11"/>
        <v>100</v>
      </c>
      <c r="E15" s="12">
        <f t="shared" si="12"/>
        <v>0.9</v>
      </c>
      <c r="F15" s="473">
        <f t="shared" si="13"/>
        <v>205.40000000000003</v>
      </c>
      <c r="G15" s="472"/>
      <c r="H15" s="504">
        <f t="shared" si="14"/>
        <v>7.0000000000000001E-3</v>
      </c>
      <c r="I15" s="14">
        <f t="shared" si="15"/>
        <v>7.0000000000000001E-3</v>
      </c>
      <c r="J15" s="498">
        <f t="shared" si="0"/>
        <v>143.78000000000003</v>
      </c>
      <c r="K15" s="11"/>
      <c r="L15" s="8">
        <f t="shared" si="16"/>
        <v>4.14949494949495</v>
      </c>
      <c r="M15" s="8">
        <f t="shared" si="17"/>
        <v>9.0909090909090917</v>
      </c>
      <c r="N15" s="499" t="str">
        <f t="shared" si="1"/>
        <v/>
      </c>
      <c r="O15" s="4"/>
      <c r="P15" s="118"/>
      <c r="Q15" s="118"/>
      <c r="R15" s="4" t="str">
        <f t="shared" ca="1" si="2"/>
        <v>Ok</v>
      </c>
      <c r="S15" s="501">
        <f ca="1">IF(R15="Não","",COUNTIFS($R$9:R15,"Ok"))</f>
        <v>7</v>
      </c>
      <c r="T15" s="6">
        <f t="shared" ca="1" si="3"/>
        <v>45937</v>
      </c>
      <c r="U15" s="501">
        <f t="shared" ca="1" si="4"/>
        <v>205.40000000000003</v>
      </c>
      <c r="V15" s="501">
        <f t="shared" ca="1" si="5"/>
        <v>4.14949494949495</v>
      </c>
      <c r="W15" s="501">
        <f t="shared" si="6"/>
        <v>0</v>
      </c>
      <c r="X15" s="1">
        <f t="shared" si="7"/>
        <v>0</v>
      </c>
      <c r="Y15" s="1">
        <f t="shared" si="7"/>
        <v>0</v>
      </c>
    </row>
    <row r="16" spans="1:25" s="1" customFormat="1" x14ac:dyDescent="0.25">
      <c r="A16" s="7">
        <f t="shared" si="8"/>
        <v>8</v>
      </c>
      <c r="B16" s="11">
        <f t="shared" si="9"/>
        <v>11</v>
      </c>
      <c r="C16" s="502">
        <f t="shared" si="10"/>
        <v>45938</v>
      </c>
      <c r="D16" s="7">
        <f t="shared" si="11"/>
        <v>100</v>
      </c>
      <c r="E16" s="12">
        <f t="shared" si="12"/>
        <v>0.9</v>
      </c>
      <c r="F16" s="473">
        <f t="shared" si="13"/>
        <v>206.30000000000004</v>
      </c>
      <c r="G16" s="472"/>
      <c r="H16" s="504">
        <f t="shared" si="14"/>
        <v>7.0000000000000001E-3</v>
      </c>
      <c r="I16" s="14">
        <f t="shared" si="15"/>
        <v>7.0000000000000001E-3</v>
      </c>
      <c r="J16" s="498">
        <f t="shared" si="0"/>
        <v>144.41000000000003</v>
      </c>
      <c r="K16" s="11"/>
      <c r="L16" s="8">
        <f t="shared" si="16"/>
        <v>4.1676767676767685</v>
      </c>
      <c r="M16" s="8">
        <f t="shared" si="17"/>
        <v>9.0909090909090917</v>
      </c>
      <c r="N16" s="499" t="str">
        <f t="shared" si="1"/>
        <v/>
      </c>
      <c r="O16" s="4"/>
      <c r="P16" s="118"/>
      <c r="Q16" s="118"/>
      <c r="R16" s="4" t="str">
        <f t="shared" ca="1" si="2"/>
        <v>Ok</v>
      </c>
      <c r="S16" s="501">
        <f ca="1">IF(R16="Não","",COUNTIFS($R$9:R16,"Ok"))</f>
        <v>8</v>
      </c>
      <c r="T16" s="6">
        <f t="shared" ca="1" si="3"/>
        <v>45938</v>
      </c>
      <c r="U16" s="501">
        <f t="shared" ca="1" si="4"/>
        <v>206.30000000000004</v>
      </c>
      <c r="V16" s="501">
        <f t="shared" ca="1" si="5"/>
        <v>4.1676767676767685</v>
      </c>
      <c r="W16" s="501">
        <f t="shared" si="6"/>
        <v>0</v>
      </c>
      <c r="X16" s="1">
        <f t="shared" si="7"/>
        <v>0</v>
      </c>
      <c r="Y16" s="1">
        <f t="shared" si="7"/>
        <v>0</v>
      </c>
    </row>
    <row r="17" spans="1:28" x14ac:dyDescent="0.25">
      <c r="A17" s="7">
        <f t="shared" si="8"/>
        <v>9</v>
      </c>
      <c r="B17" s="11">
        <f t="shared" si="9"/>
        <v>11</v>
      </c>
      <c r="C17" s="502">
        <f t="shared" si="10"/>
        <v>45939</v>
      </c>
      <c r="D17" s="7">
        <f t="shared" si="11"/>
        <v>100</v>
      </c>
      <c r="E17" s="12">
        <f t="shared" si="12"/>
        <v>0.9</v>
      </c>
      <c r="F17" s="473">
        <f t="shared" si="13"/>
        <v>207.20000000000005</v>
      </c>
      <c r="G17" s="472"/>
      <c r="H17" s="504">
        <f t="shared" si="14"/>
        <v>7.0000000000000001E-3</v>
      </c>
      <c r="I17" s="14">
        <f t="shared" si="15"/>
        <v>7.0000000000000001E-3</v>
      </c>
      <c r="J17" s="498">
        <f t="shared" si="0"/>
        <v>145.04000000000005</v>
      </c>
      <c r="K17" s="11"/>
      <c r="L17" s="8">
        <f t="shared" si="16"/>
        <v>4.1858585858585862</v>
      </c>
      <c r="M17" s="8">
        <f t="shared" si="17"/>
        <v>9.0909090909090917</v>
      </c>
      <c r="N17" s="499" t="str">
        <f t="shared" si="1"/>
        <v/>
      </c>
      <c r="P17" s="118"/>
      <c r="Q17" s="118"/>
      <c r="R17" s="4" t="str">
        <f t="shared" ca="1" si="2"/>
        <v>Ok</v>
      </c>
      <c r="S17" s="501">
        <f ca="1">IF(R17="Não","",COUNTIFS($R$9:R17,"Ok"))</f>
        <v>9</v>
      </c>
      <c r="T17" s="6">
        <f t="shared" ca="1" si="3"/>
        <v>45939</v>
      </c>
      <c r="U17" s="501">
        <f t="shared" ca="1" si="4"/>
        <v>207.20000000000005</v>
      </c>
      <c r="V17" s="501">
        <f t="shared" ca="1" si="5"/>
        <v>4.1858585858585862</v>
      </c>
      <c r="W17" s="501">
        <f t="shared" si="6"/>
        <v>0</v>
      </c>
      <c r="X17" s="1">
        <f t="shared" si="7"/>
        <v>0</v>
      </c>
      <c r="Y17" s="1">
        <f t="shared" si="7"/>
        <v>0</v>
      </c>
    </row>
    <row r="18" spans="1:28" x14ac:dyDescent="0.25">
      <c r="A18" s="7">
        <f t="shared" si="8"/>
        <v>10</v>
      </c>
      <c r="B18" s="11">
        <f t="shared" si="9"/>
        <v>11</v>
      </c>
      <c r="C18" s="502">
        <f t="shared" si="10"/>
        <v>45940</v>
      </c>
      <c r="D18" s="7">
        <f t="shared" si="11"/>
        <v>100</v>
      </c>
      <c r="E18" s="12">
        <f t="shared" si="12"/>
        <v>0.9</v>
      </c>
      <c r="F18" s="473">
        <f t="shared" si="13"/>
        <v>208.10000000000005</v>
      </c>
      <c r="G18" s="472"/>
      <c r="H18" s="504">
        <f t="shared" si="14"/>
        <v>7.0000000000000001E-3</v>
      </c>
      <c r="I18" s="14">
        <f t="shared" si="15"/>
        <v>7.0000000000000001E-3</v>
      </c>
      <c r="J18" s="498">
        <f t="shared" si="0"/>
        <v>145.67000000000004</v>
      </c>
      <c r="K18" s="11"/>
      <c r="L18" s="8">
        <f t="shared" si="16"/>
        <v>4.2040404040404047</v>
      </c>
      <c r="M18" s="8">
        <f t="shared" si="17"/>
        <v>9.0909090909090917</v>
      </c>
      <c r="N18" s="499" t="str">
        <f t="shared" si="1"/>
        <v/>
      </c>
      <c r="P18" s="118"/>
      <c r="Q18" s="118"/>
      <c r="R18" s="4" t="str">
        <f t="shared" ca="1" si="2"/>
        <v>Ok</v>
      </c>
      <c r="S18" s="501">
        <f ca="1">IF(R18="Não","",COUNTIFS($R$9:R18,"Ok"))</f>
        <v>10</v>
      </c>
      <c r="T18" s="6">
        <f t="shared" ca="1" si="3"/>
        <v>45940</v>
      </c>
      <c r="U18" s="501">
        <f t="shared" ca="1" si="4"/>
        <v>208.10000000000005</v>
      </c>
      <c r="V18" s="501">
        <f t="shared" ca="1" si="5"/>
        <v>4.2040404040404047</v>
      </c>
      <c r="W18" s="501">
        <f t="shared" si="6"/>
        <v>0</v>
      </c>
      <c r="X18" s="1">
        <f t="shared" si="7"/>
        <v>0</v>
      </c>
      <c r="Y18" s="1">
        <f t="shared" si="7"/>
        <v>0</v>
      </c>
    </row>
    <row r="19" spans="1:28" x14ac:dyDescent="0.25">
      <c r="A19" s="7">
        <f t="shared" si="8"/>
        <v>11</v>
      </c>
      <c r="B19" s="11">
        <f t="shared" si="9"/>
        <v>11</v>
      </c>
      <c r="C19" s="502">
        <f t="shared" si="10"/>
        <v>45941</v>
      </c>
      <c r="D19" s="7">
        <f t="shared" si="11"/>
        <v>100</v>
      </c>
      <c r="E19" s="12">
        <f t="shared" si="12"/>
        <v>0.9</v>
      </c>
      <c r="F19" s="473">
        <f t="shared" si="13"/>
        <v>209.00000000000006</v>
      </c>
      <c r="G19" s="472"/>
      <c r="H19" s="504">
        <f t="shared" si="14"/>
        <v>7.0000000000000001E-3</v>
      </c>
      <c r="I19" s="14">
        <f t="shared" si="15"/>
        <v>7.0000000000000001E-3</v>
      </c>
      <c r="J19" s="498">
        <f t="shared" si="0"/>
        <v>146.30000000000004</v>
      </c>
      <c r="K19" s="11"/>
      <c r="L19" s="8">
        <f t="shared" si="16"/>
        <v>4.2222222222222232</v>
      </c>
      <c r="M19" s="8">
        <f t="shared" si="17"/>
        <v>9.0909090909090917</v>
      </c>
      <c r="N19" s="499" t="str">
        <f t="shared" si="1"/>
        <v/>
      </c>
      <c r="P19" s="118"/>
      <c r="Q19" s="118"/>
      <c r="R19" s="4" t="str">
        <f t="shared" ca="1" si="2"/>
        <v>Ok</v>
      </c>
      <c r="S19" s="501">
        <f ca="1">IF(R19="Não","",COUNTIFS($R$9:R19,"Ok"))</f>
        <v>11</v>
      </c>
      <c r="T19" s="6">
        <f t="shared" ca="1" si="3"/>
        <v>45941</v>
      </c>
      <c r="U19" s="501">
        <f t="shared" ca="1" si="4"/>
        <v>209.00000000000006</v>
      </c>
      <c r="V19" s="501">
        <f t="shared" ca="1" si="5"/>
        <v>4.2222222222222232</v>
      </c>
      <c r="W19" s="501">
        <f t="shared" si="6"/>
        <v>0</v>
      </c>
      <c r="X19" s="1">
        <f t="shared" si="7"/>
        <v>0</v>
      </c>
      <c r="Y19" s="1">
        <f t="shared" si="7"/>
        <v>0</v>
      </c>
    </row>
    <row r="20" spans="1:28" x14ac:dyDescent="0.25">
      <c r="A20" s="7">
        <f t="shared" si="8"/>
        <v>12</v>
      </c>
      <c r="B20" s="11">
        <f t="shared" si="9"/>
        <v>11</v>
      </c>
      <c r="C20" s="502">
        <f t="shared" si="10"/>
        <v>45942</v>
      </c>
      <c r="D20" s="7">
        <f t="shared" si="11"/>
        <v>100</v>
      </c>
      <c r="E20" s="12">
        <f t="shared" si="12"/>
        <v>0.9</v>
      </c>
      <c r="F20" s="473">
        <f t="shared" si="13"/>
        <v>209.90000000000006</v>
      </c>
      <c r="G20" s="472"/>
      <c r="H20" s="504">
        <f t="shared" si="14"/>
        <v>7.0000000000000001E-3</v>
      </c>
      <c r="I20" s="14">
        <f t="shared" si="15"/>
        <v>7.0000000000000001E-3</v>
      </c>
      <c r="J20" s="498">
        <f t="shared" si="0"/>
        <v>146.93000000000006</v>
      </c>
      <c r="K20" s="11"/>
      <c r="L20" s="8">
        <f t="shared" si="16"/>
        <v>4.2404040404040417</v>
      </c>
      <c r="M20" s="8">
        <f t="shared" si="17"/>
        <v>9.0909090909090917</v>
      </c>
      <c r="N20" s="499" t="str">
        <f t="shared" si="1"/>
        <v/>
      </c>
      <c r="P20" s="118"/>
      <c r="Q20" s="118"/>
      <c r="R20" s="4" t="str">
        <f t="shared" ca="1" si="2"/>
        <v>Ok</v>
      </c>
      <c r="S20" s="501">
        <f ca="1">IF(R20="Não","",COUNTIFS($R$9:R20,"Ok"))</f>
        <v>12</v>
      </c>
      <c r="T20" s="6">
        <f t="shared" ca="1" si="3"/>
        <v>45942</v>
      </c>
      <c r="U20" s="501">
        <f t="shared" ca="1" si="4"/>
        <v>209.90000000000006</v>
      </c>
      <c r="V20" s="501">
        <f t="shared" ca="1" si="5"/>
        <v>4.2404040404040417</v>
      </c>
      <c r="W20" s="501">
        <f t="shared" si="6"/>
        <v>0</v>
      </c>
      <c r="X20" s="1">
        <f t="shared" si="7"/>
        <v>0</v>
      </c>
      <c r="Y20" s="1">
        <f t="shared" si="7"/>
        <v>0</v>
      </c>
      <c r="AB20" s="503"/>
    </row>
    <row r="21" spans="1:28" x14ac:dyDescent="0.25">
      <c r="A21" s="7">
        <f t="shared" si="8"/>
        <v>13</v>
      </c>
      <c r="B21" s="11">
        <f t="shared" si="9"/>
        <v>11</v>
      </c>
      <c r="C21" s="502">
        <f t="shared" si="10"/>
        <v>45943</v>
      </c>
      <c r="D21" s="7">
        <f t="shared" si="11"/>
        <v>100</v>
      </c>
      <c r="E21" s="12">
        <f t="shared" si="12"/>
        <v>0.9</v>
      </c>
      <c r="F21" s="473">
        <f t="shared" si="13"/>
        <v>210.80000000000007</v>
      </c>
      <c r="G21" s="472"/>
      <c r="H21" s="504">
        <f t="shared" si="14"/>
        <v>7.0000000000000001E-3</v>
      </c>
      <c r="I21" s="14">
        <f t="shared" si="15"/>
        <v>7.0000000000000001E-3</v>
      </c>
      <c r="J21" s="498">
        <f t="shared" si="0"/>
        <v>147.56000000000006</v>
      </c>
      <c r="K21" s="11"/>
      <c r="L21" s="8">
        <f t="shared" si="16"/>
        <v>4.2585858585858603</v>
      </c>
      <c r="M21" s="8">
        <f t="shared" si="17"/>
        <v>9.0909090909090917</v>
      </c>
      <c r="N21" s="499" t="str">
        <f t="shared" si="1"/>
        <v/>
      </c>
      <c r="P21" s="118"/>
      <c r="Q21" s="118"/>
      <c r="R21" s="4" t="str">
        <f t="shared" ca="1" si="2"/>
        <v>Ok</v>
      </c>
      <c r="S21" s="501">
        <f ca="1">IF(R21="Não","",COUNTIFS($R$9:R21,"Ok"))</f>
        <v>13</v>
      </c>
      <c r="T21" s="6">
        <f t="shared" ca="1" si="3"/>
        <v>45943</v>
      </c>
      <c r="U21" s="501">
        <f t="shared" ca="1" si="4"/>
        <v>210.80000000000007</v>
      </c>
      <c r="V21" s="501">
        <f t="shared" ca="1" si="5"/>
        <v>4.2585858585858603</v>
      </c>
      <c r="W21" s="501">
        <f t="shared" si="6"/>
        <v>0</v>
      </c>
      <c r="X21" s="1">
        <f t="shared" si="7"/>
        <v>0</v>
      </c>
      <c r="Y21" s="1">
        <f t="shared" si="7"/>
        <v>0</v>
      </c>
    </row>
    <row r="22" spans="1:28" x14ac:dyDescent="0.25">
      <c r="A22" s="7">
        <f t="shared" si="8"/>
        <v>14</v>
      </c>
      <c r="B22" s="11">
        <f t="shared" si="9"/>
        <v>11</v>
      </c>
      <c r="C22" s="502">
        <f t="shared" si="10"/>
        <v>45944</v>
      </c>
      <c r="D22" s="7">
        <f t="shared" si="11"/>
        <v>100</v>
      </c>
      <c r="E22" s="12">
        <f t="shared" si="12"/>
        <v>0.9</v>
      </c>
      <c r="F22" s="473">
        <f t="shared" si="13"/>
        <v>211.70000000000007</v>
      </c>
      <c r="G22" s="473"/>
      <c r="H22" s="504">
        <f t="shared" si="14"/>
        <v>7.0000000000000001E-3</v>
      </c>
      <c r="I22" s="14">
        <f t="shared" si="15"/>
        <v>7.0000000000000001E-3</v>
      </c>
      <c r="J22" s="498">
        <f t="shared" si="0"/>
        <v>148.19000000000005</v>
      </c>
      <c r="K22" s="11"/>
      <c r="L22" s="8">
        <f t="shared" si="16"/>
        <v>4.2767676767676779</v>
      </c>
      <c r="M22" s="8">
        <f t="shared" si="17"/>
        <v>9.0909090909090917</v>
      </c>
      <c r="N22" s="499" t="str">
        <f t="shared" si="1"/>
        <v/>
      </c>
      <c r="P22" s="118"/>
      <c r="Q22" s="118"/>
      <c r="R22" s="4" t="str">
        <f t="shared" ca="1" si="2"/>
        <v>Ok</v>
      </c>
      <c r="S22" s="501">
        <f ca="1">IF(R22="Não","",COUNTIFS($R$9:R22,"Ok"))</f>
        <v>14</v>
      </c>
      <c r="T22" s="6">
        <f t="shared" ca="1" si="3"/>
        <v>45944</v>
      </c>
      <c r="U22" s="501">
        <f t="shared" ca="1" si="4"/>
        <v>211.70000000000007</v>
      </c>
      <c r="V22" s="501">
        <f t="shared" ca="1" si="5"/>
        <v>4.2767676767676779</v>
      </c>
      <c r="W22" s="501">
        <f t="shared" si="6"/>
        <v>0</v>
      </c>
      <c r="X22" s="1">
        <f t="shared" si="7"/>
        <v>0</v>
      </c>
      <c r="Y22" s="1">
        <f t="shared" si="7"/>
        <v>0</v>
      </c>
    </row>
    <row r="23" spans="1:28" x14ac:dyDescent="0.25">
      <c r="A23" s="7">
        <f t="shared" si="8"/>
        <v>15</v>
      </c>
      <c r="B23" s="11">
        <f t="shared" si="9"/>
        <v>11</v>
      </c>
      <c r="C23" s="502">
        <f t="shared" si="10"/>
        <v>45945</v>
      </c>
      <c r="D23" s="7">
        <f t="shared" si="11"/>
        <v>100</v>
      </c>
      <c r="E23" s="12">
        <f t="shared" si="12"/>
        <v>0.9</v>
      </c>
      <c r="F23" s="473">
        <f t="shared" si="13"/>
        <v>212.60000000000008</v>
      </c>
      <c r="G23" s="473"/>
      <c r="H23" s="504">
        <f t="shared" si="14"/>
        <v>7.0000000000000001E-3</v>
      </c>
      <c r="I23" s="14">
        <f t="shared" si="15"/>
        <v>7.0000000000000001E-3</v>
      </c>
      <c r="J23" s="498">
        <f t="shared" si="0"/>
        <v>148.82000000000005</v>
      </c>
      <c r="K23" s="11"/>
      <c r="L23" s="8">
        <f t="shared" si="16"/>
        <v>4.2949494949494964</v>
      </c>
      <c r="M23" s="8">
        <f t="shared" si="17"/>
        <v>9.0909090909090917</v>
      </c>
      <c r="N23" s="499" t="str">
        <f t="shared" si="1"/>
        <v/>
      </c>
      <c r="P23" s="118"/>
      <c r="Q23" s="118"/>
      <c r="R23" s="4" t="str">
        <f t="shared" ca="1" si="2"/>
        <v>Ok</v>
      </c>
      <c r="S23" s="501">
        <f ca="1">IF(R23="Não","",COUNTIFS($R$9:R23,"Ok"))</f>
        <v>15</v>
      </c>
      <c r="T23" s="6">
        <f t="shared" ca="1" si="3"/>
        <v>45945</v>
      </c>
      <c r="U23" s="501">
        <f t="shared" ca="1" si="4"/>
        <v>212.60000000000008</v>
      </c>
      <c r="V23" s="501">
        <f t="shared" ca="1" si="5"/>
        <v>4.2949494949494964</v>
      </c>
      <c r="W23" s="501">
        <f t="shared" si="6"/>
        <v>0</v>
      </c>
      <c r="X23" s="1">
        <f t="shared" si="7"/>
        <v>0</v>
      </c>
      <c r="Y23" s="1">
        <f t="shared" si="7"/>
        <v>0</v>
      </c>
    </row>
    <row r="24" spans="1:28" x14ac:dyDescent="0.25">
      <c r="A24" s="7">
        <f t="shared" si="8"/>
        <v>16</v>
      </c>
      <c r="B24" s="11">
        <f t="shared" si="9"/>
        <v>11</v>
      </c>
      <c r="C24" s="502">
        <f t="shared" si="10"/>
        <v>45946</v>
      </c>
      <c r="D24" s="7">
        <f t="shared" si="11"/>
        <v>100</v>
      </c>
      <c r="E24" s="12">
        <f t="shared" si="12"/>
        <v>0.9</v>
      </c>
      <c r="F24" s="473">
        <f t="shared" si="13"/>
        <v>213.50000000000009</v>
      </c>
      <c r="G24" s="473"/>
      <c r="H24" s="504">
        <f t="shared" si="14"/>
        <v>7.0000000000000001E-3</v>
      </c>
      <c r="I24" s="14">
        <f t="shared" si="15"/>
        <v>7.0000000000000001E-3</v>
      </c>
      <c r="J24" s="498">
        <f t="shared" si="0"/>
        <v>149.45000000000007</v>
      </c>
      <c r="K24" s="11"/>
      <c r="L24" s="8">
        <f t="shared" si="16"/>
        <v>4.313131313131314</v>
      </c>
      <c r="M24" s="8">
        <f t="shared" si="17"/>
        <v>9.0909090909090917</v>
      </c>
      <c r="N24" s="499" t="str">
        <f t="shared" si="1"/>
        <v/>
      </c>
      <c r="P24" s="118"/>
      <c r="Q24" s="118"/>
      <c r="R24" s="4" t="str">
        <f t="shared" ca="1" si="2"/>
        <v>Ok</v>
      </c>
      <c r="S24" s="501">
        <f ca="1">IF(R24="Não","",COUNTIFS($R$9:R24,"Ok"))</f>
        <v>16</v>
      </c>
      <c r="T24" s="6">
        <f t="shared" ca="1" si="3"/>
        <v>45946</v>
      </c>
      <c r="U24" s="501">
        <f t="shared" ca="1" si="4"/>
        <v>213.50000000000009</v>
      </c>
      <c r="V24" s="501">
        <f t="shared" ca="1" si="5"/>
        <v>4.313131313131314</v>
      </c>
      <c r="W24" s="501">
        <f t="shared" si="6"/>
        <v>0</v>
      </c>
      <c r="X24" s="1">
        <f t="shared" si="7"/>
        <v>0</v>
      </c>
      <c r="Y24" s="1">
        <f t="shared" si="7"/>
        <v>0</v>
      </c>
    </row>
    <row r="25" spans="1:28" x14ac:dyDescent="0.25">
      <c r="A25" s="7">
        <f t="shared" si="8"/>
        <v>17</v>
      </c>
      <c r="B25" s="11">
        <f t="shared" si="9"/>
        <v>11</v>
      </c>
      <c r="C25" s="502">
        <f t="shared" si="10"/>
        <v>45947</v>
      </c>
      <c r="D25" s="7">
        <f t="shared" si="11"/>
        <v>100</v>
      </c>
      <c r="E25" s="12">
        <f t="shared" si="12"/>
        <v>0.9</v>
      </c>
      <c r="F25" s="473">
        <f t="shared" si="13"/>
        <v>214.40000000000009</v>
      </c>
      <c r="G25" s="473"/>
      <c r="H25" s="504">
        <f t="shared" si="14"/>
        <v>7.0000000000000001E-3</v>
      </c>
      <c r="I25" s="14">
        <f t="shared" si="15"/>
        <v>7.0000000000000001E-3</v>
      </c>
      <c r="J25" s="498">
        <f t="shared" si="0"/>
        <v>150.08000000000007</v>
      </c>
      <c r="K25" s="11"/>
      <c r="L25" s="8">
        <f t="shared" si="16"/>
        <v>4.3313131313131326</v>
      </c>
      <c r="M25" s="8">
        <f t="shared" si="17"/>
        <v>9.0909090909090917</v>
      </c>
      <c r="N25" s="499" t="str">
        <f t="shared" si="1"/>
        <v/>
      </c>
      <c r="P25" s="118"/>
      <c r="Q25" s="118"/>
      <c r="R25" s="4" t="str">
        <f t="shared" ca="1" si="2"/>
        <v>Ok</v>
      </c>
      <c r="S25" s="501">
        <f ca="1">IF(R25="Não","",COUNTIFS($R$9:R25,"Ok"))</f>
        <v>17</v>
      </c>
      <c r="T25" s="6">
        <f t="shared" ca="1" si="3"/>
        <v>45947</v>
      </c>
      <c r="U25" s="501">
        <f t="shared" ca="1" si="4"/>
        <v>214.40000000000009</v>
      </c>
      <c r="V25" s="501">
        <f t="shared" ca="1" si="5"/>
        <v>4.3313131313131326</v>
      </c>
      <c r="W25" s="501">
        <f t="shared" si="6"/>
        <v>0</v>
      </c>
      <c r="X25" s="1">
        <f t="shared" si="7"/>
        <v>0</v>
      </c>
      <c r="Y25" s="1">
        <f t="shared" si="7"/>
        <v>0</v>
      </c>
    </row>
    <row r="26" spans="1:28" x14ac:dyDescent="0.25">
      <c r="A26" s="7">
        <f t="shared" si="8"/>
        <v>18</v>
      </c>
      <c r="B26" s="11">
        <f t="shared" si="9"/>
        <v>11</v>
      </c>
      <c r="C26" s="502">
        <f t="shared" si="10"/>
        <v>45948</v>
      </c>
      <c r="D26" s="7">
        <f t="shared" si="11"/>
        <v>100</v>
      </c>
      <c r="E26" s="12">
        <f t="shared" si="12"/>
        <v>0.9</v>
      </c>
      <c r="F26" s="473">
        <f t="shared" si="13"/>
        <v>215.3000000000001</v>
      </c>
      <c r="G26" s="473"/>
      <c r="H26" s="504">
        <f t="shared" si="14"/>
        <v>7.0000000000000001E-3</v>
      </c>
      <c r="I26" s="14">
        <f t="shared" si="15"/>
        <v>7.0000000000000001E-3</v>
      </c>
      <c r="J26" s="498">
        <f t="shared" si="0"/>
        <v>150.71000000000006</v>
      </c>
      <c r="K26" s="11"/>
      <c r="L26" s="8">
        <f t="shared" si="16"/>
        <v>4.349494949494952</v>
      </c>
      <c r="M26" s="8">
        <f t="shared" si="17"/>
        <v>9.0909090909090917</v>
      </c>
      <c r="N26" s="499" t="str">
        <f t="shared" si="1"/>
        <v/>
      </c>
      <c r="P26" s="118"/>
      <c r="Q26" s="118"/>
      <c r="R26" s="4" t="str">
        <f t="shared" ca="1" si="2"/>
        <v>Ok</v>
      </c>
      <c r="S26" s="501">
        <f ca="1">IF(R26="Não","",COUNTIFS($R$9:R26,"Ok"))</f>
        <v>18</v>
      </c>
      <c r="T26" s="6">
        <f t="shared" ca="1" si="3"/>
        <v>45948</v>
      </c>
      <c r="U26" s="501">
        <f t="shared" ca="1" si="4"/>
        <v>215.3000000000001</v>
      </c>
      <c r="V26" s="501">
        <f t="shared" ca="1" si="5"/>
        <v>4.349494949494952</v>
      </c>
      <c r="W26" s="501">
        <f t="shared" si="6"/>
        <v>0</v>
      </c>
      <c r="X26" s="1">
        <f t="shared" si="7"/>
        <v>0</v>
      </c>
      <c r="Y26" s="1">
        <f t="shared" si="7"/>
        <v>0</v>
      </c>
    </row>
    <row r="27" spans="1:28" x14ac:dyDescent="0.25">
      <c r="A27" s="7">
        <f t="shared" si="8"/>
        <v>19</v>
      </c>
      <c r="B27" s="11">
        <f t="shared" si="9"/>
        <v>11</v>
      </c>
      <c r="C27" s="502">
        <f t="shared" si="10"/>
        <v>45949</v>
      </c>
      <c r="D27" s="7">
        <f t="shared" si="11"/>
        <v>100</v>
      </c>
      <c r="E27" s="12">
        <f t="shared" si="12"/>
        <v>0.9</v>
      </c>
      <c r="F27" s="473">
        <f t="shared" si="13"/>
        <v>216.2000000000001</v>
      </c>
      <c r="G27" s="473"/>
      <c r="H27" s="504">
        <f t="shared" si="14"/>
        <v>7.0000000000000001E-3</v>
      </c>
      <c r="I27" s="14">
        <f t="shared" si="15"/>
        <v>7.0000000000000001E-3</v>
      </c>
      <c r="J27" s="498">
        <f t="shared" si="0"/>
        <v>151.34000000000009</v>
      </c>
      <c r="K27" s="11"/>
      <c r="L27" s="8">
        <f t="shared" si="16"/>
        <v>4.3676767676767696</v>
      </c>
      <c r="M27" s="8">
        <f t="shared" si="17"/>
        <v>9.0909090909090917</v>
      </c>
      <c r="N27" s="499" t="str">
        <f t="shared" si="1"/>
        <v/>
      </c>
      <c r="P27" s="118"/>
      <c r="Q27" s="118"/>
      <c r="R27" s="4" t="str">
        <f t="shared" ca="1" si="2"/>
        <v>Ok</v>
      </c>
      <c r="S27" s="501">
        <f ca="1">IF(R27="Não","",COUNTIFS($R$9:R27,"Ok"))</f>
        <v>19</v>
      </c>
      <c r="T27" s="6">
        <f t="shared" ca="1" si="3"/>
        <v>45949</v>
      </c>
      <c r="U27" s="501">
        <f t="shared" ca="1" si="4"/>
        <v>216.2000000000001</v>
      </c>
      <c r="V27" s="501">
        <f t="shared" ca="1" si="5"/>
        <v>4.3676767676767696</v>
      </c>
      <c r="W27" s="501">
        <f t="shared" si="6"/>
        <v>0</v>
      </c>
      <c r="X27" s="1">
        <f t="shared" si="7"/>
        <v>0</v>
      </c>
      <c r="Y27" s="1">
        <f t="shared" si="7"/>
        <v>0</v>
      </c>
    </row>
    <row r="28" spans="1:28" x14ac:dyDescent="0.25">
      <c r="A28" s="7">
        <f t="shared" si="8"/>
        <v>20</v>
      </c>
      <c r="B28" s="11">
        <f t="shared" si="9"/>
        <v>11</v>
      </c>
      <c r="C28" s="502">
        <f t="shared" si="10"/>
        <v>45950</v>
      </c>
      <c r="D28" s="7">
        <f t="shared" si="11"/>
        <v>100</v>
      </c>
      <c r="E28" s="12">
        <f t="shared" si="12"/>
        <v>0.9</v>
      </c>
      <c r="F28" s="473">
        <f t="shared" si="13"/>
        <v>217.10000000000011</v>
      </c>
      <c r="G28" s="473"/>
      <c r="H28" s="504">
        <f t="shared" si="14"/>
        <v>7.0000000000000001E-3</v>
      </c>
      <c r="I28" s="14">
        <f t="shared" si="15"/>
        <v>7.0000000000000001E-3</v>
      </c>
      <c r="J28" s="498">
        <f t="shared" si="0"/>
        <v>151.97000000000008</v>
      </c>
      <c r="K28" s="11"/>
      <c r="L28" s="8">
        <f t="shared" si="16"/>
        <v>4.3858585858585881</v>
      </c>
      <c r="M28" s="8">
        <f t="shared" si="17"/>
        <v>9.0909090909090917</v>
      </c>
      <c r="N28" s="499" t="str">
        <f t="shared" si="1"/>
        <v/>
      </c>
      <c r="P28" s="118"/>
      <c r="Q28" s="118"/>
      <c r="R28" s="4" t="str">
        <f t="shared" ca="1" si="2"/>
        <v>Ok</v>
      </c>
      <c r="S28" s="501">
        <f ca="1">IF(R28="Não","",COUNTIFS($R$9:R28,"Ok"))</f>
        <v>20</v>
      </c>
      <c r="T28" s="6">
        <f t="shared" ca="1" si="3"/>
        <v>45950</v>
      </c>
      <c r="U28" s="501">
        <f t="shared" ca="1" si="4"/>
        <v>217.10000000000011</v>
      </c>
      <c r="V28" s="501">
        <f t="shared" ca="1" si="5"/>
        <v>4.3858585858585881</v>
      </c>
      <c r="W28" s="501">
        <f t="shared" si="6"/>
        <v>0</v>
      </c>
      <c r="X28" s="1">
        <f t="shared" si="7"/>
        <v>0</v>
      </c>
      <c r="Y28" s="1">
        <f t="shared" si="7"/>
        <v>0</v>
      </c>
    </row>
    <row r="29" spans="1:28" x14ac:dyDescent="0.25">
      <c r="A29" s="7">
        <f t="shared" si="8"/>
        <v>21</v>
      </c>
      <c r="B29" s="11">
        <f t="shared" si="9"/>
        <v>11</v>
      </c>
      <c r="C29" s="502">
        <f t="shared" si="10"/>
        <v>45951</v>
      </c>
      <c r="D29" s="7">
        <f t="shared" si="11"/>
        <v>100</v>
      </c>
      <c r="E29" s="12">
        <f t="shared" si="12"/>
        <v>0.9</v>
      </c>
      <c r="F29" s="473">
        <f t="shared" si="13"/>
        <v>218.00000000000011</v>
      </c>
      <c r="G29" s="473"/>
      <c r="H29" s="504">
        <f t="shared" si="14"/>
        <v>7.0000000000000001E-3</v>
      </c>
      <c r="I29" s="14">
        <f t="shared" si="15"/>
        <v>7.0000000000000001E-3</v>
      </c>
      <c r="J29" s="498">
        <f t="shared" si="0"/>
        <v>152.60000000000008</v>
      </c>
      <c r="K29" s="11"/>
      <c r="L29" s="8">
        <f t="shared" si="16"/>
        <v>4.4040404040404066</v>
      </c>
      <c r="M29" s="8">
        <f t="shared" si="17"/>
        <v>9.0909090909090917</v>
      </c>
      <c r="N29" s="499" t="str">
        <f t="shared" si="1"/>
        <v/>
      </c>
      <c r="P29" s="118"/>
      <c r="Q29" s="118"/>
      <c r="R29" s="4" t="str">
        <f t="shared" ca="1" si="2"/>
        <v>Ok</v>
      </c>
      <c r="S29" s="501">
        <f ca="1">IF(R29="Não","",COUNTIFS($R$9:R29,"Ok"))</f>
        <v>21</v>
      </c>
      <c r="T29" s="6">
        <f t="shared" ca="1" si="3"/>
        <v>45951</v>
      </c>
      <c r="U29" s="501">
        <f t="shared" ca="1" si="4"/>
        <v>218.00000000000011</v>
      </c>
      <c r="V29" s="501">
        <f t="shared" ca="1" si="5"/>
        <v>4.4040404040404066</v>
      </c>
      <c r="W29" s="501">
        <f t="shared" si="6"/>
        <v>0</v>
      </c>
      <c r="X29" s="1">
        <f t="shared" si="7"/>
        <v>0</v>
      </c>
      <c r="Y29" s="1">
        <f t="shared" si="7"/>
        <v>0</v>
      </c>
    </row>
    <row r="30" spans="1:28" x14ac:dyDescent="0.25">
      <c r="A30" s="7">
        <f t="shared" si="8"/>
        <v>22</v>
      </c>
      <c r="B30" s="11">
        <f t="shared" si="9"/>
        <v>11</v>
      </c>
      <c r="C30" s="502">
        <f t="shared" si="10"/>
        <v>45952</v>
      </c>
      <c r="D30" s="7">
        <f t="shared" si="11"/>
        <v>100</v>
      </c>
      <c r="E30" s="12">
        <f t="shared" si="12"/>
        <v>0.9</v>
      </c>
      <c r="F30" s="473">
        <f t="shared" si="13"/>
        <v>218.90000000000012</v>
      </c>
      <c r="G30" s="473"/>
      <c r="H30" s="504">
        <f t="shared" si="14"/>
        <v>7.0000000000000001E-3</v>
      </c>
      <c r="I30" s="14">
        <f t="shared" si="15"/>
        <v>7.0000000000000001E-3</v>
      </c>
      <c r="J30" s="498">
        <f t="shared" si="0"/>
        <v>153.23000000000008</v>
      </c>
      <c r="K30" s="11"/>
      <c r="L30" s="8">
        <f t="shared" si="16"/>
        <v>4.4222222222222243</v>
      </c>
      <c r="M30" s="8">
        <f t="shared" si="17"/>
        <v>9.0909090909090917</v>
      </c>
      <c r="N30" s="499" t="str">
        <f t="shared" si="1"/>
        <v/>
      </c>
      <c r="P30" s="118"/>
      <c r="Q30" s="118"/>
      <c r="R30" s="4" t="str">
        <f t="shared" ca="1" si="2"/>
        <v>Ok</v>
      </c>
      <c r="S30" s="501">
        <f ca="1">IF(R30="Não","",COUNTIFS($R$9:R30,"Ok"))</f>
        <v>22</v>
      </c>
      <c r="T30" s="6">
        <f t="shared" ca="1" si="3"/>
        <v>45952</v>
      </c>
      <c r="U30" s="501">
        <f t="shared" ca="1" si="4"/>
        <v>218.90000000000012</v>
      </c>
      <c r="V30" s="501">
        <f t="shared" ca="1" si="5"/>
        <v>4.4222222222222243</v>
      </c>
      <c r="W30" s="501">
        <f t="shared" si="6"/>
        <v>0</v>
      </c>
      <c r="X30" s="1">
        <f t="shared" si="7"/>
        <v>0</v>
      </c>
      <c r="Y30" s="1">
        <f t="shared" si="7"/>
        <v>0</v>
      </c>
    </row>
    <row r="31" spans="1:28" x14ac:dyDescent="0.25">
      <c r="A31" s="7">
        <f t="shared" si="8"/>
        <v>23</v>
      </c>
      <c r="B31" s="11">
        <f t="shared" si="9"/>
        <v>11</v>
      </c>
      <c r="C31" s="502">
        <f t="shared" si="10"/>
        <v>45953</v>
      </c>
      <c r="D31" s="7">
        <f t="shared" si="11"/>
        <v>100</v>
      </c>
      <c r="E31" s="12">
        <f t="shared" si="12"/>
        <v>0.9</v>
      </c>
      <c r="F31" s="473">
        <f t="shared" si="13"/>
        <v>219.80000000000013</v>
      </c>
      <c r="G31" s="473"/>
      <c r="H31" s="504">
        <f t="shared" si="14"/>
        <v>7.0000000000000001E-3</v>
      </c>
      <c r="I31" s="14">
        <f t="shared" si="15"/>
        <v>7.0000000000000001E-3</v>
      </c>
      <c r="J31" s="498">
        <f t="shared" si="0"/>
        <v>153.8600000000001</v>
      </c>
      <c r="K31" s="11"/>
      <c r="L31" s="8">
        <f t="shared" si="16"/>
        <v>4.4404040404040428</v>
      </c>
      <c r="M31" s="8">
        <f t="shared" si="17"/>
        <v>9.0909090909090917</v>
      </c>
      <c r="N31" s="499" t="str">
        <f t="shared" si="1"/>
        <v/>
      </c>
      <c r="P31" s="118"/>
      <c r="Q31" s="118"/>
      <c r="R31" s="4" t="str">
        <f t="shared" ca="1" si="2"/>
        <v>Ok</v>
      </c>
      <c r="S31" s="501">
        <f ca="1">IF(R31="Não","",COUNTIFS($R$9:R31,"Ok"))</f>
        <v>23</v>
      </c>
      <c r="T31" s="6">
        <f t="shared" ca="1" si="3"/>
        <v>45953</v>
      </c>
      <c r="U31" s="501">
        <f t="shared" ca="1" si="4"/>
        <v>219.80000000000013</v>
      </c>
      <c r="V31" s="501">
        <f t="shared" ca="1" si="5"/>
        <v>4.4404040404040428</v>
      </c>
      <c r="W31" s="501">
        <f t="shared" si="6"/>
        <v>0</v>
      </c>
      <c r="X31" s="1">
        <f t="shared" si="7"/>
        <v>0</v>
      </c>
      <c r="Y31" s="1">
        <f t="shared" si="7"/>
        <v>0</v>
      </c>
    </row>
    <row r="32" spans="1:28" x14ac:dyDescent="0.25">
      <c r="A32" s="7">
        <f t="shared" si="8"/>
        <v>24</v>
      </c>
      <c r="B32" s="11">
        <f t="shared" si="9"/>
        <v>11</v>
      </c>
      <c r="C32" s="502">
        <f t="shared" si="10"/>
        <v>45954</v>
      </c>
      <c r="D32" s="7">
        <f t="shared" si="11"/>
        <v>100</v>
      </c>
      <c r="E32" s="12">
        <f t="shared" si="12"/>
        <v>0.9</v>
      </c>
      <c r="F32" s="473">
        <f t="shared" si="13"/>
        <v>220.70000000000013</v>
      </c>
      <c r="G32" s="473"/>
      <c r="H32" s="504">
        <f t="shared" si="14"/>
        <v>7.0000000000000001E-3</v>
      </c>
      <c r="I32" s="14">
        <f t="shared" si="15"/>
        <v>7.0000000000000001E-3</v>
      </c>
      <c r="J32" s="498">
        <f t="shared" si="0"/>
        <v>154.49000000000009</v>
      </c>
      <c r="K32" s="15"/>
      <c r="L32" s="8">
        <f t="shared" si="16"/>
        <v>4.4585858585858622</v>
      </c>
      <c r="M32" s="8">
        <f t="shared" si="17"/>
        <v>9.0909090909090917</v>
      </c>
      <c r="N32" s="499" t="str">
        <f t="shared" si="1"/>
        <v/>
      </c>
      <c r="P32" s="118"/>
      <c r="Q32" s="118"/>
      <c r="R32" s="4" t="str">
        <f t="shared" ca="1" si="2"/>
        <v>Ok</v>
      </c>
      <c r="S32" s="501">
        <f ca="1">IF(R32="Não","",COUNTIFS($R$9:R32,"Ok"))</f>
        <v>24</v>
      </c>
      <c r="T32" s="6">
        <f t="shared" ca="1" si="3"/>
        <v>45954</v>
      </c>
      <c r="U32" s="501">
        <f t="shared" ca="1" si="4"/>
        <v>220.70000000000013</v>
      </c>
      <c r="V32" s="501">
        <f t="shared" ca="1" si="5"/>
        <v>4.4585858585858622</v>
      </c>
      <c r="W32" s="501">
        <f t="shared" si="6"/>
        <v>0</v>
      </c>
      <c r="X32" s="1">
        <f t="shared" si="7"/>
        <v>0</v>
      </c>
      <c r="Y32" s="1">
        <f t="shared" si="7"/>
        <v>0</v>
      </c>
    </row>
    <row r="33" spans="1:25" s="1" customFormat="1" x14ac:dyDescent="0.25">
      <c r="A33" s="7">
        <f t="shared" si="8"/>
        <v>25</v>
      </c>
      <c r="B33" s="11">
        <f t="shared" si="9"/>
        <v>11</v>
      </c>
      <c r="C33" s="502">
        <f t="shared" si="10"/>
        <v>45955</v>
      </c>
      <c r="D33" s="7">
        <f t="shared" si="11"/>
        <v>100</v>
      </c>
      <c r="E33" s="12">
        <f t="shared" si="12"/>
        <v>0.9</v>
      </c>
      <c r="F33" s="473">
        <f t="shared" si="13"/>
        <v>221.60000000000014</v>
      </c>
      <c r="G33" s="473"/>
      <c r="H33" s="504">
        <f t="shared" si="14"/>
        <v>7.0000000000000001E-3</v>
      </c>
      <c r="I33" s="14">
        <f t="shared" si="15"/>
        <v>7.0000000000000001E-3</v>
      </c>
      <c r="J33" s="498">
        <f t="shared" si="0"/>
        <v>155.12000000000009</v>
      </c>
      <c r="K33" s="15"/>
      <c r="L33" s="8">
        <f t="shared" si="16"/>
        <v>4.4767676767676798</v>
      </c>
      <c r="M33" s="8">
        <f t="shared" si="17"/>
        <v>9.0909090909090917</v>
      </c>
      <c r="N33" s="499" t="str">
        <f t="shared" si="1"/>
        <v/>
      </c>
      <c r="O33" s="4"/>
      <c r="P33" s="118"/>
      <c r="Q33" s="118"/>
      <c r="R33" s="4" t="str">
        <f t="shared" ca="1" si="2"/>
        <v>Ok</v>
      </c>
      <c r="S33" s="501">
        <f ca="1">IF(R33="Não","",COUNTIFS($R$9:R33,"Ok"))</f>
        <v>25</v>
      </c>
      <c r="T33" s="6">
        <f t="shared" ca="1" si="3"/>
        <v>45955</v>
      </c>
      <c r="U33" s="501">
        <f t="shared" ca="1" si="4"/>
        <v>221.60000000000014</v>
      </c>
      <c r="V33" s="501">
        <f t="shared" ca="1" si="5"/>
        <v>4.4767676767676798</v>
      </c>
      <c r="W33" s="501">
        <f t="shared" si="6"/>
        <v>0</v>
      </c>
      <c r="X33" s="1">
        <f t="shared" si="7"/>
        <v>0</v>
      </c>
      <c r="Y33" s="1">
        <f t="shared" si="7"/>
        <v>0</v>
      </c>
    </row>
    <row r="34" spans="1:25" s="1" customFormat="1" x14ac:dyDescent="0.25">
      <c r="A34" s="7">
        <f t="shared" si="8"/>
        <v>26</v>
      </c>
      <c r="B34" s="11">
        <f t="shared" si="9"/>
        <v>11</v>
      </c>
      <c r="C34" s="502">
        <f t="shared" si="10"/>
        <v>45956</v>
      </c>
      <c r="D34" s="7">
        <f t="shared" si="11"/>
        <v>100</v>
      </c>
      <c r="E34" s="12">
        <f t="shared" si="12"/>
        <v>0.9</v>
      </c>
      <c r="F34" s="473">
        <f t="shared" si="13"/>
        <v>222.50000000000014</v>
      </c>
      <c r="G34" s="473"/>
      <c r="H34" s="504">
        <f t="shared" si="14"/>
        <v>7.0000000000000001E-3</v>
      </c>
      <c r="I34" s="14">
        <f t="shared" si="15"/>
        <v>7.0000000000000001E-3</v>
      </c>
      <c r="J34" s="498">
        <f t="shared" si="0"/>
        <v>155.75000000000011</v>
      </c>
      <c r="K34" s="15"/>
      <c r="L34" s="8">
        <f t="shared" si="16"/>
        <v>4.4949494949494984</v>
      </c>
      <c r="M34" s="8">
        <f t="shared" si="17"/>
        <v>9.0909090909090917</v>
      </c>
      <c r="N34" s="499" t="str">
        <f t="shared" si="1"/>
        <v/>
      </c>
      <c r="O34" s="4"/>
      <c r="P34" s="118"/>
      <c r="Q34" s="118"/>
      <c r="R34" s="4" t="str">
        <f t="shared" ca="1" si="2"/>
        <v>Ok</v>
      </c>
      <c r="S34" s="501">
        <f ca="1">IF(R34="Não","",COUNTIFS($R$9:R34,"Ok"))</f>
        <v>26</v>
      </c>
      <c r="T34" s="6">
        <f t="shared" ca="1" si="3"/>
        <v>45956</v>
      </c>
      <c r="U34" s="501">
        <f t="shared" ca="1" si="4"/>
        <v>222.50000000000014</v>
      </c>
      <c r="V34" s="501">
        <f t="shared" ca="1" si="5"/>
        <v>4.4949494949494984</v>
      </c>
      <c r="W34" s="501">
        <f t="shared" si="6"/>
        <v>0</v>
      </c>
      <c r="X34" s="1">
        <f t="shared" si="7"/>
        <v>0</v>
      </c>
      <c r="Y34" s="1">
        <f t="shared" si="7"/>
        <v>0</v>
      </c>
    </row>
    <row r="35" spans="1:25" s="1" customFormat="1" x14ac:dyDescent="0.25">
      <c r="A35" s="7">
        <f t="shared" si="8"/>
        <v>27</v>
      </c>
      <c r="B35" s="11">
        <f t="shared" si="9"/>
        <v>11</v>
      </c>
      <c r="C35" s="502">
        <f t="shared" si="10"/>
        <v>45957</v>
      </c>
      <c r="D35" s="7">
        <f t="shared" si="11"/>
        <v>100</v>
      </c>
      <c r="E35" s="12">
        <f t="shared" si="12"/>
        <v>0.9</v>
      </c>
      <c r="F35" s="473">
        <f t="shared" si="13"/>
        <v>223.40000000000015</v>
      </c>
      <c r="G35" s="473"/>
      <c r="H35" s="504">
        <f t="shared" si="14"/>
        <v>7.0000000000000001E-3</v>
      </c>
      <c r="I35" s="14">
        <f t="shared" si="15"/>
        <v>7.0000000000000001E-3</v>
      </c>
      <c r="J35" s="498">
        <f t="shared" si="0"/>
        <v>156.38000000000011</v>
      </c>
      <c r="K35" s="15"/>
      <c r="L35" s="8">
        <f t="shared" si="16"/>
        <v>4.513131313131316</v>
      </c>
      <c r="M35" s="8">
        <f t="shared" si="17"/>
        <v>9.0909090909090917</v>
      </c>
      <c r="N35" s="499" t="str">
        <f t="shared" si="1"/>
        <v/>
      </c>
      <c r="O35" s="4"/>
      <c r="P35" s="118"/>
      <c r="Q35" s="118"/>
      <c r="R35" s="4" t="str">
        <f t="shared" ca="1" si="2"/>
        <v>Ok</v>
      </c>
      <c r="S35" s="501">
        <f ca="1">IF(R35="Não","",COUNTIFS($R$9:R35,"Ok"))</f>
        <v>27</v>
      </c>
      <c r="T35" s="6">
        <f t="shared" ca="1" si="3"/>
        <v>45957</v>
      </c>
      <c r="U35" s="501">
        <f t="shared" ca="1" si="4"/>
        <v>223.40000000000015</v>
      </c>
      <c r="V35" s="501">
        <f t="shared" ca="1" si="5"/>
        <v>4.513131313131316</v>
      </c>
      <c r="W35" s="501">
        <f t="shared" si="6"/>
        <v>0</v>
      </c>
      <c r="X35" s="1">
        <f t="shared" si="7"/>
        <v>0</v>
      </c>
      <c r="Y35" s="1">
        <f t="shared" si="7"/>
        <v>0</v>
      </c>
    </row>
    <row r="36" spans="1:25" s="1" customFormat="1" x14ac:dyDescent="0.25">
      <c r="A36" s="7">
        <f t="shared" si="8"/>
        <v>28</v>
      </c>
      <c r="B36" s="11">
        <f t="shared" si="9"/>
        <v>11</v>
      </c>
      <c r="C36" s="502">
        <f t="shared" si="10"/>
        <v>45958</v>
      </c>
      <c r="D36" s="7">
        <f t="shared" si="11"/>
        <v>100</v>
      </c>
      <c r="E36" s="12">
        <f t="shared" si="12"/>
        <v>0.9</v>
      </c>
      <c r="F36" s="473">
        <f t="shared" si="13"/>
        <v>224.30000000000015</v>
      </c>
      <c r="G36" s="473"/>
      <c r="H36" s="504">
        <f t="shared" si="14"/>
        <v>7.0000000000000001E-3</v>
      </c>
      <c r="I36" s="14">
        <f t="shared" si="15"/>
        <v>7.0000000000000001E-3</v>
      </c>
      <c r="J36" s="498">
        <f t="shared" si="0"/>
        <v>157.0100000000001</v>
      </c>
      <c r="K36" s="15"/>
      <c r="L36" s="8">
        <f t="shared" si="16"/>
        <v>4.5313131313131345</v>
      </c>
      <c r="M36" s="8">
        <f t="shared" si="17"/>
        <v>9.0909090909090917</v>
      </c>
      <c r="N36" s="499" t="str">
        <f t="shared" si="1"/>
        <v/>
      </c>
      <c r="O36" s="4"/>
      <c r="P36" s="118"/>
      <c r="Q36" s="118"/>
      <c r="R36" s="4" t="str">
        <f t="shared" ca="1" si="2"/>
        <v>Ok</v>
      </c>
      <c r="S36" s="501">
        <f ca="1">IF(R36="Não","",COUNTIFS($R$9:R36,"Ok"))</f>
        <v>28</v>
      </c>
      <c r="T36" s="6">
        <f t="shared" ca="1" si="3"/>
        <v>45958</v>
      </c>
      <c r="U36" s="501">
        <f t="shared" ca="1" si="4"/>
        <v>224.30000000000015</v>
      </c>
      <c r="V36" s="501">
        <f t="shared" ca="1" si="5"/>
        <v>4.5313131313131345</v>
      </c>
      <c r="W36" s="501">
        <f t="shared" si="6"/>
        <v>0</v>
      </c>
      <c r="X36" s="1">
        <f t="shared" si="7"/>
        <v>0</v>
      </c>
      <c r="Y36" s="1">
        <f t="shared" si="7"/>
        <v>0</v>
      </c>
    </row>
    <row r="37" spans="1:25" s="1" customFormat="1" x14ac:dyDescent="0.25">
      <c r="A37" s="7">
        <f t="shared" si="8"/>
        <v>29</v>
      </c>
      <c r="B37" s="11">
        <f t="shared" si="9"/>
        <v>11</v>
      </c>
      <c r="C37" s="502">
        <f t="shared" si="10"/>
        <v>45959</v>
      </c>
      <c r="D37" s="7">
        <f t="shared" si="11"/>
        <v>100</v>
      </c>
      <c r="E37" s="12">
        <f t="shared" si="12"/>
        <v>0.9</v>
      </c>
      <c r="F37" s="473">
        <f t="shared" si="13"/>
        <v>225.20000000000016</v>
      </c>
      <c r="G37" s="473"/>
      <c r="H37" s="504">
        <f t="shared" si="14"/>
        <v>7.0000000000000001E-3</v>
      </c>
      <c r="I37" s="14">
        <f t="shared" si="15"/>
        <v>7.0000000000000001E-3</v>
      </c>
      <c r="J37" s="498">
        <f t="shared" si="0"/>
        <v>157.6400000000001</v>
      </c>
      <c r="K37" s="15"/>
      <c r="L37" s="8">
        <f t="shared" si="16"/>
        <v>4.549494949494953</v>
      </c>
      <c r="M37" s="8">
        <f t="shared" si="17"/>
        <v>9.0909090909090917</v>
      </c>
      <c r="N37" s="499" t="str">
        <f t="shared" si="1"/>
        <v/>
      </c>
      <c r="O37" s="4"/>
      <c r="P37" s="118"/>
      <c r="Q37" s="118"/>
      <c r="R37" s="4" t="str">
        <f t="shared" ca="1" si="2"/>
        <v>Ok</v>
      </c>
      <c r="S37" s="501">
        <f ca="1">IF(R37="Não","",COUNTIFS($R$9:R37,"Ok"))</f>
        <v>29</v>
      </c>
      <c r="T37" s="6">
        <f t="shared" ca="1" si="3"/>
        <v>45959</v>
      </c>
      <c r="U37" s="501">
        <f t="shared" ca="1" si="4"/>
        <v>225.20000000000016</v>
      </c>
      <c r="V37" s="501">
        <f t="shared" ca="1" si="5"/>
        <v>4.549494949494953</v>
      </c>
      <c r="W37" s="501">
        <f t="shared" si="6"/>
        <v>0</v>
      </c>
      <c r="X37" s="1">
        <f t="shared" si="7"/>
        <v>0</v>
      </c>
      <c r="Y37" s="1">
        <f t="shared" si="7"/>
        <v>0</v>
      </c>
    </row>
    <row r="38" spans="1:25" s="1" customFormat="1" x14ac:dyDescent="0.25">
      <c r="A38" s="7">
        <f t="shared" si="8"/>
        <v>30</v>
      </c>
      <c r="B38" s="11">
        <f t="shared" si="9"/>
        <v>11</v>
      </c>
      <c r="C38" s="502">
        <f t="shared" si="10"/>
        <v>45960</v>
      </c>
      <c r="D38" s="7">
        <f t="shared" si="11"/>
        <v>100</v>
      </c>
      <c r="E38" s="12">
        <f t="shared" si="12"/>
        <v>0.9</v>
      </c>
      <c r="F38" s="473">
        <f t="shared" si="13"/>
        <v>226.10000000000016</v>
      </c>
      <c r="G38" s="473"/>
      <c r="H38" s="504">
        <f t="shared" si="14"/>
        <v>7.0000000000000001E-3</v>
      </c>
      <c r="I38" s="14">
        <f t="shared" si="15"/>
        <v>7.0000000000000001E-3</v>
      </c>
      <c r="J38" s="498">
        <f t="shared" si="0"/>
        <v>158.27000000000012</v>
      </c>
      <c r="K38" s="15"/>
      <c r="L38" s="8">
        <f t="shared" si="16"/>
        <v>4.5676767676767716</v>
      </c>
      <c r="M38" s="8">
        <f t="shared" si="17"/>
        <v>9.0909090909090917</v>
      </c>
      <c r="N38" s="499" t="str">
        <f t="shared" si="1"/>
        <v/>
      </c>
      <c r="O38" s="4"/>
      <c r="P38" s="118"/>
      <c r="Q38" s="118"/>
      <c r="R38" s="4" t="str">
        <f t="shared" ca="1" si="2"/>
        <v>Ok</v>
      </c>
      <c r="S38" s="501">
        <f ca="1">IF(R38="Não","",COUNTIFS($R$9:R38,"Ok"))</f>
        <v>30</v>
      </c>
      <c r="T38" s="6">
        <f t="shared" ca="1" si="3"/>
        <v>45960</v>
      </c>
      <c r="U38" s="501">
        <f t="shared" ca="1" si="4"/>
        <v>226.10000000000016</v>
      </c>
      <c r="V38" s="501">
        <f t="shared" ca="1" si="5"/>
        <v>4.5676767676767716</v>
      </c>
      <c r="W38" s="501">
        <f t="shared" si="6"/>
        <v>0</v>
      </c>
      <c r="X38" s="1">
        <f t="shared" si="7"/>
        <v>0</v>
      </c>
      <c r="Y38" s="1">
        <f t="shared" si="7"/>
        <v>0</v>
      </c>
    </row>
    <row r="39" spans="1:25" s="1" customFormat="1" x14ac:dyDescent="0.25">
      <c r="A39" s="7">
        <f t="shared" si="8"/>
        <v>31</v>
      </c>
      <c r="B39" s="11">
        <f t="shared" si="9"/>
        <v>11</v>
      </c>
      <c r="C39" s="502">
        <f t="shared" si="10"/>
        <v>45961</v>
      </c>
      <c r="D39" s="7">
        <f t="shared" si="11"/>
        <v>100</v>
      </c>
      <c r="E39" s="12">
        <f t="shared" si="12"/>
        <v>0.9</v>
      </c>
      <c r="F39" s="473">
        <f t="shared" si="13"/>
        <v>227.00000000000017</v>
      </c>
      <c r="G39" s="473"/>
      <c r="H39" s="504">
        <f t="shared" si="14"/>
        <v>7.0000000000000001E-3</v>
      </c>
      <c r="I39" s="14">
        <f t="shared" si="15"/>
        <v>7.0000000000000001E-3</v>
      </c>
      <c r="J39" s="498">
        <f t="shared" si="0"/>
        <v>158.90000000000012</v>
      </c>
      <c r="K39" s="15"/>
      <c r="L39" s="8">
        <f t="shared" si="16"/>
        <v>4.5858585858585892</v>
      </c>
      <c r="M39" s="8">
        <f t="shared" si="17"/>
        <v>9.0909090909090917</v>
      </c>
      <c r="N39" s="499" t="str">
        <f t="shared" si="1"/>
        <v/>
      </c>
      <c r="O39" s="4"/>
      <c r="P39" s="118"/>
      <c r="Q39" s="118"/>
      <c r="R39" s="4" t="str">
        <f t="shared" ca="1" si="2"/>
        <v>Ok</v>
      </c>
      <c r="S39" s="501">
        <f ca="1">IF(R39="Não","",COUNTIFS($R$9:R39,"Ok"))</f>
        <v>31</v>
      </c>
      <c r="T39" s="6">
        <f t="shared" ca="1" si="3"/>
        <v>45961</v>
      </c>
      <c r="U39" s="501">
        <f t="shared" ca="1" si="4"/>
        <v>227.00000000000017</v>
      </c>
      <c r="V39" s="501">
        <f t="shared" ca="1" si="5"/>
        <v>4.5858585858585892</v>
      </c>
      <c r="W39" s="501">
        <f t="shared" si="6"/>
        <v>0</v>
      </c>
      <c r="X39" s="1">
        <f t="shared" si="7"/>
        <v>0</v>
      </c>
      <c r="Y39" s="1">
        <f t="shared" si="7"/>
        <v>0</v>
      </c>
    </row>
    <row r="40" spans="1:25" s="1" customFormat="1" x14ac:dyDescent="0.25">
      <c r="A40" s="7">
        <f t="shared" si="8"/>
        <v>32</v>
      </c>
      <c r="B40" s="11">
        <f t="shared" si="9"/>
        <v>11</v>
      </c>
      <c r="C40" s="502">
        <f t="shared" si="10"/>
        <v>45962</v>
      </c>
      <c r="D40" s="7">
        <f t="shared" si="11"/>
        <v>100</v>
      </c>
      <c r="E40" s="12">
        <f t="shared" si="12"/>
        <v>0.9</v>
      </c>
      <c r="F40" s="473">
        <f t="shared" si="13"/>
        <v>227.90000000000018</v>
      </c>
      <c r="G40" s="473"/>
      <c r="H40" s="504">
        <f t="shared" si="14"/>
        <v>7.0000000000000001E-3</v>
      </c>
      <c r="I40" s="14">
        <f t="shared" si="15"/>
        <v>7.0000000000000001E-3</v>
      </c>
      <c r="J40" s="498">
        <f t="shared" si="0"/>
        <v>159.53000000000011</v>
      </c>
      <c r="K40" s="15"/>
      <c r="L40" s="8">
        <f t="shared" si="16"/>
        <v>4.6040404040404077</v>
      </c>
      <c r="M40" s="8">
        <f t="shared" si="17"/>
        <v>9.0909090909090917</v>
      </c>
      <c r="N40" s="499" t="str">
        <f t="shared" si="1"/>
        <v/>
      </c>
      <c r="O40" s="4"/>
      <c r="P40" s="118"/>
      <c r="Q40" s="118"/>
      <c r="R40" s="4" t="str">
        <f t="shared" ca="1" si="2"/>
        <v>Ok</v>
      </c>
      <c r="S40" s="501">
        <f ca="1">IF(R40="Não","",COUNTIFS($R$9:R40,"Ok"))</f>
        <v>32</v>
      </c>
      <c r="T40" s="6">
        <f t="shared" ca="1" si="3"/>
        <v>45962</v>
      </c>
      <c r="U40" s="501">
        <f t="shared" ca="1" si="4"/>
        <v>227.90000000000018</v>
      </c>
      <c r="V40" s="501">
        <f t="shared" ca="1" si="5"/>
        <v>4.6040404040404077</v>
      </c>
      <c r="W40" s="501">
        <f t="shared" si="6"/>
        <v>0</v>
      </c>
      <c r="X40" s="1">
        <f t="shared" si="7"/>
        <v>0</v>
      </c>
      <c r="Y40" s="1">
        <f t="shared" si="7"/>
        <v>0</v>
      </c>
    </row>
    <row r="41" spans="1:25" s="1" customFormat="1" x14ac:dyDescent="0.25">
      <c r="A41" s="7">
        <f t="shared" si="8"/>
        <v>33</v>
      </c>
      <c r="B41" s="11">
        <f t="shared" si="9"/>
        <v>11</v>
      </c>
      <c r="C41" s="502">
        <f t="shared" si="10"/>
        <v>45963</v>
      </c>
      <c r="D41" s="7">
        <f t="shared" si="11"/>
        <v>100</v>
      </c>
      <c r="E41" s="12">
        <f t="shared" si="12"/>
        <v>0.9</v>
      </c>
      <c r="F41" s="473">
        <f t="shared" si="13"/>
        <v>228.80000000000018</v>
      </c>
      <c r="G41" s="473"/>
      <c r="H41" s="504">
        <f t="shared" si="14"/>
        <v>7.0000000000000001E-3</v>
      </c>
      <c r="I41" s="14">
        <f t="shared" si="15"/>
        <v>7.0000000000000001E-3</v>
      </c>
      <c r="J41" s="498">
        <f t="shared" si="0"/>
        <v>160.16000000000014</v>
      </c>
      <c r="K41" s="15"/>
      <c r="L41" s="8">
        <f t="shared" si="16"/>
        <v>4.6222222222222262</v>
      </c>
      <c r="M41" s="8">
        <f t="shared" si="17"/>
        <v>9.0909090909090917</v>
      </c>
      <c r="N41" s="499" t="str">
        <f t="shared" si="1"/>
        <v/>
      </c>
      <c r="O41" s="4"/>
      <c r="P41" s="118"/>
      <c r="Q41" s="118"/>
      <c r="R41" s="4" t="str">
        <f t="shared" ca="1" si="2"/>
        <v>Ok</v>
      </c>
      <c r="S41" s="501">
        <f ca="1">IF(R41="Não","",COUNTIFS($R$9:R41,"Ok"))</f>
        <v>33</v>
      </c>
      <c r="T41" s="6">
        <f t="shared" ca="1" si="3"/>
        <v>45963</v>
      </c>
      <c r="U41" s="501">
        <f t="shared" ca="1" si="4"/>
        <v>228.80000000000018</v>
      </c>
      <c r="V41" s="501">
        <f t="shared" ca="1" si="5"/>
        <v>4.6222222222222262</v>
      </c>
      <c r="W41" s="501">
        <f t="shared" si="6"/>
        <v>0</v>
      </c>
      <c r="X41" s="1">
        <f t="shared" si="7"/>
        <v>0</v>
      </c>
      <c r="Y41" s="1">
        <f t="shared" si="7"/>
        <v>0</v>
      </c>
    </row>
    <row r="42" spans="1:25" s="1" customFormat="1" x14ac:dyDescent="0.25">
      <c r="A42" s="7">
        <f t="shared" si="8"/>
        <v>34</v>
      </c>
      <c r="B42" s="11">
        <f t="shared" si="9"/>
        <v>11</v>
      </c>
      <c r="C42" s="502">
        <f t="shared" si="10"/>
        <v>45964</v>
      </c>
      <c r="D42" s="7">
        <f t="shared" si="11"/>
        <v>100</v>
      </c>
      <c r="E42" s="12">
        <f t="shared" si="12"/>
        <v>0.9</v>
      </c>
      <c r="F42" s="473">
        <f t="shared" si="13"/>
        <v>229.70000000000019</v>
      </c>
      <c r="G42" s="473"/>
      <c r="H42" s="504">
        <f t="shared" si="14"/>
        <v>7.0000000000000001E-3</v>
      </c>
      <c r="I42" s="14">
        <f t="shared" si="15"/>
        <v>7.0000000000000001E-3</v>
      </c>
      <c r="J42" s="498">
        <f t="shared" si="0"/>
        <v>160.79000000000013</v>
      </c>
      <c r="K42" s="15"/>
      <c r="L42" s="8">
        <f t="shared" si="16"/>
        <v>4.6404040404040439</v>
      </c>
      <c r="M42" s="8">
        <f t="shared" si="17"/>
        <v>9.0909090909090917</v>
      </c>
      <c r="N42" s="499" t="str">
        <f t="shared" si="1"/>
        <v/>
      </c>
      <c r="O42" s="4"/>
      <c r="P42" s="118"/>
      <c r="Q42" s="118"/>
      <c r="R42" s="4" t="str">
        <f t="shared" ca="1" si="2"/>
        <v>Ok</v>
      </c>
      <c r="S42" s="501">
        <f ca="1">IF(R42="Não","",COUNTIFS($R$9:R42,"Ok"))</f>
        <v>34</v>
      </c>
      <c r="T42" s="6">
        <f t="shared" ca="1" si="3"/>
        <v>45964</v>
      </c>
      <c r="U42" s="501">
        <f t="shared" ca="1" si="4"/>
        <v>229.70000000000019</v>
      </c>
      <c r="V42" s="501">
        <f t="shared" ca="1" si="5"/>
        <v>4.6404040404040439</v>
      </c>
      <c r="W42" s="501">
        <f t="shared" si="6"/>
        <v>0</v>
      </c>
      <c r="X42" s="1">
        <f t="shared" si="7"/>
        <v>0</v>
      </c>
      <c r="Y42" s="1">
        <f t="shared" si="7"/>
        <v>0</v>
      </c>
    </row>
    <row r="43" spans="1:25" s="1" customFormat="1" x14ac:dyDescent="0.25">
      <c r="A43" s="7">
        <f t="shared" si="8"/>
        <v>35</v>
      </c>
      <c r="B43" s="11">
        <f t="shared" si="9"/>
        <v>11</v>
      </c>
      <c r="C43" s="502">
        <f t="shared" si="10"/>
        <v>45965</v>
      </c>
      <c r="D43" s="7">
        <f t="shared" si="11"/>
        <v>100</v>
      </c>
      <c r="E43" s="12">
        <f t="shared" si="12"/>
        <v>0.9</v>
      </c>
      <c r="F43" s="473">
        <f t="shared" si="13"/>
        <v>230.60000000000019</v>
      </c>
      <c r="G43" s="473"/>
      <c r="H43" s="504">
        <f t="shared" si="14"/>
        <v>7.0000000000000001E-3</v>
      </c>
      <c r="I43" s="14">
        <f t="shared" si="15"/>
        <v>7.0000000000000001E-3</v>
      </c>
      <c r="J43" s="498">
        <f t="shared" si="0"/>
        <v>161.42000000000013</v>
      </c>
      <c r="K43" s="15"/>
      <c r="L43" s="8">
        <f t="shared" si="16"/>
        <v>4.6585858585858624</v>
      </c>
      <c r="M43" s="8">
        <f t="shared" si="17"/>
        <v>9.0909090909090917</v>
      </c>
      <c r="N43" s="499" t="str">
        <f t="shared" si="1"/>
        <v/>
      </c>
      <c r="O43" s="4"/>
      <c r="P43" s="118"/>
      <c r="Q43" s="118"/>
      <c r="R43" s="4" t="str">
        <f t="shared" ca="1" si="2"/>
        <v>Ok</v>
      </c>
      <c r="S43" s="501">
        <f ca="1">IF(R43="Não","",COUNTIFS($R$9:R43,"Ok"))</f>
        <v>35</v>
      </c>
      <c r="T43" s="6">
        <f t="shared" ca="1" si="3"/>
        <v>45965</v>
      </c>
      <c r="U43" s="501">
        <f t="shared" ca="1" si="4"/>
        <v>230.60000000000019</v>
      </c>
      <c r="V43" s="501">
        <f t="shared" ca="1" si="5"/>
        <v>4.6585858585858624</v>
      </c>
      <c r="W43" s="501">
        <f t="shared" si="6"/>
        <v>0</v>
      </c>
      <c r="X43" s="1">
        <f t="shared" si="7"/>
        <v>0</v>
      </c>
      <c r="Y43" s="1">
        <f t="shared" si="7"/>
        <v>0</v>
      </c>
    </row>
    <row r="44" spans="1:25" s="1" customFormat="1" x14ac:dyDescent="0.25">
      <c r="A44" s="7">
        <f t="shared" si="8"/>
        <v>36</v>
      </c>
      <c r="B44" s="11">
        <f t="shared" si="9"/>
        <v>11</v>
      </c>
      <c r="C44" s="502">
        <f t="shared" si="10"/>
        <v>45966</v>
      </c>
      <c r="D44" s="7">
        <f t="shared" si="11"/>
        <v>100</v>
      </c>
      <c r="E44" s="12">
        <f t="shared" si="12"/>
        <v>0.9</v>
      </c>
      <c r="F44" s="473">
        <f t="shared" si="13"/>
        <v>231.5000000000002</v>
      </c>
      <c r="G44" s="473"/>
      <c r="H44" s="504">
        <f t="shared" si="14"/>
        <v>7.0000000000000001E-3</v>
      </c>
      <c r="I44" s="14">
        <f t="shared" si="15"/>
        <v>7.0000000000000001E-3</v>
      </c>
      <c r="J44" s="498">
        <f t="shared" si="0"/>
        <v>162.05000000000013</v>
      </c>
      <c r="K44" s="15"/>
      <c r="L44" s="8">
        <f t="shared" si="16"/>
        <v>4.6767676767676809</v>
      </c>
      <c r="M44" s="8">
        <f t="shared" si="17"/>
        <v>9.0909090909090917</v>
      </c>
      <c r="N44" s="499" t="str">
        <f t="shared" si="1"/>
        <v/>
      </c>
      <c r="O44" s="4"/>
      <c r="P44" s="118"/>
      <c r="Q44" s="118"/>
      <c r="R44" s="4" t="str">
        <f t="shared" ca="1" si="2"/>
        <v>Ok</v>
      </c>
      <c r="S44" s="501">
        <f ca="1">IF(R44="Não","",COUNTIFS($R$9:R44,"Ok"))</f>
        <v>36</v>
      </c>
      <c r="T44" s="6">
        <f t="shared" ca="1" si="3"/>
        <v>45966</v>
      </c>
      <c r="U44" s="501">
        <f t="shared" ca="1" si="4"/>
        <v>231.5000000000002</v>
      </c>
      <c r="V44" s="501">
        <f t="shared" ca="1" si="5"/>
        <v>4.6767676767676809</v>
      </c>
      <c r="W44" s="501">
        <f t="shared" si="6"/>
        <v>0</v>
      </c>
      <c r="X44" s="1">
        <f t="shared" si="7"/>
        <v>0</v>
      </c>
      <c r="Y44" s="1">
        <f t="shared" si="7"/>
        <v>0</v>
      </c>
    </row>
    <row r="45" spans="1:25" s="1" customFormat="1" x14ac:dyDescent="0.25">
      <c r="A45" s="7">
        <f t="shared" si="8"/>
        <v>37</v>
      </c>
      <c r="B45" s="11">
        <f t="shared" si="9"/>
        <v>11</v>
      </c>
      <c r="C45" s="502">
        <f t="shared" si="10"/>
        <v>45967</v>
      </c>
      <c r="D45" s="7">
        <f t="shared" si="11"/>
        <v>100</v>
      </c>
      <c r="E45" s="12">
        <f t="shared" si="12"/>
        <v>0.9</v>
      </c>
      <c r="F45" s="473">
        <f t="shared" si="13"/>
        <v>232.4000000000002</v>
      </c>
      <c r="G45" s="473"/>
      <c r="H45" s="504">
        <f t="shared" si="14"/>
        <v>7.0000000000000001E-3</v>
      </c>
      <c r="I45" s="14">
        <f t="shared" si="15"/>
        <v>7.0000000000000001E-3</v>
      </c>
      <c r="J45" s="498">
        <f t="shared" si="0"/>
        <v>162.68000000000015</v>
      </c>
      <c r="K45" s="15"/>
      <c r="L45" s="8">
        <f t="shared" si="16"/>
        <v>4.6949494949494994</v>
      </c>
      <c r="M45" s="8">
        <f t="shared" si="17"/>
        <v>9.0909090909090917</v>
      </c>
      <c r="N45" s="499" t="str">
        <f t="shared" si="1"/>
        <v/>
      </c>
      <c r="O45" s="4"/>
      <c r="P45" s="118"/>
      <c r="Q45" s="118"/>
      <c r="R45" s="4" t="str">
        <f t="shared" ca="1" si="2"/>
        <v>Ok</v>
      </c>
      <c r="S45" s="501">
        <f ca="1">IF(R45="Não","",COUNTIFS($R$9:R45,"Ok"))</f>
        <v>37</v>
      </c>
      <c r="T45" s="6">
        <f t="shared" ca="1" si="3"/>
        <v>45967</v>
      </c>
      <c r="U45" s="501">
        <f t="shared" ca="1" si="4"/>
        <v>232.4000000000002</v>
      </c>
      <c r="V45" s="501">
        <f t="shared" ca="1" si="5"/>
        <v>4.6949494949494994</v>
      </c>
      <c r="W45" s="501">
        <f t="shared" si="6"/>
        <v>0</v>
      </c>
      <c r="X45" s="1">
        <f t="shared" si="7"/>
        <v>0</v>
      </c>
      <c r="Y45" s="1">
        <f t="shared" si="7"/>
        <v>0</v>
      </c>
    </row>
    <row r="46" spans="1:25" s="1" customFormat="1" x14ac:dyDescent="0.25">
      <c r="A46" s="7">
        <f t="shared" si="8"/>
        <v>38</v>
      </c>
      <c r="B46" s="11">
        <f t="shared" si="9"/>
        <v>11</v>
      </c>
      <c r="C46" s="502">
        <f t="shared" si="10"/>
        <v>45968</v>
      </c>
      <c r="D46" s="7">
        <f t="shared" si="11"/>
        <v>100</v>
      </c>
      <c r="E46" s="12">
        <f t="shared" si="12"/>
        <v>0.9</v>
      </c>
      <c r="F46" s="473">
        <f t="shared" si="13"/>
        <v>233.30000000000021</v>
      </c>
      <c r="G46" s="473"/>
      <c r="H46" s="504">
        <f t="shared" si="14"/>
        <v>7.0000000000000001E-3</v>
      </c>
      <c r="I46" s="14">
        <f t="shared" si="15"/>
        <v>7.0000000000000001E-3</v>
      </c>
      <c r="J46" s="498">
        <f t="shared" si="0"/>
        <v>163.31000000000014</v>
      </c>
      <c r="K46" s="15"/>
      <c r="L46" s="8">
        <f t="shared" si="16"/>
        <v>4.7131313131313171</v>
      </c>
      <c r="M46" s="8">
        <f t="shared" si="17"/>
        <v>9.0909090909090917</v>
      </c>
      <c r="N46" s="499" t="str">
        <f t="shared" si="1"/>
        <v/>
      </c>
      <c r="O46" s="4"/>
      <c r="P46" s="118"/>
      <c r="Q46" s="118"/>
      <c r="R46" s="4" t="str">
        <f t="shared" ca="1" si="2"/>
        <v>Ok</v>
      </c>
      <c r="S46" s="501">
        <f ca="1">IF(R46="Não","",COUNTIFS($R$9:R46,"Ok"))</f>
        <v>38</v>
      </c>
      <c r="T46" s="6">
        <f t="shared" ca="1" si="3"/>
        <v>45968</v>
      </c>
      <c r="U46" s="501">
        <f t="shared" ca="1" si="4"/>
        <v>233.30000000000021</v>
      </c>
      <c r="V46" s="501">
        <f t="shared" ca="1" si="5"/>
        <v>4.7131313131313171</v>
      </c>
      <c r="W46" s="501">
        <f t="shared" si="6"/>
        <v>0</v>
      </c>
      <c r="X46" s="1">
        <f t="shared" si="7"/>
        <v>0</v>
      </c>
      <c r="Y46" s="1">
        <f t="shared" si="7"/>
        <v>0</v>
      </c>
    </row>
    <row r="47" spans="1:25" s="1" customFormat="1" x14ac:dyDescent="0.25">
      <c r="A47" s="7">
        <f t="shared" si="8"/>
        <v>39</v>
      </c>
      <c r="B47" s="11">
        <f t="shared" si="9"/>
        <v>11</v>
      </c>
      <c r="C47" s="502">
        <f t="shared" si="10"/>
        <v>45969</v>
      </c>
      <c r="D47" s="7">
        <f t="shared" si="11"/>
        <v>100</v>
      </c>
      <c r="E47" s="12">
        <f t="shared" si="12"/>
        <v>0.9</v>
      </c>
      <c r="F47" s="473">
        <f t="shared" si="13"/>
        <v>234.20000000000022</v>
      </c>
      <c r="G47" s="473"/>
      <c r="H47" s="504">
        <f t="shared" si="14"/>
        <v>7.0000000000000001E-3</v>
      </c>
      <c r="I47" s="14">
        <f t="shared" si="15"/>
        <v>7.0000000000000001E-3</v>
      </c>
      <c r="J47" s="498">
        <f t="shared" si="0"/>
        <v>163.94000000000014</v>
      </c>
      <c r="K47" s="15"/>
      <c r="L47" s="8">
        <f t="shared" si="16"/>
        <v>4.7313131313131356</v>
      </c>
      <c r="M47" s="8">
        <f t="shared" si="17"/>
        <v>9.0909090909090917</v>
      </c>
      <c r="N47" s="499" t="str">
        <f t="shared" si="1"/>
        <v/>
      </c>
      <c r="O47" s="4"/>
      <c r="P47" s="118"/>
      <c r="Q47" s="118"/>
      <c r="R47" s="4" t="str">
        <f t="shared" ca="1" si="2"/>
        <v>Ok</v>
      </c>
      <c r="S47" s="501">
        <f ca="1">IF(R47="Não","",COUNTIFS($R$9:R47,"Ok"))</f>
        <v>39</v>
      </c>
      <c r="T47" s="6">
        <f t="shared" ca="1" si="3"/>
        <v>45969</v>
      </c>
      <c r="U47" s="501">
        <f t="shared" ca="1" si="4"/>
        <v>234.20000000000022</v>
      </c>
      <c r="V47" s="501">
        <f t="shared" ca="1" si="5"/>
        <v>4.7313131313131356</v>
      </c>
      <c r="W47" s="501">
        <f t="shared" si="6"/>
        <v>0</v>
      </c>
      <c r="X47" s="1">
        <f t="shared" si="7"/>
        <v>0</v>
      </c>
      <c r="Y47" s="1">
        <f t="shared" si="7"/>
        <v>0</v>
      </c>
    </row>
    <row r="48" spans="1:25" s="1" customFormat="1" x14ac:dyDescent="0.25">
      <c r="A48" s="7">
        <f t="shared" si="8"/>
        <v>40</v>
      </c>
      <c r="B48" s="11">
        <f t="shared" si="9"/>
        <v>11</v>
      </c>
      <c r="C48" s="502">
        <f t="shared" si="10"/>
        <v>45970</v>
      </c>
      <c r="D48" s="7">
        <f t="shared" si="11"/>
        <v>100</v>
      </c>
      <c r="E48" s="12">
        <f t="shared" si="12"/>
        <v>0.9</v>
      </c>
      <c r="F48" s="473">
        <f t="shared" si="13"/>
        <v>235.10000000000022</v>
      </c>
      <c r="G48" s="473"/>
      <c r="H48" s="504">
        <f t="shared" si="14"/>
        <v>7.0000000000000001E-3</v>
      </c>
      <c r="I48" s="14">
        <f t="shared" si="15"/>
        <v>7.0000000000000001E-3</v>
      </c>
      <c r="J48" s="498">
        <f t="shared" si="0"/>
        <v>164.57000000000016</v>
      </c>
      <c r="K48" s="15"/>
      <c r="L48" s="8">
        <f t="shared" si="16"/>
        <v>4.7494949494949532</v>
      </c>
      <c r="M48" s="8">
        <f t="shared" si="17"/>
        <v>9.0909090909090917</v>
      </c>
      <c r="N48" s="499" t="str">
        <f t="shared" si="1"/>
        <v/>
      </c>
      <c r="O48" s="4"/>
      <c r="P48" s="118"/>
      <c r="Q48" s="118"/>
      <c r="R48" s="4" t="str">
        <f t="shared" ca="1" si="2"/>
        <v>Ok</v>
      </c>
      <c r="S48" s="501">
        <f ca="1">IF(R48="Não","",COUNTIFS($R$9:R48,"Ok"))</f>
        <v>40</v>
      </c>
      <c r="T48" s="6">
        <f t="shared" ca="1" si="3"/>
        <v>45970</v>
      </c>
      <c r="U48" s="501">
        <f t="shared" ca="1" si="4"/>
        <v>235.10000000000022</v>
      </c>
      <c r="V48" s="501">
        <f t="shared" ca="1" si="5"/>
        <v>4.7494949494949532</v>
      </c>
      <c r="W48" s="501">
        <f t="shared" si="6"/>
        <v>0</v>
      </c>
      <c r="X48" s="1">
        <f t="shared" si="7"/>
        <v>0</v>
      </c>
      <c r="Y48" s="1">
        <f t="shared" si="7"/>
        <v>0</v>
      </c>
    </row>
    <row r="49" spans="1:25" s="1" customFormat="1" x14ac:dyDescent="0.25">
      <c r="A49" s="7">
        <f t="shared" si="8"/>
        <v>41</v>
      </c>
      <c r="B49" s="11">
        <f t="shared" si="9"/>
        <v>11</v>
      </c>
      <c r="C49" s="502">
        <f t="shared" si="10"/>
        <v>45971</v>
      </c>
      <c r="D49" s="7">
        <f t="shared" si="11"/>
        <v>100</v>
      </c>
      <c r="E49" s="12">
        <f t="shared" si="12"/>
        <v>0.9</v>
      </c>
      <c r="F49" s="473">
        <f t="shared" si="13"/>
        <v>236.00000000000023</v>
      </c>
      <c r="G49" s="473"/>
      <c r="H49" s="504">
        <f t="shared" si="14"/>
        <v>7.0000000000000001E-3</v>
      </c>
      <c r="I49" s="14">
        <f t="shared" si="15"/>
        <v>7.0000000000000001E-3</v>
      </c>
      <c r="J49" s="498">
        <f t="shared" si="0"/>
        <v>165.20000000000016</v>
      </c>
      <c r="K49" s="15"/>
      <c r="L49" s="8">
        <f t="shared" si="16"/>
        <v>4.7676767676767717</v>
      </c>
      <c r="M49" s="8">
        <f t="shared" si="17"/>
        <v>9.0909090909090917</v>
      </c>
      <c r="N49" s="499" t="str">
        <f t="shared" si="1"/>
        <v/>
      </c>
      <c r="O49" s="4"/>
      <c r="P49" s="118"/>
      <c r="Q49" s="118"/>
      <c r="R49" s="4" t="str">
        <f t="shared" ca="1" si="2"/>
        <v>Ok</v>
      </c>
      <c r="S49" s="501">
        <f ca="1">IF(R49="Não","",COUNTIFS($R$9:R49,"Ok"))</f>
        <v>41</v>
      </c>
      <c r="T49" s="6">
        <f t="shared" ca="1" si="3"/>
        <v>45971</v>
      </c>
      <c r="U49" s="501">
        <f t="shared" ca="1" si="4"/>
        <v>236.00000000000023</v>
      </c>
      <c r="V49" s="501">
        <f t="shared" ca="1" si="5"/>
        <v>4.7676767676767717</v>
      </c>
      <c r="W49" s="501">
        <f t="shared" si="6"/>
        <v>0</v>
      </c>
      <c r="X49" s="1">
        <f t="shared" si="7"/>
        <v>0</v>
      </c>
      <c r="Y49" s="1">
        <f t="shared" si="7"/>
        <v>0</v>
      </c>
    </row>
    <row r="50" spans="1:25" s="1" customFormat="1" x14ac:dyDescent="0.25">
      <c r="A50" s="7">
        <f t="shared" si="8"/>
        <v>42</v>
      </c>
      <c r="B50" s="11">
        <f t="shared" si="9"/>
        <v>11</v>
      </c>
      <c r="C50" s="502">
        <f t="shared" si="10"/>
        <v>45972</v>
      </c>
      <c r="D50" s="7">
        <f t="shared" si="11"/>
        <v>100</v>
      </c>
      <c r="E50" s="12">
        <f t="shared" si="12"/>
        <v>0.9</v>
      </c>
      <c r="F50" s="473">
        <f t="shared" si="13"/>
        <v>236.90000000000023</v>
      </c>
      <c r="G50" s="473"/>
      <c r="H50" s="504">
        <f t="shared" si="14"/>
        <v>7.0000000000000001E-3</v>
      </c>
      <c r="I50" s="14">
        <f t="shared" si="15"/>
        <v>7.0000000000000001E-3</v>
      </c>
      <c r="J50" s="498">
        <f t="shared" si="0"/>
        <v>165.83000000000015</v>
      </c>
      <c r="K50" s="15"/>
      <c r="L50" s="8">
        <f t="shared" si="16"/>
        <v>4.7858585858585903</v>
      </c>
      <c r="M50" s="8">
        <f t="shared" si="17"/>
        <v>9.0909090909090917</v>
      </c>
      <c r="N50" s="499" t="str">
        <f t="shared" si="1"/>
        <v/>
      </c>
      <c r="O50" s="4"/>
      <c r="P50" s="118"/>
      <c r="Q50" s="118"/>
      <c r="R50" s="4" t="str">
        <f t="shared" ca="1" si="2"/>
        <v>Ok</v>
      </c>
      <c r="S50" s="501">
        <f ca="1">IF(R50="Não","",COUNTIFS($R$9:R50,"Ok"))</f>
        <v>42</v>
      </c>
      <c r="T50" s="6">
        <f t="shared" ca="1" si="3"/>
        <v>45972</v>
      </c>
      <c r="U50" s="501">
        <f t="shared" ca="1" si="4"/>
        <v>236.90000000000023</v>
      </c>
      <c r="V50" s="501">
        <f t="shared" ca="1" si="5"/>
        <v>4.7858585858585903</v>
      </c>
      <c r="W50" s="501">
        <f t="shared" si="6"/>
        <v>0</v>
      </c>
      <c r="X50" s="1">
        <f t="shared" si="7"/>
        <v>0</v>
      </c>
      <c r="Y50" s="1">
        <f t="shared" si="7"/>
        <v>0</v>
      </c>
    </row>
    <row r="51" spans="1:25" s="1" customFormat="1" x14ac:dyDescent="0.25">
      <c r="A51" s="7">
        <f t="shared" si="8"/>
        <v>43</v>
      </c>
      <c r="B51" s="11">
        <f t="shared" si="9"/>
        <v>11</v>
      </c>
      <c r="C51" s="502">
        <f t="shared" si="10"/>
        <v>45973</v>
      </c>
      <c r="D51" s="7">
        <f t="shared" si="11"/>
        <v>100</v>
      </c>
      <c r="E51" s="12">
        <f t="shared" si="12"/>
        <v>0.9</v>
      </c>
      <c r="F51" s="473">
        <f t="shared" si="13"/>
        <v>237.80000000000024</v>
      </c>
      <c r="G51" s="473"/>
      <c r="H51" s="504">
        <f t="shared" si="14"/>
        <v>7.0000000000000001E-3</v>
      </c>
      <c r="I51" s="14">
        <f t="shared" si="15"/>
        <v>7.0000000000000001E-3</v>
      </c>
      <c r="J51" s="498">
        <f t="shared" si="0"/>
        <v>166.46000000000015</v>
      </c>
      <c r="K51" s="15"/>
      <c r="L51" s="8">
        <f t="shared" si="16"/>
        <v>4.8040404040404088</v>
      </c>
      <c r="M51" s="8">
        <f t="shared" si="17"/>
        <v>9.0909090909090917</v>
      </c>
      <c r="N51" s="499" t="str">
        <f t="shared" si="1"/>
        <v/>
      </c>
      <c r="O51" s="4"/>
      <c r="P51" s="118"/>
      <c r="Q51" s="118"/>
      <c r="R51" s="4" t="str">
        <f t="shared" ca="1" si="2"/>
        <v>Ok</v>
      </c>
      <c r="S51" s="501">
        <f ca="1">IF(R51="Não","",COUNTIFS($R$9:R51,"Ok"))</f>
        <v>43</v>
      </c>
      <c r="T51" s="6">
        <f t="shared" ca="1" si="3"/>
        <v>45973</v>
      </c>
      <c r="U51" s="501">
        <f t="shared" ca="1" si="4"/>
        <v>237.80000000000024</v>
      </c>
      <c r="V51" s="501">
        <f t="shared" ca="1" si="5"/>
        <v>4.8040404040404088</v>
      </c>
      <c r="W51" s="501">
        <f t="shared" si="6"/>
        <v>0</v>
      </c>
      <c r="X51" s="1">
        <f t="shared" si="7"/>
        <v>0</v>
      </c>
      <c r="Y51" s="1">
        <f t="shared" si="7"/>
        <v>0</v>
      </c>
    </row>
    <row r="52" spans="1:25" s="1" customFormat="1" x14ac:dyDescent="0.25">
      <c r="A52" s="7">
        <f t="shared" si="8"/>
        <v>44</v>
      </c>
      <c r="B52" s="11">
        <f t="shared" si="9"/>
        <v>11</v>
      </c>
      <c r="C52" s="502">
        <f t="shared" si="10"/>
        <v>45974</v>
      </c>
      <c r="D52" s="7">
        <f t="shared" si="11"/>
        <v>100</v>
      </c>
      <c r="E52" s="12">
        <f t="shared" si="12"/>
        <v>0.9</v>
      </c>
      <c r="F52" s="473">
        <f t="shared" si="13"/>
        <v>238.70000000000024</v>
      </c>
      <c r="G52" s="473"/>
      <c r="H52" s="504">
        <f t="shared" si="14"/>
        <v>7.0000000000000001E-3</v>
      </c>
      <c r="I52" s="14">
        <f t="shared" si="15"/>
        <v>7.0000000000000001E-3</v>
      </c>
      <c r="J52" s="498">
        <f t="shared" si="0"/>
        <v>167.09000000000017</v>
      </c>
      <c r="K52" s="15"/>
      <c r="L52" s="8">
        <f t="shared" si="16"/>
        <v>4.8222222222222273</v>
      </c>
      <c r="M52" s="8">
        <f t="shared" si="17"/>
        <v>9.0909090909090917</v>
      </c>
      <c r="N52" s="499" t="str">
        <f t="shared" si="1"/>
        <v/>
      </c>
      <c r="O52" s="4"/>
      <c r="P52" s="118"/>
      <c r="Q52" s="118"/>
      <c r="R52" s="4" t="str">
        <f t="shared" ca="1" si="2"/>
        <v>Ok</v>
      </c>
      <c r="S52" s="501">
        <f ca="1">IF(R52="Não","",COUNTIFS($R$9:R52,"Ok"))</f>
        <v>44</v>
      </c>
      <c r="T52" s="6">
        <f t="shared" ca="1" si="3"/>
        <v>45974</v>
      </c>
      <c r="U52" s="501">
        <f t="shared" ca="1" si="4"/>
        <v>238.70000000000024</v>
      </c>
      <c r="V52" s="501">
        <f t="shared" ca="1" si="5"/>
        <v>4.8222222222222273</v>
      </c>
      <c r="W52" s="501">
        <f t="shared" si="6"/>
        <v>0</v>
      </c>
      <c r="X52" s="1">
        <f t="shared" si="7"/>
        <v>0</v>
      </c>
      <c r="Y52" s="1">
        <f t="shared" si="7"/>
        <v>0</v>
      </c>
    </row>
    <row r="53" spans="1:25" s="1" customFormat="1" x14ac:dyDescent="0.25">
      <c r="A53" s="7">
        <f t="shared" si="8"/>
        <v>45</v>
      </c>
      <c r="B53" s="11">
        <f t="shared" si="9"/>
        <v>11</v>
      </c>
      <c r="C53" s="502">
        <f t="shared" si="10"/>
        <v>45975</v>
      </c>
      <c r="D53" s="7">
        <f t="shared" si="11"/>
        <v>100</v>
      </c>
      <c r="E53" s="12">
        <f t="shared" si="12"/>
        <v>0.9</v>
      </c>
      <c r="F53" s="473">
        <f t="shared" si="13"/>
        <v>239.60000000000025</v>
      </c>
      <c r="G53" s="473"/>
      <c r="H53" s="504">
        <f t="shared" si="14"/>
        <v>7.0000000000000001E-3</v>
      </c>
      <c r="I53" s="14">
        <f t="shared" si="15"/>
        <v>7.0000000000000001E-3</v>
      </c>
      <c r="J53" s="498">
        <f t="shared" si="0"/>
        <v>167.72000000000017</v>
      </c>
      <c r="K53" s="15"/>
      <c r="L53" s="8">
        <f t="shared" si="16"/>
        <v>4.8404040404040458</v>
      </c>
      <c r="M53" s="8">
        <f t="shared" si="17"/>
        <v>9.0909090909090917</v>
      </c>
      <c r="N53" s="499" t="str">
        <f t="shared" si="1"/>
        <v/>
      </c>
      <c r="O53" s="4"/>
      <c r="P53" s="118"/>
      <c r="Q53" s="118"/>
      <c r="R53" s="4" t="str">
        <f t="shared" ca="1" si="2"/>
        <v>Ok</v>
      </c>
      <c r="S53" s="501">
        <f ca="1">IF(R53="Não","",COUNTIFS($R$9:R53,"Ok"))</f>
        <v>45</v>
      </c>
      <c r="T53" s="6">
        <f t="shared" ca="1" si="3"/>
        <v>45975</v>
      </c>
      <c r="U53" s="501">
        <f t="shared" ca="1" si="4"/>
        <v>239.60000000000025</v>
      </c>
      <c r="V53" s="501">
        <f t="shared" ca="1" si="5"/>
        <v>4.8404040404040458</v>
      </c>
      <c r="W53" s="501">
        <f t="shared" si="6"/>
        <v>0</v>
      </c>
      <c r="X53" s="1">
        <f t="shared" si="7"/>
        <v>0</v>
      </c>
      <c r="Y53" s="1">
        <f t="shared" si="7"/>
        <v>0</v>
      </c>
    </row>
    <row r="54" spans="1:25" s="1" customFormat="1" x14ac:dyDescent="0.25">
      <c r="A54" s="7">
        <f t="shared" si="8"/>
        <v>46</v>
      </c>
      <c r="B54" s="11">
        <f t="shared" si="9"/>
        <v>11</v>
      </c>
      <c r="C54" s="502">
        <f t="shared" si="10"/>
        <v>45976</v>
      </c>
      <c r="D54" s="7">
        <f t="shared" si="11"/>
        <v>100</v>
      </c>
      <c r="E54" s="12">
        <f t="shared" si="12"/>
        <v>0.9</v>
      </c>
      <c r="F54" s="473">
        <f t="shared" si="13"/>
        <v>240.50000000000026</v>
      </c>
      <c r="G54" s="473"/>
      <c r="H54" s="504">
        <f t="shared" si="14"/>
        <v>7.0000000000000001E-3</v>
      </c>
      <c r="I54" s="14">
        <f t="shared" si="15"/>
        <v>7.0000000000000001E-3</v>
      </c>
      <c r="J54" s="498">
        <f t="shared" si="0"/>
        <v>168.35000000000016</v>
      </c>
      <c r="K54" s="15"/>
      <c r="L54" s="8">
        <f t="shared" si="16"/>
        <v>4.8585858585858634</v>
      </c>
      <c r="M54" s="8">
        <f t="shared" si="17"/>
        <v>9.0909090909090917</v>
      </c>
      <c r="N54" s="499" t="str">
        <f t="shared" si="1"/>
        <v/>
      </c>
      <c r="O54" s="4"/>
      <c r="P54" s="118"/>
      <c r="Q54" s="118"/>
      <c r="R54" s="4" t="str">
        <f t="shared" ca="1" si="2"/>
        <v>Ok</v>
      </c>
      <c r="S54" s="501">
        <f ca="1">IF(R54="Não","",COUNTIFS($R$9:R54,"Ok"))</f>
        <v>46</v>
      </c>
      <c r="T54" s="6">
        <f t="shared" ca="1" si="3"/>
        <v>45976</v>
      </c>
      <c r="U54" s="501">
        <f t="shared" ca="1" si="4"/>
        <v>240.50000000000026</v>
      </c>
      <c r="V54" s="501">
        <f t="shared" ca="1" si="5"/>
        <v>4.8585858585858634</v>
      </c>
      <c r="W54" s="501">
        <f t="shared" si="6"/>
        <v>0</v>
      </c>
      <c r="X54" s="1">
        <f t="shared" si="7"/>
        <v>0</v>
      </c>
      <c r="Y54" s="1">
        <f t="shared" si="7"/>
        <v>0</v>
      </c>
    </row>
    <row r="55" spans="1:25" s="1" customFormat="1" x14ac:dyDescent="0.25">
      <c r="A55" s="7">
        <f t="shared" si="8"/>
        <v>47</v>
      </c>
      <c r="B55" s="11">
        <f t="shared" si="9"/>
        <v>11</v>
      </c>
      <c r="C55" s="502">
        <f t="shared" si="10"/>
        <v>45977</v>
      </c>
      <c r="D55" s="7">
        <f t="shared" si="11"/>
        <v>100</v>
      </c>
      <c r="E55" s="12">
        <f t="shared" si="12"/>
        <v>0.9</v>
      </c>
      <c r="F55" s="473">
        <f t="shared" si="13"/>
        <v>241.40000000000026</v>
      </c>
      <c r="G55" s="473"/>
      <c r="H55" s="504">
        <f t="shared" si="14"/>
        <v>7.0000000000000001E-3</v>
      </c>
      <c r="I55" s="14">
        <f t="shared" si="15"/>
        <v>7.0000000000000001E-3</v>
      </c>
      <c r="J55" s="498">
        <f t="shared" si="0"/>
        <v>168.98000000000019</v>
      </c>
      <c r="K55" s="15"/>
      <c r="L55" s="8">
        <f t="shared" si="16"/>
        <v>4.876767676767682</v>
      </c>
      <c r="M55" s="8">
        <f t="shared" si="17"/>
        <v>9.0909090909090917</v>
      </c>
      <c r="N55" s="499" t="str">
        <f t="shared" si="1"/>
        <v/>
      </c>
      <c r="O55" s="4"/>
      <c r="P55" s="118"/>
      <c r="Q55" s="118"/>
      <c r="R55" s="4" t="str">
        <f t="shared" ca="1" si="2"/>
        <v>Ok</v>
      </c>
      <c r="S55" s="501">
        <f ca="1">IF(R55="Não","",COUNTIFS($R$9:R55,"Ok"))</f>
        <v>47</v>
      </c>
      <c r="T55" s="6">
        <f t="shared" ca="1" si="3"/>
        <v>45977</v>
      </c>
      <c r="U55" s="501">
        <f t="shared" ca="1" si="4"/>
        <v>241.40000000000026</v>
      </c>
      <c r="V55" s="501">
        <f t="shared" ca="1" si="5"/>
        <v>4.876767676767682</v>
      </c>
      <c r="W55" s="501">
        <f t="shared" si="6"/>
        <v>0</v>
      </c>
      <c r="X55" s="1">
        <f t="shared" si="7"/>
        <v>0</v>
      </c>
      <c r="Y55" s="1">
        <f t="shared" si="7"/>
        <v>0</v>
      </c>
    </row>
    <row r="56" spans="1:25" s="1" customFormat="1" x14ac:dyDescent="0.25">
      <c r="A56" s="7">
        <f t="shared" si="8"/>
        <v>48</v>
      </c>
      <c r="B56" s="11">
        <f t="shared" si="9"/>
        <v>11</v>
      </c>
      <c r="C56" s="502">
        <f t="shared" si="10"/>
        <v>45978</v>
      </c>
      <c r="D56" s="7">
        <f t="shared" si="11"/>
        <v>100</v>
      </c>
      <c r="E56" s="12">
        <f t="shared" si="12"/>
        <v>0.9</v>
      </c>
      <c r="F56" s="473">
        <f t="shared" si="13"/>
        <v>242.30000000000027</v>
      </c>
      <c r="G56" s="473"/>
      <c r="H56" s="504">
        <f t="shared" si="14"/>
        <v>7.0000000000000001E-3</v>
      </c>
      <c r="I56" s="14">
        <f t="shared" si="15"/>
        <v>7.0000000000000001E-3</v>
      </c>
      <c r="J56" s="498">
        <f t="shared" si="0"/>
        <v>169.61000000000018</v>
      </c>
      <c r="K56" s="15"/>
      <c r="L56" s="8">
        <f t="shared" si="16"/>
        <v>4.8949494949494996</v>
      </c>
      <c r="M56" s="8">
        <f t="shared" si="17"/>
        <v>9.0909090909090917</v>
      </c>
      <c r="N56" s="499" t="str">
        <f t="shared" si="1"/>
        <v/>
      </c>
      <c r="O56" s="4"/>
      <c r="P56" s="118"/>
      <c r="Q56" s="118"/>
      <c r="R56" s="4" t="str">
        <f t="shared" ca="1" si="2"/>
        <v>Ok</v>
      </c>
      <c r="S56" s="501">
        <f ca="1">IF(R56="Não","",COUNTIFS($R$9:R56,"Ok"))</f>
        <v>48</v>
      </c>
      <c r="T56" s="6">
        <f t="shared" ca="1" si="3"/>
        <v>45978</v>
      </c>
      <c r="U56" s="501">
        <f t="shared" ca="1" si="4"/>
        <v>242.30000000000027</v>
      </c>
      <c r="V56" s="501">
        <f t="shared" ca="1" si="5"/>
        <v>4.8949494949494996</v>
      </c>
      <c r="W56" s="501">
        <f t="shared" si="6"/>
        <v>0</v>
      </c>
      <c r="X56" s="1">
        <f t="shared" si="7"/>
        <v>0</v>
      </c>
      <c r="Y56" s="1">
        <f t="shared" si="7"/>
        <v>0</v>
      </c>
    </row>
    <row r="57" spans="1:25" s="1" customFormat="1" x14ac:dyDescent="0.25">
      <c r="A57" s="7">
        <f t="shared" si="8"/>
        <v>49</v>
      </c>
      <c r="B57" s="11">
        <f t="shared" si="9"/>
        <v>11</v>
      </c>
      <c r="C57" s="502">
        <f t="shared" si="10"/>
        <v>45979</v>
      </c>
      <c r="D57" s="7">
        <f t="shared" si="11"/>
        <v>100</v>
      </c>
      <c r="E57" s="12">
        <f t="shared" si="12"/>
        <v>0.9</v>
      </c>
      <c r="F57" s="473">
        <f t="shared" si="13"/>
        <v>243.20000000000027</v>
      </c>
      <c r="G57" s="473"/>
      <c r="H57" s="504">
        <f t="shared" si="14"/>
        <v>7.0000000000000001E-3</v>
      </c>
      <c r="I57" s="14">
        <f t="shared" si="15"/>
        <v>7.0000000000000001E-3</v>
      </c>
      <c r="J57" s="498">
        <f t="shared" si="0"/>
        <v>170.24000000000018</v>
      </c>
      <c r="K57" s="15"/>
      <c r="L57" s="8">
        <f t="shared" si="16"/>
        <v>4.913131313131319</v>
      </c>
      <c r="M57" s="8">
        <f t="shared" si="17"/>
        <v>9.0909090909090917</v>
      </c>
      <c r="N57" s="499" t="str">
        <f t="shared" si="1"/>
        <v/>
      </c>
      <c r="O57" s="4"/>
      <c r="P57" s="118"/>
      <c r="Q57" s="118"/>
      <c r="R57" s="4" t="str">
        <f t="shared" ca="1" si="2"/>
        <v>Ok</v>
      </c>
      <c r="S57" s="501">
        <f ca="1">IF(R57="Não","",COUNTIFS($R$9:R57,"Ok"))</f>
        <v>49</v>
      </c>
      <c r="T57" s="6">
        <f t="shared" ca="1" si="3"/>
        <v>45979</v>
      </c>
      <c r="U57" s="501">
        <f t="shared" ca="1" si="4"/>
        <v>243.20000000000027</v>
      </c>
      <c r="V57" s="501">
        <f t="shared" ca="1" si="5"/>
        <v>4.913131313131319</v>
      </c>
      <c r="W57" s="501">
        <f t="shared" si="6"/>
        <v>0</v>
      </c>
      <c r="X57" s="1">
        <f t="shared" si="7"/>
        <v>0</v>
      </c>
      <c r="Y57" s="1">
        <f t="shared" si="7"/>
        <v>0</v>
      </c>
    </row>
    <row r="58" spans="1:25" s="1" customFormat="1" x14ac:dyDescent="0.25">
      <c r="A58" s="7">
        <f t="shared" si="8"/>
        <v>50</v>
      </c>
      <c r="B58" s="11">
        <f t="shared" si="9"/>
        <v>11</v>
      </c>
      <c r="C58" s="502">
        <f t="shared" si="10"/>
        <v>45980</v>
      </c>
      <c r="D58" s="7">
        <f t="shared" si="11"/>
        <v>100</v>
      </c>
      <c r="E58" s="12">
        <f t="shared" si="12"/>
        <v>0.9</v>
      </c>
      <c r="F58" s="473">
        <f t="shared" si="13"/>
        <v>244.10000000000028</v>
      </c>
      <c r="G58" s="473"/>
      <c r="H58" s="504">
        <f t="shared" si="14"/>
        <v>7.0000000000000001E-3</v>
      </c>
      <c r="I58" s="14">
        <f t="shared" si="15"/>
        <v>7.0000000000000001E-3</v>
      </c>
      <c r="J58" s="498">
        <f t="shared" si="0"/>
        <v>170.87000000000018</v>
      </c>
      <c r="K58" s="15"/>
      <c r="L58" s="8">
        <f t="shared" si="16"/>
        <v>4.9313131313131375</v>
      </c>
      <c r="M58" s="8">
        <f t="shared" si="17"/>
        <v>9.0909090909090917</v>
      </c>
      <c r="N58" s="499" t="str">
        <f t="shared" si="1"/>
        <v/>
      </c>
      <c r="O58" s="4"/>
      <c r="P58" s="118"/>
      <c r="Q58" s="118"/>
      <c r="R58" s="4" t="str">
        <f t="shared" ca="1" si="2"/>
        <v>Ok</v>
      </c>
      <c r="S58" s="501">
        <f ca="1">IF(R58="Não","",COUNTIFS($R$9:R58,"Ok"))</f>
        <v>50</v>
      </c>
      <c r="T58" s="6">
        <f t="shared" ca="1" si="3"/>
        <v>45980</v>
      </c>
      <c r="U58" s="501">
        <f t="shared" ca="1" si="4"/>
        <v>244.10000000000028</v>
      </c>
      <c r="V58" s="501">
        <f t="shared" ca="1" si="5"/>
        <v>4.9313131313131375</v>
      </c>
      <c r="W58" s="501">
        <f t="shared" si="6"/>
        <v>0</v>
      </c>
      <c r="X58" s="1">
        <f t="shared" si="7"/>
        <v>0</v>
      </c>
      <c r="Y58" s="1">
        <f t="shared" si="7"/>
        <v>0</v>
      </c>
    </row>
    <row r="59" spans="1:25" s="1" customFormat="1" x14ac:dyDescent="0.25">
      <c r="A59" s="7">
        <f t="shared" si="8"/>
        <v>51</v>
      </c>
      <c r="B59" s="11">
        <f t="shared" si="9"/>
        <v>11</v>
      </c>
      <c r="C59" s="502">
        <f t="shared" si="10"/>
        <v>45981</v>
      </c>
      <c r="D59" s="7">
        <f t="shared" si="11"/>
        <v>100</v>
      </c>
      <c r="E59" s="12">
        <f t="shared" si="12"/>
        <v>0.9</v>
      </c>
      <c r="F59" s="473">
        <f t="shared" si="13"/>
        <v>245.00000000000028</v>
      </c>
      <c r="G59" s="473"/>
      <c r="H59" s="504">
        <f t="shared" si="14"/>
        <v>7.0000000000000001E-3</v>
      </c>
      <c r="I59" s="14">
        <f t="shared" si="15"/>
        <v>7.0000000000000001E-3</v>
      </c>
      <c r="J59" s="498">
        <f t="shared" si="0"/>
        <v>171.5000000000002</v>
      </c>
      <c r="K59" s="15"/>
      <c r="L59" s="8">
        <f t="shared" si="16"/>
        <v>4.9494949494949552</v>
      </c>
      <c r="M59" s="8">
        <f t="shared" si="17"/>
        <v>9.0909090909090917</v>
      </c>
      <c r="N59" s="499" t="str">
        <f t="shared" si="1"/>
        <v/>
      </c>
      <c r="O59" s="4"/>
      <c r="P59" s="118"/>
      <c r="Q59" s="118"/>
      <c r="R59" s="4" t="str">
        <f t="shared" ca="1" si="2"/>
        <v>Ok</v>
      </c>
      <c r="S59" s="501">
        <f ca="1">IF(R59="Não","",COUNTIFS($R$9:R59,"Ok"))</f>
        <v>51</v>
      </c>
      <c r="T59" s="6">
        <f t="shared" ca="1" si="3"/>
        <v>45981</v>
      </c>
      <c r="U59" s="501">
        <f t="shared" ca="1" si="4"/>
        <v>245.00000000000028</v>
      </c>
      <c r="V59" s="501">
        <f t="shared" ca="1" si="5"/>
        <v>4.9494949494949552</v>
      </c>
      <c r="W59" s="501">
        <f t="shared" si="6"/>
        <v>0</v>
      </c>
      <c r="X59" s="1">
        <f t="shared" si="7"/>
        <v>0</v>
      </c>
      <c r="Y59" s="1">
        <f t="shared" si="7"/>
        <v>0</v>
      </c>
    </row>
    <row r="60" spans="1:25" s="1" customFormat="1" x14ac:dyDescent="0.25">
      <c r="A60" s="7">
        <f t="shared" si="8"/>
        <v>52</v>
      </c>
      <c r="B60" s="11">
        <f t="shared" si="9"/>
        <v>11</v>
      </c>
      <c r="C60" s="502">
        <f t="shared" si="10"/>
        <v>45982</v>
      </c>
      <c r="D60" s="7">
        <f t="shared" si="11"/>
        <v>100</v>
      </c>
      <c r="E60" s="12">
        <f t="shared" si="12"/>
        <v>0.9</v>
      </c>
      <c r="F60" s="473">
        <f t="shared" si="13"/>
        <v>245.90000000000029</v>
      </c>
      <c r="G60" s="473"/>
      <c r="H60" s="504">
        <f t="shared" si="14"/>
        <v>7.0000000000000001E-3</v>
      </c>
      <c r="I60" s="14">
        <f t="shared" si="15"/>
        <v>7.0000000000000001E-3</v>
      </c>
      <c r="J60" s="498">
        <f t="shared" si="0"/>
        <v>172.13000000000019</v>
      </c>
      <c r="K60" s="15"/>
      <c r="L60" s="8">
        <f t="shared" si="16"/>
        <v>4.9676767676767737</v>
      </c>
      <c r="M60" s="8">
        <f t="shared" si="17"/>
        <v>9.0909090909090917</v>
      </c>
      <c r="N60" s="499" t="str">
        <f t="shared" si="1"/>
        <v/>
      </c>
      <c r="O60" s="4"/>
      <c r="P60" s="118"/>
      <c r="Q60" s="118"/>
      <c r="R60" s="4" t="str">
        <f t="shared" ca="1" si="2"/>
        <v>Ok</v>
      </c>
      <c r="S60" s="501">
        <f ca="1">IF(R60="Não","",COUNTIFS($R$9:R60,"Ok"))</f>
        <v>52</v>
      </c>
      <c r="T60" s="6">
        <f t="shared" ca="1" si="3"/>
        <v>45982</v>
      </c>
      <c r="U60" s="501">
        <f t="shared" ca="1" si="4"/>
        <v>245.90000000000029</v>
      </c>
      <c r="V60" s="501">
        <f t="shared" ca="1" si="5"/>
        <v>4.9676767676767737</v>
      </c>
      <c r="W60" s="501">
        <f t="shared" si="6"/>
        <v>0</v>
      </c>
      <c r="X60" s="1">
        <f t="shared" si="7"/>
        <v>0</v>
      </c>
      <c r="Y60" s="1">
        <f t="shared" si="7"/>
        <v>0</v>
      </c>
    </row>
    <row r="61" spans="1:25" s="1" customFormat="1" x14ac:dyDescent="0.25">
      <c r="A61" s="7">
        <f t="shared" si="8"/>
        <v>53</v>
      </c>
      <c r="B61" s="11">
        <f t="shared" si="9"/>
        <v>11</v>
      </c>
      <c r="C61" s="502">
        <f t="shared" si="10"/>
        <v>45983</v>
      </c>
      <c r="D61" s="7">
        <f t="shared" si="11"/>
        <v>100</v>
      </c>
      <c r="E61" s="12">
        <f t="shared" si="12"/>
        <v>0.9</v>
      </c>
      <c r="F61" s="473">
        <f t="shared" si="13"/>
        <v>246.8000000000003</v>
      </c>
      <c r="G61" s="473"/>
      <c r="H61" s="504">
        <f t="shared" si="14"/>
        <v>7.0000000000000001E-3</v>
      </c>
      <c r="I61" s="14">
        <f t="shared" si="15"/>
        <v>7.0000000000000001E-3</v>
      </c>
      <c r="J61" s="498">
        <f t="shared" si="0"/>
        <v>172.76000000000019</v>
      </c>
      <c r="K61" s="15"/>
      <c r="L61" s="8">
        <f t="shared" si="16"/>
        <v>4.9858585858585922</v>
      </c>
      <c r="M61" s="8">
        <f t="shared" si="17"/>
        <v>9.0909090909090917</v>
      </c>
      <c r="N61" s="499" t="str">
        <f t="shared" si="1"/>
        <v/>
      </c>
      <c r="O61" s="4"/>
      <c r="P61" s="118"/>
      <c r="Q61" s="118"/>
      <c r="R61" s="4" t="str">
        <f t="shared" ca="1" si="2"/>
        <v>Ok</v>
      </c>
      <c r="S61" s="501">
        <f ca="1">IF(R61="Não","",COUNTIFS($R$9:R61,"Ok"))</f>
        <v>53</v>
      </c>
      <c r="T61" s="6">
        <f t="shared" ca="1" si="3"/>
        <v>45983</v>
      </c>
      <c r="U61" s="501">
        <f t="shared" ca="1" si="4"/>
        <v>246.8000000000003</v>
      </c>
      <c r="V61" s="501">
        <f t="shared" ca="1" si="5"/>
        <v>4.9858585858585922</v>
      </c>
      <c r="W61" s="501">
        <f t="shared" si="6"/>
        <v>0</v>
      </c>
      <c r="X61" s="1">
        <f t="shared" si="7"/>
        <v>0</v>
      </c>
      <c r="Y61" s="1">
        <f t="shared" si="7"/>
        <v>0</v>
      </c>
    </row>
    <row r="62" spans="1:25" s="1" customFormat="1" x14ac:dyDescent="0.25">
      <c r="A62" s="7">
        <f t="shared" si="8"/>
        <v>54</v>
      </c>
      <c r="B62" s="11">
        <f t="shared" si="9"/>
        <v>11</v>
      </c>
      <c r="C62" s="502">
        <f t="shared" si="10"/>
        <v>45984</v>
      </c>
      <c r="D62" s="7">
        <f t="shared" si="11"/>
        <v>100</v>
      </c>
      <c r="E62" s="12">
        <f t="shared" si="12"/>
        <v>0.9</v>
      </c>
      <c r="F62" s="473">
        <f t="shared" si="13"/>
        <v>247.7000000000003</v>
      </c>
      <c r="G62" s="473"/>
      <c r="H62" s="504">
        <f t="shared" si="14"/>
        <v>7.0000000000000001E-3</v>
      </c>
      <c r="I62" s="14">
        <f t="shared" si="15"/>
        <v>7.0000000000000001E-3</v>
      </c>
      <c r="J62" s="498">
        <f t="shared" si="0"/>
        <v>173.39000000000021</v>
      </c>
      <c r="K62" s="15"/>
      <c r="L62" s="8">
        <f t="shared" si="16"/>
        <v>5.0040404040404098</v>
      </c>
      <c r="M62" s="8">
        <f t="shared" si="17"/>
        <v>9.0909090909090917</v>
      </c>
      <c r="N62" s="499" t="str">
        <f t="shared" si="1"/>
        <v/>
      </c>
      <c r="O62" s="4"/>
      <c r="P62" s="118"/>
      <c r="Q62" s="118"/>
      <c r="R62" s="4" t="str">
        <f t="shared" ca="1" si="2"/>
        <v>Ok</v>
      </c>
      <c r="S62" s="501">
        <f ca="1">IF(R62="Não","",COUNTIFS($R$9:R62,"Ok"))</f>
        <v>54</v>
      </c>
      <c r="T62" s="6">
        <f t="shared" ca="1" si="3"/>
        <v>45984</v>
      </c>
      <c r="U62" s="501">
        <f t="shared" ca="1" si="4"/>
        <v>247.7000000000003</v>
      </c>
      <c r="V62" s="501">
        <f t="shared" ca="1" si="5"/>
        <v>5.0040404040404098</v>
      </c>
      <c r="W62" s="501">
        <f t="shared" si="6"/>
        <v>0</v>
      </c>
      <c r="X62" s="1">
        <f t="shared" si="7"/>
        <v>0</v>
      </c>
      <c r="Y62" s="1">
        <f t="shared" si="7"/>
        <v>0</v>
      </c>
    </row>
    <row r="63" spans="1:25" s="1" customFormat="1" x14ac:dyDescent="0.25">
      <c r="A63" s="7">
        <f t="shared" si="8"/>
        <v>55</v>
      </c>
      <c r="B63" s="11">
        <f t="shared" si="9"/>
        <v>11</v>
      </c>
      <c r="C63" s="502">
        <f t="shared" si="10"/>
        <v>45985</v>
      </c>
      <c r="D63" s="7">
        <f t="shared" si="11"/>
        <v>100</v>
      </c>
      <c r="E63" s="12">
        <f t="shared" si="12"/>
        <v>0.9</v>
      </c>
      <c r="F63" s="473">
        <f t="shared" si="13"/>
        <v>248.60000000000031</v>
      </c>
      <c r="G63" s="473"/>
      <c r="H63" s="504">
        <f t="shared" si="14"/>
        <v>7.0000000000000001E-3</v>
      </c>
      <c r="I63" s="14">
        <f t="shared" si="15"/>
        <v>7.0000000000000001E-3</v>
      </c>
      <c r="J63" s="498">
        <f t="shared" si="0"/>
        <v>174.02000000000021</v>
      </c>
      <c r="K63" s="15"/>
      <c r="L63" s="8">
        <f t="shared" si="16"/>
        <v>5.0222222222222284</v>
      </c>
      <c r="M63" s="8">
        <f t="shared" si="17"/>
        <v>9.0909090909090917</v>
      </c>
      <c r="N63" s="499" t="str">
        <f t="shared" si="1"/>
        <v/>
      </c>
      <c r="O63" s="4"/>
      <c r="P63" s="118"/>
      <c r="Q63" s="118"/>
      <c r="R63" s="4" t="str">
        <f t="shared" ca="1" si="2"/>
        <v>Ok</v>
      </c>
      <c r="S63" s="501">
        <f ca="1">IF(R63="Não","",COUNTIFS($R$9:R63,"Ok"))</f>
        <v>55</v>
      </c>
      <c r="T63" s="6">
        <f t="shared" ca="1" si="3"/>
        <v>45985</v>
      </c>
      <c r="U63" s="501">
        <f t="shared" ca="1" si="4"/>
        <v>248.60000000000031</v>
      </c>
      <c r="V63" s="501">
        <f t="shared" ca="1" si="5"/>
        <v>5.0222222222222284</v>
      </c>
      <c r="W63" s="501">
        <f t="shared" si="6"/>
        <v>0</v>
      </c>
      <c r="X63" s="1">
        <f t="shared" si="7"/>
        <v>0</v>
      </c>
      <c r="Y63" s="1">
        <f t="shared" si="7"/>
        <v>0</v>
      </c>
    </row>
    <row r="64" spans="1:25" s="1" customFormat="1" x14ac:dyDescent="0.25">
      <c r="A64" s="7">
        <f t="shared" si="8"/>
        <v>56</v>
      </c>
      <c r="B64" s="11">
        <f t="shared" si="9"/>
        <v>11</v>
      </c>
      <c r="C64" s="502">
        <f t="shared" si="10"/>
        <v>45986</v>
      </c>
      <c r="D64" s="7">
        <f t="shared" si="11"/>
        <v>100</v>
      </c>
      <c r="E64" s="12">
        <f t="shared" si="12"/>
        <v>0.9</v>
      </c>
      <c r="F64" s="473">
        <f t="shared" si="13"/>
        <v>249.50000000000031</v>
      </c>
      <c r="G64" s="473"/>
      <c r="H64" s="504">
        <f t="shared" si="14"/>
        <v>7.0000000000000001E-3</v>
      </c>
      <c r="I64" s="14">
        <f t="shared" si="15"/>
        <v>7.0000000000000001E-3</v>
      </c>
      <c r="J64" s="498">
        <f t="shared" si="0"/>
        <v>174.6500000000002</v>
      </c>
      <c r="K64" s="15"/>
      <c r="L64" s="8">
        <f t="shared" si="16"/>
        <v>5.0404040404040469</v>
      </c>
      <c r="M64" s="8">
        <f t="shared" si="17"/>
        <v>9.0909090909090917</v>
      </c>
      <c r="N64" s="499" t="str">
        <f t="shared" si="1"/>
        <v/>
      </c>
      <c r="O64" s="4"/>
      <c r="P64" s="118"/>
      <c r="Q64" s="118"/>
      <c r="R64" s="4" t="str">
        <f t="shared" ca="1" si="2"/>
        <v>Ok</v>
      </c>
      <c r="S64" s="501">
        <f ca="1">IF(R64="Não","",COUNTIFS($R$9:R64,"Ok"))</f>
        <v>56</v>
      </c>
      <c r="T64" s="6">
        <f t="shared" ca="1" si="3"/>
        <v>45986</v>
      </c>
      <c r="U64" s="501">
        <f t="shared" ca="1" si="4"/>
        <v>249.50000000000031</v>
      </c>
      <c r="V64" s="501">
        <f t="shared" ca="1" si="5"/>
        <v>5.0404040404040469</v>
      </c>
      <c r="W64" s="501">
        <f t="shared" si="6"/>
        <v>0</v>
      </c>
      <c r="X64" s="1">
        <f t="shared" si="7"/>
        <v>0</v>
      </c>
      <c r="Y64" s="1">
        <f t="shared" si="7"/>
        <v>0</v>
      </c>
    </row>
    <row r="65" spans="1:25" s="1" customFormat="1" x14ac:dyDescent="0.25">
      <c r="A65" s="7">
        <f t="shared" si="8"/>
        <v>57</v>
      </c>
      <c r="B65" s="11">
        <f t="shared" si="9"/>
        <v>11</v>
      </c>
      <c r="C65" s="502">
        <f t="shared" si="10"/>
        <v>45987</v>
      </c>
      <c r="D65" s="7">
        <f t="shared" si="11"/>
        <v>100</v>
      </c>
      <c r="E65" s="12">
        <f t="shared" si="12"/>
        <v>0.9</v>
      </c>
      <c r="F65" s="473">
        <f t="shared" si="13"/>
        <v>250.40000000000032</v>
      </c>
      <c r="G65" s="473"/>
      <c r="H65" s="504">
        <f t="shared" si="14"/>
        <v>7.0000000000000001E-3</v>
      </c>
      <c r="I65" s="14">
        <f t="shared" si="15"/>
        <v>7.0000000000000001E-3</v>
      </c>
      <c r="J65" s="498">
        <f t="shared" si="0"/>
        <v>175.28000000000023</v>
      </c>
      <c r="K65" s="15"/>
      <c r="L65" s="8">
        <f t="shared" si="16"/>
        <v>5.0585858585858654</v>
      </c>
      <c r="M65" s="8">
        <f t="shared" si="17"/>
        <v>9.0909090909090917</v>
      </c>
      <c r="N65" s="499" t="str">
        <f t="shared" si="1"/>
        <v/>
      </c>
      <c r="O65" s="4"/>
      <c r="P65" s="118"/>
      <c r="Q65" s="118"/>
      <c r="R65" s="4" t="str">
        <f t="shared" ca="1" si="2"/>
        <v>Ok</v>
      </c>
      <c r="S65" s="501">
        <f ca="1">IF(R65="Não","",COUNTIFS($R$9:R65,"Ok"))</f>
        <v>57</v>
      </c>
      <c r="T65" s="6">
        <f t="shared" ca="1" si="3"/>
        <v>45987</v>
      </c>
      <c r="U65" s="501">
        <f t="shared" ca="1" si="4"/>
        <v>250.40000000000032</v>
      </c>
      <c r="V65" s="501">
        <f t="shared" ca="1" si="5"/>
        <v>5.0585858585858654</v>
      </c>
      <c r="W65" s="501">
        <f t="shared" si="6"/>
        <v>0</v>
      </c>
      <c r="X65" s="1">
        <f t="shared" si="7"/>
        <v>0</v>
      </c>
      <c r="Y65" s="1">
        <f t="shared" si="7"/>
        <v>0</v>
      </c>
    </row>
    <row r="66" spans="1:25" s="1" customFormat="1" x14ac:dyDescent="0.25">
      <c r="A66" s="7">
        <f t="shared" si="8"/>
        <v>58</v>
      </c>
      <c r="B66" s="11">
        <f t="shared" si="9"/>
        <v>11</v>
      </c>
      <c r="C66" s="502">
        <f t="shared" si="10"/>
        <v>45988</v>
      </c>
      <c r="D66" s="7">
        <f t="shared" si="11"/>
        <v>100</v>
      </c>
      <c r="E66" s="12">
        <f t="shared" si="12"/>
        <v>0.9</v>
      </c>
      <c r="F66" s="473">
        <f t="shared" si="13"/>
        <v>251.30000000000032</v>
      </c>
      <c r="G66" s="473"/>
      <c r="H66" s="504">
        <f t="shared" si="14"/>
        <v>7.0000000000000001E-3</v>
      </c>
      <c r="I66" s="14">
        <f t="shared" si="15"/>
        <v>7.0000000000000001E-3</v>
      </c>
      <c r="J66" s="498">
        <f t="shared" si="0"/>
        <v>175.91000000000022</v>
      </c>
      <c r="K66" s="15"/>
      <c r="L66" s="8">
        <f t="shared" si="16"/>
        <v>5.0767676767676839</v>
      </c>
      <c r="M66" s="8">
        <f t="shared" si="17"/>
        <v>9.0909090909090917</v>
      </c>
      <c r="N66" s="499" t="str">
        <f t="shared" si="1"/>
        <v/>
      </c>
      <c r="O66" s="4"/>
      <c r="P66" s="118"/>
      <c r="Q66" s="118"/>
      <c r="R66" s="4" t="str">
        <f t="shared" ca="1" si="2"/>
        <v>Ok</v>
      </c>
      <c r="S66" s="501">
        <f ca="1">IF(R66="Não","",COUNTIFS($R$9:R66,"Ok"))</f>
        <v>58</v>
      </c>
      <c r="T66" s="6">
        <f t="shared" ca="1" si="3"/>
        <v>45988</v>
      </c>
      <c r="U66" s="501">
        <f t="shared" ca="1" si="4"/>
        <v>251.30000000000032</v>
      </c>
      <c r="V66" s="501">
        <f t="shared" ca="1" si="5"/>
        <v>5.0767676767676839</v>
      </c>
      <c r="W66" s="501">
        <f t="shared" si="6"/>
        <v>0</v>
      </c>
      <c r="X66" s="1">
        <f t="shared" si="7"/>
        <v>0</v>
      </c>
      <c r="Y66" s="1">
        <f t="shared" si="7"/>
        <v>0</v>
      </c>
    </row>
    <row r="67" spans="1:25" s="1" customFormat="1" x14ac:dyDescent="0.25">
      <c r="A67" s="7">
        <f t="shared" si="8"/>
        <v>59</v>
      </c>
      <c r="B67" s="11">
        <f t="shared" si="9"/>
        <v>11</v>
      </c>
      <c r="C67" s="502">
        <f t="shared" si="10"/>
        <v>45989</v>
      </c>
      <c r="D67" s="7">
        <f t="shared" si="11"/>
        <v>100</v>
      </c>
      <c r="E67" s="12">
        <f t="shared" si="12"/>
        <v>0.9</v>
      </c>
      <c r="F67" s="473">
        <f t="shared" si="13"/>
        <v>252.20000000000033</v>
      </c>
      <c r="G67" s="473"/>
      <c r="H67" s="504">
        <f t="shared" si="14"/>
        <v>7.0000000000000001E-3</v>
      </c>
      <c r="I67" s="14">
        <f t="shared" si="15"/>
        <v>7.0000000000000001E-3</v>
      </c>
      <c r="J67" s="498">
        <f t="shared" si="0"/>
        <v>176.54000000000022</v>
      </c>
      <c r="K67" s="15"/>
      <c r="L67" s="8">
        <f t="shared" si="16"/>
        <v>5.0949494949495016</v>
      </c>
      <c r="M67" s="8">
        <f t="shared" si="17"/>
        <v>9.0909090909090917</v>
      </c>
      <c r="N67" s="499" t="str">
        <f t="shared" si="1"/>
        <v/>
      </c>
      <c r="O67" s="4"/>
      <c r="P67" s="118"/>
      <c r="Q67" s="118"/>
      <c r="R67" s="4" t="str">
        <f t="shared" ca="1" si="2"/>
        <v>Ok</v>
      </c>
      <c r="S67" s="501">
        <f ca="1">IF(R67="Não","",COUNTIFS($R$9:R67,"Ok"))</f>
        <v>59</v>
      </c>
      <c r="T67" s="6">
        <f t="shared" ca="1" si="3"/>
        <v>45989</v>
      </c>
      <c r="U67" s="501">
        <f t="shared" ca="1" si="4"/>
        <v>252.20000000000033</v>
      </c>
      <c r="V67" s="501">
        <f t="shared" ca="1" si="5"/>
        <v>5.0949494949495016</v>
      </c>
      <c r="W67" s="501">
        <f t="shared" si="6"/>
        <v>0</v>
      </c>
      <c r="X67" s="1">
        <f t="shared" si="7"/>
        <v>0</v>
      </c>
      <c r="Y67" s="1">
        <f t="shared" si="7"/>
        <v>0</v>
      </c>
    </row>
    <row r="68" spans="1:25" s="1" customFormat="1" x14ac:dyDescent="0.25">
      <c r="A68" s="7">
        <f t="shared" si="8"/>
        <v>60</v>
      </c>
      <c r="B68" s="11">
        <f t="shared" si="9"/>
        <v>11</v>
      </c>
      <c r="C68" s="502">
        <f t="shared" si="10"/>
        <v>45990</v>
      </c>
      <c r="D68" s="7">
        <f t="shared" si="11"/>
        <v>100</v>
      </c>
      <c r="E68" s="12">
        <f t="shared" si="12"/>
        <v>0.9</v>
      </c>
      <c r="F68" s="473">
        <f t="shared" si="13"/>
        <v>253.10000000000034</v>
      </c>
      <c r="G68" s="473"/>
      <c r="H68" s="504">
        <f t="shared" si="14"/>
        <v>7.0000000000000001E-3</v>
      </c>
      <c r="I68" s="14">
        <f t="shared" si="15"/>
        <v>7.0000000000000001E-3</v>
      </c>
      <c r="J68" s="498">
        <f t="shared" si="0"/>
        <v>177.17000000000024</v>
      </c>
      <c r="K68" s="15"/>
      <c r="L68" s="8">
        <f t="shared" si="16"/>
        <v>5.1131313131313201</v>
      </c>
      <c r="M68" s="8">
        <f t="shared" si="17"/>
        <v>9.0909090909090917</v>
      </c>
      <c r="N68" s="499" t="str">
        <f t="shared" si="1"/>
        <v/>
      </c>
      <c r="O68" s="4"/>
      <c r="P68" s="118"/>
      <c r="Q68" s="118"/>
      <c r="R68" s="4" t="str">
        <f t="shared" ca="1" si="2"/>
        <v>Ok</v>
      </c>
      <c r="S68" s="501">
        <f ca="1">IF(R68="Não","",COUNTIFS($R$9:R68,"Ok"))</f>
        <v>60</v>
      </c>
      <c r="T68" s="6">
        <f t="shared" ca="1" si="3"/>
        <v>45990</v>
      </c>
      <c r="U68" s="501">
        <f t="shared" ca="1" si="4"/>
        <v>253.10000000000034</v>
      </c>
      <c r="V68" s="501">
        <f t="shared" ca="1" si="5"/>
        <v>5.1131313131313201</v>
      </c>
      <c r="W68" s="501">
        <f t="shared" si="6"/>
        <v>0</v>
      </c>
      <c r="X68" s="1">
        <f t="shared" si="7"/>
        <v>0</v>
      </c>
      <c r="Y68" s="1">
        <f t="shared" si="7"/>
        <v>0</v>
      </c>
    </row>
    <row r="69" spans="1:25" s="1" customFormat="1" x14ac:dyDescent="0.25">
      <c r="A69" s="7">
        <f t="shared" si="8"/>
        <v>61</v>
      </c>
      <c r="B69" s="11">
        <f t="shared" si="9"/>
        <v>11</v>
      </c>
      <c r="C69" s="502">
        <f t="shared" si="10"/>
        <v>45991</v>
      </c>
      <c r="D69" s="7">
        <f t="shared" si="11"/>
        <v>100</v>
      </c>
      <c r="E69" s="12">
        <f t="shared" si="12"/>
        <v>0.9</v>
      </c>
      <c r="F69" s="473">
        <f t="shared" si="13"/>
        <v>254.00000000000034</v>
      </c>
      <c r="G69" s="473"/>
      <c r="H69" s="504">
        <f t="shared" si="14"/>
        <v>7.0000000000000001E-3</v>
      </c>
      <c r="I69" s="14">
        <f t="shared" si="15"/>
        <v>7.0000000000000001E-3</v>
      </c>
      <c r="J69" s="498">
        <f t="shared" si="0"/>
        <v>177.80000000000024</v>
      </c>
      <c r="K69" s="15"/>
      <c r="L69" s="8">
        <f t="shared" si="16"/>
        <v>5.1313131313131377</v>
      </c>
      <c r="M69" s="8">
        <f t="shared" si="17"/>
        <v>9.0909090909090917</v>
      </c>
      <c r="N69" s="499" t="str">
        <f t="shared" si="1"/>
        <v/>
      </c>
      <c r="O69" s="4"/>
      <c r="P69" s="118"/>
      <c r="Q69" s="118"/>
      <c r="R69" s="4" t="str">
        <f t="shared" ca="1" si="2"/>
        <v>Ok</v>
      </c>
      <c r="S69" s="501">
        <f ca="1">IF(R69="Não","",COUNTIFS($R$9:R69,"Ok"))</f>
        <v>61</v>
      </c>
      <c r="T69" s="6">
        <f t="shared" ca="1" si="3"/>
        <v>45991</v>
      </c>
      <c r="U69" s="501">
        <f t="shared" ca="1" si="4"/>
        <v>254.00000000000034</v>
      </c>
      <c r="V69" s="501">
        <f t="shared" ca="1" si="5"/>
        <v>5.1313131313131377</v>
      </c>
      <c r="W69" s="501">
        <f t="shared" si="6"/>
        <v>0</v>
      </c>
      <c r="X69" s="1">
        <f t="shared" si="7"/>
        <v>0</v>
      </c>
      <c r="Y69" s="1">
        <f t="shared" si="7"/>
        <v>0</v>
      </c>
    </row>
    <row r="70" spans="1:25" s="1" customFormat="1" x14ac:dyDescent="0.25">
      <c r="A70" s="7">
        <f t="shared" si="8"/>
        <v>62</v>
      </c>
      <c r="B70" s="11">
        <f t="shared" si="9"/>
        <v>11</v>
      </c>
      <c r="C70" s="502">
        <f t="shared" si="10"/>
        <v>45992</v>
      </c>
      <c r="D70" s="7">
        <f t="shared" si="11"/>
        <v>100</v>
      </c>
      <c r="E70" s="12">
        <f t="shared" si="12"/>
        <v>0.9</v>
      </c>
      <c r="F70" s="473">
        <f t="shared" si="13"/>
        <v>254.90000000000035</v>
      </c>
      <c r="G70" s="473"/>
      <c r="H70" s="504">
        <f t="shared" si="14"/>
        <v>7.0000000000000001E-3</v>
      </c>
      <c r="I70" s="14">
        <f t="shared" si="15"/>
        <v>7.0000000000000001E-3</v>
      </c>
      <c r="J70" s="498">
        <f t="shared" si="0"/>
        <v>178.43000000000023</v>
      </c>
      <c r="K70" s="15"/>
      <c r="L70" s="8">
        <f t="shared" si="16"/>
        <v>5.1494949494949571</v>
      </c>
      <c r="M70" s="8">
        <f t="shared" si="17"/>
        <v>9.0909090909090917</v>
      </c>
      <c r="N70" s="499" t="str">
        <f t="shared" si="1"/>
        <v/>
      </c>
      <c r="O70" s="4"/>
      <c r="P70" s="118"/>
      <c r="Q70" s="118"/>
      <c r="R70" s="4" t="str">
        <f t="shared" ca="1" si="2"/>
        <v>Ok</v>
      </c>
      <c r="S70" s="501">
        <f ca="1">IF(R70="Não","",COUNTIFS($R$9:R70,"Ok"))</f>
        <v>62</v>
      </c>
      <c r="T70" s="6">
        <f t="shared" ca="1" si="3"/>
        <v>45992</v>
      </c>
      <c r="U70" s="501">
        <f t="shared" ca="1" si="4"/>
        <v>254.90000000000035</v>
      </c>
      <c r="V70" s="501">
        <f t="shared" ca="1" si="5"/>
        <v>5.1494949494949571</v>
      </c>
      <c r="W70" s="501">
        <f t="shared" si="6"/>
        <v>0</v>
      </c>
      <c r="X70" s="1">
        <f t="shared" si="7"/>
        <v>0</v>
      </c>
      <c r="Y70" s="1">
        <f t="shared" si="7"/>
        <v>0</v>
      </c>
    </row>
    <row r="71" spans="1:25" s="1" customFormat="1" x14ac:dyDescent="0.25">
      <c r="A71" s="7">
        <f t="shared" si="8"/>
        <v>63</v>
      </c>
      <c r="B71" s="11">
        <f t="shared" si="9"/>
        <v>11</v>
      </c>
      <c r="C71" s="502">
        <f t="shared" si="10"/>
        <v>45993</v>
      </c>
      <c r="D71" s="7">
        <f t="shared" si="11"/>
        <v>100</v>
      </c>
      <c r="E71" s="12">
        <f t="shared" si="12"/>
        <v>0.9</v>
      </c>
      <c r="F71" s="473">
        <f t="shared" si="13"/>
        <v>255.80000000000035</v>
      </c>
      <c r="G71" s="473"/>
      <c r="H71" s="504">
        <f t="shared" si="14"/>
        <v>7.0000000000000001E-3</v>
      </c>
      <c r="I71" s="14">
        <f t="shared" si="15"/>
        <v>7.0000000000000001E-3</v>
      </c>
      <c r="J71" s="498">
        <f t="shared" si="0"/>
        <v>179.06000000000023</v>
      </c>
      <c r="K71" s="15"/>
      <c r="L71" s="8">
        <f t="shared" si="16"/>
        <v>5.1676767676767748</v>
      </c>
      <c r="M71" s="8">
        <f t="shared" si="17"/>
        <v>9.0909090909090917</v>
      </c>
      <c r="N71" s="499" t="str">
        <f t="shared" si="1"/>
        <v/>
      </c>
      <c r="O71" s="4"/>
      <c r="P71" s="118"/>
      <c r="Q71" s="118"/>
      <c r="R71" s="4" t="str">
        <f t="shared" ca="1" si="2"/>
        <v>Ok</v>
      </c>
      <c r="S71" s="501">
        <f ca="1">IF(R71="Não","",COUNTIFS($R$9:R71,"Ok"))</f>
        <v>63</v>
      </c>
      <c r="T71" s="6">
        <f t="shared" ca="1" si="3"/>
        <v>45993</v>
      </c>
      <c r="U71" s="501">
        <f t="shared" ca="1" si="4"/>
        <v>255.80000000000035</v>
      </c>
      <c r="V71" s="501">
        <f t="shared" ca="1" si="5"/>
        <v>5.1676767676767748</v>
      </c>
      <c r="W71" s="501">
        <f t="shared" si="6"/>
        <v>0</v>
      </c>
      <c r="X71" s="1">
        <f t="shared" si="7"/>
        <v>0</v>
      </c>
      <c r="Y71" s="1">
        <f t="shared" si="7"/>
        <v>0</v>
      </c>
    </row>
    <row r="72" spans="1:25" s="1" customFormat="1" x14ac:dyDescent="0.25">
      <c r="A72" s="7">
        <f t="shared" si="8"/>
        <v>64</v>
      </c>
      <c r="B72" s="11">
        <f t="shared" si="9"/>
        <v>11</v>
      </c>
      <c r="C72" s="502">
        <f t="shared" si="10"/>
        <v>45994</v>
      </c>
      <c r="D72" s="7">
        <f t="shared" si="11"/>
        <v>100</v>
      </c>
      <c r="E72" s="12">
        <f t="shared" si="12"/>
        <v>0.9</v>
      </c>
      <c r="F72" s="473">
        <f t="shared" si="13"/>
        <v>256.70000000000033</v>
      </c>
      <c r="G72" s="473"/>
      <c r="H72" s="504">
        <f t="shared" si="14"/>
        <v>7.0000000000000001E-3</v>
      </c>
      <c r="I72" s="14">
        <f t="shared" si="15"/>
        <v>7.0000000000000001E-3</v>
      </c>
      <c r="J72" s="498">
        <f t="shared" si="0"/>
        <v>179.69000000000023</v>
      </c>
      <c r="K72" s="15"/>
      <c r="L72" s="8">
        <f t="shared" si="16"/>
        <v>5.1858585858585924</v>
      </c>
      <c r="M72" s="8">
        <f t="shared" si="17"/>
        <v>9.0909090909090917</v>
      </c>
      <c r="N72" s="499" t="str">
        <f t="shared" si="1"/>
        <v/>
      </c>
      <c r="O72" s="4"/>
      <c r="P72" s="118"/>
      <c r="Q72" s="118"/>
      <c r="R72" s="4" t="str">
        <f t="shared" ca="1" si="2"/>
        <v>Ok</v>
      </c>
      <c r="S72" s="501">
        <f ca="1">IF(R72="Não","",COUNTIFS($R$9:R72,"Ok"))</f>
        <v>64</v>
      </c>
      <c r="T72" s="6">
        <f t="shared" ca="1" si="3"/>
        <v>45994</v>
      </c>
      <c r="U72" s="501">
        <f t="shared" ca="1" si="4"/>
        <v>256.70000000000033</v>
      </c>
      <c r="V72" s="501">
        <f t="shared" ca="1" si="5"/>
        <v>5.1858585858585924</v>
      </c>
      <c r="W72" s="501">
        <f t="shared" si="6"/>
        <v>0</v>
      </c>
      <c r="X72" s="1">
        <f t="shared" si="7"/>
        <v>0</v>
      </c>
      <c r="Y72" s="1">
        <f t="shared" si="7"/>
        <v>0</v>
      </c>
    </row>
    <row r="73" spans="1:25" s="1" customFormat="1" x14ac:dyDescent="0.25">
      <c r="A73" s="7">
        <f t="shared" si="8"/>
        <v>65</v>
      </c>
      <c r="B73" s="11">
        <f t="shared" si="9"/>
        <v>11</v>
      </c>
      <c r="C73" s="502">
        <f t="shared" si="10"/>
        <v>45995</v>
      </c>
      <c r="D73" s="7">
        <f t="shared" si="11"/>
        <v>100</v>
      </c>
      <c r="E73" s="12">
        <f t="shared" si="12"/>
        <v>0.9</v>
      </c>
      <c r="F73" s="473">
        <f t="shared" si="13"/>
        <v>257.60000000000031</v>
      </c>
      <c r="G73" s="473"/>
      <c r="H73" s="504">
        <f t="shared" si="14"/>
        <v>7.0000000000000001E-3</v>
      </c>
      <c r="I73" s="14">
        <f t="shared" si="15"/>
        <v>7.0000000000000001E-3</v>
      </c>
      <c r="J73" s="498">
        <f t="shared" si="0"/>
        <v>180.32000000000022</v>
      </c>
      <c r="K73" s="15"/>
      <c r="L73" s="8">
        <f t="shared" si="16"/>
        <v>5.20404040404041</v>
      </c>
      <c r="M73" s="8">
        <f t="shared" si="17"/>
        <v>9.0909090909090917</v>
      </c>
      <c r="N73" s="499" t="str">
        <f t="shared" si="1"/>
        <v/>
      </c>
      <c r="O73" s="4"/>
      <c r="P73" s="118"/>
      <c r="Q73" s="118"/>
      <c r="R73" s="4" t="str">
        <f t="shared" ca="1" si="2"/>
        <v>Ok</v>
      </c>
      <c r="S73" s="501">
        <f ca="1">IF(R73="Não","",COUNTIFS($R$9:R73,"Ok"))</f>
        <v>65</v>
      </c>
      <c r="T73" s="6">
        <f t="shared" ca="1" si="3"/>
        <v>45995</v>
      </c>
      <c r="U73" s="501">
        <f t="shared" ca="1" si="4"/>
        <v>257.60000000000031</v>
      </c>
      <c r="V73" s="501">
        <f t="shared" ca="1" si="5"/>
        <v>5.20404040404041</v>
      </c>
      <c r="W73" s="501">
        <f t="shared" si="6"/>
        <v>0</v>
      </c>
      <c r="X73" s="1">
        <f t="shared" si="7"/>
        <v>0</v>
      </c>
      <c r="Y73" s="1">
        <f t="shared" si="7"/>
        <v>0</v>
      </c>
    </row>
    <row r="74" spans="1:25" s="1" customFormat="1" x14ac:dyDescent="0.25">
      <c r="A74" s="7">
        <f t="shared" si="8"/>
        <v>66</v>
      </c>
      <c r="B74" s="11">
        <f t="shared" si="9"/>
        <v>11</v>
      </c>
      <c r="C74" s="502">
        <f t="shared" si="10"/>
        <v>45996</v>
      </c>
      <c r="D74" s="7">
        <f t="shared" si="11"/>
        <v>100</v>
      </c>
      <c r="E74" s="12">
        <f t="shared" si="12"/>
        <v>0.9</v>
      </c>
      <c r="F74" s="473">
        <f t="shared" si="13"/>
        <v>258.50000000000028</v>
      </c>
      <c r="G74" s="473"/>
      <c r="H74" s="504">
        <f t="shared" si="14"/>
        <v>7.0000000000000001E-3</v>
      </c>
      <c r="I74" s="14">
        <f t="shared" si="15"/>
        <v>7.0000000000000001E-3</v>
      </c>
      <c r="J74" s="498">
        <f t="shared" ref="J74:J137" si="18">H74*F74*D74</f>
        <v>180.95000000000022</v>
      </c>
      <c r="K74" s="15"/>
      <c r="L74" s="8">
        <f t="shared" si="16"/>
        <v>5.2222222222222276</v>
      </c>
      <c r="M74" s="8">
        <f t="shared" si="17"/>
        <v>9.0909090909090917</v>
      </c>
      <c r="N74" s="499" t="str">
        <f t="shared" ref="N74:N137" si="19">IFERROR(IF(K74="","",K74/F74/D74),"")</f>
        <v/>
      </c>
      <c r="O74" s="4"/>
      <c r="P74" s="118"/>
      <c r="Q74" s="118"/>
      <c r="R74" s="4" t="str">
        <f t="shared" ref="R74:R137" ca="1" si="20">IF(C74&lt;=TODAY(),"Ok","Não")</f>
        <v>Ok</v>
      </c>
      <c r="S74" s="501">
        <f ca="1">IF(R74="Não","",COUNTIFS($R$9:R74,"Ok"))</f>
        <v>66</v>
      </c>
      <c r="T74" s="6">
        <f t="shared" ref="T74:T137" ca="1" si="21">IF(R74="Ok",C74,"")</f>
        <v>45996</v>
      </c>
      <c r="U74" s="501">
        <f t="shared" ref="U74:U137" ca="1" si="22">IF(R74="Ok",F74,"")</f>
        <v>258.50000000000028</v>
      </c>
      <c r="V74" s="501">
        <f t="shared" ref="V74:V137" ca="1" si="23">IF(R74="Ok", L74,"")</f>
        <v>5.2222222222222276</v>
      </c>
      <c r="W74" s="501">
        <f t="shared" ref="W74:W137" si="24">((-(P74*F74)+(Q74*F74))/30)*-1</f>
        <v>0</v>
      </c>
      <c r="X74" s="1">
        <f t="shared" ref="X74:Y137" si="25">IFERROR((P74*$F74)/30,"")</f>
        <v>0</v>
      </c>
      <c r="Y74" s="1">
        <f t="shared" si="25"/>
        <v>0</v>
      </c>
    </row>
    <row r="75" spans="1:25" s="1" customFormat="1" x14ac:dyDescent="0.25">
      <c r="A75" s="7">
        <f t="shared" ref="A75:A138" si="26">IF(OR(D75=0,D75=""),"",A74+1)</f>
        <v>67</v>
      </c>
      <c r="B75" s="11">
        <f t="shared" ref="B75:B138" si="27">IFERROR(IF(C75="","",B74),"")</f>
        <v>11</v>
      </c>
      <c r="C75" s="502">
        <f t="shared" ref="C75:C138" si="28">IF(OR(D75=0,D75=""),"",C74+1)</f>
        <v>45997</v>
      </c>
      <c r="D75" s="7">
        <f t="shared" ref="D75:D138" si="29">D74-P75+Q75</f>
        <v>100</v>
      </c>
      <c r="E75" s="12">
        <f t="shared" ref="E75:E138" si="30">IFERROR(IF(C75="","",E74),"")</f>
        <v>0.9</v>
      </c>
      <c r="F75" s="473">
        <f t="shared" ref="F75:F138" si="31">IFERROR(IF(D75="","",IF(C75="","",F74+E74)),"")</f>
        <v>259.40000000000026</v>
      </c>
      <c r="G75" s="473"/>
      <c r="H75" s="504">
        <f t="shared" ref="H75:H138" si="32">H74+G75</f>
        <v>7.0000000000000001E-3</v>
      </c>
      <c r="I75" s="14">
        <f t="shared" ref="I75:I138" si="33">IFERROR(IF(F75="","",IF(C75="","",I74)),"")</f>
        <v>7.0000000000000001E-3</v>
      </c>
      <c r="J75" s="498">
        <f t="shared" si="18"/>
        <v>181.58000000000018</v>
      </c>
      <c r="K75" s="15"/>
      <c r="L75" s="8">
        <f t="shared" ref="L75:L138" si="34">IFERROR(IF(D75="","",IF(C75="","",(D75*F75)/450/B75)),"")</f>
        <v>5.2404040404040453</v>
      </c>
      <c r="M75" s="8">
        <f t="shared" ref="M75:M138" si="35">IFERROR(IF(D75="","",IF(C75="","",D75/B75)),"")</f>
        <v>9.0909090909090917</v>
      </c>
      <c r="N75" s="499" t="str">
        <f t="shared" si="19"/>
        <v/>
      </c>
      <c r="O75" s="4"/>
      <c r="P75" s="118"/>
      <c r="Q75" s="118"/>
      <c r="R75" s="4" t="str">
        <f t="shared" ca="1" si="20"/>
        <v>Ok</v>
      </c>
      <c r="S75" s="501">
        <f ca="1">IF(R75="Não","",COUNTIFS($R$9:R75,"Ok"))</f>
        <v>67</v>
      </c>
      <c r="T75" s="6">
        <f t="shared" ca="1" si="21"/>
        <v>45997</v>
      </c>
      <c r="U75" s="501">
        <f t="shared" ca="1" si="22"/>
        <v>259.40000000000026</v>
      </c>
      <c r="V75" s="501">
        <f t="shared" ca="1" si="23"/>
        <v>5.2404040404040453</v>
      </c>
      <c r="W75" s="501">
        <f t="shared" si="24"/>
        <v>0</v>
      </c>
      <c r="X75" s="1">
        <f t="shared" si="25"/>
        <v>0</v>
      </c>
      <c r="Y75" s="1">
        <f t="shared" si="25"/>
        <v>0</v>
      </c>
    </row>
    <row r="76" spans="1:25" s="1" customFormat="1" x14ac:dyDescent="0.25">
      <c r="A76" s="7">
        <f t="shared" si="26"/>
        <v>68</v>
      </c>
      <c r="B76" s="11">
        <f t="shared" si="27"/>
        <v>11</v>
      </c>
      <c r="C76" s="502">
        <f t="shared" si="28"/>
        <v>45998</v>
      </c>
      <c r="D76" s="7">
        <f t="shared" si="29"/>
        <v>100</v>
      </c>
      <c r="E76" s="12">
        <f t="shared" si="30"/>
        <v>0.9</v>
      </c>
      <c r="F76" s="473">
        <f t="shared" si="31"/>
        <v>260.30000000000024</v>
      </c>
      <c r="G76" s="473"/>
      <c r="H76" s="504">
        <f t="shared" si="32"/>
        <v>7.0000000000000001E-3</v>
      </c>
      <c r="I76" s="14">
        <f t="shared" si="33"/>
        <v>7.0000000000000001E-3</v>
      </c>
      <c r="J76" s="498">
        <f t="shared" si="18"/>
        <v>182.21000000000015</v>
      </c>
      <c r="K76" s="15"/>
      <c r="L76" s="8">
        <f t="shared" si="34"/>
        <v>5.2585858585858638</v>
      </c>
      <c r="M76" s="8">
        <f t="shared" si="35"/>
        <v>9.0909090909090917</v>
      </c>
      <c r="N76" s="499" t="str">
        <f t="shared" si="19"/>
        <v/>
      </c>
      <c r="O76" s="4"/>
      <c r="P76" s="118"/>
      <c r="Q76" s="118"/>
      <c r="R76" s="4" t="str">
        <f t="shared" ca="1" si="20"/>
        <v>Ok</v>
      </c>
      <c r="S76" s="501">
        <f ca="1">IF(R76="Não","",COUNTIFS($R$9:R76,"Ok"))</f>
        <v>68</v>
      </c>
      <c r="T76" s="6">
        <f t="shared" ca="1" si="21"/>
        <v>45998</v>
      </c>
      <c r="U76" s="501">
        <f t="shared" ca="1" si="22"/>
        <v>260.30000000000024</v>
      </c>
      <c r="V76" s="501">
        <f t="shared" ca="1" si="23"/>
        <v>5.2585858585858638</v>
      </c>
      <c r="W76" s="501">
        <f t="shared" si="24"/>
        <v>0</v>
      </c>
      <c r="X76" s="1">
        <f t="shared" si="25"/>
        <v>0</v>
      </c>
      <c r="Y76" s="1">
        <f t="shared" si="25"/>
        <v>0</v>
      </c>
    </row>
    <row r="77" spans="1:25" s="1" customFormat="1" x14ac:dyDescent="0.25">
      <c r="A77" s="7">
        <f t="shared" si="26"/>
        <v>69</v>
      </c>
      <c r="B77" s="11">
        <f t="shared" si="27"/>
        <v>11</v>
      </c>
      <c r="C77" s="502">
        <f t="shared" si="28"/>
        <v>45999</v>
      </c>
      <c r="D77" s="7">
        <f t="shared" si="29"/>
        <v>100</v>
      </c>
      <c r="E77" s="12">
        <f t="shared" si="30"/>
        <v>0.9</v>
      </c>
      <c r="F77" s="473">
        <f t="shared" si="31"/>
        <v>261.20000000000022</v>
      </c>
      <c r="G77" s="473"/>
      <c r="H77" s="504">
        <f t="shared" si="32"/>
        <v>7.0000000000000001E-3</v>
      </c>
      <c r="I77" s="14">
        <f t="shared" si="33"/>
        <v>7.0000000000000001E-3</v>
      </c>
      <c r="J77" s="498">
        <f t="shared" si="18"/>
        <v>182.84000000000015</v>
      </c>
      <c r="K77" s="15"/>
      <c r="L77" s="8">
        <f t="shared" si="34"/>
        <v>5.2767676767676814</v>
      </c>
      <c r="M77" s="8">
        <f t="shared" si="35"/>
        <v>9.0909090909090917</v>
      </c>
      <c r="N77" s="499" t="str">
        <f t="shared" si="19"/>
        <v/>
      </c>
      <c r="O77" s="4"/>
      <c r="P77" s="118"/>
      <c r="Q77" s="118"/>
      <c r="R77" s="4" t="str">
        <f t="shared" ca="1" si="20"/>
        <v>Ok</v>
      </c>
      <c r="S77" s="501">
        <f ca="1">IF(R77="Não","",COUNTIFS($R$9:R77,"Ok"))</f>
        <v>69</v>
      </c>
      <c r="T77" s="6">
        <f t="shared" ca="1" si="21"/>
        <v>45999</v>
      </c>
      <c r="U77" s="501">
        <f t="shared" ca="1" si="22"/>
        <v>261.20000000000022</v>
      </c>
      <c r="V77" s="501">
        <f t="shared" ca="1" si="23"/>
        <v>5.2767676767676814</v>
      </c>
      <c r="W77" s="501">
        <f t="shared" si="24"/>
        <v>0</v>
      </c>
      <c r="X77" s="1">
        <f t="shared" si="25"/>
        <v>0</v>
      </c>
      <c r="Y77" s="1">
        <f t="shared" si="25"/>
        <v>0</v>
      </c>
    </row>
    <row r="78" spans="1:25" s="1" customFormat="1" x14ac:dyDescent="0.25">
      <c r="A78" s="7">
        <f t="shared" si="26"/>
        <v>70</v>
      </c>
      <c r="B78" s="11">
        <f t="shared" si="27"/>
        <v>11</v>
      </c>
      <c r="C78" s="502">
        <f t="shared" si="28"/>
        <v>46000</v>
      </c>
      <c r="D78" s="7">
        <f t="shared" si="29"/>
        <v>100</v>
      </c>
      <c r="E78" s="12">
        <f t="shared" si="30"/>
        <v>0.9</v>
      </c>
      <c r="F78" s="473">
        <f t="shared" si="31"/>
        <v>262.10000000000019</v>
      </c>
      <c r="G78" s="473"/>
      <c r="H78" s="504">
        <f t="shared" si="32"/>
        <v>7.0000000000000001E-3</v>
      </c>
      <c r="I78" s="14">
        <f t="shared" si="33"/>
        <v>7.0000000000000001E-3</v>
      </c>
      <c r="J78" s="498">
        <f t="shared" si="18"/>
        <v>183.47000000000014</v>
      </c>
      <c r="K78" s="15"/>
      <c r="L78" s="8">
        <f t="shared" si="34"/>
        <v>5.2949494949494982</v>
      </c>
      <c r="M78" s="8">
        <f t="shared" si="35"/>
        <v>9.0909090909090917</v>
      </c>
      <c r="N78" s="499" t="str">
        <f t="shared" si="19"/>
        <v/>
      </c>
      <c r="O78" s="4"/>
      <c r="P78" s="118"/>
      <c r="Q78" s="118"/>
      <c r="R78" s="4" t="str">
        <f t="shared" ca="1" si="20"/>
        <v>Ok</v>
      </c>
      <c r="S78" s="501">
        <f ca="1">IF(R78="Não","",COUNTIFS($R$9:R78,"Ok"))</f>
        <v>70</v>
      </c>
      <c r="T78" s="6">
        <f t="shared" ca="1" si="21"/>
        <v>46000</v>
      </c>
      <c r="U78" s="501">
        <f t="shared" ca="1" si="22"/>
        <v>262.10000000000019</v>
      </c>
      <c r="V78" s="501">
        <f t="shared" ca="1" si="23"/>
        <v>5.2949494949494982</v>
      </c>
      <c r="W78" s="501">
        <f t="shared" si="24"/>
        <v>0</v>
      </c>
      <c r="X78" s="1">
        <f t="shared" si="25"/>
        <v>0</v>
      </c>
      <c r="Y78" s="1">
        <f t="shared" si="25"/>
        <v>0</v>
      </c>
    </row>
    <row r="79" spans="1:25" s="1" customFormat="1" x14ac:dyDescent="0.25">
      <c r="A79" s="7">
        <f t="shared" si="26"/>
        <v>71</v>
      </c>
      <c r="B79" s="11">
        <f t="shared" si="27"/>
        <v>11</v>
      </c>
      <c r="C79" s="502">
        <f t="shared" si="28"/>
        <v>46001</v>
      </c>
      <c r="D79" s="7">
        <f t="shared" si="29"/>
        <v>100</v>
      </c>
      <c r="E79" s="12">
        <f t="shared" si="30"/>
        <v>0.9</v>
      </c>
      <c r="F79" s="473">
        <f t="shared" si="31"/>
        <v>263.00000000000017</v>
      </c>
      <c r="G79" s="473"/>
      <c r="H79" s="504">
        <f t="shared" si="32"/>
        <v>7.0000000000000001E-3</v>
      </c>
      <c r="I79" s="14">
        <f t="shared" si="33"/>
        <v>7.0000000000000001E-3</v>
      </c>
      <c r="J79" s="498">
        <f t="shared" si="18"/>
        <v>184.10000000000014</v>
      </c>
      <c r="K79" s="15"/>
      <c r="L79" s="8">
        <f t="shared" si="34"/>
        <v>5.3131313131313167</v>
      </c>
      <c r="M79" s="8">
        <f t="shared" si="35"/>
        <v>9.0909090909090917</v>
      </c>
      <c r="N79" s="499" t="str">
        <f t="shared" si="19"/>
        <v/>
      </c>
      <c r="O79" s="4"/>
      <c r="P79" s="118"/>
      <c r="Q79" s="118"/>
      <c r="R79" s="4" t="str">
        <f t="shared" ca="1" si="20"/>
        <v>Ok</v>
      </c>
      <c r="S79" s="501">
        <f ca="1">IF(R79="Não","",COUNTIFS($R$9:R79,"Ok"))</f>
        <v>71</v>
      </c>
      <c r="T79" s="6">
        <f t="shared" ca="1" si="21"/>
        <v>46001</v>
      </c>
      <c r="U79" s="501">
        <f t="shared" ca="1" si="22"/>
        <v>263.00000000000017</v>
      </c>
      <c r="V79" s="501">
        <f t="shared" ca="1" si="23"/>
        <v>5.3131313131313167</v>
      </c>
      <c r="W79" s="501">
        <f t="shared" si="24"/>
        <v>0</v>
      </c>
      <c r="X79" s="1">
        <f t="shared" si="25"/>
        <v>0</v>
      </c>
      <c r="Y79" s="1">
        <f t="shared" si="25"/>
        <v>0</v>
      </c>
    </row>
    <row r="80" spans="1:25" s="1" customFormat="1" x14ac:dyDescent="0.25">
      <c r="A80" s="7">
        <f t="shared" si="26"/>
        <v>72</v>
      </c>
      <c r="B80" s="11">
        <f t="shared" si="27"/>
        <v>11</v>
      </c>
      <c r="C80" s="502">
        <f t="shared" si="28"/>
        <v>46002</v>
      </c>
      <c r="D80" s="7">
        <f t="shared" si="29"/>
        <v>100</v>
      </c>
      <c r="E80" s="12">
        <f t="shared" si="30"/>
        <v>0.9</v>
      </c>
      <c r="F80" s="473">
        <f t="shared" si="31"/>
        <v>263.90000000000015</v>
      </c>
      <c r="G80" s="473"/>
      <c r="H80" s="504">
        <f t="shared" si="32"/>
        <v>7.0000000000000001E-3</v>
      </c>
      <c r="I80" s="14">
        <f t="shared" si="33"/>
        <v>7.0000000000000001E-3</v>
      </c>
      <c r="J80" s="498">
        <f t="shared" si="18"/>
        <v>184.7300000000001</v>
      </c>
      <c r="K80" s="15"/>
      <c r="L80" s="8">
        <f t="shared" si="34"/>
        <v>5.3313131313131343</v>
      </c>
      <c r="M80" s="8">
        <f t="shared" si="35"/>
        <v>9.0909090909090917</v>
      </c>
      <c r="N80" s="499" t="str">
        <f t="shared" si="19"/>
        <v/>
      </c>
      <c r="O80" s="4"/>
      <c r="P80" s="118"/>
      <c r="Q80" s="118"/>
      <c r="R80" s="4" t="str">
        <f t="shared" ca="1" si="20"/>
        <v>Ok</v>
      </c>
      <c r="S80" s="501">
        <f ca="1">IF(R80="Não","",COUNTIFS($R$9:R80,"Ok"))</f>
        <v>72</v>
      </c>
      <c r="T80" s="6">
        <f t="shared" ca="1" si="21"/>
        <v>46002</v>
      </c>
      <c r="U80" s="501">
        <f t="shared" ca="1" si="22"/>
        <v>263.90000000000015</v>
      </c>
      <c r="V80" s="501">
        <f t="shared" ca="1" si="23"/>
        <v>5.3313131313131343</v>
      </c>
      <c r="W80" s="501">
        <f t="shared" si="24"/>
        <v>0</v>
      </c>
      <c r="X80" s="1">
        <f t="shared" si="25"/>
        <v>0</v>
      </c>
      <c r="Y80" s="1">
        <f t="shared" si="25"/>
        <v>0</v>
      </c>
    </row>
    <row r="81" spans="1:25" s="1" customFormat="1" x14ac:dyDescent="0.25">
      <c r="A81" s="7">
        <f t="shared" si="26"/>
        <v>73</v>
      </c>
      <c r="B81" s="11">
        <f t="shared" si="27"/>
        <v>11</v>
      </c>
      <c r="C81" s="502">
        <f t="shared" si="28"/>
        <v>46003</v>
      </c>
      <c r="D81" s="7">
        <f t="shared" si="29"/>
        <v>100</v>
      </c>
      <c r="E81" s="12">
        <f t="shared" si="30"/>
        <v>0.9</v>
      </c>
      <c r="F81" s="473">
        <f t="shared" si="31"/>
        <v>264.80000000000013</v>
      </c>
      <c r="G81" s="473"/>
      <c r="H81" s="504">
        <f t="shared" si="32"/>
        <v>7.0000000000000001E-3</v>
      </c>
      <c r="I81" s="14">
        <f t="shared" si="33"/>
        <v>7.0000000000000001E-3</v>
      </c>
      <c r="J81" s="498">
        <f t="shared" si="18"/>
        <v>185.3600000000001</v>
      </c>
      <c r="K81" s="15"/>
      <c r="L81" s="8">
        <f t="shared" si="34"/>
        <v>5.349494949494952</v>
      </c>
      <c r="M81" s="8">
        <f t="shared" si="35"/>
        <v>9.0909090909090917</v>
      </c>
      <c r="N81" s="499" t="str">
        <f t="shared" si="19"/>
        <v/>
      </c>
      <c r="O81" s="4"/>
      <c r="P81" s="118"/>
      <c r="Q81" s="118"/>
      <c r="R81" s="4" t="str">
        <f t="shared" ca="1" si="20"/>
        <v>Ok</v>
      </c>
      <c r="S81" s="501">
        <f ca="1">IF(R81="Não","",COUNTIFS($R$9:R81,"Ok"))</f>
        <v>73</v>
      </c>
      <c r="T81" s="6">
        <f t="shared" ca="1" si="21"/>
        <v>46003</v>
      </c>
      <c r="U81" s="501">
        <f t="shared" ca="1" si="22"/>
        <v>264.80000000000013</v>
      </c>
      <c r="V81" s="501">
        <f t="shared" ca="1" si="23"/>
        <v>5.349494949494952</v>
      </c>
      <c r="W81" s="501">
        <f t="shared" si="24"/>
        <v>0</v>
      </c>
      <c r="X81" s="1">
        <f t="shared" si="25"/>
        <v>0</v>
      </c>
      <c r="Y81" s="1">
        <f t="shared" si="25"/>
        <v>0</v>
      </c>
    </row>
    <row r="82" spans="1:25" s="1" customFormat="1" x14ac:dyDescent="0.25">
      <c r="A82" s="7">
        <f t="shared" si="26"/>
        <v>74</v>
      </c>
      <c r="B82" s="11">
        <f t="shared" si="27"/>
        <v>11</v>
      </c>
      <c r="C82" s="502">
        <f t="shared" si="28"/>
        <v>46004</v>
      </c>
      <c r="D82" s="7">
        <f t="shared" si="29"/>
        <v>100</v>
      </c>
      <c r="E82" s="12">
        <f t="shared" si="30"/>
        <v>0.9</v>
      </c>
      <c r="F82" s="473">
        <f t="shared" si="31"/>
        <v>265.7000000000001</v>
      </c>
      <c r="G82" s="473"/>
      <c r="H82" s="504">
        <f t="shared" si="32"/>
        <v>7.0000000000000001E-3</v>
      </c>
      <c r="I82" s="14">
        <f t="shared" si="33"/>
        <v>7.0000000000000001E-3</v>
      </c>
      <c r="J82" s="498">
        <f t="shared" si="18"/>
        <v>185.99000000000007</v>
      </c>
      <c r="K82" s="15"/>
      <c r="L82" s="8">
        <f t="shared" si="34"/>
        <v>5.3676767676767696</v>
      </c>
      <c r="M82" s="8">
        <f t="shared" si="35"/>
        <v>9.0909090909090917</v>
      </c>
      <c r="N82" s="499" t="str">
        <f t="shared" si="19"/>
        <v/>
      </c>
      <c r="O82" s="4"/>
      <c r="P82" s="118"/>
      <c r="Q82" s="118"/>
      <c r="R82" s="4" t="str">
        <f t="shared" ca="1" si="20"/>
        <v>Ok</v>
      </c>
      <c r="S82" s="501">
        <f ca="1">IF(R82="Não","",COUNTIFS($R$9:R82,"Ok"))</f>
        <v>74</v>
      </c>
      <c r="T82" s="6">
        <f t="shared" ca="1" si="21"/>
        <v>46004</v>
      </c>
      <c r="U82" s="501">
        <f t="shared" ca="1" si="22"/>
        <v>265.7000000000001</v>
      </c>
      <c r="V82" s="501">
        <f t="shared" ca="1" si="23"/>
        <v>5.3676767676767696</v>
      </c>
      <c r="W82" s="501">
        <f t="shared" si="24"/>
        <v>0</v>
      </c>
      <c r="X82" s="1">
        <f t="shared" si="25"/>
        <v>0</v>
      </c>
      <c r="Y82" s="1">
        <f t="shared" si="25"/>
        <v>0</v>
      </c>
    </row>
    <row r="83" spans="1:25" s="1" customFormat="1" x14ac:dyDescent="0.25">
      <c r="A83" s="7">
        <f t="shared" si="26"/>
        <v>75</v>
      </c>
      <c r="B83" s="11">
        <f t="shared" si="27"/>
        <v>11</v>
      </c>
      <c r="C83" s="502">
        <f t="shared" si="28"/>
        <v>46005</v>
      </c>
      <c r="D83" s="7">
        <f t="shared" si="29"/>
        <v>100</v>
      </c>
      <c r="E83" s="12">
        <f t="shared" si="30"/>
        <v>0.9</v>
      </c>
      <c r="F83" s="473">
        <f t="shared" si="31"/>
        <v>266.60000000000008</v>
      </c>
      <c r="G83" s="473"/>
      <c r="H83" s="504">
        <f t="shared" si="32"/>
        <v>7.0000000000000001E-3</v>
      </c>
      <c r="I83" s="14">
        <f t="shared" si="33"/>
        <v>7.0000000000000001E-3</v>
      </c>
      <c r="J83" s="498">
        <f t="shared" si="18"/>
        <v>186.62000000000006</v>
      </c>
      <c r="K83" s="15"/>
      <c r="L83" s="8">
        <f t="shared" si="34"/>
        <v>5.3858585858585872</v>
      </c>
      <c r="M83" s="8">
        <f t="shared" si="35"/>
        <v>9.0909090909090917</v>
      </c>
      <c r="N83" s="499" t="str">
        <f t="shared" si="19"/>
        <v/>
      </c>
      <c r="O83" s="4"/>
      <c r="P83" s="118"/>
      <c r="Q83" s="118"/>
      <c r="R83" s="4" t="str">
        <f t="shared" ca="1" si="20"/>
        <v>Ok</v>
      </c>
      <c r="S83" s="501">
        <f ca="1">IF(R83="Não","",COUNTIFS($R$9:R83,"Ok"))</f>
        <v>75</v>
      </c>
      <c r="T83" s="6">
        <f t="shared" ca="1" si="21"/>
        <v>46005</v>
      </c>
      <c r="U83" s="501">
        <f t="shared" ca="1" si="22"/>
        <v>266.60000000000008</v>
      </c>
      <c r="V83" s="501">
        <f t="shared" ca="1" si="23"/>
        <v>5.3858585858585872</v>
      </c>
      <c r="W83" s="501">
        <f t="shared" si="24"/>
        <v>0</v>
      </c>
      <c r="X83" s="1">
        <f t="shared" si="25"/>
        <v>0</v>
      </c>
      <c r="Y83" s="1">
        <f t="shared" si="25"/>
        <v>0</v>
      </c>
    </row>
    <row r="84" spans="1:25" s="1" customFormat="1" x14ac:dyDescent="0.25">
      <c r="A84" s="7">
        <f t="shared" si="26"/>
        <v>76</v>
      </c>
      <c r="B84" s="11">
        <f t="shared" si="27"/>
        <v>11</v>
      </c>
      <c r="C84" s="502">
        <f t="shared" si="28"/>
        <v>46006</v>
      </c>
      <c r="D84" s="7">
        <f t="shared" si="29"/>
        <v>100</v>
      </c>
      <c r="E84" s="12">
        <f t="shared" si="30"/>
        <v>0.9</v>
      </c>
      <c r="F84" s="473">
        <f t="shared" si="31"/>
        <v>267.50000000000006</v>
      </c>
      <c r="G84" s="473"/>
      <c r="H84" s="504">
        <f t="shared" si="32"/>
        <v>7.0000000000000001E-3</v>
      </c>
      <c r="I84" s="14">
        <f t="shared" si="33"/>
        <v>7.0000000000000001E-3</v>
      </c>
      <c r="J84" s="498">
        <f t="shared" si="18"/>
        <v>187.25000000000006</v>
      </c>
      <c r="K84" s="15"/>
      <c r="L84" s="8">
        <f t="shared" si="34"/>
        <v>5.4040404040404049</v>
      </c>
      <c r="M84" s="8">
        <f t="shared" si="35"/>
        <v>9.0909090909090917</v>
      </c>
      <c r="N84" s="499" t="str">
        <f t="shared" si="19"/>
        <v/>
      </c>
      <c r="O84" s="4"/>
      <c r="P84" s="118"/>
      <c r="Q84" s="118"/>
      <c r="R84" s="4" t="str">
        <f t="shared" ca="1" si="20"/>
        <v>Ok</v>
      </c>
      <c r="S84" s="501">
        <f ca="1">IF(R84="Não","",COUNTIFS($R$9:R84,"Ok"))</f>
        <v>76</v>
      </c>
      <c r="T84" s="6">
        <f t="shared" ca="1" si="21"/>
        <v>46006</v>
      </c>
      <c r="U84" s="501">
        <f t="shared" ca="1" si="22"/>
        <v>267.50000000000006</v>
      </c>
      <c r="V84" s="501">
        <f t="shared" ca="1" si="23"/>
        <v>5.4040404040404049</v>
      </c>
      <c r="W84" s="501">
        <f t="shared" si="24"/>
        <v>0</v>
      </c>
      <c r="X84" s="1">
        <f t="shared" si="25"/>
        <v>0</v>
      </c>
      <c r="Y84" s="1">
        <f t="shared" si="25"/>
        <v>0</v>
      </c>
    </row>
    <row r="85" spans="1:25" s="1" customFormat="1" x14ac:dyDescent="0.25">
      <c r="A85" s="7">
        <f t="shared" si="26"/>
        <v>77</v>
      </c>
      <c r="B85" s="11">
        <f t="shared" si="27"/>
        <v>11</v>
      </c>
      <c r="C85" s="502">
        <f t="shared" si="28"/>
        <v>46007</v>
      </c>
      <c r="D85" s="7">
        <f t="shared" si="29"/>
        <v>100</v>
      </c>
      <c r="E85" s="12">
        <f t="shared" si="30"/>
        <v>0.9</v>
      </c>
      <c r="F85" s="473">
        <f t="shared" si="31"/>
        <v>268.40000000000003</v>
      </c>
      <c r="G85" s="473"/>
      <c r="H85" s="504">
        <f t="shared" si="32"/>
        <v>7.0000000000000001E-3</v>
      </c>
      <c r="I85" s="14">
        <f t="shared" si="33"/>
        <v>7.0000000000000001E-3</v>
      </c>
      <c r="J85" s="498">
        <f t="shared" si="18"/>
        <v>187.88000000000002</v>
      </c>
      <c r="K85" s="15"/>
      <c r="L85" s="8">
        <f t="shared" si="34"/>
        <v>5.4222222222222234</v>
      </c>
      <c r="M85" s="8">
        <f t="shared" si="35"/>
        <v>9.0909090909090917</v>
      </c>
      <c r="N85" s="499" t="str">
        <f t="shared" si="19"/>
        <v/>
      </c>
      <c r="O85" s="4"/>
      <c r="P85" s="118"/>
      <c r="Q85" s="118"/>
      <c r="R85" s="4" t="str">
        <f t="shared" ca="1" si="20"/>
        <v>Ok</v>
      </c>
      <c r="S85" s="501">
        <f ca="1">IF(R85="Não","",COUNTIFS($R$9:R85,"Ok"))</f>
        <v>77</v>
      </c>
      <c r="T85" s="6">
        <f t="shared" ca="1" si="21"/>
        <v>46007</v>
      </c>
      <c r="U85" s="501">
        <f t="shared" ca="1" si="22"/>
        <v>268.40000000000003</v>
      </c>
      <c r="V85" s="501">
        <f t="shared" ca="1" si="23"/>
        <v>5.4222222222222234</v>
      </c>
      <c r="W85" s="501">
        <f t="shared" si="24"/>
        <v>0</v>
      </c>
      <c r="X85" s="1">
        <f t="shared" si="25"/>
        <v>0</v>
      </c>
      <c r="Y85" s="1">
        <f t="shared" si="25"/>
        <v>0</v>
      </c>
    </row>
    <row r="86" spans="1:25" s="1" customFormat="1" x14ac:dyDescent="0.25">
      <c r="A86" s="7">
        <f t="shared" si="26"/>
        <v>78</v>
      </c>
      <c r="B86" s="11">
        <f t="shared" si="27"/>
        <v>11</v>
      </c>
      <c r="C86" s="502">
        <f t="shared" si="28"/>
        <v>46008</v>
      </c>
      <c r="D86" s="7">
        <f t="shared" si="29"/>
        <v>100</v>
      </c>
      <c r="E86" s="12">
        <f t="shared" si="30"/>
        <v>0.9</v>
      </c>
      <c r="F86" s="473">
        <f t="shared" si="31"/>
        <v>269.3</v>
      </c>
      <c r="G86" s="473"/>
      <c r="H86" s="504">
        <f t="shared" si="32"/>
        <v>7.0000000000000001E-3</v>
      </c>
      <c r="I86" s="14">
        <f t="shared" si="33"/>
        <v>7.0000000000000001E-3</v>
      </c>
      <c r="J86" s="498">
        <f t="shared" si="18"/>
        <v>188.51000000000002</v>
      </c>
      <c r="K86" s="15"/>
      <c r="L86" s="8">
        <f t="shared" si="34"/>
        <v>5.4404040404040401</v>
      </c>
      <c r="M86" s="8">
        <f t="shared" si="35"/>
        <v>9.0909090909090917</v>
      </c>
      <c r="N86" s="499" t="str">
        <f t="shared" si="19"/>
        <v/>
      </c>
      <c r="O86" s="4"/>
      <c r="P86" s="118"/>
      <c r="Q86" s="118"/>
      <c r="R86" s="4" t="str">
        <f t="shared" ca="1" si="20"/>
        <v>Ok</v>
      </c>
      <c r="S86" s="501">
        <f ca="1">IF(R86="Não","",COUNTIFS($R$9:R86,"Ok"))</f>
        <v>78</v>
      </c>
      <c r="T86" s="6">
        <f t="shared" ca="1" si="21"/>
        <v>46008</v>
      </c>
      <c r="U86" s="501">
        <f t="shared" ca="1" si="22"/>
        <v>269.3</v>
      </c>
      <c r="V86" s="501">
        <f t="shared" ca="1" si="23"/>
        <v>5.4404040404040401</v>
      </c>
      <c r="W86" s="501">
        <f t="shared" si="24"/>
        <v>0</v>
      </c>
      <c r="X86" s="1">
        <f t="shared" si="25"/>
        <v>0</v>
      </c>
      <c r="Y86" s="1">
        <f t="shared" si="25"/>
        <v>0</v>
      </c>
    </row>
    <row r="87" spans="1:25" s="1" customFormat="1" x14ac:dyDescent="0.25">
      <c r="A87" s="7">
        <f t="shared" si="26"/>
        <v>79</v>
      </c>
      <c r="B87" s="11">
        <f t="shared" si="27"/>
        <v>11</v>
      </c>
      <c r="C87" s="502">
        <f t="shared" si="28"/>
        <v>46009</v>
      </c>
      <c r="D87" s="7">
        <f t="shared" si="29"/>
        <v>100</v>
      </c>
      <c r="E87" s="12">
        <f t="shared" si="30"/>
        <v>0.9</v>
      </c>
      <c r="F87" s="473">
        <f t="shared" si="31"/>
        <v>270.2</v>
      </c>
      <c r="G87" s="473"/>
      <c r="H87" s="504">
        <f t="shared" si="32"/>
        <v>7.0000000000000001E-3</v>
      </c>
      <c r="I87" s="14">
        <f t="shared" si="33"/>
        <v>7.0000000000000001E-3</v>
      </c>
      <c r="J87" s="498">
        <f t="shared" si="18"/>
        <v>189.14</v>
      </c>
      <c r="K87" s="15"/>
      <c r="L87" s="8">
        <f t="shared" si="34"/>
        <v>5.4585858585858587</v>
      </c>
      <c r="M87" s="8">
        <f t="shared" si="35"/>
        <v>9.0909090909090917</v>
      </c>
      <c r="N87" s="499" t="str">
        <f t="shared" si="19"/>
        <v/>
      </c>
      <c r="O87" s="4"/>
      <c r="P87" s="118"/>
      <c r="Q87" s="118"/>
      <c r="R87" s="4" t="str">
        <f t="shared" ca="1" si="20"/>
        <v>Ok</v>
      </c>
      <c r="S87" s="501">
        <f ca="1">IF(R87="Não","",COUNTIFS($R$9:R87,"Ok"))</f>
        <v>79</v>
      </c>
      <c r="T87" s="6">
        <f t="shared" ca="1" si="21"/>
        <v>46009</v>
      </c>
      <c r="U87" s="501">
        <f t="shared" ca="1" si="22"/>
        <v>270.2</v>
      </c>
      <c r="V87" s="501">
        <f t="shared" ca="1" si="23"/>
        <v>5.4585858585858587</v>
      </c>
      <c r="W87" s="501">
        <f t="shared" si="24"/>
        <v>0</v>
      </c>
      <c r="X87" s="1">
        <f t="shared" si="25"/>
        <v>0</v>
      </c>
      <c r="Y87" s="1">
        <f t="shared" si="25"/>
        <v>0</v>
      </c>
    </row>
    <row r="88" spans="1:25" s="1" customFormat="1" x14ac:dyDescent="0.25">
      <c r="A88" s="7">
        <f t="shared" si="26"/>
        <v>80</v>
      </c>
      <c r="B88" s="11">
        <f t="shared" si="27"/>
        <v>11</v>
      </c>
      <c r="C88" s="502">
        <f t="shared" si="28"/>
        <v>46010</v>
      </c>
      <c r="D88" s="7">
        <f t="shared" si="29"/>
        <v>100</v>
      </c>
      <c r="E88" s="12">
        <f t="shared" si="30"/>
        <v>0.9</v>
      </c>
      <c r="F88" s="473">
        <f t="shared" si="31"/>
        <v>271.09999999999997</v>
      </c>
      <c r="G88" s="473"/>
      <c r="H88" s="504">
        <f t="shared" si="32"/>
        <v>7.0000000000000001E-3</v>
      </c>
      <c r="I88" s="14">
        <f t="shared" si="33"/>
        <v>7.0000000000000001E-3</v>
      </c>
      <c r="J88" s="498">
        <f t="shared" si="18"/>
        <v>189.76999999999998</v>
      </c>
      <c r="K88" s="15"/>
      <c r="L88" s="8">
        <f t="shared" si="34"/>
        <v>5.4767676767676754</v>
      </c>
      <c r="M88" s="8">
        <f t="shared" si="35"/>
        <v>9.0909090909090917</v>
      </c>
      <c r="N88" s="499" t="str">
        <f t="shared" si="19"/>
        <v/>
      </c>
      <c r="O88" s="4"/>
      <c r="P88" s="118"/>
      <c r="Q88" s="118"/>
      <c r="R88" s="4" t="str">
        <f t="shared" ca="1" si="20"/>
        <v>Ok</v>
      </c>
      <c r="S88" s="501">
        <f ca="1">IF(R88="Não","",COUNTIFS($R$9:R88,"Ok"))</f>
        <v>80</v>
      </c>
      <c r="T88" s="6">
        <f t="shared" ca="1" si="21"/>
        <v>46010</v>
      </c>
      <c r="U88" s="501">
        <f t="shared" ca="1" si="22"/>
        <v>271.09999999999997</v>
      </c>
      <c r="V88" s="501">
        <f t="shared" ca="1" si="23"/>
        <v>5.4767676767676754</v>
      </c>
      <c r="W88" s="501">
        <f t="shared" si="24"/>
        <v>0</v>
      </c>
      <c r="X88" s="1">
        <f t="shared" si="25"/>
        <v>0</v>
      </c>
      <c r="Y88" s="1">
        <f t="shared" si="25"/>
        <v>0</v>
      </c>
    </row>
    <row r="89" spans="1:25" s="1" customFormat="1" x14ac:dyDescent="0.25">
      <c r="A89" s="7">
        <f t="shared" si="26"/>
        <v>81</v>
      </c>
      <c r="B89" s="11">
        <f t="shared" si="27"/>
        <v>11</v>
      </c>
      <c r="C89" s="502">
        <f t="shared" si="28"/>
        <v>46011</v>
      </c>
      <c r="D89" s="7">
        <f t="shared" si="29"/>
        <v>100</v>
      </c>
      <c r="E89" s="12">
        <f t="shared" si="30"/>
        <v>0.9</v>
      </c>
      <c r="F89" s="473">
        <f t="shared" si="31"/>
        <v>271.99999999999994</v>
      </c>
      <c r="G89" s="473"/>
      <c r="H89" s="504">
        <f t="shared" si="32"/>
        <v>7.0000000000000001E-3</v>
      </c>
      <c r="I89" s="14">
        <f t="shared" si="33"/>
        <v>7.0000000000000001E-3</v>
      </c>
      <c r="J89" s="498">
        <f t="shared" si="18"/>
        <v>190.39999999999998</v>
      </c>
      <c r="K89" s="15"/>
      <c r="L89" s="8">
        <f t="shared" si="34"/>
        <v>5.4949494949494939</v>
      </c>
      <c r="M89" s="8">
        <f t="shared" si="35"/>
        <v>9.0909090909090917</v>
      </c>
      <c r="N89" s="499" t="str">
        <f t="shared" si="19"/>
        <v/>
      </c>
      <c r="O89" s="4"/>
      <c r="P89" s="118"/>
      <c r="Q89" s="118"/>
      <c r="R89" s="4" t="str">
        <f t="shared" ca="1" si="20"/>
        <v>Ok</v>
      </c>
      <c r="S89" s="501">
        <f ca="1">IF(R89="Não","",COUNTIFS($R$9:R89,"Ok"))</f>
        <v>81</v>
      </c>
      <c r="T89" s="6">
        <f t="shared" ca="1" si="21"/>
        <v>46011</v>
      </c>
      <c r="U89" s="501">
        <f t="shared" ca="1" si="22"/>
        <v>271.99999999999994</v>
      </c>
      <c r="V89" s="501">
        <f t="shared" ca="1" si="23"/>
        <v>5.4949494949494939</v>
      </c>
      <c r="W89" s="501">
        <f t="shared" si="24"/>
        <v>0</v>
      </c>
      <c r="X89" s="1">
        <f t="shared" si="25"/>
        <v>0</v>
      </c>
      <c r="Y89" s="1">
        <f t="shared" si="25"/>
        <v>0</v>
      </c>
    </row>
    <row r="90" spans="1:25" s="1" customFormat="1" x14ac:dyDescent="0.25">
      <c r="A90" s="7">
        <f t="shared" si="26"/>
        <v>82</v>
      </c>
      <c r="B90" s="11">
        <f t="shared" si="27"/>
        <v>11</v>
      </c>
      <c r="C90" s="502">
        <f t="shared" si="28"/>
        <v>46012</v>
      </c>
      <c r="D90" s="7">
        <f t="shared" si="29"/>
        <v>100</v>
      </c>
      <c r="E90" s="12">
        <f t="shared" si="30"/>
        <v>0.9</v>
      </c>
      <c r="F90" s="473">
        <f t="shared" si="31"/>
        <v>272.89999999999992</v>
      </c>
      <c r="G90" s="473"/>
      <c r="H90" s="504">
        <f t="shared" si="32"/>
        <v>7.0000000000000001E-3</v>
      </c>
      <c r="I90" s="14">
        <f t="shared" si="33"/>
        <v>7.0000000000000001E-3</v>
      </c>
      <c r="J90" s="498">
        <f t="shared" si="18"/>
        <v>191.02999999999994</v>
      </c>
      <c r="K90" s="15"/>
      <c r="L90" s="8">
        <f t="shared" si="34"/>
        <v>5.5131313131313116</v>
      </c>
      <c r="M90" s="8">
        <f t="shared" si="35"/>
        <v>9.0909090909090917</v>
      </c>
      <c r="N90" s="499" t="str">
        <f t="shared" si="19"/>
        <v/>
      </c>
      <c r="O90" s="4"/>
      <c r="P90" s="118"/>
      <c r="Q90" s="118"/>
      <c r="R90" s="4" t="str">
        <f t="shared" ca="1" si="20"/>
        <v>Ok</v>
      </c>
      <c r="S90" s="501">
        <f ca="1">IF(R90="Não","",COUNTIFS($R$9:R90,"Ok"))</f>
        <v>82</v>
      </c>
      <c r="T90" s="6">
        <f t="shared" ca="1" si="21"/>
        <v>46012</v>
      </c>
      <c r="U90" s="501">
        <f t="shared" ca="1" si="22"/>
        <v>272.89999999999992</v>
      </c>
      <c r="V90" s="501">
        <f t="shared" ca="1" si="23"/>
        <v>5.5131313131313116</v>
      </c>
      <c r="W90" s="501">
        <f t="shared" si="24"/>
        <v>0</v>
      </c>
      <c r="X90" s="1">
        <f t="shared" si="25"/>
        <v>0</v>
      </c>
      <c r="Y90" s="1">
        <f t="shared" si="25"/>
        <v>0</v>
      </c>
    </row>
    <row r="91" spans="1:25" s="1" customFormat="1" x14ac:dyDescent="0.25">
      <c r="A91" s="7">
        <f t="shared" si="26"/>
        <v>83</v>
      </c>
      <c r="B91" s="11">
        <f t="shared" si="27"/>
        <v>11</v>
      </c>
      <c r="C91" s="502">
        <f t="shared" si="28"/>
        <v>46013</v>
      </c>
      <c r="D91" s="7">
        <f t="shared" si="29"/>
        <v>100</v>
      </c>
      <c r="E91" s="12">
        <f t="shared" si="30"/>
        <v>0.9</v>
      </c>
      <c r="F91" s="473">
        <f t="shared" si="31"/>
        <v>273.7999999999999</v>
      </c>
      <c r="G91" s="473"/>
      <c r="H91" s="504">
        <f t="shared" si="32"/>
        <v>7.0000000000000001E-3</v>
      </c>
      <c r="I91" s="14">
        <f t="shared" si="33"/>
        <v>7.0000000000000001E-3</v>
      </c>
      <c r="J91" s="498">
        <f t="shared" si="18"/>
        <v>191.65999999999994</v>
      </c>
      <c r="K91" s="15"/>
      <c r="L91" s="8">
        <f t="shared" si="34"/>
        <v>5.5313131313131292</v>
      </c>
      <c r="M91" s="8">
        <f t="shared" si="35"/>
        <v>9.0909090909090917</v>
      </c>
      <c r="N91" s="499" t="str">
        <f t="shared" si="19"/>
        <v/>
      </c>
      <c r="O91" s="4"/>
      <c r="P91" s="118"/>
      <c r="Q91" s="118"/>
      <c r="R91" s="4" t="str">
        <f t="shared" ca="1" si="20"/>
        <v>Ok</v>
      </c>
      <c r="S91" s="501">
        <f ca="1">IF(R91="Não","",COUNTIFS($R$9:R91,"Ok"))</f>
        <v>83</v>
      </c>
      <c r="T91" s="6">
        <f t="shared" ca="1" si="21"/>
        <v>46013</v>
      </c>
      <c r="U91" s="501">
        <f t="shared" ca="1" si="22"/>
        <v>273.7999999999999</v>
      </c>
      <c r="V91" s="501">
        <f t="shared" ca="1" si="23"/>
        <v>5.5313131313131292</v>
      </c>
      <c r="W91" s="501">
        <f t="shared" si="24"/>
        <v>0</v>
      </c>
      <c r="X91" s="1">
        <f t="shared" si="25"/>
        <v>0</v>
      </c>
      <c r="Y91" s="1">
        <f t="shared" si="25"/>
        <v>0</v>
      </c>
    </row>
    <row r="92" spans="1:25" s="1" customFormat="1" x14ac:dyDescent="0.25">
      <c r="A92" s="7">
        <f t="shared" si="26"/>
        <v>84</v>
      </c>
      <c r="B92" s="11">
        <f t="shared" si="27"/>
        <v>11</v>
      </c>
      <c r="C92" s="502">
        <f t="shared" si="28"/>
        <v>46014</v>
      </c>
      <c r="D92" s="7">
        <f t="shared" si="29"/>
        <v>100</v>
      </c>
      <c r="E92" s="12">
        <f t="shared" si="30"/>
        <v>0.9</v>
      </c>
      <c r="F92" s="473">
        <f t="shared" si="31"/>
        <v>274.69999999999987</v>
      </c>
      <c r="G92" s="473"/>
      <c r="H92" s="504">
        <f t="shared" si="32"/>
        <v>7.0000000000000001E-3</v>
      </c>
      <c r="I92" s="14">
        <f t="shared" si="33"/>
        <v>7.0000000000000001E-3</v>
      </c>
      <c r="J92" s="498">
        <f t="shared" si="18"/>
        <v>192.28999999999991</v>
      </c>
      <c r="K92" s="15"/>
      <c r="L92" s="8">
        <f t="shared" si="34"/>
        <v>5.5494949494949477</v>
      </c>
      <c r="M92" s="8">
        <f t="shared" si="35"/>
        <v>9.0909090909090917</v>
      </c>
      <c r="N92" s="499" t="str">
        <f t="shared" si="19"/>
        <v/>
      </c>
      <c r="O92" s="4"/>
      <c r="P92" s="118"/>
      <c r="Q92" s="118"/>
      <c r="R92" s="4" t="str">
        <f t="shared" ca="1" si="20"/>
        <v>Ok</v>
      </c>
      <c r="S92" s="501">
        <f ca="1">IF(R92="Não","",COUNTIFS($R$9:R92,"Ok"))</f>
        <v>84</v>
      </c>
      <c r="T92" s="6">
        <f t="shared" ca="1" si="21"/>
        <v>46014</v>
      </c>
      <c r="U92" s="501">
        <f t="shared" ca="1" si="22"/>
        <v>274.69999999999987</v>
      </c>
      <c r="V92" s="501">
        <f t="shared" ca="1" si="23"/>
        <v>5.5494949494949477</v>
      </c>
      <c r="W92" s="501">
        <f t="shared" si="24"/>
        <v>0</v>
      </c>
      <c r="X92" s="1">
        <f t="shared" si="25"/>
        <v>0</v>
      </c>
      <c r="Y92" s="1">
        <f t="shared" si="25"/>
        <v>0</v>
      </c>
    </row>
    <row r="93" spans="1:25" s="1" customFormat="1" x14ac:dyDescent="0.25">
      <c r="A93" s="7">
        <f t="shared" si="26"/>
        <v>85</v>
      </c>
      <c r="B93" s="11">
        <f t="shared" si="27"/>
        <v>11</v>
      </c>
      <c r="C93" s="502">
        <f t="shared" si="28"/>
        <v>46015</v>
      </c>
      <c r="D93" s="7">
        <f t="shared" si="29"/>
        <v>100</v>
      </c>
      <c r="E93" s="12">
        <f t="shared" si="30"/>
        <v>0.9</v>
      </c>
      <c r="F93" s="473">
        <f t="shared" si="31"/>
        <v>275.59999999999985</v>
      </c>
      <c r="G93" s="473"/>
      <c r="H93" s="504">
        <f t="shared" si="32"/>
        <v>7.0000000000000001E-3</v>
      </c>
      <c r="I93" s="14">
        <f t="shared" si="33"/>
        <v>7.0000000000000001E-3</v>
      </c>
      <c r="J93" s="498">
        <f t="shared" si="18"/>
        <v>192.9199999999999</v>
      </c>
      <c r="K93" s="15"/>
      <c r="L93" s="8">
        <f t="shared" si="34"/>
        <v>5.5676767676767644</v>
      </c>
      <c r="M93" s="8">
        <f t="shared" si="35"/>
        <v>9.0909090909090917</v>
      </c>
      <c r="N93" s="499" t="str">
        <f t="shared" si="19"/>
        <v/>
      </c>
      <c r="O93" s="4"/>
      <c r="P93" s="118"/>
      <c r="Q93" s="118"/>
      <c r="R93" s="4" t="str">
        <f t="shared" ca="1" si="20"/>
        <v>Ok</v>
      </c>
      <c r="S93" s="501">
        <f ca="1">IF(R93="Não","",COUNTIFS($R$9:R93,"Ok"))</f>
        <v>85</v>
      </c>
      <c r="T93" s="6">
        <f t="shared" ca="1" si="21"/>
        <v>46015</v>
      </c>
      <c r="U93" s="501">
        <f t="shared" ca="1" si="22"/>
        <v>275.59999999999985</v>
      </c>
      <c r="V93" s="501">
        <f t="shared" ca="1" si="23"/>
        <v>5.5676767676767644</v>
      </c>
      <c r="W93" s="501">
        <f t="shared" si="24"/>
        <v>0</v>
      </c>
      <c r="X93" s="1">
        <f t="shared" si="25"/>
        <v>0</v>
      </c>
      <c r="Y93" s="1">
        <f t="shared" si="25"/>
        <v>0</v>
      </c>
    </row>
    <row r="94" spans="1:25" s="1" customFormat="1" x14ac:dyDescent="0.25">
      <c r="A94" s="7">
        <f t="shared" si="26"/>
        <v>86</v>
      </c>
      <c r="B94" s="11">
        <f t="shared" si="27"/>
        <v>11</v>
      </c>
      <c r="C94" s="502">
        <f t="shared" si="28"/>
        <v>46016</v>
      </c>
      <c r="D94" s="7">
        <f t="shared" si="29"/>
        <v>100</v>
      </c>
      <c r="E94" s="12">
        <f t="shared" si="30"/>
        <v>0.9</v>
      </c>
      <c r="F94" s="473">
        <f t="shared" si="31"/>
        <v>276.49999999999983</v>
      </c>
      <c r="G94" s="473"/>
      <c r="H94" s="504">
        <f t="shared" si="32"/>
        <v>7.0000000000000001E-3</v>
      </c>
      <c r="I94" s="14">
        <f t="shared" si="33"/>
        <v>7.0000000000000001E-3</v>
      </c>
      <c r="J94" s="498">
        <f t="shared" si="18"/>
        <v>193.5499999999999</v>
      </c>
      <c r="K94" s="15"/>
      <c r="L94" s="8">
        <f t="shared" si="34"/>
        <v>5.5858585858585821</v>
      </c>
      <c r="M94" s="8">
        <f t="shared" si="35"/>
        <v>9.0909090909090917</v>
      </c>
      <c r="N94" s="499" t="str">
        <f t="shared" si="19"/>
        <v/>
      </c>
      <c r="O94" s="4"/>
      <c r="P94" s="118"/>
      <c r="Q94" s="118"/>
      <c r="R94" s="4" t="str">
        <f t="shared" ca="1" si="20"/>
        <v>Ok</v>
      </c>
      <c r="S94" s="501">
        <f ca="1">IF(R94="Não","",COUNTIFS($R$9:R94,"Ok"))</f>
        <v>86</v>
      </c>
      <c r="T94" s="6">
        <f t="shared" ca="1" si="21"/>
        <v>46016</v>
      </c>
      <c r="U94" s="501">
        <f t="shared" ca="1" si="22"/>
        <v>276.49999999999983</v>
      </c>
      <c r="V94" s="501">
        <f t="shared" ca="1" si="23"/>
        <v>5.5858585858585821</v>
      </c>
      <c r="W94" s="501">
        <f t="shared" si="24"/>
        <v>0</v>
      </c>
      <c r="X94" s="1">
        <f t="shared" si="25"/>
        <v>0</v>
      </c>
      <c r="Y94" s="1">
        <f t="shared" si="25"/>
        <v>0</v>
      </c>
    </row>
    <row r="95" spans="1:25" s="1" customFormat="1" x14ac:dyDescent="0.25">
      <c r="A95" s="7">
        <f t="shared" si="26"/>
        <v>87</v>
      </c>
      <c r="B95" s="11">
        <f t="shared" si="27"/>
        <v>11</v>
      </c>
      <c r="C95" s="502">
        <f t="shared" si="28"/>
        <v>46017</v>
      </c>
      <c r="D95" s="7">
        <f t="shared" si="29"/>
        <v>100</v>
      </c>
      <c r="E95" s="12">
        <f t="shared" si="30"/>
        <v>0.9</v>
      </c>
      <c r="F95" s="473">
        <f t="shared" si="31"/>
        <v>277.39999999999981</v>
      </c>
      <c r="G95" s="473"/>
      <c r="H95" s="504">
        <f t="shared" si="32"/>
        <v>7.0000000000000001E-3</v>
      </c>
      <c r="I95" s="14">
        <f t="shared" si="33"/>
        <v>7.0000000000000001E-3</v>
      </c>
      <c r="J95" s="498">
        <f t="shared" si="18"/>
        <v>194.17999999999986</v>
      </c>
      <c r="K95" s="15"/>
      <c r="L95" s="8">
        <f t="shared" si="34"/>
        <v>5.6040404040404006</v>
      </c>
      <c r="M95" s="8">
        <f t="shared" si="35"/>
        <v>9.0909090909090917</v>
      </c>
      <c r="N95" s="499" t="str">
        <f t="shared" si="19"/>
        <v/>
      </c>
      <c r="O95" s="4"/>
      <c r="P95" s="118"/>
      <c r="Q95" s="118"/>
      <c r="R95" s="4" t="str">
        <f t="shared" ca="1" si="20"/>
        <v>Ok</v>
      </c>
      <c r="S95" s="501">
        <f ca="1">IF(R95="Não","",COUNTIFS($R$9:R95,"Ok"))</f>
        <v>87</v>
      </c>
      <c r="T95" s="6">
        <f t="shared" ca="1" si="21"/>
        <v>46017</v>
      </c>
      <c r="U95" s="501">
        <f t="shared" ca="1" si="22"/>
        <v>277.39999999999981</v>
      </c>
      <c r="V95" s="501">
        <f t="shared" ca="1" si="23"/>
        <v>5.6040404040404006</v>
      </c>
      <c r="W95" s="501">
        <f t="shared" si="24"/>
        <v>0</v>
      </c>
      <c r="X95" s="1">
        <f t="shared" si="25"/>
        <v>0</v>
      </c>
      <c r="Y95" s="1">
        <f t="shared" si="25"/>
        <v>0</v>
      </c>
    </row>
    <row r="96" spans="1:25" s="1" customFormat="1" x14ac:dyDescent="0.25">
      <c r="A96" s="7">
        <f t="shared" si="26"/>
        <v>88</v>
      </c>
      <c r="B96" s="11">
        <f t="shared" si="27"/>
        <v>11</v>
      </c>
      <c r="C96" s="502">
        <f t="shared" si="28"/>
        <v>46018</v>
      </c>
      <c r="D96" s="7">
        <f t="shared" si="29"/>
        <v>100</v>
      </c>
      <c r="E96" s="12">
        <f t="shared" si="30"/>
        <v>0.9</v>
      </c>
      <c r="F96" s="473">
        <f t="shared" si="31"/>
        <v>278.29999999999978</v>
      </c>
      <c r="G96" s="473"/>
      <c r="H96" s="504">
        <f t="shared" si="32"/>
        <v>7.0000000000000001E-3</v>
      </c>
      <c r="I96" s="14">
        <f t="shared" si="33"/>
        <v>7.0000000000000001E-3</v>
      </c>
      <c r="J96" s="498">
        <f t="shared" si="18"/>
        <v>194.80999999999986</v>
      </c>
      <c r="K96" s="15"/>
      <c r="L96" s="8">
        <f t="shared" si="34"/>
        <v>5.6222222222222182</v>
      </c>
      <c r="M96" s="8">
        <f t="shared" si="35"/>
        <v>9.0909090909090917</v>
      </c>
      <c r="N96" s="499" t="str">
        <f t="shared" si="19"/>
        <v/>
      </c>
      <c r="O96" s="4"/>
      <c r="P96" s="118"/>
      <c r="Q96" s="118"/>
      <c r="R96" s="4" t="str">
        <f t="shared" ca="1" si="20"/>
        <v>Ok</v>
      </c>
      <c r="S96" s="501">
        <f ca="1">IF(R96="Não","",COUNTIFS($R$9:R96,"Ok"))</f>
        <v>88</v>
      </c>
      <c r="T96" s="6">
        <f t="shared" ca="1" si="21"/>
        <v>46018</v>
      </c>
      <c r="U96" s="501">
        <f t="shared" ca="1" si="22"/>
        <v>278.29999999999978</v>
      </c>
      <c r="V96" s="501">
        <f t="shared" ca="1" si="23"/>
        <v>5.6222222222222182</v>
      </c>
      <c r="W96" s="501">
        <f t="shared" si="24"/>
        <v>0</v>
      </c>
      <c r="X96" s="1">
        <f t="shared" si="25"/>
        <v>0</v>
      </c>
      <c r="Y96" s="1">
        <f t="shared" si="25"/>
        <v>0</v>
      </c>
    </row>
    <row r="97" spans="1:25" s="1" customFormat="1" x14ac:dyDescent="0.25">
      <c r="A97" s="7">
        <f t="shared" si="26"/>
        <v>89</v>
      </c>
      <c r="B97" s="11">
        <f t="shared" si="27"/>
        <v>11</v>
      </c>
      <c r="C97" s="502">
        <f t="shared" si="28"/>
        <v>46019</v>
      </c>
      <c r="D97" s="7">
        <f t="shared" si="29"/>
        <v>100</v>
      </c>
      <c r="E97" s="12">
        <f t="shared" si="30"/>
        <v>0.9</v>
      </c>
      <c r="F97" s="473">
        <f t="shared" si="31"/>
        <v>279.19999999999976</v>
      </c>
      <c r="G97" s="473"/>
      <c r="H97" s="504">
        <f t="shared" si="32"/>
        <v>7.0000000000000001E-3</v>
      </c>
      <c r="I97" s="14">
        <f t="shared" si="33"/>
        <v>7.0000000000000001E-3</v>
      </c>
      <c r="J97" s="498">
        <f t="shared" si="18"/>
        <v>195.43999999999983</v>
      </c>
      <c r="K97" s="15"/>
      <c r="L97" s="8">
        <f t="shared" si="34"/>
        <v>5.640404040404035</v>
      </c>
      <c r="M97" s="8">
        <f t="shared" si="35"/>
        <v>9.0909090909090917</v>
      </c>
      <c r="N97" s="499" t="str">
        <f t="shared" si="19"/>
        <v/>
      </c>
      <c r="O97" s="4"/>
      <c r="P97" s="118"/>
      <c r="Q97" s="118"/>
      <c r="R97" s="4" t="str">
        <f t="shared" ca="1" si="20"/>
        <v>Ok</v>
      </c>
      <c r="S97" s="501">
        <f ca="1">IF(R97="Não","",COUNTIFS($R$9:R97,"Ok"))</f>
        <v>89</v>
      </c>
      <c r="T97" s="6">
        <f t="shared" ca="1" si="21"/>
        <v>46019</v>
      </c>
      <c r="U97" s="501">
        <f t="shared" ca="1" si="22"/>
        <v>279.19999999999976</v>
      </c>
      <c r="V97" s="501">
        <f t="shared" ca="1" si="23"/>
        <v>5.640404040404035</v>
      </c>
      <c r="W97" s="501">
        <f t="shared" si="24"/>
        <v>0</v>
      </c>
      <c r="X97" s="1">
        <f t="shared" si="25"/>
        <v>0</v>
      </c>
      <c r="Y97" s="1">
        <f t="shared" si="25"/>
        <v>0</v>
      </c>
    </row>
    <row r="98" spans="1:25" s="1" customFormat="1" x14ac:dyDescent="0.25">
      <c r="A98" s="7">
        <f t="shared" si="26"/>
        <v>90</v>
      </c>
      <c r="B98" s="11">
        <f t="shared" si="27"/>
        <v>11</v>
      </c>
      <c r="C98" s="502">
        <f t="shared" si="28"/>
        <v>46020</v>
      </c>
      <c r="D98" s="7">
        <f t="shared" si="29"/>
        <v>100</v>
      </c>
      <c r="E98" s="12">
        <f t="shared" si="30"/>
        <v>0.9</v>
      </c>
      <c r="F98" s="473">
        <f t="shared" si="31"/>
        <v>280.09999999999974</v>
      </c>
      <c r="G98" s="473"/>
      <c r="H98" s="504">
        <f t="shared" si="32"/>
        <v>7.0000000000000001E-3</v>
      </c>
      <c r="I98" s="14">
        <f t="shared" si="33"/>
        <v>7.0000000000000001E-3</v>
      </c>
      <c r="J98" s="498">
        <f t="shared" si="18"/>
        <v>196.06999999999982</v>
      </c>
      <c r="K98" s="15"/>
      <c r="L98" s="8">
        <f t="shared" si="34"/>
        <v>5.6585858585858535</v>
      </c>
      <c r="M98" s="8">
        <f t="shared" si="35"/>
        <v>9.0909090909090917</v>
      </c>
      <c r="N98" s="499" t="str">
        <f t="shared" si="19"/>
        <v/>
      </c>
      <c r="O98" s="4"/>
      <c r="P98" s="118"/>
      <c r="Q98" s="118"/>
      <c r="R98" s="4" t="str">
        <f t="shared" ca="1" si="20"/>
        <v>Ok</v>
      </c>
      <c r="S98" s="501">
        <f ca="1">IF(R98="Não","",COUNTIFS($R$9:R98,"Ok"))</f>
        <v>90</v>
      </c>
      <c r="T98" s="6">
        <f t="shared" ca="1" si="21"/>
        <v>46020</v>
      </c>
      <c r="U98" s="501">
        <f t="shared" ca="1" si="22"/>
        <v>280.09999999999974</v>
      </c>
      <c r="V98" s="501">
        <f t="shared" ca="1" si="23"/>
        <v>5.6585858585858535</v>
      </c>
      <c r="W98" s="501">
        <f t="shared" si="24"/>
        <v>0</v>
      </c>
      <c r="X98" s="1">
        <f t="shared" si="25"/>
        <v>0</v>
      </c>
      <c r="Y98" s="1">
        <f t="shared" si="25"/>
        <v>0</v>
      </c>
    </row>
    <row r="99" spans="1:25" s="1" customFormat="1" x14ac:dyDescent="0.25">
      <c r="A99" s="7">
        <f t="shared" si="26"/>
        <v>91</v>
      </c>
      <c r="B99" s="11">
        <f t="shared" si="27"/>
        <v>11</v>
      </c>
      <c r="C99" s="502">
        <f t="shared" si="28"/>
        <v>46021</v>
      </c>
      <c r="D99" s="7">
        <f t="shared" si="29"/>
        <v>100</v>
      </c>
      <c r="E99" s="12">
        <f t="shared" si="30"/>
        <v>0.9</v>
      </c>
      <c r="F99" s="473">
        <f t="shared" si="31"/>
        <v>280.99999999999972</v>
      </c>
      <c r="G99" s="473"/>
      <c r="H99" s="504">
        <f t="shared" si="32"/>
        <v>7.0000000000000001E-3</v>
      </c>
      <c r="I99" s="14">
        <f t="shared" si="33"/>
        <v>7.0000000000000001E-3</v>
      </c>
      <c r="J99" s="498">
        <f t="shared" si="18"/>
        <v>196.69999999999982</v>
      </c>
      <c r="K99" s="15"/>
      <c r="L99" s="8">
        <f t="shared" si="34"/>
        <v>5.6767676767676711</v>
      </c>
      <c r="M99" s="8">
        <f t="shared" si="35"/>
        <v>9.0909090909090917</v>
      </c>
      <c r="N99" s="499" t="str">
        <f t="shared" si="19"/>
        <v/>
      </c>
      <c r="O99" s="4"/>
      <c r="P99" s="118"/>
      <c r="Q99" s="118"/>
      <c r="R99" s="4" t="str">
        <f t="shared" ca="1" si="20"/>
        <v>Ok</v>
      </c>
      <c r="S99" s="501">
        <f ca="1">IF(R99="Não","",COUNTIFS($R$9:R99,"Ok"))</f>
        <v>91</v>
      </c>
      <c r="T99" s="6">
        <f t="shared" ca="1" si="21"/>
        <v>46021</v>
      </c>
      <c r="U99" s="501">
        <f t="shared" ca="1" si="22"/>
        <v>280.99999999999972</v>
      </c>
      <c r="V99" s="501">
        <f t="shared" ca="1" si="23"/>
        <v>5.6767676767676711</v>
      </c>
      <c r="W99" s="501">
        <f t="shared" si="24"/>
        <v>0</v>
      </c>
      <c r="X99" s="1">
        <f t="shared" si="25"/>
        <v>0</v>
      </c>
      <c r="Y99" s="1">
        <f t="shared" si="25"/>
        <v>0</v>
      </c>
    </row>
    <row r="100" spans="1:25" s="1" customFormat="1" x14ac:dyDescent="0.25">
      <c r="A100" s="7">
        <f t="shared" si="26"/>
        <v>92</v>
      </c>
      <c r="B100" s="11">
        <f t="shared" si="27"/>
        <v>11</v>
      </c>
      <c r="C100" s="502">
        <f t="shared" si="28"/>
        <v>46022</v>
      </c>
      <c r="D100" s="7">
        <f t="shared" si="29"/>
        <v>100</v>
      </c>
      <c r="E100" s="12">
        <f t="shared" si="30"/>
        <v>0.9</v>
      </c>
      <c r="F100" s="473">
        <f t="shared" si="31"/>
        <v>281.89999999999969</v>
      </c>
      <c r="G100" s="473"/>
      <c r="H100" s="504">
        <f t="shared" si="32"/>
        <v>7.0000000000000001E-3</v>
      </c>
      <c r="I100" s="14">
        <f t="shared" si="33"/>
        <v>7.0000000000000001E-3</v>
      </c>
      <c r="J100" s="498">
        <f t="shared" si="18"/>
        <v>197.32999999999979</v>
      </c>
      <c r="K100" s="15"/>
      <c r="L100" s="8">
        <f t="shared" si="34"/>
        <v>5.6949494949494897</v>
      </c>
      <c r="M100" s="8">
        <f t="shared" si="35"/>
        <v>9.0909090909090917</v>
      </c>
      <c r="N100" s="499" t="str">
        <f t="shared" si="19"/>
        <v/>
      </c>
      <c r="O100" s="4"/>
      <c r="P100" s="118"/>
      <c r="Q100" s="118"/>
      <c r="R100" s="4" t="str">
        <f t="shared" ca="1" si="20"/>
        <v>Ok</v>
      </c>
      <c r="S100" s="501">
        <f ca="1">IF(R100="Não","",COUNTIFS($R$9:R100,"Ok"))</f>
        <v>92</v>
      </c>
      <c r="T100" s="6">
        <f t="shared" ca="1" si="21"/>
        <v>46022</v>
      </c>
      <c r="U100" s="501">
        <f t="shared" ca="1" si="22"/>
        <v>281.89999999999969</v>
      </c>
      <c r="V100" s="501">
        <f t="shared" ca="1" si="23"/>
        <v>5.6949494949494897</v>
      </c>
      <c r="W100" s="501">
        <f t="shared" si="24"/>
        <v>0</v>
      </c>
      <c r="X100" s="1">
        <f t="shared" si="25"/>
        <v>0</v>
      </c>
      <c r="Y100" s="1">
        <f t="shared" si="25"/>
        <v>0</v>
      </c>
    </row>
    <row r="101" spans="1:25" s="1" customFormat="1" x14ac:dyDescent="0.25">
      <c r="A101" s="7">
        <f t="shared" si="26"/>
        <v>93</v>
      </c>
      <c r="B101" s="11">
        <f t="shared" si="27"/>
        <v>11</v>
      </c>
      <c r="C101" s="502">
        <f t="shared" si="28"/>
        <v>46023</v>
      </c>
      <c r="D101" s="7">
        <f t="shared" si="29"/>
        <v>100</v>
      </c>
      <c r="E101" s="12">
        <f t="shared" si="30"/>
        <v>0.9</v>
      </c>
      <c r="F101" s="473">
        <f t="shared" si="31"/>
        <v>282.79999999999967</v>
      </c>
      <c r="G101" s="473"/>
      <c r="H101" s="504">
        <f t="shared" si="32"/>
        <v>7.0000000000000001E-3</v>
      </c>
      <c r="I101" s="14">
        <f t="shared" si="33"/>
        <v>7.0000000000000001E-3</v>
      </c>
      <c r="J101" s="498">
        <f t="shared" si="18"/>
        <v>197.95999999999978</v>
      </c>
      <c r="K101" s="15"/>
      <c r="L101" s="8">
        <f t="shared" si="34"/>
        <v>5.7131313131313064</v>
      </c>
      <c r="M101" s="8">
        <f t="shared" si="35"/>
        <v>9.0909090909090917</v>
      </c>
      <c r="N101" s="499" t="str">
        <f t="shared" si="19"/>
        <v/>
      </c>
      <c r="O101" s="4"/>
      <c r="P101" s="118"/>
      <c r="Q101" s="118"/>
      <c r="R101" s="4" t="str">
        <f t="shared" ca="1" si="20"/>
        <v>Ok</v>
      </c>
      <c r="S101" s="501">
        <f ca="1">IF(R101="Não","",COUNTIFS($R$9:R101,"Ok"))</f>
        <v>93</v>
      </c>
      <c r="T101" s="6">
        <f t="shared" ca="1" si="21"/>
        <v>46023</v>
      </c>
      <c r="U101" s="501">
        <f t="shared" ca="1" si="22"/>
        <v>282.79999999999967</v>
      </c>
      <c r="V101" s="501">
        <f t="shared" ca="1" si="23"/>
        <v>5.7131313131313064</v>
      </c>
      <c r="W101" s="501">
        <f t="shared" si="24"/>
        <v>0</v>
      </c>
      <c r="X101" s="1">
        <f t="shared" si="25"/>
        <v>0</v>
      </c>
      <c r="Y101" s="1">
        <f t="shared" si="25"/>
        <v>0</v>
      </c>
    </row>
    <row r="102" spans="1:25" s="1" customFormat="1" x14ac:dyDescent="0.25">
      <c r="A102" s="7">
        <f t="shared" si="26"/>
        <v>94</v>
      </c>
      <c r="B102" s="11">
        <f t="shared" si="27"/>
        <v>11</v>
      </c>
      <c r="C102" s="502">
        <f t="shared" si="28"/>
        <v>46024</v>
      </c>
      <c r="D102" s="7">
        <f t="shared" si="29"/>
        <v>100</v>
      </c>
      <c r="E102" s="12">
        <f t="shared" si="30"/>
        <v>0.9</v>
      </c>
      <c r="F102" s="473">
        <f t="shared" si="31"/>
        <v>283.69999999999965</v>
      </c>
      <c r="G102" s="473"/>
      <c r="H102" s="504">
        <f t="shared" si="32"/>
        <v>7.0000000000000001E-3</v>
      </c>
      <c r="I102" s="14">
        <f t="shared" si="33"/>
        <v>7.0000000000000001E-3</v>
      </c>
      <c r="J102" s="498">
        <f t="shared" si="18"/>
        <v>198.58999999999975</v>
      </c>
      <c r="K102" s="15"/>
      <c r="L102" s="8">
        <f t="shared" si="34"/>
        <v>5.731313131313124</v>
      </c>
      <c r="M102" s="8">
        <f t="shared" si="35"/>
        <v>9.0909090909090917</v>
      </c>
      <c r="N102" s="499" t="str">
        <f t="shared" si="19"/>
        <v/>
      </c>
      <c r="O102" s="4"/>
      <c r="P102" s="118"/>
      <c r="Q102" s="118"/>
      <c r="R102" s="4" t="str">
        <f t="shared" ca="1" si="20"/>
        <v>Ok</v>
      </c>
      <c r="S102" s="501">
        <f ca="1">IF(R102="Não","",COUNTIFS($R$9:R102,"Ok"))</f>
        <v>94</v>
      </c>
      <c r="T102" s="6">
        <f t="shared" ca="1" si="21"/>
        <v>46024</v>
      </c>
      <c r="U102" s="501">
        <f t="shared" ca="1" si="22"/>
        <v>283.69999999999965</v>
      </c>
      <c r="V102" s="501">
        <f t="shared" ca="1" si="23"/>
        <v>5.731313131313124</v>
      </c>
      <c r="W102" s="501">
        <f t="shared" si="24"/>
        <v>0</v>
      </c>
      <c r="X102" s="1">
        <f t="shared" si="25"/>
        <v>0</v>
      </c>
      <c r="Y102" s="1">
        <f t="shared" si="25"/>
        <v>0</v>
      </c>
    </row>
    <row r="103" spans="1:25" s="1" customFormat="1" x14ac:dyDescent="0.25">
      <c r="A103" s="7">
        <f t="shared" si="26"/>
        <v>95</v>
      </c>
      <c r="B103" s="11">
        <f t="shared" si="27"/>
        <v>11</v>
      </c>
      <c r="C103" s="502">
        <f t="shared" si="28"/>
        <v>46025</v>
      </c>
      <c r="D103" s="7">
        <f t="shared" si="29"/>
        <v>100</v>
      </c>
      <c r="E103" s="12">
        <f t="shared" si="30"/>
        <v>0.9</v>
      </c>
      <c r="F103" s="473">
        <f t="shared" si="31"/>
        <v>284.59999999999962</v>
      </c>
      <c r="G103" s="473"/>
      <c r="H103" s="504">
        <f t="shared" si="32"/>
        <v>7.0000000000000001E-3</v>
      </c>
      <c r="I103" s="14">
        <f t="shared" si="33"/>
        <v>7.0000000000000001E-3</v>
      </c>
      <c r="J103" s="498">
        <f t="shared" si="18"/>
        <v>199.21999999999974</v>
      </c>
      <c r="K103" s="15"/>
      <c r="L103" s="8">
        <f t="shared" si="34"/>
        <v>5.7494949494949417</v>
      </c>
      <c r="M103" s="8">
        <f t="shared" si="35"/>
        <v>9.0909090909090917</v>
      </c>
      <c r="N103" s="499" t="str">
        <f t="shared" si="19"/>
        <v/>
      </c>
      <c r="O103" s="4"/>
      <c r="P103" s="118"/>
      <c r="Q103" s="118"/>
      <c r="R103" s="4" t="str">
        <f t="shared" ca="1" si="20"/>
        <v>Ok</v>
      </c>
      <c r="S103" s="501">
        <f ca="1">IF(R103="Não","",COUNTIFS($R$9:R103,"Ok"))</f>
        <v>95</v>
      </c>
      <c r="T103" s="6">
        <f t="shared" ca="1" si="21"/>
        <v>46025</v>
      </c>
      <c r="U103" s="501">
        <f t="shared" ca="1" si="22"/>
        <v>284.59999999999962</v>
      </c>
      <c r="V103" s="501">
        <f t="shared" ca="1" si="23"/>
        <v>5.7494949494949417</v>
      </c>
      <c r="W103" s="501">
        <f t="shared" si="24"/>
        <v>0</v>
      </c>
      <c r="X103" s="1">
        <f t="shared" si="25"/>
        <v>0</v>
      </c>
      <c r="Y103" s="1">
        <f t="shared" si="25"/>
        <v>0</v>
      </c>
    </row>
    <row r="104" spans="1:25" s="1" customFormat="1" x14ac:dyDescent="0.25">
      <c r="A104" s="7">
        <f t="shared" si="26"/>
        <v>96</v>
      </c>
      <c r="B104" s="11">
        <f t="shared" si="27"/>
        <v>11</v>
      </c>
      <c r="C104" s="502">
        <f t="shared" si="28"/>
        <v>46026</v>
      </c>
      <c r="D104" s="7">
        <f t="shared" si="29"/>
        <v>100</v>
      </c>
      <c r="E104" s="12">
        <f t="shared" si="30"/>
        <v>0.9</v>
      </c>
      <c r="F104" s="473">
        <f t="shared" si="31"/>
        <v>285.4999999999996</v>
      </c>
      <c r="G104" s="473"/>
      <c r="H104" s="504">
        <f t="shared" si="32"/>
        <v>7.0000000000000001E-3</v>
      </c>
      <c r="I104" s="14">
        <f t="shared" si="33"/>
        <v>7.0000000000000001E-3</v>
      </c>
      <c r="J104" s="498">
        <f t="shared" si="18"/>
        <v>199.84999999999974</v>
      </c>
      <c r="K104" s="15"/>
      <c r="L104" s="8">
        <f t="shared" si="34"/>
        <v>5.7676767676767602</v>
      </c>
      <c r="M104" s="8">
        <f t="shared" si="35"/>
        <v>9.0909090909090917</v>
      </c>
      <c r="N104" s="499" t="str">
        <f t="shared" si="19"/>
        <v/>
      </c>
      <c r="O104" s="4"/>
      <c r="P104" s="118"/>
      <c r="Q104" s="118"/>
      <c r="R104" s="4" t="str">
        <f t="shared" ca="1" si="20"/>
        <v>Ok</v>
      </c>
      <c r="S104" s="501">
        <f ca="1">IF(R104="Não","",COUNTIFS($R$9:R104,"Ok"))</f>
        <v>96</v>
      </c>
      <c r="T104" s="6">
        <f t="shared" ca="1" si="21"/>
        <v>46026</v>
      </c>
      <c r="U104" s="501">
        <f t="shared" ca="1" si="22"/>
        <v>285.4999999999996</v>
      </c>
      <c r="V104" s="501">
        <f t="shared" ca="1" si="23"/>
        <v>5.7676767676767602</v>
      </c>
      <c r="W104" s="501">
        <f t="shared" si="24"/>
        <v>0</v>
      </c>
      <c r="X104" s="1">
        <f t="shared" si="25"/>
        <v>0</v>
      </c>
      <c r="Y104" s="1">
        <f t="shared" si="25"/>
        <v>0</v>
      </c>
    </row>
    <row r="105" spans="1:25" s="1" customFormat="1" x14ac:dyDescent="0.25">
      <c r="A105" s="7">
        <f t="shared" si="26"/>
        <v>97</v>
      </c>
      <c r="B105" s="11">
        <f t="shared" si="27"/>
        <v>11</v>
      </c>
      <c r="C105" s="502">
        <f t="shared" si="28"/>
        <v>46027</v>
      </c>
      <c r="D105" s="7">
        <f t="shared" si="29"/>
        <v>100</v>
      </c>
      <c r="E105" s="12">
        <f t="shared" si="30"/>
        <v>0.9</v>
      </c>
      <c r="F105" s="473">
        <f t="shared" si="31"/>
        <v>286.39999999999958</v>
      </c>
      <c r="G105" s="473"/>
      <c r="H105" s="504">
        <f t="shared" si="32"/>
        <v>7.0000000000000001E-3</v>
      </c>
      <c r="I105" s="14">
        <f t="shared" si="33"/>
        <v>7.0000000000000001E-3</v>
      </c>
      <c r="J105" s="498">
        <f t="shared" si="18"/>
        <v>200.47999999999973</v>
      </c>
      <c r="K105" s="15"/>
      <c r="L105" s="8">
        <f t="shared" si="34"/>
        <v>5.7858585858585769</v>
      </c>
      <c r="M105" s="8">
        <f t="shared" si="35"/>
        <v>9.0909090909090917</v>
      </c>
      <c r="N105" s="499" t="str">
        <f t="shared" si="19"/>
        <v/>
      </c>
      <c r="O105" s="4"/>
      <c r="P105" s="118"/>
      <c r="Q105" s="118"/>
      <c r="R105" s="4" t="str">
        <f t="shared" ca="1" si="20"/>
        <v>Ok</v>
      </c>
      <c r="S105" s="501">
        <f ca="1">IF(R105="Não","",COUNTIFS($R$9:R105,"Ok"))</f>
        <v>97</v>
      </c>
      <c r="T105" s="6">
        <f t="shared" ca="1" si="21"/>
        <v>46027</v>
      </c>
      <c r="U105" s="501">
        <f t="shared" ca="1" si="22"/>
        <v>286.39999999999958</v>
      </c>
      <c r="V105" s="501">
        <f t="shared" ca="1" si="23"/>
        <v>5.7858585858585769</v>
      </c>
      <c r="W105" s="501">
        <f t="shared" si="24"/>
        <v>0</v>
      </c>
      <c r="X105" s="1">
        <f t="shared" si="25"/>
        <v>0</v>
      </c>
      <c r="Y105" s="1">
        <f t="shared" si="25"/>
        <v>0</v>
      </c>
    </row>
    <row r="106" spans="1:25" s="1" customFormat="1" x14ac:dyDescent="0.25">
      <c r="A106" s="7">
        <f t="shared" si="26"/>
        <v>98</v>
      </c>
      <c r="B106" s="11">
        <f t="shared" si="27"/>
        <v>11</v>
      </c>
      <c r="C106" s="502">
        <f t="shared" si="28"/>
        <v>46028</v>
      </c>
      <c r="D106" s="7">
        <f t="shared" si="29"/>
        <v>100</v>
      </c>
      <c r="E106" s="12">
        <f t="shared" si="30"/>
        <v>0.9</v>
      </c>
      <c r="F106" s="473">
        <f t="shared" si="31"/>
        <v>287.29999999999956</v>
      </c>
      <c r="G106" s="473"/>
      <c r="H106" s="504">
        <f t="shared" si="32"/>
        <v>7.0000000000000001E-3</v>
      </c>
      <c r="I106" s="14">
        <f t="shared" si="33"/>
        <v>7.0000000000000001E-3</v>
      </c>
      <c r="J106" s="498">
        <f t="shared" si="18"/>
        <v>201.10999999999967</v>
      </c>
      <c r="K106" s="15"/>
      <c r="L106" s="8">
        <f t="shared" si="34"/>
        <v>5.8040404040403955</v>
      </c>
      <c r="M106" s="8">
        <f t="shared" si="35"/>
        <v>9.0909090909090917</v>
      </c>
      <c r="N106" s="499" t="str">
        <f t="shared" si="19"/>
        <v/>
      </c>
      <c r="O106" s="4"/>
      <c r="P106" s="118"/>
      <c r="Q106" s="118"/>
      <c r="R106" s="4" t="str">
        <f t="shared" ca="1" si="20"/>
        <v>Ok</v>
      </c>
      <c r="S106" s="501">
        <f ca="1">IF(R106="Não","",COUNTIFS($R$9:R106,"Ok"))</f>
        <v>98</v>
      </c>
      <c r="T106" s="6">
        <f t="shared" ca="1" si="21"/>
        <v>46028</v>
      </c>
      <c r="U106" s="501">
        <f t="shared" ca="1" si="22"/>
        <v>287.29999999999956</v>
      </c>
      <c r="V106" s="501">
        <f t="shared" ca="1" si="23"/>
        <v>5.8040404040403955</v>
      </c>
      <c r="W106" s="501">
        <f t="shared" si="24"/>
        <v>0</v>
      </c>
      <c r="X106" s="1">
        <f t="shared" si="25"/>
        <v>0</v>
      </c>
      <c r="Y106" s="1">
        <f t="shared" si="25"/>
        <v>0</v>
      </c>
    </row>
    <row r="107" spans="1:25" s="1" customFormat="1" x14ac:dyDescent="0.25">
      <c r="A107" s="7">
        <f t="shared" si="26"/>
        <v>99</v>
      </c>
      <c r="B107" s="11">
        <f t="shared" si="27"/>
        <v>11</v>
      </c>
      <c r="C107" s="502">
        <f t="shared" si="28"/>
        <v>46029</v>
      </c>
      <c r="D107" s="7">
        <f t="shared" si="29"/>
        <v>100</v>
      </c>
      <c r="E107" s="12">
        <f t="shared" si="30"/>
        <v>0.9</v>
      </c>
      <c r="F107" s="473">
        <f t="shared" si="31"/>
        <v>288.19999999999953</v>
      </c>
      <c r="G107" s="473"/>
      <c r="H107" s="504">
        <f t="shared" si="32"/>
        <v>7.0000000000000001E-3</v>
      </c>
      <c r="I107" s="14">
        <f t="shared" si="33"/>
        <v>7.0000000000000001E-3</v>
      </c>
      <c r="J107" s="498">
        <f t="shared" si="18"/>
        <v>201.73999999999967</v>
      </c>
      <c r="K107" s="15"/>
      <c r="L107" s="8">
        <f t="shared" si="34"/>
        <v>5.8222222222222122</v>
      </c>
      <c r="M107" s="8">
        <f t="shared" si="35"/>
        <v>9.0909090909090917</v>
      </c>
      <c r="N107" s="499" t="str">
        <f t="shared" si="19"/>
        <v/>
      </c>
      <c r="O107" s="4"/>
      <c r="P107" s="118"/>
      <c r="Q107" s="118"/>
      <c r="R107" s="4" t="str">
        <f t="shared" ca="1" si="20"/>
        <v>Ok</v>
      </c>
      <c r="S107" s="501">
        <f ca="1">IF(R107="Não","",COUNTIFS($R$9:R107,"Ok"))</f>
        <v>99</v>
      </c>
      <c r="T107" s="6">
        <f t="shared" ca="1" si="21"/>
        <v>46029</v>
      </c>
      <c r="U107" s="501">
        <f t="shared" ca="1" si="22"/>
        <v>288.19999999999953</v>
      </c>
      <c r="V107" s="501">
        <f t="shared" ca="1" si="23"/>
        <v>5.8222222222222122</v>
      </c>
      <c r="W107" s="501">
        <f t="shared" si="24"/>
        <v>0</v>
      </c>
      <c r="X107" s="1">
        <f t="shared" si="25"/>
        <v>0</v>
      </c>
      <c r="Y107" s="1">
        <f t="shared" si="25"/>
        <v>0</v>
      </c>
    </row>
    <row r="108" spans="1:25" s="1" customFormat="1" x14ac:dyDescent="0.25">
      <c r="A108" s="7">
        <f t="shared" si="26"/>
        <v>100</v>
      </c>
      <c r="B108" s="11">
        <f t="shared" si="27"/>
        <v>11</v>
      </c>
      <c r="C108" s="502">
        <f t="shared" si="28"/>
        <v>46030</v>
      </c>
      <c r="D108" s="7">
        <f t="shared" si="29"/>
        <v>100</v>
      </c>
      <c r="E108" s="12">
        <f t="shared" si="30"/>
        <v>0.9</v>
      </c>
      <c r="F108" s="473">
        <f t="shared" si="31"/>
        <v>289.09999999999951</v>
      </c>
      <c r="G108" s="473"/>
      <c r="H108" s="504">
        <f t="shared" si="32"/>
        <v>7.0000000000000001E-3</v>
      </c>
      <c r="I108" s="14">
        <f t="shared" si="33"/>
        <v>7.0000000000000001E-3</v>
      </c>
      <c r="J108" s="498">
        <f t="shared" si="18"/>
        <v>202.36999999999966</v>
      </c>
      <c r="K108" s="15"/>
      <c r="L108" s="8">
        <f t="shared" si="34"/>
        <v>5.8404040404040307</v>
      </c>
      <c r="M108" s="8">
        <f t="shared" si="35"/>
        <v>9.0909090909090917</v>
      </c>
      <c r="N108" s="499" t="str">
        <f t="shared" si="19"/>
        <v/>
      </c>
      <c r="O108" s="4"/>
      <c r="P108" s="118"/>
      <c r="Q108" s="118"/>
      <c r="R108" s="4" t="str">
        <f t="shared" ca="1" si="20"/>
        <v>Ok</v>
      </c>
      <c r="S108" s="501">
        <f ca="1">IF(R108="Não","",COUNTIFS($R$9:R108,"Ok"))</f>
        <v>100</v>
      </c>
      <c r="T108" s="6">
        <f t="shared" ca="1" si="21"/>
        <v>46030</v>
      </c>
      <c r="U108" s="501">
        <f t="shared" ca="1" si="22"/>
        <v>289.09999999999951</v>
      </c>
      <c r="V108" s="501">
        <f t="shared" ca="1" si="23"/>
        <v>5.8404040404040307</v>
      </c>
      <c r="W108" s="501">
        <f t="shared" si="24"/>
        <v>0</v>
      </c>
      <c r="X108" s="1">
        <f t="shared" si="25"/>
        <v>0</v>
      </c>
      <c r="Y108" s="1">
        <f t="shared" si="25"/>
        <v>0</v>
      </c>
    </row>
    <row r="109" spans="1:25" s="1" customFormat="1" x14ac:dyDescent="0.25">
      <c r="A109" s="7">
        <f t="shared" si="26"/>
        <v>101</v>
      </c>
      <c r="B109" s="11">
        <f t="shared" si="27"/>
        <v>11</v>
      </c>
      <c r="C109" s="502">
        <f t="shared" si="28"/>
        <v>46031</v>
      </c>
      <c r="D109" s="7">
        <f t="shared" si="29"/>
        <v>100</v>
      </c>
      <c r="E109" s="12">
        <f t="shared" si="30"/>
        <v>0.9</v>
      </c>
      <c r="F109" s="473">
        <f t="shared" si="31"/>
        <v>289.99999999999949</v>
      </c>
      <c r="G109" s="473"/>
      <c r="H109" s="504">
        <f t="shared" si="32"/>
        <v>7.0000000000000001E-3</v>
      </c>
      <c r="I109" s="14">
        <f t="shared" si="33"/>
        <v>7.0000000000000001E-3</v>
      </c>
      <c r="J109" s="498">
        <f t="shared" si="18"/>
        <v>202.99999999999963</v>
      </c>
      <c r="K109" s="15"/>
      <c r="L109" s="8">
        <f t="shared" si="34"/>
        <v>5.8585858585858483</v>
      </c>
      <c r="M109" s="8">
        <f t="shared" si="35"/>
        <v>9.0909090909090917</v>
      </c>
      <c r="N109" s="499" t="str">
        <f t="shared" si="19"/>
        <v/>
      </c>
      <c r="O109" s="4"/>
      <c r="P109" s="118"/>
      <c r="Q109" s="118"/>
      <c r="R109" s="4" t="str">
        <f t="shared" ca="1" si="20"/>
        <v>Ok</v>
      </c>
      <c r="S109" s="501">
        <f ca="1">IF(R109="Não","",COUNTIFS($R$9:R109,"Ok"))</f>
        <v>101</v>
      </c>
      <c r="T109" s="6">
        <f t="shared" ca="1" si="21"/>
        <v>46031</v>
      </c>
      <c r="U109" s="501">
        <f t="shared" ca="1" si="22"/>
        <v>289.99999999999949</v>
      </c>
      <c r="V109" s="501">
        <f t="shared" ca="1" si="23"/>
        <v>5.8585858585858483</v>
      </c>
      <c r="W109" s="501">
        <f t="shared" si="24"/>
        <v>0</v>
      </c>
      <c r="X109" s="1">
        <f t="shared" si="25"/>
        <v>0</v>
      </c>
      <c r="Y109" s="1">
        <f t="shared" si="25"/>
        <v>0</v>
      </c>
    </row>
    <row r="110" spans="1:25" s="1" customFormat="1" x14ac:dyDescent="0.25">
      <c r="A110" s="7">
        <f t="shared" si="26"/>
        <v>102</v>
      </c>
      <c r="B110" s="11">
        <f t="shared" si="27"/>
        <v>11</v>
      </c>
      <c r="C110" s="502">
        <f t="shared" si="28"/>
        <v>46032</v>
      </c>
      <c r="D110" s="7">
        <f t="shared" si="29"/>
        <v>100</v>
      </c>
      <c r="E110" s="12">
        <f t="shared" si="30"/>
        <v>0.9</v>
      </c>
      <c r="F110" s="473">
        <f t="shared" si="31"/>
        <v>290.89999999999947</v>
      </c>
      <c r="G110" s="473"/>
      <c r="H110" s="504">
        <f t="shared" si="32"/>
        <v>7.0000000000000001E-3</v>
      </c>
      <c r="I110" s="14">
        <f t="shared" si="33"/>
        <v>7.0000000000000001E-3</v>
      </c>
      <c r="J110" s="498">
        <f t="shared" si="18"/>
        <v>203.62999999999963</v>
      </c>
      <c r="K110" s="15"/>
      <c r="L110" s="8">
        <f t="shared" si="34"/>
        <v>5.8767676767676651</v>
      </c>
      <c r="M110" s="8">
        <f t="shared" si="35"/>
        <v>9.0909090909090917</v>
      </c>
      <c r="N110" s="499" t="str">
        <f t="shared" si="19"/>
        <v/>
      </c>
      <c r="O110" s="4"/>
      <c r="P110" s="118"/>
      <c r="Q110" s="118"/>
      <c r="R110" s="4" t="str">
        <f t="shared" ca="1" si="20"/>
        <v>Ok</v>
      </c>
      <c r="S110" s="501">
        <f ca="1">IF(R110="Não","",COUNTIFS($R$9:R110,"Ok"))</f>
        <v>102</v>
      </c>
      <c r="T110" s="6">
        <f t="shared" ca="1" si="21"/>
        <v>46032</v>
      </c>
      <c r="U110" s="501">
        <f t="shared" ca="1" si="22"/>
        <v>290.89999999999947</v>
      </c>
      <c r="V110" s="501">
        <f t="shared" ca="1" si="23"/>
        <v>5.8767676767676651</v>
      </c>
      <c r="W110" s="501">
        <f t="shared" si="24"/>
        <v>0</v>
      </c>
      <c r="X110" s="1">
        <f t="shared" si="25"/>
        <v>0</v>
      </c>
      <c r="Y110" s="1">
        <f t="shared" si="25"/>
        <v>0</v>
      </c>
    </row>
    <row r="111" spans="1:25" s="1" customFormat="1" x14ac:dyDescent="0.25">
      <c r="A111" s="7">
        <f t="shared" si="26"/>
        <v>103</v>
      </c>
      <c r="B111" s="11">
        <f t="shared" si="27"/>
        <v>11</v>
      </c>
      <c r="C111" s="502">
        <f t="shared" si="28"/>
        <v>46033</v>
      </c>
      <c r="D111" s="7">
        <f t="shared" si="29"/>
        <v>100</v>
      </c>
      <c r="E111" s="12">
        <f t="shared" si="30"/>
        <v>0.9</v>
      </c>
      <c r="F111" s="473">
        <f t="shared" si="31"/>
        <v>291.79999999999944</v>
      </c>
      <c r="G111" s="473"/>
      <c r="H111" s="504">
        <f t="shared" si="32"/>
        <v>7.0000000000000001E-3</v>
      </c>
      <c r="I111" s="14">
        <f t="shared" si="33"/>
        <v>7.0000000000000001E-3</v>
      </c>
      <c r="J111" s="498">
        <f t="shared" si="18"/>
        <v>204.25999999999962</v>
      </c>
      <c r="K111" s="15"/>
      <c r="L111" s="8">
        <f t="shared" si="34"/>
        <v>5.8949494949494836</v>
      </c>
      <c r="M111" s="8">
        <f t="shared" si="35"/>
        <v>9.0909090909090917</v>
      </c>
      <c r="N111" s="499" t="str">
        <f t="shared" si="19"/>
        <v/>
      </c>
      <c r="O111" s="4"/>
      <c r="P111" s="118"/>
      <c r="Q111" s="118"/>
      <c r="R111" s="4" t="str">
        <f t="shared" ca="1" si="20"/>
        <v>Ok</v>
      </c>
      <c r="S111" s="501">
        <f ca="1">IF(R111="Não","",COUNTIFS($R$9:R111,"Ok"))</f>
        <v>103</v>
      </c>
      <c r="T111" s="6">
        <f t="shared" ca="1" si="21"/>
        <v>46033</v>
      </c>
      <c r="U111" s="501">
        <f t="shared" ca="1" si="22"/>
        <v>291.79999999999944</v>
      </c>
      <c r="V111" s="501">
        <f t="shared" ca="1" si="23"/>
        <v>5.8949494949494836</v>
      </c>
      <c r="W111" s="501">
        <f t="shared" si="24"/>
        <v>0</v>
      </c>
      <c r="X111" s="1">
        <f t="shared" si="25"/>
        <v>0</v>
      </c>
      <c r="Y111" s="1">
        <f t="shared" si="25"/>
        <v>0</v>
      </c>
    </row>
    <row r="112" spans="1:25" s="1" customFormat="1" x14ac:dyDescent="0.25">
      <c r="A112" s="7">
        <f t="shared" si="26"/>
        <v>104</v>
      </c>
      <c r="B112" s="11">
        <f t="shared" si="27"/>
        <v>11</v>
      </c>
      <c r="C112" s="502">
        <f t="shared" si="28"/>
        <v>46034</v>
      </c>
      <c r="D112" s="7">
        <f t="shared" si="29"/>
        <v>100</v>
      </c>
      <c r="E112" s="12">
        <f t="shared" si="30"/>
        <v>0.9</v>
      </c>
      <c r="F112" s="473">
        <f t="shared" si="31"/>
        <v>292.69999999999942</v>
      </c>
      <c r="G112" s="473"/>
      <c r="H112" s="504">
        <f t="shared" si="32"/>
        <v>7.0000000000000001E-3</v>
      </c>
      <c r="I112" s="14">
        <f t="shared" si="33"/>
        <v>7.0000000000000001E-3</v>
      </c>
      <c r="J112" s="498">
        <f t="shared" si="18"/>
        <v>204.88999999999962</v>
      </c>
      <c r="K112" s="15"/>
      <c r="L112" s="8">
        <f t="shared" si="34"/>
        <v>5.9131313131313012</v>
      </c>
      <c r="M112" s="8">
        <f t="shared" si="35"/>
        <v>9.0909090909090917</v>
      </c>
      <c r="N112" s="499" t="str">
        <f t="shared" si="19"/>
        <v/>
      </c>
      <c r="O112" s="4"/>
      <c r="P112" s="118"/>
      <c r="Q112" s="118"/>
      <c r="R112" s="4" t="str">
        <f t="shared" ca="1" si="20"/>
        <v>Ok</v>
      </c>
      <c r="S112" s="501">
        <f ca="1">IF(R112="Não","",COUNTIFS($R$9:R112,"Ok"))</f>
        <v>104</v>
      </c>
      <c r="T112" s="6">
        <f t="shared" ca="1" si="21"/>
        <v>46034</v>
      </c>
      <c r="U112" s="501">
        <f t="shared" ca="1" si="22"/>
        <v>292.69999999999942</v>
      </c>
      <c r="V112" s="501">
        <f t="shared" ca="1" si="23"/>
        <v>5.9131313131313012</v>
      </c>
      <c r="W112" s="501">
        <f t="shared" si="24"/>
        <v>0</v>
      </c>
      <c r="X112" s="1">
        <f t="shared" si="25"/>
        <v>0</v>
      </c>
      <c r="Y112" s="1">
        <f t="shared" si="25"/>
        <v>0</v>
      </c>
    </row>
    <row r="113" spans="1:25" s="1" customFormat="1" x14ac:dyDescent="0.25">
      <c r="A113" s="7">
        <f t="shared" si="26"/>
        <v>105</v>
      </c>
      <c r="B113" s="11">
        <f t="shared" si="27"/>
        <v>11</v>
      </c>
      <c r="C113" s="502">
        <f t="shared" si="28"/>
        <v>46035</v>
      </c>
      <c r="D113" s="7">
        <f t="shared" si="29"/>
        <v>100</v>
      </c>
      <c r="E113" s="12">
        <f t="shared" si="30"/>
        <v>0.9</v>
      </c>
      <c r="F113" s="473">
        <f t="shared" si="31"/>
        <v>293.5999999999994</v>
      </c>
      <c r="G113" s="473"/>
      <c r="H113" s="504">
        <f t="shared" si="32"/>
        <v>7.0000000000000001E-3</v>
      </c>
      <c r="I113" s="14">
        <f t="shared" si="33"/>
        <v>7.0000000000000001E-3</v>
      </c>
      <c r="J113" s="498">
        <f t="shared" si="18"/>
        <v>205.51999999999958</v>
      </c>
      <c r="K113" s="15"/>
      <c r="L113" s="8">
        <f t="shared" si="34"/>
        <v>5.9313131313131189</v>
      </c>
      <c r="M113" s="8">
        <f t="shared" si="35"/>
        <v>9.0909090909090917</v>
      </c>
      <c r="N113" s="499" t="str">
        <f t="shared" si="19"/>
        <v/>
      </c>
      <c r="O113" s="4"/>
      <c r="P113" s="118"/>
      <c r="Q113" s="118"/>
      <c r="R113" s="4" t="str">
        <f t="shared" ca="1" si="20"/>
        <v>Ok</v>
      </c>
      <c r="S113" s="501">
        <f ca="1">IF(R113="Não","",COUNTIFS($R$9:R113,"Ok"))</f>
        <v>105</v>
      </c>
      <c r="T113" s="6">
        <f t="shared" ca="1" si="21"/>
        <v>46035</v>
      </c>
      <c r="U113" s="501">
        <f t="shared" ca="1" si="22"/>
        <v>293.5999999999994</v>
      </c>
      <c r="V113" s="501">
        <f t="shared" ca="1" si="23"/>
        <v>5.9313131313131189</v>
      </c>
      <c r="W113" s="501">
        <f t="shared" si="24"/>
        <v>0</v>
      </c>
      <c r="X113" s="1">
        <f t="shared" si="25"/>
        <v>0</v>
      </c>
      <c r="Y113" s="1">
        <f t="shared" si="25"/>
        <v>0</v>
      </c>
    </row>
    <row r="114" spans="1:25" s="1" customFormat="1" x14ac:dyDescent="0.25">
      <c r="A114" s="7">
        <f t="shared" si="26"/>
        <v>106</v>
      </c>
      <c r="B114" s="11">
        <f t="shared" si="27"/>
        <v>11</v>
      </c>
      <c r="C114" s="502">
        <f t="shared" si="28"/>
        <v>46036</v>
      </c>
      <c r="D114" s="7">
        <f t="shared" si="29"/>
        <v>100</v>
      </c>
      <c r="E114" s="12">
        <f t="shared" si="30"/>
        <v>0.9</v>
      </c>
      <c r="F114" s="473">
        <f t="shared" si="31"/>
        <v>294.49999999999937</v>
      </c>
      <c r="G114" s="473"/>
      <c r="H114" s="504">
        <f t="shared" si="32"/>
        <v>7.0000000000000001E-3</v>
      </c>
      <c r="I114" s="14">
        <f t="shared" si="33"/>
        <v>7.0000000000000001E-3</v>
      </c>
      <c r="J114" s="498">
        <f t="shared" si="18"/>
        <v>206.14999999999958</v>
      </c>
      <c r="K114" s="15"/>
      <c r="L114" s="8">
        <f t="shared" si="34"/>
        <v>5.9494949494949365</v>
      </c>
      <c r="M114" s="8">
        <f t="shared" si="35"/>
        <v>9.0909090909090917</v>
      </c>
      <c r="N114" s="499" t="str">
        <f t="shared" si="19"/>
        <v/>
      </c>
      <c r="O114" s="4"/>
      <c r="P114" s="118"/>
      <c r="Q114" s="118"/>
      <c r="R114" s="4" t="str">
        <f t="shared" ca="1" si="20"/>
        <v>Ok</v>
      </c>
      <c r="S114" s="501">
        <f ca="1">IF(R114="Não","",COUNTIFS($R$9:R114,"Ok"))</f>
        <v>106</v>
      </c>
      <c r="T114" s="6">
        <f t="shared" ca="1" si="21"/>
        <v>46036</v>
      </c>
      <c r="U114" s="501">
        <f t="shared" ca="1" si="22"/>
        <v>294.49999999999937</v>
      </c>
      <c r="V114" s="501">
        <f t="shared" ca="1" si="23"/>
        <v>5.9494949494949365</v>
      </c>
      <c r="W114" s="501">
        <f t="shared" si="24"/>
        <v>0</v>
      </c>
      <c r="X114" s="1">
        <f t="shared" si="25"/>
        <v>0</v>
      </c>
      <c r="Y114" s="1">
        <f t="shared" si="25"/>
        <v>0</v>
      </c>
    </row>
    <row r="115" spans="1:25" s="1" customFormat="1" x14ac:dyDescent="0.25">
      <c r="A115" s="7">
        <f t="shared" si="26"/>
        <v>107</v>
      </c>
      <c r="B115" s="11">
        <f t="shared" si="27"/>
        <v>11</v>
      </c>
      <c r="C115" s="502">
        <f t="shared" si="28"/>
        <v>46037</v>
      </c>
      <c r="D115" s="7">
        <f t="shared" si="29"/>
        <v>100</v>
      </c>
      <c r="E115" s="12">
        <f t="shared" si="30"/>
        <v>0.9</v>
      </c>
      <c r="F115" s="473">
        <f t="shared" si="31"/>
        <v>295.39999999999935</v>
      </c>
      <c r="G115" s="473"/>
      <c r="H115" s="504">
        <f t="shared" si="32"/>
        <v>7.0000000000000001E-3</v>
      </c>
      <c r="I115" s="14">
        <f t="shared" si="33"/>
        <v>7.0000000000000001E-3</v>
      </c>
      <c r="J115" s="498">
        <f t="shared" si="18"/>
        <v>206.77999999999957</v>
      </c>
      <c r="K115" s="15"/>
      <c r="L115" s="8">
        <f t="shared" si="34"/>
        <v>5.967676767676755</v>
      </c>
      <c r="M115" s="8">
        <f t="shared" si="35"/>
        <v>9.0909090909090917</v>
      </c>
      <c r="N115" s="499" t="str">
        <f t="shared" si="19"/>
        <v/>
      </c>
      <c r="O115" s="4"/>
      <c r="P115" s="118"/>
      <c r="Q115" s="118"/>
      <c r="R115" s="4" t="str">
        <f t="shared" ca="1" si="20"/>
        <v>Ok</v>
      </c>
      <c r="S115" s="501">
        <f ca="1">IF(R115="Não","",COUNTIFS($R$9:R115,"Ok"))</f>
        <v>107</v>
      </c>
      <c r="T115" s="6">
        <f t="shared" ca="1" si="21"/>
        <v>46037</v>
      </c>
      <c r="U115" s="501">
        <f t="shared" ca="1" si="22"/>
        <v>295.39999999999935</v>
      </c>
      <c r="V115" s="501">
        <f t="shared" ca="1" si="23"/>
        <v>5.967676767676755</v>
      </c>
      <c r="W115" s="501">
        <f t="shared" si="24"/>
        <v>0</v>
      </c>
      <c r="X115" s="1">
        <f t="shared" si="25"/>
        <v>0</v>
      </c>
      <c r="Y115" s="1">
        <f t="shared" si="25"/>
        <v>0</v>
      </c>
    </row>
    <row r="116" spans="1:25" s="1" customFormat="1" x14ac:dyDescent="0.25">
      <c r="A116" s="7">
        <f t="shared" si="26"/>
        <v>108</v>
      </c>
      <c r="B116" s="11">
        <f t="shared" si="27"/>
        <v>11</v>
      </c>
      <c r="C116" s="502">
        <f t="shared" si="28"/>
        <v>46038</v>
      </c>
      <c r="D116" s="7">
        <f t="shared" si="29"/>
        <v>100</v>
      </c>
      <c r="E116" s="12">
        <f t="shared" si="30"/>
        <v>0.9</v>
      </c>
      <c r="F116" s="473">
        <f t="shared" si="31"/>
        <v>296.29999999999933</v>
      </c>
      <c r="G116" s="473"/>
      <c r="H116" s="504">
        <f t="shared" si="32"/>
        <v>7.0000000000000001E-3</v>
      </c>
      <c r="I116" s="14">
        <f t="shared" si="33"/>
        <v>7.0000000000000001E-3</v>
      </c>
      <c r="J116" s="498">
        <f t="shared" si="18"/>
        <v>207.40999999999951</v>
      </c>
      <c r="K116" s="15"/>
      <c r="L116" s="8">
        <f t="shared" si="34"/>
        <v>5.9858585858585718</v>
      </c>
      <c r="M116" s="8">
        <f t="shared" si="35"/>
        <v>9.0909090909090917</v>
      </c>
      <c r="N116" s="499" t="str">
        <f t="shared" si="19"/>
        <v/>
      </c>
      <c r="O116" s="4"/>
      <c r="P116" s="118"/>
      <c r="Q116" s="118"/>
      <c r="R116" s="4" t="str">
        <f t="shared" ca="1" si="20"/>
        <v>Ok</v>
      </c>
      <c r="S116" s="501">
        <f ca="1">IF(R116="Não","",COUNTIFS($R$9:R116,"Ok"))</f>
        <v>108</v>
      </c>
      <c r="T116" s="6">
        <f t="shared" ca="1" si="21"/>
        <v>46038</v>
      </c>
      <c r="U116" s="501">
        <f t="shared" ca="1" si="22"/>
        <v>296.29999999999933</v>
      </c>
      <c r="V116" s="501">
        <f t="shared" ca="1" si="23"/>
        <v>5.9858585858585718</v>
      </c>
      <c r="W116" s="501">
        <f t="shared" si="24"/>
        <v>0</v>
      </c>
      <c r="X116" s="1">
        <f t="shared" si="25"/>
        <v>0</v>
      </c>
      <c r="Y116" s="1">
        <f t="shared" si="25"/>
        <v>0</v>
      </c>
    </row>
    <row r="117" spans="1:25" s="1" customFormat="1" x14ac:dyDescent="0.25">
      <c r="A117" s="7">
        <f t="shared" si="26"/>
        <v>109</v>
      </c>
      <c r="B117" s="11">
        <f t="shared" si="27"/>
        <v>11</v>
      </c>
      <c r="C117" s="502">
        <f t="shared" si="28"/>
        <v>46039</v>
      </c>
      <c r="D117" s="7">
        <f t="shared" si="29"/>
        <v>100</v>
      </c>
      <c r="E117" s="12">
        <f t="shared" si="30"/>
        <v>0.9</v>
      </c>
      <c r="F117" s="473">
        <f t="shared" si="31"/>
        <v>297.19999999999931</v>
      </c>
      <c r="G117" s="473"/>
      <c r="H117" s="504">
        <f t="shared" si="32"/>
        <v>7.0000000000000001E-3</v>
      </c>
      <c r="I117" s="14">
        <f t="shared" si="33"/>
        <v>7.0000000000000001E-3</v>
      </c>
      <c r="J117" s="498">
        <f t="shared" si="18"/>
        <v>208.03999999999951</v>
      </c>
      <c r="K117" s="15"/>
      <c r="L117" s="8">
        <f t="shared" si="34"/>
        <v>6.0040404040403903</v>
      </c>
      <c r="M117" s="8">
        <f t="shared" si="35"/>
        <v>9.0909090909090917</v>
      </c>
      <c r="N117" s="499" t="str">
        <f t="shared" si="19"/>
        <v/>
      </c>
      <c r="O117" s="4"/>
      <c r="P117" s="118"/>
      <c r="Q117" s="118"/>
      <c r="R117" s="4" t="str">
        <f t="shared" ca="1" si="20"/>
        <v>Ok</v>
      </c>
      <c r="S117" s="501">
        <f ca="1">IF(R117="Não","",COUNTIFS($R$9:R117,"Ok"))</f>
        <v>109</v>
      </c>
      <c r="T117" s="6">
        <f t="shared" ca="1" si="21"/>
        <v>46039</v>
      </c>
      <c r="U117" s="501">
        <f t="shared" ca="1" si="22"/>
        <v>297.19999999999931</v>
      </c>
      <c r="V117" s="501">
        <f t="shared" ca="1" si="23"/>
        <v>6.0040404040403903</v>
      </c>
      <c r="W117" s="501">
        <f t="shared" si="24"/>
        <v>0</v>
      </c>
      <c r="X117" s="1">
        <f t="shared" si="25"/>
        <v>0</v>
      </c>
      <c r="Y117" s="1">
        <f t="shared" si="25"/>
        <v>0</v>
      </c>
    </row>
    <row r="118" spans="1:25" s="1" customFormat="1" x14ac:dyDescent="0.25">
      <c r="A118" s="7">
        <f t="shared" si="26"/>
        <v>110</v>
      </c>
      <c r="B118" s="11">
        <f t="shared" si="27"/>
        <v>11</v>
      </c>
      <c r="C118" s="502">
        <f t="shared" si="28"/>
        <v>46040</v>
      </c>
      <c r="D118" s="7">
        <f t="shared" si="29"/>
        <v>100</v>
      </c>
      <c r="E118" s="12">
        <f t="shared" si="30"/>
        <v>0.9</v>
      </c>
      <c r="F118" s="473">
        <f t="shared" si="31"/>
        <v>298.09999999999928</v>
      </c>
      <c r="G118" s="473"/>
      <c r="H118" s="504">
        <f t="shared" si="32"/>
        <v>7.0000000000000001E-3</v>
      </c>
      <c r="I118" s="14">
        <f t="shared" si="33"/>
        <v>7.0000000000000001E-3</v>
      </c>
      <c r="J118" s="498">
        <f t="shared" si="18"/>
        <v>208.6699999999995</v>
      </c>
      <c r="K118" s="15"/>
      <c r="L118" s="8">
        <f t="shared" si="34"/>
        <v>6.0222222222222079</v>
      </c>
      <c r="M118" s="8">
        <f t="shared" si="35"/>
        <v>9.0909090909090917</v>
      </c>
      <c r="N118" s="499" t="str">
        <f t="shared" si="19"/>
        <v/>
      </c>
      <c r="O118" s="4"/>
      <c r="P118" s="118"/>
      <c r="Q118" s="118"/>
      <c r="R118" s="4" t="str">
        <f t="shared" ca="1" si="20"/>
        <v>Ok</v>
      </c>
      <c r="S118" s="501">
        <f ca="1">IF(R118="Não","",COUNTIFS($R$9:R118,"Ok"))</f>
        <v>110</v>
      </c>
      <c r="T118" s="6">
        <f t="shared" ca="1" si="21"/>
        <v>46040</v>
      </c>
      <c r="U118" s="501">
        <f t="shared" ca="1" si="22"/>
        <v>298.09999999999928</v>
      </c>
      <c r="V118" s="501">
        <f t="shared" ca="1" si="23"/>
        <v>6.0222222222222079</v>
      </c>
      <c r="W118" s="501">
        <f t="shared" si="24"/>
        <v>0</v>
      </c>
      <c r="X118" s="1">
        <f t="shared" si="25"/>
        <v>0</v>
      </c>
      <c r="Y118" s="1">
        <f t="shared" si="25"/>
        <v>0</v>
      </c>
    </row>
    <row r="119" spans="1:25" s="1" customFormat="1" x14ac:dyDescent="0.25">
      <c r="A119" s="7">
        <f t="shared" si="26"/>
        <v>111</v>
      </c>
      <c r="B119" s="11">
        <f t="shared" si="27"/>
        <v>11</v>
      </c>
      <c r="C119" s="502">
        <f t="shared" si="28"/>
        <v>46041</v>
      </c>
      <c r="D119" s="7">
        <f t="shared" si="29"/>
        <v>100</v>
      </c>
      <c r="E119" s="12">
        <f t="shared" si="30"/>
        <v>0.9</v>
      </c>
      <c r="F119" s="473">
        <f t="shared" si="31"/>
        <v>298.99999999999926</v>
      </c>
      <c r="G119" s="473"/>
      <c r="H119" s="504">
        <f t="shared" si="32"/>
        <v>7.0000000000000001E-3</v>
      </c>
      <c r="I119" s="14">
        <f t="shared" si="33"/>
        <v>7.0000000000000001E-3</v>
      </c>
      <c r="J119" s="498">
        <f t="shared" si="18"/>
        <v>209.2999999999995</v>
      </c>
      <c r="K119" s="15"/>
      <c r="L119" s="8">
        <f t="shared" si="34"/>
        <v>6.0404040404040265</v>
      </c>
      <c r="M119" s="8">
        <f t="shared" si="35"/>
        <v>9.0909090909090917</v>
      </c>
      <c r="N119" s="499" t="str">
        <f t="shared" si="19"/>
        <v/>
      </c>
      <c r="O119" s="4"/>
      <c r="P119" s="118"/>
      <c r="Q119" s="118"/>
      <c r="R119" s="4" t="str">
        <f t="shared" ca="1" si="20"/>
        <v>Ok</v>
      </c>
      <c r="S119" s="501">
        <f ca="1">IF(R119="Não","",COUNTIFS($R$9:R119,"Ok"))</f>
        <v>111</v>
      </c>
      <c r="T119" s="6">
        <f t="shared" ca="1" si="21"/>
        <v>46041</v>
      </c>
      <c r="U119" s="501">
        <f t="shared" ca="1" si="22"/>
        <v>298.99999999999926</v>
      </c>
      <c r="V119" s="501">
        <f t="shared" ca="1" si="23"/>
        <v>6.0404040404040265</v>
      </c>
      <c r="W119" s="501">
        <f t="shared" si="24"/>
        <v>0</v>
      </c>
      <c r="X119" s="1">
        <f t="shared" si="25"/>
        <v>0</v>
      </c>
      <c r="Y119" s="1">
        <f t="shared" si="25"/>
        <v>0</v>
      </c>
    </row>
    <row r="120" spans="1:25" s="1" customFormat="1" x14ac:dyDescent="0.25">
      <c r="A120" s="7">
        <f t="shared" si="26"/>
        <v>112</v>
      </c>
      <c r="B120" s="11">
        <f t="shared" si="27"/>
        <v>11</v>
      </c>
      <c r="C120" s="502">
        <f t="shared" si="28"/>
        <v>46042</v>
      </c>
      <c r="D120" s="7">
        <f t="shared" si="29"/>
        <v>100</v>
      </c>
      <c r="E120" s="12">
        <f t="shared" si="30"/>
        <v>0.9</v>
      </c>
      <c r="F120" s="473">
        <f t="shared" si="31"/>
        <v>299.89999999999924</v>
      </c>
      <c r="G120" s="473"/>
      <c r="H120" s="504">
        <f t="shared" si="32"/>
        <v>7.0000000000000001E-3</v>
      </c>
      <c r="I120" s="14">
        <f t="shared" si="33"/>
        <v>7.0000000000000001E-3</v>
      </c>
      <c r="J120" s="498">
        <f t="shared" si="18"/>
        <v>209.92999999999947</v>
      </c>
      <c r="K120" s="15"/>
      <c r="L120" s="8">
        <f t="shared" si="34"/>
        <v>6.0585858585858432</v>
      </c>
      <c r="M120" s="8">
        <f t="shared" si="35"/>
        <v>9.0909090909090917</v>
      </c>
      <c r="N120" s="499" t="str">
        <f t="shared" si="19"/>
        <v/>
      </c>
      <c r="O120" s="4"/>
      <c r="P120" s="118"/>
      <c r="Q120" s="118"/>
      <c r="R120" s="4" t="str">
        <f t="shared" ca="1" si="20"/>
        <v>Ok</v>
      </c>
      <c r="S120" s="501">
        <f ca="1">IF(R120="Não","",COUNTIFS($R$9:R120,"Ok"))</f>
        <v>112</v>
      </c>
      <c r="T120" s="6">
        <f t="shared" ca="1" si="21"/>
        <v>46042</v>
      </c>
      <c r="U120" s="501">
        <f t="shared" ca="1" si="22"/>
        <v>299.89999999999924</v>
      </c>
      <c r="V120" s="501">
        <f t="shared" ca="1" si="23"/>
        <v>6.0585858585858432</v>
      </c>
      <c r="W120" s="501">
        <f t="shared" si="24"/>
        <v>0</v>
      </c>
      <c r="X120" s="1">
        <f t="shared" si="25"/>
        <v>0</v>
      </c>
      <c r="Y120" s="1">
        <f t="shared" si="25"/>
        <v>0</v>
      </c>
    </row>
    <row r="121" spans="1:25" s="1" customFormat="1" x14ac:dyDescent="0.25">
      <c r="A121" s="7">
        <f t="shared" si="26"/>
        <v>113</v>
      </c>
      <c r="B121" s="11">
        <f t="shared" si="27"/>
        <v>11</v>
      </c>
      <c r="C121" s="502">
        <f t="shared" si="28"/>
        <v>46043</v>
      </c>
      <c r="D121" s="7">
        <f t="shared" si="29"/>
        <v>100</v>
      </c>
      <c r="E121" s="12">
        <f t="shared" si="30"/>
        <v>0.9</v>
      </c>
      <c r="F121" s="473">
        <f t="shared" si="31"/>
        <v>300.79999999999922</v>
      </c>
      <c r="G121" s="473"/>
      <c r="H121" s="504">
        <f t="shared" si="32"/>
        <v>7.0000000000000001E-3</v>
      </c>
      <c r="I121" s="14">
        <f t="shared" si="33"/>
        <v>7.0000000000000001E-3</v>
      </c>
      <c r="J121" s="498">
        <f t="shared" si="18"/>
        <v>210.55999999999946</v>
      </c>
      <c r="K121" s="15"/>
      <c r="L121" s="8">
        <f t="shared" si="34"/>
        <v>6.0767676767676599</v>
      </c>
      <c r="M121" s="8">
        <f t="shared" si="35"/>
        <v>9.0909090909090917</v>
      </c>
      <c r="N121" s="499" t="str">
        <f t="shared" si="19"/>
        <v/>
      </c>
      <c r="O121" s="4"/>
      <c r="P121" s="118"/>
      <c r="Q121" s="118"/>
      <c r="R121" s="4" t="str">
        <f t="shared" ca="1" si="20"/>
        <v>Ok</v>
      </c>
      <c r="S121" s="501">
        <f ca="1">IF(R121="Não","",COUNTIFS($R$9:R121,"Ok"))</f>
        <v>113</v>
      </c>
      <c r="T121" s="6">
        <f t="shared" ca="1" si="21"/>
        <v>46043</v>
      </c>
      <c r="U121" s="501">
        <f t="shared" ca="1" si="22"/>
        <v>300.79999999999922</v>
      </c>
      <c r="V121" s="501">
        <f t="shared" ca="1" si="23"/>
        <v>6.0767676767676599</v>
      </c>
      <c r="W121" s="501">
        <f t="shared" si="24"/>
        <v>0</v>
      </c>
      <c r="X121" s="1">
        <f t="shared" si="25"/>
        <v>0</v>
      </c>
      <c r="Y121" s="1">
        <f t="shared" si="25"/>
        <v>0</v>
      </c>
    </row>
    <row r="122" spans="1:25" s="1" customFormat="1" x14ac:dyDescent="0.25">
      <c r="A122" s="7">
        <f t="shared" si="26"/>
        <v>114</v>
      </c>
      <c r="B122" s="11">
        <f t="shared" si="27"/>
        <v>11</v>
      </c>
      <c r="C122" s="502">
        <f t="shared" si="28"/>
        <v>46044</v>
      </c>
      <c r="D122" s="7">
        <f t="shared" si="29"/>
        <v>100</v>
      </c>
      <c r="E122" s="12">
        <f t="shared" si="30"/>
        <v>0.9</v>
      </c>
      <c r="F122" s="473">
        <f t="shared" si="31"/>
        <v>301.69999999999919</v>
      </c>
      <c r="G122" s="473"/>
      <c r="H122" s="504">
        <f t="shared" si="32"/>
        <v>7.0000000000000001E-3</v>
      </c>
      <c r="I122" s="14">
        <f t="shared" si="33"/>
        <v>7.0000000000000001E-3</v>
      </c>
      <c r="J122" s="498">
        <f t="shared" si="18"/>
        <v>211.18999999999946</v>
      </c>
      <c r="K122" s="15"/>
      <c r="L122" s="8">
        <f t="shared" si="34"/>
        <v>6.0949494949494785</v>
      </c>
      <c r="M122" s="8">
        <f t="shared" si="35"/>
        <v>9.0909090909090917</v>
      </c>
      <c r="N122" s="499" t="str">
        <f t="shared" si="19"/>
        <v/>
      </c>
      <c r="O122" s="4"/>
      <c r="P122" s="118"/>
      <c r="Q122" s="118"/>
      <c r="R122" s="4" t="str">
        <f t="shared" ca="1" si="20"/>
        <v>Ok</v>
      </c>
      <c r="S122" s="501">
        <f ca="1">IF(R122="Não","",COUNTIFS($R$9:R122,"Ok"))</f>
        <v>114</v>
      </c>
      <c r="T122" s="6">
        <f t="shared" ca="1" si="21"/>
        <v>46044</v>
      </c>
      <c r="U122" s="501">
        <f t="shared" ca="1" si="22"/>
        <v>301.69999999999919</v>
      </c>
      <c r="V122" s="501">
        <f t="shared" ca="1" si="23"/>
        <v>6.0949494949494785</v>
      </c>
      <c r="W122" s="501">
        <f t="shared" si="24"/>
        <v>0</v>
      </c>
      <c r="X122" s="1">
        <f t="shared" si="25"/>
        <v>0</v>
      </c>
      <c r="Y122" s="1">
        <f t="shared" si="25"/>
        <v>0</v>
      </c>
    </row>
    <row r="123" spans="1:25" s="1" customFormat="1" x14ac:dyDescent="0.25">
      <c r="A123" s="7">
        <f t="shared" si="26"/>
        <v>115</v>
      </c>
      <c r="B123" s="11">
        <f t="shared" si="27"/>
        <v>11</v>
      </c>
      <c r="C123" s="502">
        <f t="shared" si="28"/>
        <v>46045</v>
      </c>
      <c r="D123" s="7">
        <f t="shared" si="29"/>
        <v>100</v>
      </c>
      <c r="E123" s="12">
        <f t="shared" si="30"/>
        <v>0.9</v>
      </c>
      <c r="F123" s="473">
        <f t="shared" si="31"/>
        <v>302.59999999999917</v>
      </c>
      <c r="G123" s="473"/>
      <c r="H123" s="504">
        <f t="shared" si="32"/>
        <v>7.0000000000000001E-3</v>
      </c>
      <c r="I123" s="14">
        <f t="shared" si="33"/>
        <v>7.0000000000000001E-3</v>
      </c>
      <c r="J123" s="498">
        <f t="shared" si="18"/>
        <v>211.8199999999994</v>
      </c>
      <c r="K123" s="15"/>
      <c r="L123" s="8">
        <f t="shared" si="34"/>
        <v>6.1131313131312961</v>
      </c>
      <c r="M123" s="8">
        <f t="shared" si="35"/>
        <v>9.0909090909090917</v>
      </c>
      <c r="N123" s="499" t="str">
        <f t="shared" si="19"/>
        <v/>
      </c>
      <c r="O123" s="4"/>
      <c r="P123" s="118"/>
      <c r="Q123" s="118"/>
      <c r="R123" s="4" t="str">
        <f t="shared" ca="1" si="20"/>
        <v>Ok</v>
      </c>
      <c r="S123" s="501">
        <f ca="1">IF(R123="Não","",COUNTIFS($R$9:R123,"Ok"))</f>
        <v>115</v>
      </c>
      <c r="T123" s="6">
        <f t="shared" ca="1" si="21"/>
        <v>46045</v>
      </c>
      <c r="U123" s="501">
        <f t="shared" ca="1" si="22"/>
        <v>302.59999999999917</v>
      </c>
      <c r="V123" s="501">
        <f t="shared" ca="1" si="23"/>
        <v>6.1131313131312961</v>
      </c>
      <c r="W123" s="501">
        <f t="shared" si="24"/>
        <v>0</v>
      </c>
      <c r="X123" s="1">
        <f t="shared" si="25"/>
        <v>0</v>
      </c>
      <c r="Y123" s="1">
        <f t="shared" si="25"/>
        <v>0</v>
      </c>
    </row>
    <row r="124" spans="1:25" s="1" customFormat="1" x14ac:dyDescent="0.25">
      <c r="A124" s="7">
        <f t="shared" si="26"/>
        <v>116</v>
      </c>
      <c r="B124" s="11">
        <f t="shared" si="27"/>
        <v>11</v>
      </c>
      <c r="C124" s="502">
        <f t="shared" si="28"/>
        <v>46046</v>
      </c>
      <c r="D124" s="7">
        <f t="shared" si="29"/>
        <v>100</v>
      </c>
      <c r="E124" s="12">
        <f t="shared" si="30"/>
        <v>0.9</v>
      </c>
      <c r="F124" s="473">
        <f t="shared" si="31"/>
        <v>303.49999999999915</v>
      </c>
      <c r="G124" s="473"/>
      <c r="H124" s="504">
        <f t="shared" si="32"/>
        <v>7.0000000000000001E-3</v>
      </c>
      <c r="I124" s="14">
        <f t="shared" si="33"/>
        <v>7.0000000000000001E-3</v>
      </c>
      <c r="J124" s="498">
        <f t="shared" si="18"/>
        <v>212.44999999999942</v>
      </c>
      <c r="K124" s="15"/>
      <c r="L124" s="8">
        <f t="shared" si="34"/>
        <v>6.1313131313131146</v>
      </c>
      <c r="M124" s="8">
        <f t="shared" si="35"/>
        <v>9.0909090909090917</v>
      </c>
      <c r="N124" s="499" t="str">
        <f t="shared" si="19"/>
        <v/>
      </c>
      <c r="O124" s="4"/>
      <c r="P124" s="118"/>
      <c r="Q124" s="118"/>
      <c r="R124" s="4" t="str">
        <f t="shared" ca="1" si="20"/>
        <v>Ok</v>
      </c>
      <c r="S124" s="501">
        <f ca="1">IF(R124="Não","",COUNTIFS($R$9:R124,"Ok"))</f>
        <v>116</v>
      </c>
      <c r="T124" s="6">
        <f t="shared" ca="1" si="21"/>
        <v>46046</v>
      </c>
      <c r="U124" s="501">
        <f t="shared" ca="1" si="22"/>
        <v>303.49999999999915</v>
      </c>
      <c r="V124" s="501">
        <f t="shared" ca="1" si="23"/>
        <v>6.1313131313131146</v>
      </c>
      <c r="W124" s="501">
        <f t="shared" si="24"/>
        <v>0</v>
      </c>
      <c r="X124" s="1">
        <f t="shared" si="25"/>
        <v>0</v>
      </c>
      <c r="Y124" s="1">
        <f t="shared" si="25"/>
        <v>0</v>
      </c>
    </row>
    <row r="125" spans="1:25" s="1" customFormat="1" x14ac:dyDescent="0.25">
      <c r="A125" s="7">
        <f t="shared" si="26"/>
        <v>117</v>
      </c>
      <c r="B125" s="11">
        <f t="shared" si="27"/>
        <v>11</v>
      </c>
      <c r="C125" s="502">
        <f t="shared" si="28"/>
        <v>46047</v>
      </c>
      <c r="D125" s="7">
        <f t="shared" si="29"/>
        <v>100</v>
      </c>
      <c r="E125" s="12">
        <f t="shared" si="30"/>
        <v>0.9</v>
      </c>
      <c r="F125" s="473">
        <f t="shared" si="31"/>
        <v>304.39999999999912</v>
      </c>
      <c r="G125" s="473"/>
      <c r="H125" s="504">
        <f t="shared" si="32"/>
        <v>7.0000000000000001E-3</v>
      </c>
      <c r="I125" s="14">
        <f t="shared" si="33"/>
        <v>7.0000000000000001E-3</v>
      </c>
      <c r="J125" s="498">
        <f t="shared" si="18"/>
        <v>213.07999999999942</v>
      </c>
      <c r="K125" s="15"/>
      <c r="L125" s="8">
        <f t="shared" si="34"/>
        <v>6.1494949494949314</v>
      </c>
      <c r="M125" s="8">
        <f t="shared" si="35"/>
        <v>9.0909090909090917</v>
      </c>
      <c r="N125" s="499" t="str">
        <f t="shared" si="19"/>
        <v/>
      </c>
      <c r="O125" s="4"/>
      <c r="P125" s="118"/>
      <c r="Q125" s="118"/>
      <c r="R125" s="4" t="str">
        <f t="shared" ca="1" si="20"/>
        <v>Ok</v>
      </c>
      <c r="S125" s="501">
        <f ca="1">IF(R125="Não","",COUNTIFS($R$9:R125,"Ok"))</f>
        <v>117</v>
      </c>
      <c r="T125" s="6">
        <f t="shared" ca="1" si="21"/>
        <v>46047</v>
      </c>
      <c r="U125" s="501">
        <f t="shared" ca="1" si="22"/>
        <v>304.39999999999912</v>
      </c>
      <c r="V125" s="501">
        <f t="shared" ca="1" si="23"/>
        <v>6.1494949494949314</v>
      </c>
      <c r="W125" s="501">
        <f t="shared" si="24"/>
        <v>0</v>
      </c>
      <c r="X125" s="1">
        <f t="shared" si="25"/>
        <v>0</v>
      </c>
      <c r="Y125" s="1">
        <f t="shared" si="25"/>
        <v>0</v>
      </c>
    </row>
    <row r="126" spans="1:25" s="1" customFormat="1" x14ac:dyDescent="0.25">
      <c r="A126" s="7">
        <f t="shared" si="26"/>
        <v>118</v>
      </c>
      <c r="B126" s="11">
        <f t="shared" si="27"/>
        <v>11</v>
      </c>
      <c r="C126" s="502">
        <f t="shared" si="28"/>
        <v>46048</v>
      </c>
      <c r="D126" s="7">
        <f t="shared" si="29"/>
        <v>100</v>
      </c>
      <c r="E126" s="12">
        <f t="shared" si="30"/>
        <v>0.9</v>
      </c>
      <c r="F126" s="473">
        <f t="shared" si="31"/>
        <v>305.2999999999991</v>
      </c>
      <c r="G126" s="473"/>
      <c r="H126" s="504">
        <f t="shared" si="32"/>
        <v>7.0000000000000001E-3</v>
      </c>
      <c r="I126" s="14">
        <f t="shared" si="33"/>
        <v>7.0000000000000001E-3</v>
      </c>
      <c r="J126" s="498">
        <f t="shared" si="18"/>
        <v>213.70999999999935</v>
      </c>
      <c r="K126" s="15"/>
      <c r="L126" s="8">
        <f t="shared" si="34"/>
        <v>6.167676767676749</v>
      </c>
      <c r="M126" s="8">
        <f t="shared" si="35"/>
        <v>9.0909090909090917</v>
      </c>
      <c r="N126" s="499" t="str">
        <f t="shared" si="19"/>
        <v/>
      </c>
      <c r="O126" s="4"/>
      <c r="P126" s="118"/>
      <c r="Q126" s="118"/>
      <c r="R126" s="4" t="str">
        <f t="shared" ca="1" si="20"/>
        <v>Ok</v>
      </c>
      <c r="S126" s="501">
        <f ca="1">IF(R126="Não","",COUNTIFS($R$9:R126,"Ok"))</f>
        <v>118</v>
      </c>
      <c r="T126" s="6">
        <f t="shared" ca="1" si="21"/>
        <v>46048</v>
      </c>
      <c r="U126" s="501">
        <f t="shared" ca="1" si="22"/>
        <v>305.2999999999991</v>
      </c>
      <c r="V126" s="501">
        <f t="shared" ca="1" si="23"/>
        <v>6.167676767676749</v>
      </c>
      <c r="W126" s="501">
        <f t="shared" si="24"/>
        <v>0</v>
      </c>
      <c r="X126" s="1">
        <f t="shared" si="25"/>
        <v>0</v>
      </c>
      <c r="Y126" s="1">
        <f t="shared" si="25"/>
        <v>0</v>
      </c>
    </row>
    <row r="127" spans="1:25" s="1" customFormat="1" x14ac:dyDescent="0.25">
      <c r="A127" s="7">
        <f t="shared" si="26"/>
        <v>119</v>
      </c>
      <c r="B127" s="11">
        <f t="shared" si="27"/>
        <v>11</v>
      </c>
      <c r="C127" s="502">
        <f t="shared" si="28"/>
        <v>46049</v>
      </c>
      <c r="D127" s="7">
        <f t="shared" si="29"/>
        <v>100</v>
      </c>
      <c r="E127" s="12">
        <f t="shared" si="30"/>
        <v>0.9</v>
      </c>
      <c r="F127" s="473">
        <f t="shared" si="31"/>
        <v>306.19999999999908</v>
      </c>
      <c r="G127" s="473"/>
      <c r="H127" s="504">
        <f t="shared" si="32"/>
        <v>7.0000000000000001E-3</v>
      </c>
      <c r="I127" s="14">
        <f t="shared" si="33"/>
        <v>7.0000000000000001E-3</v>
      </c>
      <c r="J127" s="498">
        <f t="shared" si="18"/>
        <v>214.33999999999935</v>
      </c>
      <c r="K127" s="15"/>
      <c r="L127" s="8">
        <f t="shared" si="34"/>
        <v>6.1858585858585675</v>
      </c>
      <c r="M127" s="8">
        <f t="shared" si="35"/>
        <v>9.0909090909090917</v>
      </c>
      <c r="N127" s="499" t="str">
        <f t="shared" si="19"/>
        <v/>
      </c>
      <c r="O127" s="4"/>
      <c r="P127" s="118"/>
      <c r="Q127" s="118"/>
      <c r="R127" s="4" t="str">
        <f t="shared" ca="1" si="20"/>
        <v>Ok</v>
      </c>
      <c r="S127" s="501">
        <f ca="1">IF(R127="Não","",COUNTIFS($R$9:R127,"Ok"))</f>
        <v>119</v>
      </c>
      <c r="T127" s="6">
        <f t="shared" ca="1" si="21"/>
        <v>46049</v>
      </c>
      <c r="U127" s="501">
        <f t="shared" ca="1" si="22"/>
        <v>306.19999999999908</v>
      </c>
      <c r="V127" s="501">
        <f t="shared" ca="1" si="23"/>
        <v>6.1858585858585675</v>
      </c>
      <c r="W127" s="501">
        <f t="shared" si="24"/>
        <v>0</v>
      </c>
      <c r="X127" s="1">
        <f t="shared" si="25"/>
        <v>0</v>
      </c>
      <c r="Y127" s="1">
        <f t="shared" si="25"/>
        <v>0</v>
      </c>
    </row>
    <row r="128" spans="1:25" s="1" customFormat="1" x14ac:dyDescent="0.25">
      <c r="A128" s="7">
        <f t="shared" si="26"/>
        <v>120</v>
      </c>
      <c r="B128" s="11">
        <f t="shared" si="27"/>
        <v>11</v>
      </c>
      <c r="C128" s="502">
        <f t="shared" si="28"/>
        <v>46050</v>
      </c>
      <c r="D128" s="7">
        <f t="shared" si="29"/>
        <v>100</v>
      </c>
      <c r="E128" s="12">
        <f t="shared" si="30"/>
        <v>0.9</v>
      </c>
      <c r="F128" s="473">
        <f t="shared" si="31"/>
        <v>307.09999999999906</v>
      </c>
      <c r="G128" s="473"/>
      <c r="H128" s="504">
        <f t="shared" si="32"/>
        <v>7.0000000000000001E-3</v>
      </c>
      <c r="I128" s="14">
        <f t="shared" si="33"/>
        <v>7.0000000000000001E-3</v>
      </c>
      <c r="J128" s="498">
        <f t="shared" si="18"/>
        <v>214.96999999999935</v>
      </c>
      <c r="K128" s="15"/>
      <c r="L128" s="8">
        <f t="shared" si="34"/>
        <v>6.2040404040403851</v>
      </c>
      <c r="M128" s="8">
        <f t="shared" si="35"/>
        <v>9.0909090909090917</v>
      </c>
      <c r="N128" s="499" t="str">
        <f t="shared" si="19"/>
        <v/>
      </c>
      <c r="O128" s="4"/>
      <c r="P128" s="118"/>
      <c r="Q128" s="118"/>
      <c r="R128" s="4" t="str">
        <f t="shared" ca="1" si="20"/>
        <v>Ok</v>
      </c>
      <c r="S128" s="501">
        <f ca="1">IF(R128="Não","",COUNTIFS($R$9:R128,"Ok"))</f>
        <v>120</v>
      </c>
      <c r="T128" s="6">
        <f t="shared" ca="1" si="21"/>
        <v>46050</v>
      </c>
      <c r="U128" s="501">
        <f t="shared" ca="1" si="22"/>
        <v>307.09999999999906</v>
      </c>
      <c r="V128" s="501">
        <f t="shared" ca="1" si="23"/>
        <v>6.2040404040403851</v>
      </c>
      <c r="W128" s="501">
        <f t="shared" si="24"/>
        <v>0</v>
      </c>
      <c r="X128" s="1">
        <f t="shared" si="25"/>
        <v>0</v>
      </c>
      <c r="Y128" s="1">
        <f t="shared" si="25"/>
        <v>0</v>
      </c>
    </row>
    <row r="129" spans="1:25" s="1" customFormat="1" x14ac:dyDescent="0.25">
      <c r="A129" s="7">
        <f t="shared" si="26"/>
        <v>121</v>
      </c>
      <c r="B129" s="11">
        <f t="shared" si="27"/>
        <v>11</v>
      </c>
      <c r="C129" s="502">
        <f t="shared" si="28"/>
        <v>46051</v>
      </c>
      <c r="D129" s="7">
        <f t="shared" si="29"/>
        <v>100</v>
      </c>
      <c r="E129" s="12">
        <f t="shared" si="30"/>
        <v>0.9</v>
      </c>
      <c r="F129" s="473">
        <f t="shared" si="31"/>
        <v>307.99999999999903</v>
      </c>
      <c r="G129" s="473"/>
      <c r="H129" s="504">
        <f t="shared" si="32"/>
        <v>7.0000000000000001E-3</v>
      </c>
      <c r="I129" s="14">
        <f t="shared" si="33"/>
        <v>7.0000000000000001E-3</v>
      </c>
      <c r="J129" s="498">
        <f t="shared" si="18"/>
        <v>215.59999999999934</v>
      </c>
      <c r="K129" s="15"/>
      <c r="L129" s="8">
        <f t="shared" si="34"/>
        <v>6.2222222222222028</v>
      </c>
      <c r="M129" s="8">
        <f t="shared" si="35"/>
        <v>9.0909090909090917</v>
      </c>
      <c r="N129" s="499" t="str">
        <f t="shared" si="19"/>
        <v/>
      </c>
      <c r="O129" s="4"/>
      <c r="P129" s="118"/>
      <c r="Q129" s="118"/>
      <c r="R129" s="4" t="str">
        <f t="shared" ca="1" si="20"/>
        <v>Ok</v>
      </c>
      <c r="S129" s="501">
        <f ca="1">IF(R129="Não","",COUNTIFS($R$9:R129,"Ok"))</f>
        <v>121</v>
      </c>
      <c r="T129" s="6">
        <f t="shared" ca="1" si="21"/>
        <v>46051</v>
      </c>
      <c r="U129" s="501">
        <f t="shared" ca="1" si="22"/>
        <v>307.99999999999903</v>
      </c>
      <c r="V129" s="501">
        <f t="shared" ca="1" si="23"/>
        <v>6.2222222222222028</v>
      </c>
      <c r="W129" s="501">
        <f t="shared" si="24"/>
        <v>0</v>
      </c>
      <c r="X129" s="1">
        <f t="shared" si="25"/>
        <v>0</v>
      </c>
      <c r="Y129" s="1">
        <f t="shared" si="25"/>
        <v>0</v>
      </c>
    </row>
    <row r="130" spans="1:25" s="1" customFormat="1" x14ac:dyDescent="0.25">
      <c r="A130" s="7">
        <f t="shared" si="26"/>
        <v>122</v>
      </c>
      <c r="B130" s="11">
        <f t="shared" si="27"/>
        <v>11</v>
      </c>
      <c r="C130" s="502">
        <f t="shared" si="28"/>
        <v>46052</v>
      </c>
      <c r="D130" s="7">
        <f t="shared" si="29"/>
        <v>100</v>
      </c>
      <c r="E130" s="12">
        <f t="shared" si="30"/>
        <v>0.9</v>
      </c>
      <c r="F130" s="473">
        <f t="shared" si="31"/>
        <v>308.89999999999901</v>
      </c>
      <c r="G130" s="473"/>
      <c r="H130" s="504">
        <f t="shared" si="32"/>
        <v>7.0000000000000001E-3</v>
      </c>
      <c r="I130" s="14">
        <f t="shared" si="33"/>
        <v>7.0000000000000001E-3</v>
      </c>
      <c r="J130" s="498">
        <f t="shared" si="18"/>
        <v>216.22999999999931</v>
      </c>
      <c r="K130" s="15"/>
      <c r="L130" s="8">
        <f t="shared" si="34"/>
        <v>6.2404040404040213</v>
      </c>
      <c r="M130" s="8">
        <f t="shared" si="35"/>
        <v>9.0909090909090917</v>
      </c>
      <c r="N130" s="499" t="str">
        <f t="shared" si="19"/>
        <v/>
      </c>
      <c r="O130" s="4"/>
      <c r="P130" s="118"/>
      <c r="Q130" s="118"/>
      <c r="R130" s="4" t="str">
        <f t="shared" ca="1" si="20"/>
        <v>Ok</v>
      </c>
      <c r="S130" s="501">
        <f ca="1">IF(R130="Não","",COUNTIFS($R$9:R130,"Ok"))</f>
        <v>122</v>
      </c>
      <c r="T130" s="6">
        <f t="shared" ca="1" si="21"/>
        <v>46052</v>
      </c>
      <c r="U130" s="501">
        <f t="shared" ca="1" si="22"/>
        <v>308.89999999999901</v>
      </c>
      <c r="V130" s="501">
        <f t="shared" ca="1" si="23"/>
        <v>6.2404040404040213</v>
      </c>
      <c r="W130" s="501">
        <f t="shared" si="24"/>
        <v>0</v>
      </c>
      <c r="X130" s="1">
        <f t="shared" si="25"/>
        <v>0</v>
      </c>
      <c r="Y130" s="1">
        <f t="shared" si="25"/>
        <v>0</v>
      </c>
    </row>
    <row r="131" spans="1:25" s="1" customFormat="1" x14ac:dyDescent="0.25">
      <c r="A131" s="7">
        <f t="shared" si="26"/>
        <v>123</v>
      </c>
      <c r="B131" s="11">
        <f t="shared" si="27"/>
        <v>11</v>
      </c>
      <c r="C131" s="502">
        <f t="shared" si="28"/>
        <v>46053</v>
      </c>
      <c r="D131" s="7">
        <f t="shared" si="29"/>
        <v>100</v>
      </c>
      <c r="E131" s="12">
        <f t="shared" si="30"/>
        <v>0.9</v>
      </c>
      <c r="F131" s="473">
        <f t="shared" si="31"/>
        <v>309.79999999999899</v>
      </c>
      <c r="G131" s="473"/>
      <c r="H131" s="504">
        <f t="shared" si="32"/>
        <v>7.0000000000000001E-3</v>
      </c>
      <c r="I131" s="14">
        <f t="shared" si="33"/>
        <v>7.0000000000000001E-3</v>
      </c>
      <c r="J131" s="498">
        <f t="shared" si="18"/>
        <v>216.8599999999993</v>
      </c>
      <c r="K131" s="15"/>
      <c r="L131" s="8">
        <f t="shared" si="34"/>
        <v>6.258585858585838</v>
      </c>
      <c r="M131" s="8">
        <f t="shared" si="35"/>
        <v>9.0909090909090917</v>
      </c>
      <c r="N131" s="499" t="str">
        <f t="shared" si="19"/>
        <v/>
      </c>
      <c r="O131" s="4"/>
      <c r="P131" s="118"/>
      <c r="Q131" s="118"/>
      <c r="R131" s="4" t="str">
        <f t="shared" ca="1" si="20"/>
        <v>Ok</v>
      </c>
      <c r="S131" s="501">
        <f ca="1">IF(R131="Não","",COUNTIFS($R$9:R131,"Ok"))</f>
        <v>123</v>
      </c>
      <c r="T131" s="6">
        <f t="shared" ca="1" si="21"/>
        <v>46053</v>
      </c>
      <c r="U131" s="501">
        <f t="shared" ca="1" si="22"/>
        <v>309.79999999999899</v>
      </c>
      <c r="V131" s="501">
        <f t="shared" ca="1" si="23"/>
        <v>6.258585858585838</v>
      </c>
      <c r="W131" s="501">
        <f t="shared" si="24"/>
        <v>0</v>
      </c>
      <c r="X131" s="1">
        <f t="shared" si="25"/>
        <v>0</v>
      </c>
      <c r="Y131" s="1">
        <f t="shared" si="25"/>
        <v>0</v>
      </c>
    </row>
    <row r="132" spans="1:25" s="1" customFormat="1" x14ac:dyDescent="0.25">
      <c r="A132" s="7">
        <f t="shared" si="26"/>
        <v>124</v>
      </c>
      <c r="B132" s="11">
        <f t="shared" si="27"/>
        <v>11</v>
      </c>
      <c r="C132" s="502">
        <f t="shared" si="28"/>
        <v>46054</v>
      </c>
      <c r="D132" s="7">
        <f t="shared" si="29"/>
        <v>100</v>
      </c>
      <c r="E132" s="12">
        <f t="shared" si="30"/>
        <v>0.9</v>
      </c>
      <c r="F132" s="473">
        <f t="shared" si="31"/>
        <v>310.69999999999897</v>
      </c>
      <c r="G132" s="473"/>
      <c r="H132" s="504">
        <f t="shared" si="32"/>
        <v>7.0000000000000001E-3</v>
      </c>
      <c r="I132" s="14">
        <f t="shared" si="33"/>
        <v>7.0000000000000001E-3</v>
      </c>
      <c r="J132" s="498">
        <f t="shared" si="18"/>
        <v>217.4899999999993</v>
      </c>
      <c r="K132" s="15"/>
      <c r="L132" s="8">
        <f t="shared" si="34"/>
        <v>6.2767676767676566</v>
      </c>
      <c r="M132" s="8">
        <f t="shared" si="35"/>
        <v>9.0909090909090917</v>
      </c>
      <c r="N132" s="499" t="str">
        <f t="shared" si="19"/>
        <v/>
      </c>
      <c r="O132" s="4"/>
      <c r="P132" s="118"/>
      <c r="Q132" s="118"/>
      <c r="R132" s="4" t="str">
        <f t="shared" ca="1" si="20"/>
        <v>Ok</v>
      </c>
      <c r="S132" s="501">
        <f ca="1">IF(R132="Não","",COUNTIFS($R$9:R132,"Ok"))</f>
        <v>124</v>
      </c>
      <c r="T132" s="6">
        <f t="shared" ca="1" si="21"/>
        <v>46054</v>
      </c>
      <c r="U132" s="501">
        <f t="shared" ca="1" si="22"/>
        <v>310.69999999999897</v>
      </c>
      <c r="V132" s="501">
        <f t="shared" ca="1" si="23"/>
        <v>6.2767676767676566</v>
      </c>
      <c r="W132" s="501">
        <f t="shared" si="24"/>
        <v>0</v>
      </c>
      <c r="X132" s="1">
        <f t="shared" si="25"/>
        <v>0</v>
      </c>
      <c r="Y132" s="1">
        <f t="shared" si="25"/>
        <v>0</v>
      </c>
    </row>
    <row r="133" spans="1:25" s="1" customFormat="1" x14ac:dyDescent="0.25">
      <c r="A133" s="7">
        <f t="shared" si="26"/>
        <v>125</v>
      </c>
      <c r="B133" s="11">
        <f t="shared" si="27"/>
        <v>11</v>
      </c>
      <c r="C133" s="502">
        <f t="shared" si="28"/>
        <v>46055</v>
      </c>
      <c r="D133" s="7">
        <f t="shared" si="29"/>
        <v>100</v>
      </c>
      <c r="E133" s="12">
        <f t="shared" si="30"/>
        <v>0.9</v>
      </c>
      <c r="F133" s="473">
        <f t="shared" si="31"/>
        <v>311.59999999999894</v>
      </c>
      <c r="G133" s="473"/>
      <c r="H133" s="504">
        <f t="shared" si="32"/>
        <v>7.0000000000000001E-3</v>
      </c>
      <c r="I133" s="14">
        <f t="shared" si="33"/>
        <v>7.0000000000000001E-3</v>
      </c>
      <c r="J133" s="498">
        <f t="shared" si="18"/>
        <v>218.11999999999924</v>
      </c>
      <c r="K133" s="15"/>
      <c r="L133" s="8">
        <f t="shared" si="34"/>
        <v>6.2949494949494742</v>
      </c>
      <c r="M133" s="8">
        <f t="shared" si="35"/>
        <v>9.0909090909090917</v>
      </c>
      <c r="N133" s="499" t="str">
        <f t="shared" si="19"/>
        <v/>
      </c>
      <c r="O133" s="4"/>
      <c r="P133" s="118"/>
      <c r="Q133" s="118"/>
      <c r="R133" s="4" t="str">
        <f t="shared" ca="1" si="20"/>
        <v>Ok</v>
      </c>
      <c r="S133" s="501">
        <f ca="1">IF(R133="Não","",COUNTIFS($R$9:R133,"Ok"))</f>
        <v>125</v>
      </c>
      <c r="T133" s="6">
        <f t="shared" ca="1" si="21"/>
        <v>46055</v>
      </c>
      <c r="U133" s="501">
        <f t="shared" ca="1" si="22"/>
        <v>311.59999999999894</v>
      </c>
      <c r="V133" s="501">
        <f t="shared" ca="1" si="23"/>
        <v>6.2949494949494742</v>
      </c>
      <c r="W133" s="501">
        <f t="shared" si="24"/>
        <v>0</v>
      </c>
      <c r="X133" s="1">
        <f t="shared" si="25"/>
        <v>0</v>
      </c>
      <c r="Y133" s="1">
        <f t="shared" si="25"/>
        <v>0</v>
      </c>
    </row>
    <row r="134" spans="1:25" s="1" customFormat="1" x14ac:dyDescent="0.25">
      <c r="A134" s="7">
        <f t="shared" si="26"/>
        <v>126</v>
      </c>
      <c r="B134" s="11">
        <f t="shared" si="27"/>
        <v>11</v>
      </c>
      <c r="C134" s="502">
        <f t="shared" si="28"/>
        <v>46056</v>
      </c>
      <c r="D134" s="7">
        <f t="shared" si="29"/>
        <v>100</v>
      </c>
      <c r="E134" s="12">
        <f t="shared" si="30"/>
        <v>0.9</v>
      </c>
      <c r="F134" s="473">
        <f t="shared" si="31"/>
        <v>312.49999999999892</v>
      </c>
      <c r="G134" s="473"/>
      <c r="H134" s="504">
        <f t="shared" si="32"/>
        <v>7.0000000000000001E-3</v>
      </c>
      <c r="I134" s="14">
        <f t="shared" si="33"/>
        <v>7.0000000000000001E-3</v>
      </c>
      <c r="J134" s="498">
        <f t="shared" si="18"/>
        <v>218.74999999999923</v>
      </c>
      <c r="K134" s="15"/>
      <c r="L134" s="8">
        <f t="shared" si="34"/>
        <v>6.3131313131312909</v>
      </c>
      <c r="M134" s="8">
        <f t="shared" si="35"/>
        <v>9.0909090909090917</v>
      </c>
      <c r="N134" s="499" t="str">
        <f t="shared" si="19"/>
        <v/>
      </c>
      <c r="O134" s="4"/>
      <c r="P134" s="118"/>
      <c r="Q134" s="118"/>
      <c r="R134" s="4" t="str">
        <f t="shared" ca="1" si="20"/>
        <v>Ok</v>
      </c>
      <c r="S134" s="501">
        <f ca="1">IF(R134="Não","",COUNTIFS($R$9:R134,"Ok"))</f>
        <v>126</v>
      </c>
      <c r="T134" s="6">
        <f t="shared" ca="1" si="21"/>
        <v>46056</v>
      </c>
      <c r="U134" s="501">
        <f t="shared" ca="1" si="22"/>
        <v>312.49999999999892</v>
      </c>
      <c r="V134" s="501">
        <f t="shared" ca="1" si="23"/>
        <v>6.3131313131312909</v>
      </c>
      <c r="W134" s="501">
        <f t="shared" si="24"/>
        <v>0</v>
      </c>
      <c r="X134" s="1">
        <f t="shared" si="25"/>
        <v>0</v>
      </c>
      <c r="Y134" s="1">
        <f t="shared" si="25"/>
        <v>0</v>
      </c>
    </row>
    <row r="135" spans="1:25" s="1" customFormat="1" x14ac:dyDescent="0.25">
      <c r="A135" s="7">
        <f t="shared" si="26"/>
        <v>127</v>
      </c>
      <c r="B135" s="11">
        <f t="shared" si="27"/>
        <v>11</v>
      </c>
      <c r="C135" s="502">
        <f t="shared" si="28"/>
        <v>46057</v>
      </c>
      <c r="D135" s="7">
        <f t="shared" si="29"/>
        <v>100</v>
      </c>
      <c r="E135" s="12">
        <f t="shared" si="30"/>
        <v>0.9</v>
      </c>
      <c r="F135" s="473">
        <f t="shared" si="31"/>
        <v>313.3999999999989</v>
      </c>
      <c r="G135" s="473"/>
      <c r="H135" s="504">
        <f t="shared" si="32"/>
        <v>7.0000000000000001E-3</v>
      </c>
      <c r="I135" s="14">
        <f t="shared" si="33"/>
        <v>7.0000000000000001E-3</v>
      </c>
      <c r="J135" s="498">
        <f t="shared" si="18"/>
        <v>219.37999999999926</v>
      </c>
      <c r="K135" s="15"/>
      <c r="L135" s="8">
        <f t="shared" si="34"/>
        <v>6.3313131313131095</v>
      </c>
      <c r="M135" s="8">
        <f t="shared" si="35"/>
        <v>9.0909090909090917</v>
      </c>
      <c r="N135" s="499" t="str">
        <f t="shared" si="19"/>
        <v/>
      </c>
      <c r="O135" s="4"/>
      <c r="P135" s="118"/>
      <c r="Q135" s="118"/>
      <c r="R135" s="4" t="str">
        <f t="shared" ca="1" si="20"/>
        <v>Ok</v>
      </c>
      <c r="S135" s="501">
        <f ca="1">IF(R135="Não","",COUNTIFS($R$9:R135,"Ok"))</f>
        <v>127</v>
      </c>
      <c r="T135" s="6">
        <f t="shared" ca="1" si="21"/>
        <v>46057</v>
      </c>
      <c r="U135" s="501">
        <f t="shared" ca="1" si="22"/>
        <v>313.3999999999989</v>
      </c>
      <c r="V135" s="501">
        <f t="shared" ca="1" si="23"/>
        <v>6.3313131313131095</v>
      </c>
      <c r="W135" s="501">
        <f t="shared" si="24"/>
        <v>0</v>
      </c>
      <c r="X135" s="1">
        <f t="shared" si="25"/>
        <v>0</v>
      </c>
      <c r="Y135" s="1">
        <f t="shared" si="25"/>
        <v>0</v>
      </c>
    </row>
    <row r="136" spans="1:25" s="1" customFormat="1" x14ac:dyDescent="0.25">
      <c r="A136" s="7">
        <f t="shared" si="26"/>
        <v>128</v>
      </c>
      <c r="B136" s="11">
        <f t="shared" si="27"/>
        <v>11</v>
      </c>
      <c r="C136" s="502">
        <f t="shared" si="28"/>
        <v>46058</v>
      </c>
      <c r="D136" s="7">
        <f t="shared" si="29"/>
        <v>100</v>
      </c>
      <c r="E136" s="12">
        <f t="shared" si="30"/>
        <v>0.9</v>
      </c>
      <c r="F136" s="473">
        <f t="shared" si="31"/>
        <v>314.29999999999887</v>
      </c>
      <c r="G136" s="473"/>
      <c r="H136" s="504">
        <f t="shared" si="32"/>
        <v>7.0000000000000001E-3</v>
      </c>
      <c r="I136" s="14">
        <f t="shared" si="33"/>
        <v>7.0000000000000001E-3</v>
      </c>
      <c r="J136" s="498">
        <f t="shared" si="18"/>
        <v>220.0099999999992</v>
      </c>
      <c r="K136" s="15"/>
      <c r="L136" s="8">
        <f t="shared" si="34"/>
        <v>6.3494949494949262</v>
      </c>
      <c r="M136" s="8">
        <f t="shared" si="35"/>
        <v>9.0909090909090917</v>
      </c>
      <c r="N136" s="499" t="str">
        <f t="shared" si="19"/>
        <v/>
      </c>
      <c r="O136" s="4"/>
      <c r="P136" s="118"/>
      <c r="Q136" s="118"/>
      <c r="R136" s="4" t="str">
        <f t="shared" ca="1" si="20"/>
        <v>Ok</v>
      </c>
      <c r="S136" s="501">
        <f ca="1">IF(R136="Não","",COUNTIFS($R$9:R136,"Ok"))</f>
        <v>128</v>
      </c>
      <c r="T136" s="6">
        <f t="shared" ca="1" si="21"/>
        <v>46058</v>
      </c>
      <c r="U136" s="501">
        <f t="shared" ca="1" si="22"/>
        <v>314.29999999999887</v>
      </c>
      <c r="V136" s="501">
        <f t="shared" ca="1" si="23"/>
        <v>6.3494949494949262</v>
      </c>
      <c r="W136" s="501">
        <f t="shared" si="24"/>
        <v>0</v>
      </c>
      <c r="X136" s="1">
        <f t="shared" si="25"/>
        <v>0</v>
      </c>
      <c r="Y136" s="1">
        <f t="shared" si="25"/>
        <v>0</v>
      </c>
    </row>
    <row r="137" spans="1:25" s="1" customFormat="1" x14ac:dyDescent="0.25">
      <c r="A137" s="7">
        <f t="shared" si="26"/>
        <v>129</v>
      </c>
      <c r="B137" s="11">
        <f t="shared" si="27"/>
        <v>11</v>
      </c>
      <c r="C137" s="502">
        <f t="shared" si="28"/>
        <v>46059</v>
      </c>
      <c r="D137" s="7">
        <f t="shared" si="29"/>
        <v>100</v>
      </c>
      <c r="E137" s="12">
        <f t="shared" si="30"/>
        <v>0.9</v>
      </c>
      <c r="F137" s="473">
        <f t="shared" si="31"/>
        <v>315.19999999999885</v>
      </c>
      <c r="G137" s="473"/>
      <c r="H137" s="504">
        <f t="shared" si="32"/>
        <v>7.0000000000000001E-3</v>
      </c>
      <c r="I137" s="14">
        <f t="shared" si="33"/>
        <v>7.0000000000000001E-3</v>
      </c>
      <c r="J137" s="498">
        <f t="shared" si="18"/>
        <v>220.63999999999919</v>
      </c>
      <c r="K137" s="15"/>
      <c r="L137" s="8">
        <f t="shared" si="34"/>
        <v>6.3676767676767438</v>
      </c>
      <c r="M137" s="8">
        <f t="shared" si="35"/>
        <v>9.0909090909090917</v>
      </c>
      <c r="N137" s="499" t="str">
        <f t="shared" si="19"/>
        <v/>
      </c>
      <c r="O137" s="4"/>
      <c r="P137" s="118"/>
      <c r="Q137" s="118"/>
      <c r="R137" s="4" t="str">
        <f t="shared" ca="1" si="20"/>
        <v>Ok</v>
      </c>
      <c r="S137" s="501">
        <f ca="1">IF(R137="Não","",COUNTIFS($R$9:R137,"Ok"))</f>
        <v>129</v>
      </c>
      <c r="T137" s="6">
        <f t="shared" ca="1" si="21"/>
        <v>46059</v>
      </c>
      <c r="U137" s="501">
        <f t="shared" ca="1" si="22"/>
        <v>315.19999999999885</v>
      </c>
      <c r="V137" s="501">
        <f t="shared" ca="1" si="23"/>
        <v>6.3676767676767438</v>
      </c>
      <c r="W137" s="501">
        <f t="shared" si="24"/>
        <v>0</v>
      </c>
      <c r="X137" s="1">
        <f t="shared" si="25"/>
        <v>0</v>
      </c>
      <c r="Y137" s="1">
        <f t="shared" si="25"/>
        <v>0</v>
      </c>
    </row>
    <row r="138" spans="1:25" s="1" customFormat="1" x14ac:dyDescent="0.25">
      <c r="A138" s="7">
        <f t="shared" si="26"/>
        <v>130</v>
      </c>
      <c r="B138" s="11">
        <f t="shared" si="27"/>
        <v>11</v>
      </c>
      <c r="C138" s="502">
        <f t="shared" si="28"/>
        <v>46060</v>
      </c>
      <c r="D138" s="7">
        <f t="shared" si="29"/>
        <v>100</v>
      </c>
      <c r="E138" s="12">
        <f t="shared" si="30"/>
        <v>0.9</v>
      </c>
      <c r="F138" s="473">
        <f t="shared" si="31"/>
        <v>316.09999999999883</v>
      </c>
      <c r="G138" s="473"/>
      <c r="H138" s="504">
        <f t="shared" si="32"/>
        <v>7.0000000000000001E-3</v>
      </c>
      <c r="I138" s="14">
        <f t="shared" si="33"/>
        <v>7.0000000000000001E-3</v>
      </c>
      <c r="J138" s="498">
        <f t="shared" ref="J138:J201" si="36">H138*F138*D138</f>
        <v>221.26999999999919</v>
      </c>
      <c r="K138" s="15"/>
      <c r="L138" s="8">
        <f t="shared" si="34"/>
        <v>6.3858585858585624</v>
      </c>
      <c r="M138" s="8">
        <f t="shared" si="35"/>
        <v>9.0909090909090917</v>
      </c>
      <c r="N138" s="499" t="str">
        <f t="shared" ref="N138:N201" si="37">IFERROR(IF(K138="","",K138/F138/D138),"")</f>
        <v/>
      </c>
      <c r="O138" s="4"/>
      <c r="P138" s="118"/>
      <c r="Q138" s="118"/>
      <c r="R138" s="4" t="str">
        <f t="shared" ref="R138:R201" ca="1" si="38">IF(C138&lt;=TODAY(),"Ok","Não")</f>
        <v>Ok</v>
      </c>
      <c r="S138" s="501">
        <f ca="1">IF(R138="Não","",COUNTIFS($R$9:R138,"Ok"))</f>
        <v>130</v>
      </c>
      <c r="T138" s="6">
        <f t="shared" ref="T138:T201" ca="1" si="39">IF(R138="Ok",C138,"")</f>
        <v>46060</v>
      </c>
      <c r="U138" s="501">
        <f t="shared" ref="U138:U201" ca="1" si="40">IF(R138="Ok",F138,"")</f>
        <v>316.09999999999883</v>
      </c>
      <c r="V138" s="501">
        <f t="shared" ref="V138:V201" ca="1" si="41">IF(R138="Ok", L138,"")</f>
        <v>6.3858585858585624</v>
      </c>
      <c r="W138" s="501">
        <f t="shared" ref="W138:W201" si="42">((-(P138*F138)+(Q138*F138))/30)*-1</f>
        <v>0</v>
      </c>
      <c r="X138" s="1">
        <f t="shared" ref="X138:Y201" si="43">IFERROR((P138*$F138)/30,"")</f>
        <v>0</v>
      </c>
      <c r="Y138" s="1">
        <f t="shared" si="43"/>
        <v>0</v>
      </c>
    </row>
    <row r="139" spans="1:25" s="1" customFormat="1" x14ac:dyDescent="0.25">
      <c r="A139" s="7">
        <f t="shared" ref="A139:A202" si="44">IF(OR(D139=0,D139=""),"",A138+1)</f>
        <v>131</v>
      </c>
      <c r="B139" s="11">
        <f t="shared" ref="B139:B202" si="45">IFERROR(IF(C139="","",B138),"")</f>
        <v>11</v>
      </c>
      <c r="C139" s="502">
        <f t="shared" ref="C139:C202" si="46">IF(OR(D139=0,D139=""),"",C138+1)</f>
        <v>46061</v>
      </c>
      <c r="D139" s="7">
        <f t="shared" ref="D139:D202" si="47">D138-P139+Q139</f>
        <v>100</v>
      </c>
      <c r="E139" s="12">
        <f t="shared" ref="E139:E202" si="48">IFERROR(IF(C139="","",E138),"")</f>
        <v>0.9</v>
      </c>
      <c r="F139" s="473">
        <f t="shared" ref="F139:F202" si="49">IFERROR(IF(D139="","",IF(C139="","",F138+E138)),"")</f>
        <v>316.99999999999881</v>
      </c>
      <c r="G139" s="473"/>
      <c r="H139" s="504">
        <f t="shared" ref="H139:H202" si="50">H138+G139</f>
        <v>7.0000000000000001E-3</v>
      </c>
      <c r="I139" s="14">
        <f t="shared" ref="I139:I202" si="51">IFERROR(IF(F139="","",IF(C139="","",I138)),"")</f>
        <v>7.0000000000000001E-3</v>
      </c>
      <c r="J139" s="498">
        <f t="shared" si="36"/>
        <v>221.89999999999918</v>
      </c>
      <c r="K139" s="15"/>
      <c r="L139" s="8">
        <f t="shared" ref="L139:L202" si="52">IFERROR(IF(D139="","",IF(C139="","",(D139*F139)/450/B139)),"")</f>
        <v>6.4040404040403791</v>
      </c>
      <c r="M139" s="8">
        <f t="shared" ref="M139:M202" si="53">IFERROR(IF(D139="","",IF(C139="","",D139/B139)),"")</f>
        <v>9.0909090909090917</v>
      </c>
      <c r="N139" s="499" t="str">
        <f t="shared" si="37"/>
        <v/>
      </c>
      <c r="O139" s="4"/>
      <c r="P139" s="118"/>
      <c r="Q139" s="118"/>
      <c r="R139" s="4" t="str">
        <f t="shared" ca="1" si="38"/>
        <v>Ok</v>
      </c>
      <c r="S139" s="501">
        <f ca="1">IF(R139="Não","",COUNTIFS($R$9:R139,"Ok"))</f>
        <v>131</v>
      </c>
      <c r="T139" s="6">
        <f t="shared" ca="1" si="39"/>
        <v>46061</v>
      </c>
      <c r="U139" s="501">
        <f t="shared" ca="1" si="40"/>
        <v>316.99999999999881</v>
      </c>
      <c r="V139" s="501">
        <f t="shared" ca="1" si="41"/>
        <v>6.4040404040403791</v>
      </c>
      <c r="W139" s="501">
        <f t="shared" si="42"/>
        <v>0</v>
      </c>
      <c r="X139" s="1">
        <f t="shared" si="43"/>
        <v>0</v>
      </c>
      <c r="Y139" s="1">
        <f t="shared" si="43"/>
        <v>0</v>
      </c>
    </row>
    <row r="140" spans="1:25" s="1" customFormat="1" x14ac:dyDescent="0.25">
      <c r="A140" s="7">
        <f t="shared" si="44"/>
        <v>132</v>
      </c>
      <c r="B140" s="11">
        <f t="shared" si="45"/>
        <v>11</v>
      </c>
      <c r="C140" s="502">
        <f t="shared" si="46"/>
        <v>46062</v>
      </c>
      <c r="D140" s="7">
        <f t="shared" si="47"/>
        <v>100</v>
      </c>
      <c r="E140" s="12">
        <f t="shared" si="48"/>
        <v>0.9</v>
      </c>
      <c r="F140" s="473">
        <f t="shared" si="49"/>
        <v>317.89999999999878</v>
      </c>
      <c r="G140" s="473"/>
      <c r="H140" s="504">
        <f t="shared" si="50"/>
        <v>7.0000000000000001E-3</v>
      </c>
      <c r="I140" s="14">
        <f t="shared" si="51"/>
        <v>7.0000000000000001E-3</v>
      </c>
      <c r="J140" s="498">
        <f t="shared" si="36"/>
        <v>222.52999999999915</v>
      </c>
      <c r="K140" s="15"/>
      <c r="L140" s="8">
        <f t="shared" si="52"/>
        <v>6.4222222222221976</v>
      </c>
      <c r="M140" s="8">
        <f t="shared" si="53"/>
        <v>9.0909090909090917</v>
      </c>
      <c r="N140" s="499" t="str">
        <f t="shared" si="37"/>
        <v/>
      </c>
      <c r="O140" s="4"/>
      <c r="P140" s="118"/>
      <c r="Q140" s="118"/>
      <c r="R140" s="4" t="str">
        <f t="shared" ca="1" si="38"/>
        <v>Ok</v>
      </c>
      <c r="S140" s="501">
        <f ca="1">IF(R140="Não","",COUNTIFS($R$9:R140,"Ok"))</f>
        <v>132</v>
      </c>
      <c r="T140" s="6">
        <f t="shared" ca="1" si="39"/>
        <v>46062</v>
      </c>
      <c r="U140" s="501">
        <f t="shared" ca="1" si="40"/>
        <v>317.89999999999878</v>
      </c>
      <c r="V140" s="501">
        <f t="shared" ca="1" si="41"/>
        <v>6.4222222222221976</v>
      </c>
      <c r="W140" s="501">
        <f t="shared" si="42"/>
        <v>0</v>
      </c>
      <c r="X140" s="1">
        <f t="shared" si="43"/>
        <v>0</v>
      </c>
      <c r="Y140" s="1">
        <f t="shared" si="43"/>
        <v>0</v>
      </c>
    </row>
    <row r="141" spans="1:25" s="1" customFormat="1" x14ac:dyDescent="0.25">
      <c r="A141" s="7">
        <f t="shared" si="44"/>
        <v>133</v>
      </c>
      <c r="B141" s="11">
        <f t="shared" si="45"/>
        <v>11</v>
      </c>
      <c r="C141" s="502">
        <f t="shared" si="46"/>
        <v>46063</v>
      </c>
      <c r="D141" s="7">
        <f t="shared" si="47"/>
        <v>100</v>
      </c>
      <c r="E141" s="12">
        <f t="shared" si="48"/>
        <v>0.9</v>
      </c>
      <c r="F141" s="473">
        <f t="shared" si="49"/>
        <v>318.79999999999876</v>
      </c>
      <c r="G141" s="473"/>
      <c r="H141" s="504">
        <f t="shared" si="50"/>
        <v>7.0000000000000001E-3</v>
      </c>
      <c r="I141" s="14">
        <f t="shared" si="51"/>
        <v>7.0000000000000001E-3</v>
      </c>
      <c r="J141" s="498">
        <f t="shared" si="36"/>
        <v>223.15999999999914</v>
      </c>
      <c r="K141" s="15"/>
      <c r="L141" s="8">
        <f t="shared" si="52"/>
        <v>6.4404040404040153</v>
      </c>
      <c r="M141" s="8">
        <f t="shared" si="53"/>
        <v>9.0909090909090917</v>
      </c>
      <c r="N141" s="499" t="str">
        <f t="shared" si="37"/>
        <v/>
      </c>
      <c r="O141" s="4"/>
      <c r="P141" s="118"/>
      <c r="Q141" s="118"/>
      <c r="R141" s="4" t="str">
        <f t="shared" ca="1" si="38"/>
        <v>Ok</v>
      </c>
      <c r="S141" s="501">
        <f ca="1">IF(R141="Não","",COUNTIFS($R$9:R141,"Ok"))</f>
        <v>133</v>
      </c>
      <c r="T141" s="6">
        <f t="shared" ca="1" si="39"/>
        <v>46063</v>
      </c>
      <c r="U141" s="501">
        <f t="shared" ca="1" si="40"/>
        <v>318.79999999999876</v>
      </c>
      <c r="V141" s="501">
        <f t="shared" ca="1" si="41"/>
        <v>6.4404040404040153</v>
      </c>
      <c r="W141" s="501">
        <f t="shared" si="42"/>
        <v>0</v>
      </c>
      <c r="X141" s="1">
        <f t="shared" si="43"/>
        <v>0</v>
      </c>
      <c r="Y141" s="1">
        <f t="shared" si="43"/>
        <v>0</v>
      </c>
    </row>
    <row r="142" spans="1:25" s="1" customFormat="1" x14ac:dyDescent="0.25">
      <c r="A142" s="7">
        <f t="shared" si="44"/>
        <v>134</v>
      </c>
      <c r="B142" s="11">
        <f t="shared" si="45"/>
        <v>11</v>
      </c>
      <c r="C142" s="502">
        <f t="shared" si="46"/>
        <v>46064</v>
      </c>
      <c r="D142" s="7">
        <f t="shared" si="47"/>
        <v>100</v>
      </c>
      <c r="E142" s="12">
        <f t="shared" si="48"/>
        <v>0.9</v>
      </c>
      <c r="F142" s="473">
        <f t="shared" si="49"/>
        <v>319.69999999999874</v>
      </c>
      <c r="G142" s="473"/>
      <c r="H142" s="504">
        <f t="shared" si="50"/>
        <v>7.0000000000000001E-3</v>
      </c>
      <c r="I142" s="14">
        <f t="shared" si="51"/>
        <v>7.0000000000000001E-3</v>
      </c>
      <c r="J142" s="498">
        <f t="shared" si="36"/>
        <v>223.78999999999914</v>
      </c>
      <c r="K142" s="15"/>
      <c r="L142" s="8">
        <f t="shared" si="52"/>
        <v>6.4585858585858338</v>
      </c>
      <c r="M142" s="8">
        <f t="shared" si="53"/>
        <v>9.0909090909090917</v>
      </c>
      <c r="N142" s="499" t="str">
        <f t="shared" si="37"/>
        <v/>
      </c>
      <c r="O142" s="4"/>
      <c r="P142" s="118"/>
      <c r="Q142" s="118"/>
      <c r="R142" s="4" t="str">
        <f t="shared" ca="1" si="38"/>
        <v>Ok</v>
      </c>
      <c r="S142" s="501">
        <f ca="1">IF(R142="Não","",COUNTIFS($R$9:R142,"Ok"))</f>
        <v>134</v>
      </c>
      <c r="T142" s="6">
        <f t="shared" ca="1" si="39"/>
        <v>46064</v>
      </c>
      <c r="U142" s="501">
        <f t="shared" ca="1" si="40"/>
        <v>319.69999999999874</v>
      </c>
      <c r="V142" s="501">
        <f t="shared" ca="1" si="41"/>
        <v>6.4585858585858338</v>
      </c>
      <c r="W142" s="501">
        <f t="shared" si="42"/>
        <v>0</v>
      </c>
      <c r="X142" s="1">
        <f t="shared" si="43"/>
        <v>0</v>
      </c>
      <c r="Y142" s="1">
        <f t="shared" si="43"/>
        <v>0</v>
      </c>
    </row>
    <row r="143" spans="1:25" s="1" customFormat="1" x14ac:dyDescent="0.25">
      <c r="A143" s="7">
        <f t="shared" si="44"/>
        <v>135</v>
      </c>
      <c r="B143" s="11">
        <f t="shared" si="45"/>
        <v>11</v>
      </c>
      <c r="C143" s="502">
        <f t="shared" si="46"/>
        <v>46065</v>
      </c>
      <c r="D143" s="7">
        <f t="shared" si="47"/>
        <v>100</v>
      </c>
      <c r="E143" s="12">
        <f t="shared" si="48"/>
        <v>0.9</v>
      </c>
      <c r="F143" s="473">
        <f t="shared" si="49"/>
        <v>320.59999999999872</v>
      </c>
      <c r="G143" s="473"/>
      <c r="H143" s="504">
        <f t="shared" si="50"/>
        <v>7.0000000000000001E-3</v>
      </c>
      <c r="I143" s="14">
        <f t="shared" si="51"/>
        <v>7.0000000000000001E-3</v>
      </c>
      <c r="J143" s="498">
        <f t="shared" si="36"/>
        <v>224.41999999999908</v>
      </c>
      <c r="K143" s="15"/>
      <c r="L143" s="8">
        <f t="shared" si="52"/>
        <v>6.4767676767676505</v>
      </c>
      <c r="M143" s="8">
        <f t="shared" si="53"/>
        <v>9.0909090909090917</v>
      </c>
      <c r="N143" s="499" t="str">
        <f t="shared" si="37"/>
        <v/>
      </c>
      <c r="O143" s="4"/>
      <c r="P143" s="118"/>
      <c r="Q143" s="118"/>
      <c r="R143" s="4" t="str">
        <f t="shared" ca="1" si="38"/>
        <v>Ok</v>
      </c>
      <c r="S143" s="501">
        <f ca="1">IF(R143="Não","",COUNTIFS($R$9:R143,"Ok"))</f>
        <v>135</v>
      </c>
      <c r="T143" s="6">
        <f t="shared" ca="1" si="39"/>
        <v>46065</v>
      </c>
      <c r="U143" s="501">
        <f t="shared" ca="1" si="40"/>
        <v>320.59999999999872</v>
      </c>
      <c r="V143" s="501">
        <f t="shared" ca="1" si="41"/>
        <v>6.4767676767676505</v>
      </c>
      <c r="W143" s="501">
        <f t="shared" si="42"/>
        <v>0</v>
      </c>
      <c r="X143" s="1">
        <f t="shared" si="43"/>
        <v>0</v>
      </c>
      <c r="Y143" s="1">
        <f t="shared" si="43"/>
        <v>0</v>
      </c>
    </row>
    <row r="144" spans="1:25" s="1" customFormat="1" x14ac:dyDescent="0.25">
      <c r="A144" s="7">
        <f t="shared" si="44"/>
        <v>136</v>
      </c>
      <c r="B144" s="11">
        <f t="shared" si="45"/>
        <v>11</v>
      </c>
      <c r="C144" s="502">
        <f t="shared" si="46"/>
        <v>46066</v>
      </c>
      <c r="D144" s="7">
        <f t="shared" si="47"/>
        <v>100</v>
      </c>
      <c r="E144" s="12">
        <f t="shared" si="48"/>
        <v>0.9</v>
      </c>
      <c r="F144" s="473">
        <f t="shared" si="49"/>
        <v>321.49999999999869</v>
      </c>
      <c r="G144" s="473"/>
      <c r="H144" s="504">
        <f t="shared" si="50"/>
        <v>7.0000000000000001E-3</v>
      </c>
      <c r="I144" s="14">
        <f t="shared" si="51"/>
        <v>7.0000000000000001E-3</v>
      </c>
      <c r="J144" s="498">
        <f t="shared" si="36"/>
        <v>225.04999999999907</v>
      </c>
      <c r="K144" s="15"/>
      <c r="L144" s="8">
        <f t="shared" si="52"/>
        <v>6.494949494949469</v>
      </c>
      <c r="M144" s="8">
        <f t="shared" si="53"/>
        <v>9.0909090909090917</v>
      </c>
      <c r="N144" s="499" t="str">
        <f t="shared" si="37"/>
        <v/>
      </c>
      <c r="O144" s="4"/>
      <c r="P144" s="118"/>
      <c r="Q144" s="118"/>
      <c r="R144" s="4" t="str">
        <f t="shared" ca="1" si="38"/>
        <v>Ok</v>
      </c>
      <c r="S144" s="501">
        <f ca="1">IF(R144="Não","",COUNTIFS($R$9:R144,"Ok"))</f>
        <v>136</v>
      </c>
      <c r="T144" s="6">
        <f t="shared" ca="1" si="39"/>
        <v>46066</v>
      </c>
      <c r="U144" s="501">
        <f t="shared" ca="1" si="40"/>
        <v>321.49999999999869</v>
      </c>
      <c r="V144" s="501">
        <f t="shared" ca="1" si="41"/>
        <v>6.494949494949469</v>
      </c>
      <c r="W144" s="501">
        <f t="shared" si="42"/>
        <v>0</v>
      </c>
      <c r="X144" s="1">
        <f t="shared" si="43"/>
        <v>0</v>
      </c>
      <c r="Y144" s="1">
        <f t="shared" si="43"/>
        <v>0</v>
      </c>
    </row>
    <row r="145" spans="1:25" s="1" customFormat="1" x14ac:dyDescent="0.25">
      <c r="A145" s="7">
        <f t="shared" si="44"/>
        <v>137</v>
      </c>
      <c r="B145" s="11">
        <f t="shared" si="45"/>
        <v>11</v>
      </c>
      <c r="C145" s="502">
        <f t="shared" si="46"/>
        <v>46067</v>
      </c>
      <c r="D145" s="7">
        <f t="shared" si="47"/>
        <v>100</v>
      </c>
      <c r="E145" s="12">
        <f t="shared" si="48"/>
        <v>0.9</v>
      </c>
      <c r="F145" s="473">
        <f t="shared" si="49"/>
        <v>322.39999999999867</v>
      </c>
      <c r="G145" s="473"/>
      <c r="H145" s="504">
        <f t="shared" si="50"/>
        <v>7.0000000000000001E-3</v>
      </c>
      <c r="I145" s="14">
        <f t="shared" si="51"/>
        <v>7.0000000000000001E-3</v>
      </c>
      <c r="J145" s="498">
        <f t="shared" si="36"/>
        <v>225.67999999999907</v>
      </c>
      <c r="K145" s="15"/>
      <c r="L145" s="8">
        <f t="shared" si="52"/>
        <v>6.5131313131312858</v>
      </c>
      <c r="M145" s="8">
        <f t="shared" si="53"/>
        <v>9.0909090909090917</v>
      </c>
      <c r="N145" s="499" t="str">
        <f t="shared" si="37"/>
        <v/>
      </c>
      <c r="O145" s="4"/>
      <c r="P145" s="118"/>
      <c r="Q145" s="118"/>
      <c r="R145" s="4" t="str">
        <f t="shared" ca="1" si="38"/>
        <v>Ok</v>
      </c>
      <c r="S145" s="501">
        <f ca="1">IF(R145="Não","",COUNTIFS($R$9:R145,"Ok"))</f>
        <v>137</v>
      </c>
      <c r="T145" s="6">
        <f t="shared" ca="1" si="39"/>
        <v>46067</v>
      </c>
      <c r="U145" s="501">
        <f t="shared" ca="1" si="40"/>
        <v>322.39999999999867</v>
      </c>
      <c r="V145" s="501">
        <f t="shared" ca="1" si="41"/>
        <v>6.5131313131312858</v>
      </c>
      <c r="W145" s="501">
        <f t="shared" si="42"/>
        <v>0</v>
      </c>
      <c r="X145" s="1">
        <f t="shared" si="43"/>
        <v>0</v>
      </c>
      <c r="Y145" s="1">
        <f t="shared" si="43"/>
        <v>0</v>
      </c>
    </row>
    <row r="146" spans="1:25" s="1" customFormat="1" x14ac:dyDescent="0.25">
      <c r="A146" s="7">
        <f t="shared" si="44"/>
        <v>138</v>
      </c>
      <c r="B146" s="11">
        <f t="shared" si="45"/>
        <v>11</v>
      </c>
      <c r="C146" s="502">
        <f t="shared" si="46"/>
        <v>46068</v>
      </c>
      <c r="D146" s="7">
        <f t="shared" si="47"/>
        <v>100</v>
      </c>
      <c r="E146" s="12">
        <f t="shared" si="48"/>
        <v>0.9</v>
      </c>
      <c r="F146" s="473">
        <f t="shared" si="49"/>
        <v>323.29999999999865</v>
      </c>
      <c r="G146" s="473"/>
      <c r="H146" s="504">
        <f t="shared" si="50"/>
        <v>7.0000000000000001E-3</v>
      </c>
      <c r="I146" s="14">
        <f t="shared" si="51"/>
        <v>7.0000000000000001E-3</v>
      </c>
      <c r="J146" s="498">
        <f t="shared" si="36"/>
        <v>226.30999999999909</v>
      </c>
      <c r="K146" s="15"/>
      <c r="L146" s="8">
        <f t="shared" si="52"/>
        <v>6.5313131313131043</v>
      </c>
      <c r="M146" s="8">
        <f t="shared" si="53"/>
        <v>9.0909090909090917</v>
      </c>
      <c r="N146" s="499" t="str">
        <f t="shared" si="37"/>
        <v/>
      </c>
      <c r="O146" s="4"/>
      <c r="P146" s="118"/>
      <c r="Q146" s="118"/>
      <c r="R146" s="4" t="str">
        <f t="shared" ca="1" si="38"/>
        <v>Ok</v>
      </c>
      <c r="S146" s="501">
        <f ca="1">IF(R146="Não","",COUNTIFS($R$9:R146,"Ok"))</f>
        <v>138</v>
      </c>
      <c r="T146" s="6">
        <f t="shared" ca="1" si="39"/>
        <v>46068</v>
      </c>
      <c r="U146" s="501">
        <f t="shared" ca="1" si="40"/>
        <v>323.29999999999865</v>
      </c>
      <c r="V146" s="501">
        <f t="shared" ca="1" si="41"/>
        <v>6.5313131313131043</v>
      </c>
      <c r="W146" s="501">
        <f t="shared" si="42"/>
        <v>0</v>
      </c>
      <c r="X146" s="1">
        <f t="shared" si="43"/>
        <v>0</v>
      </c>
      <c r="Y146" s="1">
        <f t="shared" si="43"/>
        <v>0</v>
      </c>
    </row>
    <row r="147" spans="1:25" s="1" customFormat="1" x14ac:dyDescent="0.25">
      <c r="A147" s="7">
        <f t="shared" si="44"/>
        <v>139</v>
      </c>
      <c r="B147" s="11">
        <f t="shared" si="45"/>
        <v>11</v>
      </c>
      <c r="C147" s="502">
        <f t="shared" si="46"/>
        <v>46069</v>
      </c>
      <c r="D147" s="7">
        <f t="shared" si="47"/>
        <v>100</v>
      </c>
      <c r="E147" s="12">
        <f t="shared" si="48"/>
        <v>0.9</v>
      </c>
      <c r="F147" s="473">
        <f t="shared" si="49"/>
        <v>324.19999999999862</v>
      </c>
      <c r="G147" s="473"/>
      <c r="H147" s="504">
        <f t="shared" si="50"/>
        <v>7.0000000000000001E-3</v>
      </c>
      <c r="I147" s="14">
        <f t="shared" si="51"/>
        <v>7.0000000000000001E-3</v>
      </c>
      <c r="J147" s="498">
        <f t="shared" si="36"/>
        <v>226.93999999999903</v>
      </c>
      <c r="K147" s="15"/>
      <c r="L147" s="8">
        <f t="shared" si="52"/>
        <v>6.5494949494949219</v>
      </c>
      <c r="M147" s="8">
        <f t="shared" si="53"/>
        <v>9.0909090909090917</v>
      </c>
      <c r="N147" s="499" t="str">
        <f t="shared" si="37"/>
        <v/>
      </c>
      <c r="O147" s="4"/>
      <c r="P147" s="118"/>
      <c r="Q147" s="118"/>
      <c r="R147" s="4" t="str">
        <f t="shared" ca="1" si="38"/>
        <v>Ok</v>
      </c>
      <c r="S147" s="501">
        <f ca="1">IF(R147="Não","",COUNTIFS($R$9:R147,"Ok"))</f>
        <v>139</v>
      </c>
      <c r="T147" s="6">
        <f t="shared" ca="1" si="39"/>
        <v>46069</v>
      </c>
      <c r="U147" s="501">
        <f t="shared" ca="1" si="40"/>
        <v>324.19999999999862</v>
      </c>
      <c r="V147" s="501">
        <f t="shared" ca="1" si="41"/>
        <v>6.5494949494949219</v>
      </c>
      <c r="W147" s="501">
        <f t="shared" si="42"/>
        <v>0</v>
      </c>
      <c r="X147" s="1">
        <f t="shared" si="43"/>
        <v>0</v>
      </c>
      <c r="Y147" s="1">
        <f t="shared" si="43"/>
        <v>0</v>
      </c>
    </row>
    <row r="148" spans="1:25" s="1" customFormat="1" x14ac:dyDescent="0.25">
      <c r="A148" s="7">
        <f t="shared" si="44"/>
        <v>140</v>
      </c>
      <c r="B148" s="11">
        <f t="shared" si="45"/>
        <v>11</v>
      </c>
      <c r="C148" s="502">
        <f t="shared" si="46"/>
        <v>46070</v>
      </c>
      <c r="D148" s="7">
        <f t="shared" si="47"/>
        <v>100</v>
      </c>
      <c r="E148" s="12">
        <f t="shared" si="48"/>
        <v>0.9</v>
      </c>
      <c r="F148" s="473">
        <f t="shared" si="49"/>
        <v>325.0999999999986</v>
      </c>
      <c r="G148" s="473"/>
      <c r="H148" s="504">
        <f t="shared" si="50"/>
        <v>7.0000000000000001E-3</v>
      </c>
      <c r="I148" s="14">
        <f t="shared" si="51"/>
        <v>7.0000000000000001E-3</v>
      </c>
      <c r="J148" s="498">
        <f t="shared" si="36"/>
        <v>227.56999999999903</v>
      </c>
      <c r="K148" s="15"/>
      <c r="L148" s="8">
        <f t="shared" si="52"/>
        <v>6.5676767676767405</v>
      </c>
      <c r="M148" s="8">
        <f t="shared" si="53"/>
        <v>9.0909090909090917</v>
      </c>
      <c r="N148" s="499" t="str">
        <f t="shared" si="37"/>
        <v/>
      </c>
      <c r="O148" s="4"/>
      <c r="P148" s="118"/>
      <c r="Q148" s="118"/>
      <c r="R148" s="4" t="str">
        <f t="shared" ca="1" si="38"/>
        <v>Ok</v>
      </c>
      <c r="S148" s="501">
        <f ca="1">IF(R148="Não","",COUNTIFS($R$9:R148,"Ok"))</f>
        <v>140</v>
      </c>
      <c r="T148" s="6">
        <f t="shared" ca="1" si="39"/>
        <v>46070</v>
      </c>
      <c r="U148" s="501">
        <f t="shared" ca="1" si="40"/>
        <v>325.0999999999986</v>
      </c>
      <c r="V148" s="501">
        <f t="shared" ca="1" si="41"/>
        <v>6.5676767676767405</v>
      </c>
      <c r="W148" s="501">
        <f t="shared" si="42"/>
        <v>0</v>
      </c>
      <c r="X148" s="1">
        <f t="shared" si="43"/>
        <v>0</v>
      </c>
      <c r="Y148" s="1">
        <f t="shared" si="43"/>
        <v>0</v>
      </c>
    </row>
    <row r="149" spans="1:25" s="1" customFormat="1" x14ac:dyDescent="0.25">
      <c r="A149" s="7">
        <f t="shared" si="44"/>
        <v>141</v>
      </c>
      <c r="B149" s="11">
        <f t="shared" si="45"/>
        <v>11</v>
      </c>
      <c r="C149" s="502">
        <f t="shared" si="46"/>
        <v>46071</v>
      </c>
      <c r="D149" s="7">
        <f t="shared" si="47"/>
        <v>100</v>
      </c>
      <c r="E149" s="12">
        <f t="shared" si="48"/>
        <v>0.9</v>
      </c>
      <c r="F149" s="473">
        <f t="shared" si="49"/>
        <v>325.99999999999858</v>
      </c>
      <c r="G149" s="473"/>
      <c r="H149" s="504">
        <f t="shared" si="50"/>
        <v>7.0000000000000001E-3</v>
      </c>
      <c r="I149" s="14">
        <f t="shared" si="51"/>
        <v>7.0000000000000001E-3</v>
      </c>
      <c r="J149" s="498">
        <f t="shared" si="36"/>
        <v>228.19999999999902</v>
      </c>
      <c r="K149" s="15"/>
      <c r="L149" s="8">
        <f t="shared" si="52"/>
        <v>6.5858585858585572</v>
      </c>
      <c r="M149" s="8">
        <f t="shared" si="53"/>
        <v>9.0909090909090917</v>
      </c>
      <c r="N149" s="499" t="str">
        <f t="shared" si="37"/>
        <v/>
      </c>
      <c r="O149" s="4"/>
      <c r="P149" s="118"/>
      <c r="Q149" s="118"/>
      <c r="R149" s="4" t="str">
        <f t="shared" ca="1" si="38"/>
        <v>Ok</v>
      </c>
      <c r="S149" s="501">
        <f ca="1">IF(R149="Não","",COUNTIFS($R$9:R149,"Ok"))</f>
        <v>141</v>
      </c>
      <c r="T149" s="6">
        <f t="shared" ca="1" si="39"/>
        <v>46071</v>
      </c>
      <c r="U149" s="501">
        <f t="shared" ca="1" si="40"/>
        <v>325.99999999999858</v>
      </c>
      <c r="V149" s="501">
        <f t="shared" ca="1" si="41"/>
        <v>6.5858585858585572</v>
      </c>
      <c r="W149" s="501">
        <f t="shared" si="42"/>
        <v>0</v>
      </c>
      <c r="X149" s="1">
        <f t="shared" si="43"/>
        <v>0</v>
      </c>
      <c r="Y149" s="1">
        <f t="shared" si="43"/>
        <v>0</v>
      </c>
    </row>
    <row r="150" spans="1:25" s="1" customFormat="1" x14ac:dyDescent="0.25">
      <c r="A150" s="7">
        <f t="shared" si="44"/>
        <v>142</v>
      </c>
      <c r="B150" s="11">
        <f t="shared" si="45"/>
        <v>11</v>
      </c>
      <c r="C150" s="502">
        <f t="shared" si="46"/>
        <v>46072</v>
      </c>
      <c r="D150" s="7">
        <f t="shared" si="47"/>
        <v>100</v>
      </c>
      <c r="E150" s="12">
        <f t="shared" si="48"/>
        <v>0.9</v>
      </c>
      <c r="F150" s="473">
        <f t="shared" si="49"/>
        <v>326.89999999999856</v>
      </c>
      <c r="G150" s="473"/>
      <c r="H150" s="504">
        <f t="shared" si="50"/>
        <v>7.0000000000000001E-3</v>
      </c>
      <c r="I150" s="14">
        <f t="shared" si="51"/>
        <v>7.0000000000000001E-3</v>
      </c>
      <c r="J150" s="498">
        <f t="shared" si="36"/>
        <v>228.82999999999899</v>
      </c>
      <c r="K150" s="15"/>
      <c r="L150" s="8">
        <f t="shared" si="52"/>
        <v>6.6040404040403748</v>
      </c>
      <c r="M150" s="8">
        <f t="shared" si="53"/>
        <v>9.0909090909090917</v>
      </c>
      <c r="N150" s="499" t="str">
        <f t="shared" si="37"/>
        <v/>
      </c>
      <c r="O150" s="4"/>
      <c r="P150" s="118"/>
      <c r="Q150" s="118"/>
      <c r="R150" s="4" t="str">
        <f t="shared" ca="1" si="38"/>
        <v>Ok</v>
      </c>
      <c r="S150" s="501">
        <f ca="1">IF(R150="Não","",COUNTIFS($R$9:R150,"Ok"))</f>
        <v>142</v>
      </c>
      <c r="T150" s="6">
        <f t="shared" ca="1" si="39"/>
        <v>46072</v>
      </c>
      <c r="U150" s="501">
        <f t="shared" ca="1" si="40"/>
        <v>326.89999999999856</v>
      </c>
      <c r="V150" s="501">
        <f t="shared" ca="1" si="41"/>
        <v>6.6040404040403748</v>
      </c>
      <c r="W150" s="501">
        <f t="shared" si="42"/>
        <v>0</v>
      </c>
      <c r="X150" s="1">
        <f t="shared" si="43"/>
        <v>0</v>
      </c>
      <c r="Y150" s="1">
        <f t="shared" si="43"/>
        <v>0</v>
      </c>
    </row>
    <row r="151" spans="1:25" s="1" customFormat="1" x14ac:dyDescent="0.25">
      <c r="A151" s="7">
        <f t="shared" si="44"/>
        <v>143</v>
      </c>
      <c r="B151" s="11">
        <f t="shared" si="45"/>
        <v>11</v>
      </c>
      <c r="C151" s="502">
        <f t="shared" si="46"/>
        <v>46073</v>
      </c>
      <c r="D151" s="7">
        <f t="shared" si="47"/>
        <v>100</v>
      </c>
      <c r="E151" s="12">
        <f t="shared" si="48"/>
        <v>0.9</v>
      </c>
      <c r="F151" s="473">
        <f t="shared" si="49"/>
        <v>327.79999999999853</v>
      </c>
      <c r="G151" s="473"/>
      <c r="H151" s="504">
        <f t="shared" si="50"/>
        <v>7.0000000000000001E-3</v>
      </c>
      <c r="I151" s="14">
        <f t="shared" si="51"/>
        <v>7.0000000000000001E-3</v>
      </c>
      <c r="J151" s="498">
        <f t="shared" si="36"/>
        <v>229.45999999999898</v>
      </c>
      <c r="K151" s="15"/>
      <c r="L151" s="8">
        <f t="shared" si="52"/>
        <v>6.6222222222221925</v>
      </c>
      <c r="M151" s="8">
        <f t="shared" si="53"/>
        <v>9.0909090909090917</v>
      </c>
      <c r="N151" s="499" t="str">
        <f t="shared" si="37"/>
        <v/>
      </c>
      <c r="O151" s="4"/>
      <c r="P151" s="118"/>
      <c r="Q151" s="118"/>
      <c r="R151" s="4" t="str">
        <f t="shared" ca="1" si="38"/>
        <v>Ok</v>
      </c>
      <c r="S151" s="501">
        <f ca="1">IF(R151="Não","",COUNTIFS($R$9:R151,"Ok"))</f>
        <v>143</v>
      </c>
      <c r="T151" s="6">
        <f t="shared" ca="1" si="39"/>
        <v>46073</v>
      </c>
      <c r="U151" s="501">
        <f t="shared" ca="1" si="40"/>
        <v>327.79999999999853</v>
      </c>
      <c r="V151" s="501">
        <f t="shared" ca="1" si="41"/>
        <v>6.6222222222221925</v>
      </c>
      <c r="W151" s="501">
        <f t="shared" si="42"/>
        <v>0</v>
      </c>
      <c r="X151" s="1">
        <f t="shared" si="43"/>
        <v>0</v>
      </c>
      <c r="Y151" s="1">
        <f t="shared" si="43"/>
        <v>0</v>
      </c>
    </row>
    <row r="152" spans="1:25" s="1" customFormat="1" x14ac:dyDescent="0.25">
      <c r="A152" s="7">
        <f t="shared" si="44"/>
        <v>144</v>
      </c>
      <c r="B152" s="11">
        <f t="shared" si="45"/>
        <v>11</v>
      </c>
      <c r="C152" s="502">
        <f t="shared" si="46"/>
        <v>46074</v>
      </c>
      <c r="D152" s="7">
        <f t="shared" si="47"/>
        <v>100</v>
      </c>
      <c r="E152" s="12">
        <f t="shared" si="48"/>
        <v>0.9</v>
      </c>
      <c r="F152" s="473">
        <f t="shared" si="49"/>
        <v>328.69999999999851</v>
      </c>
      <c r="G152" s="473"/>
      <c r="H152" s="504">
        <f t="shared" si="50"/>
        <v>7.0000000000000001E-3</v>
      </c>
      <c r="I152" s="14">
        <f t="shared" si="51"/>
        <v>7.0000000000000001E-3</v>
      </c>
      <c r="J152" s="498">
        <f t="shared" si="36"/>
        <v>230.08999999999898</v>
      </c>
      <c r="K152" s="15"/>
      <c r="L152" s="8">
        <f t="shared" si="52"/>
        <v>6.640404040404011</v>
      </c>
      <c r="M152" s="8">
        <f t="shared" si="53"/>
        <v>9.0909090909090917</v>
      </c>
      <c r="N152" s="499" t="str">
        <f t="shared" si="37"/>
        <v/>
      </c>
      <c r="O152" s="4"/>
      <c r="P152" s="118"/>
      <c r="Q152" s="118"/>
      <c r="R152" s="4" t="str">
        <f t="shared" ca="1" si="38"/>
        <v>Ok</v>
      </c>
      <c r="S152" s="501">
        <f ca="1">IF(R152="Não","",COUNTIFS($R$9:R152,"Ok"))</f>
        <v>144</v>
      </c>
      <c r="T152" s="6">
        <f t="shared" ca="1" si="39"/>
        <v>46074</v>
      </c>
      <c r="U152" s="501">
        <f t="shared" ca="1" si="40"/>
        <v>328.69999999999851</v>
      </c>
      <c r="V152" s="501">
        <f t="shared" ca="1" si="41"/>
        <v>6.640404040404011</v>
      </c>
      <c r="W152" s="501">
        <f t="shared" si="42"/>
        <v>0</v>
      </c>
      <c r="X152" s="1">
        <f t="shared" si="43"/>
        <v>0</v>
      </c>
      <c r="Y152" s="1">
        <f t="shared" si="43"/>
        <v>0</v>
      </c>
    </row>
    <row r="153" spans="1:25" s="1" customFormat="1" x14ac:dyDescent="0.25">
      <c r="A153" s="7">
        <f t="shared" si="44"/>
        <v>145</v>
      </c>
      <c r="B153" s="11">
        <f t="shared" si="45"/>
        <v>11</v>
      </c>
      <c r="C153" s="502">
        <f t="shared" si="46"/>
        <v>46075</v>
      </c>
      <c r="D153" s="7">
        <f t="shared" si="47"/>
        <v>100</v>
      </c>
      <c r="E153" s="12">
        <f t="shared" si="48"/>
        <v>0.9</v>
      </c>
      <c r="F153" s="473">
        <f t="shared" si="49"/>
        <v>329.59999999999849</v>
      </c>
      <c r="G153" s="473"/>
      <c r="H153" s="504">
        <f t="shared" si="50"/>
        <v>7.0000000000000001E-3</v>
      </c>
      <c r="I153" s="14">
        <f t="shared" si="51"/>
        <v>7.0000000000000001E-3</v>
      </c>
      <c r="J153" s="498">
        <f t="shared" si="36"/>
        <v>230.71999999999892</v>
      </c>
      <c r="K153" s="15"/>
      <c r="L153" s="8">
        <f t="shared" si="52"/>
        <v>6.6585858585858269</v>
      </c>
      <c r="M153" s="8">
        <f t="shared" si="53"/>
        <v>9.0909090909090917</v>
      </c>
      <c r="N153" s="499" t="str">
        <f t="shared" si="37"/>
        <v/>
      </c>
      <c r="O153" s="4"/>
      <c r="P153" s="118"/>
      <c r="Q153" s="118"/>
      <c r="R153" s="4" t="str">
        <f t="shared" ca="1" si="38"/>
        <v>Ok</v>
      </c>
      <c r="S153" s="501">
        <f ca="1">IF(R153="Não","",COUNTIFS($R$9:R153,"Ok"))</f>
        <v>145</v>
      </c>
      <c r="T153" s="6">
        <f t="shared" ca="1" si="39"/>
        <v>46075</v>
      </c>
      <c r="U153" s="501">
        <f t="shared" ca="1" si="40"/>
        <v>329.59999999999849</v>
      </c>
      <c r="V153" s="501">
        <f t="shared" ca="1" si="41"/>
        <v>6.6585858585858269</v>
      </c>
      <c r="W153" s="501">
        <f t="shared" si="42"/>
        <v>0</v>
      </c>
      <c r="X153" s="1">
        <f t="shared" si="43"/>
        <v>0</v>
      </c>
      <c r="Y153" s="1">
        <f t="shared" si="43"/>
        <v>0</v>
      </c>
    </row>
    <row r="154" spans="1:25" s="1" customFormat="1" x14ac:dyDescent="0.25">
      <c r="A154" s="7">
        <f t="shared" si="44"/>
        <v>146</v>
      </c>
      <c r="B154" s="11">
        <f t="shared" si="45"/>
        <v>11</v>
      </c>
      <c r="C154" s="502">
        <f t="shared" si="46"/>
        <v>46076</v>
      </c>
      <c r="D154" s="7">
        <f t="shared" si="47"/>
        <v>100</v>
      </c>
      <c r="E154" s="12">
        <f t="shared" si="48"/>
        <v>0.9</v>
      </c>
      <c r="F154" s="473">
        <f t="shared" si="49"/>
        <v>330.49999999999847</v>
      </c>
      <c r="G154" s="473"/>
      <c r="H154" s="504">
        <f t="shared" si="50"/>
        <v>7.0000000000000001E-3</v>
      </c>
      <c r="I154" s="14">
        <f t="shared" si="51"/>
        <v>7.0000000000000001E-3</v>
      </c>
      <c r="J154" s="498">
        <f t="shared" si="36"/>
        <v>231.34999999999891</v>
      </c>
      <c r="K154" s="15"/>
      <c r="L154" s="8">
        <f t="shared" si="52"/>
        <v>6.6767676767676454</v>
      </c>
      <c r="M154" s="8">
        <f t="shared" si="53"/>
        <v>9.0909090909090917</v>
      </c>
      <c r="N154" s="499" t="str">
        <f t="shared" si="37"/>
        <v/>
      </c>
      <c r="O154" s="4"/>
      <c r="P154" s="118"/>
      <c r="Q154" s="118"/>
      <c r="R154" s="4" t="str">
        <f t="shared" ca="1" si="38"/>
        <v>Ok</v>
      </c>
      <c r="S154" s="501">
        <f ca="1">IF(R154="Não","",COUNTIFS($R$9:R154,"Ok"))</f>
        <v>146</v>
      </c>
      <c r="T154" s="6">
        <f t="shared" ca="1" si="39"/>
        <v>46076</v>
      </c>
      <c r="U154" s="501">
        <f t="shared" ca="1" si="40"/>
        <v>330.49999999999847</v>
      </c>
      <c r="V154" s="501">
        <f t="shared" ca="1" si="41"/>
        <v>6.6767676767676454</v>
      </c>
      <c r="W154" s="501">
        <f t="shared" si="42"/>
        <v>0</v>
      </c>
      <c r="X154" s="1">
        <f t="shared" si="43"/>
        <v>0</v>
      </c>
      <c r="Y154" s="1">
        <f t="shared" si="43"/>
        <v>0</v>
      </c>
    </row>
    <row r="155" spans="1:25" s="1" customFormat="1" x14ac:dyDescent="0.25">
      <c r="A155" s="7">
        <f t="shared" si="44"/>
        <v>147</v>
      </c>
      <c r="B155" s="11">
        <f t="shared" si="45"/>
        <v>11</v>
      </c>
      <c r="C155" s="502">
        <f t="shared" si="46"/>
        <v>46077</v>
      </c>
      <c r="D155" s="7">
        <f t="shared" si="47"/>
        <v>100</v>
      </c>
      <c r="E155" s="12">
        <f t="shared" si="48"/>
        <v>0.9</v>
      </c>
      <c r="F155" s="473">
        <f t="shared" si="49"/>
        <v>331.39999999999844</v>
      </c>
      <c r="G155" s="473"/>
      <c r="H155" s="504">
        <f t="shared" si="50"/>
        <v>7.0000000000000001E-3</v>
      </c>
      <c r="I155" s="14">
        <f t="shared" si="51"/>
        <v>7.0000000000000001E-3</v>
      </c>
      <c r="J155" s="498">
        <f t="shared" si="36"/>
        <v>231.97999999999891</v>
      </c>
      <c r="K155" s="15"/>
      <c r="L155" s="8">
        <f t="shared" si="52"/>
        <v>6.6949494949494639</v>
      </c>
      <c r="M155" s="8">
        <f t="shared" si="53"/>
        <v>9.0909090909090917</v>
      </c>
      <c r="N155" s="499" t="str">
        <f t="shared" si="37"/>
        <v/>
      </c>
      <c r="O155" s="4"/>
      <c r="P155" s="118"/>
      <c r="Q155" s="118"/>
      <c r="R155" s="4" t="str">
        <f t="shared" ca="1" si="38"/>
        <v>Ok</v>
      </c>
      <c r="S155" s="501">
        <f ca="1">IF(R155="Não","",COUNTIFS($R$9:R155,"Ok"))</f>
        <v>147</v>
      </c>
      <c r="T155" s="6">
        <f t="shared" ca="1" si="39"/>
        <v>46077</v>
      </c>
      <c r="U155" s="501">
        <f t="shared" ca="1" si="40"/>
        <v>331.39999999999844</v>
      </c>
      <c r="V155" s="501">
        <f t="shared" ca="1" si="41"/>
        <v>6.6949494949494639</v>
      </c>
      <c r="W155" s="501">
        <f t="shared" si="42"/>
        <v>0</v>
      </c>
      <c r="X155" s="1">
        <f t="shared" si="43"/>
        <v>0</v>
      </c>
      <c r="Y155" s="1">
        <f t="shared" si="43"/>
        <v>0</v>
      </c>
    </row>
    <row r="156" spans="1:25" s="1" customFormat="1" x14ac:dyDescent="0.25">
      <c r="A156" s="7">
        <f t="shared" si="44"/>
        <v>148</v>
      </c>
      <c r="B156" s="11">
        <f t="shared" si="45"/>
        <v>11</v>
      </c>
      <c r="C156" s="502">
        <f t="shared" si="46"/>
        <v>46078</v>
      </c>
      <c r="D156" s="7">
        <f t="shared" si="47"/>
        <v>100</v>
      </c>
      <c r="E156" s="12">
        <f t="shared" si="48"/>
        <v>0.9</v>
      </c>
      <c r="F156" s="473">
        <f t="shared" si="49"/>
        <v>332.29999999999842</v>
      </c>
      <c r="G156" s="473"/>
      <c r="H156" s="504">
        <f t="shared" si="50"/>
        <v>7.0000000000000001E-3</v>
      </c>
      <c r="I156" s="14">
        <f t="shared" si="51"/>
        <v>7.0000000000000001E-3</v>
      </c>
      <c r="J156" s="498">
        <f t="shared" si="36"/>
        <v>232.60999999999891</v>
      </c>
      <c r="K156" s="15"/>
      <c r="L156" s="8">
        <f t="shared" si="52"/>
        <v>6.7131313131312815</v>
      </c>
      <c r="M156" s="8">
        <f t="shared" si="53"/>
        <v>9.0909090909090917</v>
      </c>
      <c r="N156" s="499" t="str">
        <f t="shared" si="37"/>
        <v/>
      </c>
      <c r="O156" s="4"/>
      <c r="P156" s="118"/>
      <c r="Q156" s="118"/>
      <c r="R156" s="4" t="str">
        <f t="shared" ca="1" si="38"/>
        <v>Ok</v>
      </c>
      <c r="S156" s="501">
        <f ca="1">IF(R156="Não","",COUNTIFS($R$9:R156,"Ok"))</f>
        <v>148</v>
      </c>
      <c r="T156" s="6">
        <f t="shared" ca="1" si="39"/>
        <v>46078</v>
      </c>
      <c r="U156" s="501">
        <f t="shared" ca="1" si="40"/>
        <v>332.29999999999842</v>
      </c>
      <c r="V156" s="501">
        <f t="shared" ca="1" si="41"/>
        <v>6.7131313131312815</v>
      </c>
      <c r="W156" s="501">
        <f t="shared" si="42"/>
        <v>0</v>
      </c>
      <c r="X156" s="1">
        <f t="shared" si="43"/>
        <v>0</v>
      </c>
      <c r="Y156" s="1">
        <f t="shared" si="43"/>
        <v>0</v>
      </c>
    </row>
    <row r="157" spans="1:25" s="1" customFormat="1" x14ac:dyDescent="0.25">
      <c r="A157" s="7">
        <f t="shared" si="44"/>
        <v>149</v>
      </c>
      <c r="B157" s="11">
        <f t="shared" si="45"/>
        <v>11</v>
      </c>
      <c r="C157" s="502">
        <f t="shared" si="46"/>
        <v>46079</v>
      </c>
      <c r="D157" s="7">
        <f t="shared" si="47"/>
        <v>100</v>
      </c>
      <c r="E157" s="12">
        <f t="shared" si="48"/>
        <v>0.9</v>
      </c>
      <c r="F157" s="473">
        <f t="shared" si="49"/>
        <v>333.1999999999984</v>
      </c>
      <c r="G157" s="473"/>
      <c r="H157" s="504">
        <f t="shared" si="50"/>
        <v>7.0000000000000001E-3</v>
      </c>
      <c r="I157" s="14">
        <f t="shared" si="51"/>
        <v>7.0000000000000001E-3</v>
      </c>
      <c r="J157" s="498">
        <f t="shared" si="36"/>
        <v>233.23999999999887</v>
      </c>
      <c r="K157" s="15"/>
      <c r="L157" s="8">
        <f t="shared" si="52"/>
        <v>6.7313131313130983</v>
      </c>
      <c r="M157" s="8">
        <f t="shared" si="53"/>
        <v>9.0909090909090917</v>
      </c>
      <c r="N157" s="499" t="str">
        <f t="shared" si="37"/>
        <v/>
      </c>
      <c r="O157" s="4"/>
      <c r="P157" s="118"/>
      <c r="Q157" s="118"/>
      <c r="R157" s="4" t="str">
        <f t="shared" ca="1" si="38"/>
        <v>Ok</v>
      </c>
      <c r="S157" s="501">
        <f ca="1">IF(R157="Não","",COUNTIFS($R$9:R157,"Ok"))</f>
        <v>149</v>
      </c>
      <c r="T157" s="6">
        <f t="shared" ca="1" si="39"/>
        <v>46079</v>
      </c>
      <c r="U157" s="501">
        <f t="shared" ca="1" si="40"/>
        <v>333.1999999999984</v>
      </c>
      <c r="V157" s="501">
        <f t="shared" ca="1" si="41"/>
        <v>6.7313131313130983</v>
      </c>
      <c r="W157" s="501">
        <f t="shared" si="42"/>
        <v>0</v>
      </c>
      <c r="X157" s="1">
        <f t="shared" si="43"/>
        <v>0</v>
      </c>
      <c r="Y157" s="1">
        <f t="shared" si="43"/>
        <v>0</v>
      </c>
    </row>
    <row r="158" spans="1:25" s="1" customFormat="1" x14ac:dyDescent="0.25">
      <c r="A158" s="7">
        <f t="shared" si="44"/>
        <v>150</v>
      </c>
      <c r="B158" s="11">
        <f t="shared" si="45"/>
        <v>11</v>
      </c>
      <c r="C158" s="502">
        <f t="shared" si="46"/>
        <v>46080</v>
      </c>
      <c r="D158" s="7">
        <f t="shared" si="47"/>
        <v>100</v>
      </c>
      <c r="E158" s="12">
        <f t="shared" si="48"/>
        <v>0.9</v>
      </c>
      <c r="F158" s="473">
        <f t="shared" si="49"/>
        <v>334.09999999999837</v>
      </c>
      <c r="G158" s="473"/>
      <c r="H158" s="504">
        <f t="shared" si="50"/>
        <v>7.0000000000000001E-3</v>
      </c>
      <c r="I158" s="14">
        <f t="shared" si="51"/>
        <v>7.0000000000000001E-3</v>
      </c>
      <c r="J158" s="498">
        <f t="shared" si="36"/>
        <v>233.86999999999887</v>
      </c>
      <c r="K158" s="15"/>
      <c r="L158" s="8">
        <f t="shared" si="52"/>
        <v>6.7494949494949168</v>
      </c>
      <c r="M158" s="8">
        <f t="shared" si="53"/>
        <v>9.0909090909090917</v>
      </c>
      <c r="N158" s="499" t="str">
        <f t="shared" si="37"/>
        <v/>
      </c>
      <c r="O158" s="4"/>
      <c r="P158" s="118"/>
      <c r="Q158" s="118"/>
      <c r="R158" s="4" t="str">
        <f t="shared" ca="1" si="38"/>
        <v>Ok</v>
      </c>
      <c r="S158" s="501">
        <f ca="1">IF(R158="Não","",COUNTIFS($R$9:R158,"Ok"))</f>
        <v>150</v>
      </c>
      <c r="T158" s="6">
        <f t="shared" ca="1" si="39"/>
        <v>46080</v>
      </c>
      <c r="U158" s="501">
        <f t="shared" ca="1" si="40"/>
        <v>334.09999999999837</v>
      </c>
      <c r="V158" s="501">
        <f t="shared" ca="1" si="41"/>
        <v>6.7494949494949168</v>
      </c>
      <c r="W158" s="501">
        <f t="shared" si="42"/>
        <v>0</v>
      </c>
      <c r="X158" s="1">
        <f t="shared" si="43"/>
        <v>0</v>
      </c>
      <c r="Y158" s="1">
        <f t="shared" si="43"/>
        <v>0</v>
      </c>
    </row>
    <row r="159" spans="1:25" s="1" customFormat="1" x14ac:dyDescent="0.25">
      <c r="A159" s="7">
        <f t="shared" si="44"/>
        <v>151</v>
      </c>
      <c r="B159" s="11">
        <f t="shared" si="45"/>
        <v>11</v>
      </c>
      <c r="C159" s="502">
        <f t="shared" si="46"/>
        <v>46081</v>
      </c>
      <c r="D159" s="7">
        <f t="shared" si="47"/>
        <v>100</v>
      </c>
      <c r="E159" s="12">
        <f t="shared" si="48"/>
        <v>0.9</v>
      </c>
      <c r="F159" s="473">
        <f t="shared" si="49"/>
        <v>334.99999999999835</v>
      </c>
      <c r="G159" s="473"/>
      <c r="H159" s="504">
        <f t="shared" si="50"/>
        <v>7.0000000000000001E-3</v>
      </c>
      <c r="I159" s="14">
        <f t="shared" si="51"/>
        <v>7.0000000000000001E-3</v>
      </c>
      <c r="J159" s="498">
        <f t="shared" si="36"/>
        <v>234.49999999999886</v>
      </c>
      <c r="K159" s="15"/>
      <c r="L159" s="8">
        <f t="shared" si="52"/>
        <v>6.7676767676767335</v>
      </c>
      <c r="M159" s="8">
        <f t="shared" si="53"/>
        <v>9.0909090909090917</v>
      </c>
      <c r="N159" s="499" t="str">
        <f t="shared" si="37"/>
        <v/>
      </c>
      <c r="O159" s="4"/>
      <c r="P159" s="118"/>
      <c r="Q159" s="118"/>
      <c r="R159" s="4" t="str">
        <f t="shared" ca="1" si="38"/>
        <v>Ok</v>
      </c>
      <c r="S159" s="501">
        <f ca="1">IF(R159="Não","",COUNTIFS($R$9:R159,"Ok"))</f>
        <v>151</v>
      </c>
      <c r="T159" s="6">
        <f t="shared" ca="1" si="39"/>
        <v>46081</v>
      </c>
      <c r="U159" s="501">
        <f t="shared" ca="1" si="40"/>
        <v>334.99999999999835</v>
      </c>
      <c r="V159" s="501">
        <f t="shared" ca="1" si="41"/>
        <v>6.7676767676767335</v>
      </c>
      <c r="W159" s="501">
        <f t="shared" si="42"/>
        <v>0</v>
      </c>
      <c r="X159" s="1">
        <f t="shared" si="43"/>
        <v>0</v>
      </c>
      <c r="Y159" s="1">
        <f t="shared" si="43"/>
        <v>0</v>
      </c>
    </row>
    <row r="160" spans="1:25" s="1" customFormat="1" x14ac:dyDescent="0.25">
      <c r="A160" s="7">
        <f t="shared" si="44"/>
        <v>152</v>
      </c>
      <c r="B160" s="11">
        <f t="shared" si="45"/>
        <v>11</v>
      </c>
      <c r="C160" s="502">
        <f t="shared" si="46"/>
        <v>46082</v>
      </c>
      <c r="D160" s="7">
        <f t="shared" si="47"/>
        <v>100</v>
      </c>
      <c r="E160" s="12">
        <f t="shared" si="48"/>
        <v>0.9</v>
      </c>
      <c r="F160" s="473">
        <f t="shared" si="49"/>
        <v>335.89999999999833</v>
      </c>
      <c r="G160" s="473"/>
      <c r="H160" s="504">
        <f t="shared" si="50"/>
        <v>7.0000000000000001E-3</v>
      </c>
      <c r="I160" s="14">
        <f t="shared" si="51"/>
        <v>7.0000000000000001E-3</v>
      </c>
      <c r="J160" s="498">
        <f t="shared" si="36"/>
        <v>235.12999999999883</v>
      </c>
      <c r="K160" s="15"/>
      <c r="L160" s="8">
        <f t="shared" si="52"/>
        <v>6.7858585858585521</v>
      </c>
      <c r="M160" s="8">
        <f t="shared" si="53"/>
        <v>9.0909090909090917</v>
      </c>
      <c r="N160" s="499" t="str">
        <f t="shared" si="37"/>
        <v/>
      </c>
      <c r="O160" s="4"/>
      <c r="P160" s="118"/>
      <c r="Q160" s="118"/>
      <c r="R160" s="4" t="str">
        <f t="shared" ca="1" si="38"/>
        <v>Ok</v>
      </c>
      <c r="S160" s="501">
        <f ca="1">IF(R160="Não","",COUNTIFS($R$9:R160,"Ok"))</f>
        <v>152</v>
      </c>
      <c r="T160" s="6">
        <f t="shared" ca="1" si="39"/>
        <v>46082</v>
      </c>
      <c r="U160" s="501">
        <f t="shared" ca="1" si="40"/>
        <v>335.89999999999833</v>
      </c>
      <c r="V160" s="501">
        <f t="shared" ca="1" si="41"/>
        <v>6.7858585858585521</v>
      </c>
      <c r="W160" s="501">
        <f t="shared" si="42"/>
        <v>0</v>
      </c>
      <c r="X160" s="1">
        <f t="shared" si="43"/>
        <v>0</v>
      </c>
      <c r="Y160" s="1">
        <f t="shared" si="43"/>
        <v>0</v>
      </c>
    </row>
    <row r="161" spans="1:25" s="1" customFormat="1" x14ac:dyDescent="0.25">
      <c r="A161" s="7">
        <f t="shared" si="44"/>
        <v>153</v>
      </c>
      <c r="B161" s="11">
        <f t="shared" si="45"/>
        <v>11</v>
      </c>
      <c r="C161" s="502">
        <f t="shared" si="46"/>
        <v>46083</v>
      </c>
      <c r="D161" s="7">
        <f t="shared" si="47"/>
        <v>100</v>
      </c>
      <c r="E161" s="12">
        <f t="shared" si="48"/>
        <v>0.9</v>
      </c>
      <c r="F161" s="473">
        <f t="shared" si="49"/>
        <v>336.79999999999831</v>
      </c>
      <c r="G161" s="473"/>
      <c r="H161" s="504">
        <f t="shared" si="50"/>
        <v>7.0000000000000001E-3</v>
      </c>
      <c r="I161" s="14">
        <f t="shared" si="51"/>
        <v>7.0000000000000001E-3</v>
      </c>
      <c r="J161" s="498">
        <f t="shared" si="36"/>
        <v>235.75999999999883</v>
      </c>
      <c r="K161" s="15"/>
      <c r="L161" s="8">
        <f t="shared" si="52"/>
        <v>6.8040404040403706</v>
      </c>
      <c r="M161" s="8">
        <f t="shared" si="53"/>
        <v>9.0909090909090917</v>
      </c>
      <c r="N161" s="499" t="str">
        <f t="shared" si="37"/>
        <v/>
      </c>
      <c r="O161" s="4"/>
      <c r="P161" s="118"/>
      <c r="Q161" s="118"/>
      <c r="R161" s="4" t="str">
        <f t="shared" ca="1" si="38"/>
        <v>Ok</v>
      </c>
      <c r="S161" s="501">
        <f ca="1">IF(R161="Não","",COUNTIFS($R$9:R161,"Ok"))</f>
        <v>153</v>
      </c>
      <c r="T161" s="6">
        <f t="shared" ca="1" si="39"/>
        <v>46083</v>
      </c>
      <c r="U161" s="501">
        <f t="shared" ca="1" si="40"/>
        <v>336.79999999999831</v>
      </c>
      <c r="V161" s="501">
        <f t="shared" ca="1" si="41"/>
        <v>6.8040404040403706</v>
      </c>
      <c r="W161" s="501">
        <f t="shared" si="42"/>
        <v>0</v>
      </c>
      <c r="X161" s="1">
        <f t="shared" si="43"/>
        <v>0</v>
      </c>
      <c r="Y161" s="1">
        <f t="shared" si="43"/>
        <v>0</v>
      </c>
    </row>
    <row r="162" spans="1:25" s="1" customFormat="1" x14ac:dyDescent="0.25">
      <c r="A162" s="7">
        <f t="shared" si="44"/>
        <v>154</v>
      </c>
      <c r="B162" s="11">
        <f t="shared" si="45"/>
        <v>11</v>
      </c>
      <c r="C162" s="502">
        <f t="shared" si="46"/>
        <v>46084</v>
      </c>
      <c r="D162" s="7">
        <f t="shared" si="47"/>
        <v>100</v>
      </c>
      <c r="E162" s="12">
        <f t="shared" si="48"/>
        <v>0.9</v>
      </c>
      <c r="F162" s="473">
        <f t="shared" si="49"/>
        <v>337.69999999999828</v>
      </c>
      <c r="G162" s="473"/>
      <c r="H162" s="504">
        <f t="shared" si="50"/>
        <v>7.0000000000000001E-3</v>
      </c>
      <c r="I162" s="14">
        <f t="shared" si="51"/>
        <v>7.0000000000000001E-3</v>
      </c>
      <c r="J162" s="498">
        <f t="shared" si="36"/>
        <v>236.38999999999882</v>
      </c>
      <c r="K162" s="15"/>
      <c r="L162" s="8">
        <f t="shared" si="52"/>
        <v>6.8222222222221864</v>
      </c>
      <c r="M162" s="8">
        <f t="shared" si="53"/>
        <v>9.0909090909090917</v>
      </c>
      <c r="N162" s="499" t="str">
        <f t="shared" si="37"/>
        <v/>
      </c>
      <c r="O162" s="4"/>
      <c r="P162" s="118"/>
      <c r="Q162" s="118"/>
      <c r="R162" s="4" t="str">
        <f t="shared" ca="1" si="38"/>
        <v>Ok</v>
      </c>
      <c r="S162" s="501">
        <f ca="1">IF(R162="Não","",COUNTIFS($R$9:R162,"Ok"))</f>
        <v>154</v>
      </c>
      <c r="T162" s="6">
        <f t="shared" ca="1" si="39"/>
        <v>46084</v>
      </c>
      <c r="U162" s="501">
        <f t="shared" ca="1" si="40"/>
        <v>337.69999999999828</v>
      </c>
      <c r="V162" s="501">
        <f t="shared" ca="1" si="41"/>
        <v>6.8222222222221864</v>
      </c>
      <c r="W162" s="501">
        <f t="shared" si="42"/>
        <v>0</v>
      </c>
      <c r="X162" s="1">
        <f t="shared" si="43"/>
        <v>0</v>
      </c>
      <c r="Y162" s="1">
        <f t="shared" si="43"/>
        <v>0</v>
      </c>
    </row>
    <row r="163" spans="1:25" s="1" customFormat="1" x14ac:dyDescent="0.25">
      <c r="A163" s="7">
        <f t="shared" si="44"/>
        <v>155</v>
      </c>
      <c r="B163" s="11">
        <f t="shared" si="45"/>
        <v>11</v>
      </c>
      <c r="C163" s="502">
        <f t="shared" si="46"/>
        <v>46085</v>
      </c>
      <c r="D163" s="7">
        <f t="shared" si="47"/>
        <v>100</v>
      </c>
      <c r="E163" s="12">
        <f t="shared" si="48"/>
        <v>0.9</v>
      </c>
      <c r="F163" s="473">
        <f t="shared" si="49"/>
        <v>338.59999999999826</v>
      </c>
      <c r="G163" s="473"/>
      <c r="H163" s="504">
        <f t="shared" si="50"/>
        <v>7.0000000000000001E-3</v>
      </c>
      <c r="I163" s="14">
        <f t="shared" si="51"/>
        <v>7.0000000000000001E-3</v>
      </c>
      <c r="J163" s="498">
        <f t="shared" si="36"/>
        <v>237.01999999999882</v>
      </c>
      <c r="K163" s="15"/>
      <c r="L163" s="8">
        <f t="shared" si="52"/>
        <v>6.840404040404005</v>
      </c>
      <c r="M163" s="8">
        <f t="shared" si="53"/>
        <v>9.0909090909090917</v>
      </c>
      <c r="N163" s="499" t="str">
        <f t="shared" si="37"/>
        <v/>
      </c>
      <c r="O163" s="4"/>
      <c r="P163" s="118"/>
      <c r="Q163" s="118"/>
      <c r="R163" s="4" t="str">
        <f t="shared" ca="1" si="38"/>
        <v>Ok</v>
      </c>
      <c r="S163" s="501">
        <f ca="1">IF(R163="Não","",COUNTIFS($R$9:R163,"Ok"))</f>
        <v>155</v>
      </c>
      <c r="T163" s="6">
        <f t="shared" ca="1" si="39"/>
        <v>46085</v>
      </c>
      <c r="U163" s="501">
        <f t="shared" ca="1" si="40"/>
        <v>338.59999999999826</v>
      </c>
      <c r="V163" s="501">
        <f t="shared" ca="1" si="41"/>
        <v>6.840404040404005</v>
      </c>
      <c r="W163" s="501">
        <f t="shared" si="42"/>
        <v>0</v>
      </c>
      <c r="X163" s="1">
        <f t="shared" si="43"/>
        <v>0</v>
      </c>
      <c r="Y163" s="1">
        <f t="shared" si="43"/>
        <v>0</v>
      </c>
    </row>
    <row r="164" spans="1:25" s="1" customFormat="1" x14ac:dyDescent="0.25">
      <c r="A164" s="7">
        <f t="shared" si="44"/>
        <v>156</v>
      </c>
      <c r="B164" s="11">
        <f t="shared" si="45"/>
        <v>11</v>
      </c>
      <c r="C164" s="502">
        <f t="shared" si="46"/>
        <v>46086</v>
      </c>
      <c r="D164" s="7">
        <f t="shared" si="47"/>
        <v>100</v>
      </c>
      <c r="E164" s="12">
        <f t="shared" si="48"/>
        <v>0.9</v>
      </c>
      <c r="F164" s="473">
        <f t="shared" si="49"/>
        <v>339.49999999999824</v>
      </c>
      <c r="G164" s="473"/>
      <c r="H164" s="504">
        <f t="shared" si="50"/>
        <v>7.0000000000000001E-3</v>
      </c>
      <c r="I164" s="14">
        <f t="shared" si="51"/>
        <v>7.0000000000000001E-3</v>
      </c>
      <c r="J164" s="498">
        <f t="shared" si="36"/>
        <v>237.64999999999876</v>
      </c>
      <c r="K164" s="15"/>
      <c r="L164" s="8">
        <f t="shared" si="52"/>
        <v>6.8585858585858235</v>
      </c>
      <c r="M164" s="8">
        <f t="shared" si="53"/>
        <v>9.0909090909090917</v>
      </c>
      <c r="N164" s="499" t="str">
        <f t="shared" si="37"/>
        <v/>
      </c>
      <c r="O164" s="4"/>
      <c r="P164" s="118"/>
      <c r="Q164" s="118"/>
      <c r="R164" s="4" t="str">
        <f t="shared" ca="1" si="38"/>
        <v>Ok</v>
      </c>
      <c r="S164" s="501">
        <f ca="1">IF(R164="Não","",COUNTIFS($R$9:R164,"Ok"))</f>
        <v>156</v>
      </c>
      <c r="T164" s="6">
        <f t="shared" ca="1" si="39"/>
        <v>46086</v>
      </c>
      <c r="U164" s="501">
        <f t="shared" ca="1" si="40"/>
        <v>339.49999999999824</v>
      </c>
      <c r="V164" s="501">
        <f t="shared" ca="1" si="41"/>
        <v>6.8585858585858235</v>
      </c>
      <c r="W164" s="501">
        <f t="shared" si="42"/>
        <v>0</v>
      </c>
      <c r="X164" s="1">
        <f t="shared" si="43"/>
        <v>0</v>
      </c>
      <c r="Y164" s="1">
        <f t="shared" si="43"/>
        <v>0</v>
      </c>
    </row>
    <row r="165" spans="1:25" s="1" customFormat="1" x14ac:dyDescent="0.25">
      <c r="A165" s="7">
        <f t="shared" si="44"/>
        <v>157</v>
      </c>
      <c r="B165" s="11">
        <f t="shared" si="45"/>
        <v>11</v>
      </c>
      <c r="C165" s="502">
        <f t="shared" si="46"/>
        <v>46087</v>
      </c>
      <c r="D165" s="7">
        <f t="shared" si="47"/>
        <v>100</v>
      </c>
      <c r="E165" s="12">
        <f t="shared" si="48"/>
        <v>0.9</v>
      </c>
      <c r="F165" s="473">
        <f t="shared" si="49"/>
        <v>340.39999999999822</v>
      </c>
      <c r="G165" s="473"/>
      <c r="H165" s="504">
        <f t="shared" si="50"/>
        <v>7.0000000000000001E-3</v>
      </c>
      <c r="I165" s="14">
        <f t="shared" si="51"/>
        <v>7.0000000000000001E-3</v>
      </c>
      <c r="J165" s="498">
        <f t="shared" si="36"/>
        <v>238.27999999999875</v>
      </c>
      <c r="K165" s="15"/>
      <c r="L165" s="8">
        <f t="shared" si="52"/>
        <v>6.8767676767676393</v>
      </c>
      <c r="M165" s="8">
        <f t="shared" si="53"/>
        <v>9.0909090909090917</v>
      </c>
      <c r="N165" s="499" t="str">
        <f t="shared" si="37"/>
        <v/>
      </c>
      <c r="O165" s="4"/>
      <c r="P165" s="118"/>
      <c r="Q165" s="118"/>
      <c r="R165" s="4" t="str">
        <f t="shared" ca="1" si="38"/>
        <v>Ok</v>
      </c>
      <c r="S165" s="501">
        <f ca="1">IF(R165="Não","",COUNTIFS($R$9:R165,"Ok"))</f>
        <v>157</v>
      </c>
      <c r="T165" s="6">
        <f t="shared" ca="1" si="39"/>
        <v>46087</v>
      </c>
      <c r="U165" s="501">
        <f t="shared" ca="1" si="40"/>
        <v>340.39999999999822</v>
      </c>
      <c r="V165" s="501">
        <f t="shared" ca="1" si="41"/>
        <v>6.8767676767676393</v>
      </c>
      <c r="W165" s="501">
        <f t="shared" si="42"/>
        <v>0</v>
      </c>
      <c r="X165" s="1">
        <f t="shared" si="43"/>
        <v>0</v>
      </c>
      <c r="Y165" s="1">
        <f t="shared" si="43"/>
        <v>0</v>
      </c>
    </row>
    <row r="166" spans="1:25" s="1" customFormat="1" x14ac:dyDescent="0.25">
      <c r="A166" s="7">
        <f t="shared" si="44"/>
        <v>158</v>
      </c>
      <c r="B166" s="11">
        <f t="shared" si="45"/>
        <v>11</v>
      </c>
      <c r="C166" s="502">
        <f t="shared" si="46"/>
        <v>46088</v>
      </c>
      <c r="D166" s="7">
        <f t="shared" si="47"/>
        <v>100</v>
      </c>
      <c r="E166" s="12">
        <f t="shared" si="48"/>
        <v>0.9</v>
      </c>
      <c r="F166" s="473">
        <f t="shared" si="49"/>
        <v>341.29999999999819</v>
      </c>
      <c r="G166" s="473"/>
      <c r="H166" s="504">
        <f t="shared" si="50"/>
        <v>7.0000000000000001E-3</v>
      </c>
      <c r="I166" s="14">
        <f t="shared" si="51"/>
        <v>7.0000000000000001E-3</v>
      </c>
      <c r="J166" s="498">
        <f t="shared" si="36"/>
        <v>238.90999999999875</v>
      </c>
      <c r="K166" s="15"/>
      <c r="L166" s="8">
        <f t="shared" si="52"/>
        <v>6.8949494949494579</v>
      </c>
      <c r="M166" s="8">
        <f t="shared" si="53"/>
        <v>9.0909090909090917</v>
      </c>
      <c r="N166" s="499" t="str">
        <f t="shared" si="37"/>
        <v/>
      </c>
      <c r="O166" s="4"/>
      <c r="P166" s="118"/>
      <c r="Q166" s="118"/>
      <c r="R166" s="4" t="str">
        <f t="shared" ca="1" si="38"/>
        <v>Ok</v>
      </c>
      <c r="S166" s="501">
        <f ca="1">IF(R166="Não","",COUNTIFS($R$9:R166,"Ok"))</f>
        <v>158</v>
      </c>
      <c r="T166" s="6">
        <f t="shared" ca="1" si="39"/>
        <v>46088</v>
      </c>
      <c r="U166" s="501">
        <f t="shared" ca="1" si="40"/>
        <v>341.29999999999819</v>
      </c>
      <c r="V166" s="501">
        <f t="shared" ca="1" si="41"/>
        <v>6.8949494949494579</v>
      </c>
      <c r="W166" s="501">
        <f t="shared" si="42"/>
        <v>0</v>
      </c>
      <c r="X166" s="1">
        <f t="shared" si="43"/>
        <v>0</v>
      </c>
      <c r="Y166" s="1">
        <f t="shared" si="43"/>
        <v>0</v>
      </c>
    </row>
    <row r="167" spans="1:25" s="1" customFormat="1" x14ac:dyDescent="0.25">
      <c r="A167" s="7">
        <f t="shared" si="44"/>
        <v>159</v>
      </c>
      <c r="B167" s="11">
        <f t="shared" si="45"/>
        <v>11</v>
      </c>
      <c r="C167" s="502">
        <f t="shared" si="46"/>
        <v>46089</v>
      </c>
      <c r="D167" s="7">
        <f t="shared" si="47"/>
        <v>100</v>
      </c>
      <c r="E167" s="12">
        <f t="shared" si="48"/>
        <v>0.9</v>
      </c>
      <c r="F167" s="473">
        <f t="shared" si="49"/>
        <v>342.19999999999817</v>
      </c>
      <c r="G167" s="473"/>
      <c r="H167" s="504">
        <f t="shared" si="50"/>
        <v>7.0000000000000001E-3</v>
      </c>
      <c r="I167" s="14">
        <f t="shared" si="51"/>
        <v>7.0000000000000001E-3</v>
      </c>
      <c r="J167" s="498">
        <f t="shared" si="36"/>
        <v>239.53999999999871</v>
      </c>
      <c r="K167" s="15"/>
      <c r="L167" s="8">
        <f t="shared" si="52"/>
        <v>6.9131313131312764</v>
      </c>
      <c r="M167" s="8">
        <f t="shared" si="53"/>
        <v>9.0909090909090917</v>
      </c>
      <c r="N167" s="499" t="str">
        <f t="shared" si="37"/>
        <v/>
      </c>
      <c r="O167" s="4"/>
      <c r="P167" s="118"/>
      <c r="Q167" s="118"/>
      <c r="R167" s="4" t="str">
        <f t="shared" ca="1" si="38"/>
        <v>Ok</v>
      </c>
      <c r="S167" s="501">
        <f ca="1">IF(R167="Não","",COUNTIFS($R$9:R167,"Ok"))</f>
        <v>159</v>
      </c>
      <c r="T167" s="6">
        <f t="shared" ca="1" si="39"/>
        <v>46089</v>
      </c>
      <c r="U167" s="501">
        <f t="shared" ca="1" si="40"/>
        <v>342.19999999999817</v>
      </c>
      <c r="V167" s="501">
        <f t="shared" ca="1" si="41"/>
        <v>6.9131313131312764</v>
      </c>
      <c r="W167" s="501">
        <f t="shared" si="42"/>
        <v>0</v>
      </c>
      <c r="X167" s="1">
        <f t="shared" si="43"/>
        <v>0</v>
      </c>
      <c r="Y167" s="1">
        <f t="shared" si="43"/>
        <v>0</v>
      </c>
    </row>
    <row r="168" spans="1:25" s="1" customFormat="1" x14ac:dyDescent="0.25">
      <c r="A168" s="7">
        <f t="shared" si="44"/>
        <v>160</v>
      </c>
      <c r="B168" s="11">
        <f t="shared" si="45"/>
        <v>11</v>
      </c>
      <c r="C168" s="502">
        <f t="shared" si="46"/>
        <v>46090</v>
      </c>
      <c r="D168" s="7">
        <f t="shared" si="47"/>
        <v>100</v>
      </c>
      <c r="E168" s="12">
        <f t="shared" si="48"/>
        <v>0.9</v>
      </c>
      <c r="F168" s="473">
        <f t="shared" si="49"/>
        <v>343.09999999999815</v>
      </c>
      <c r="G168" s="473"/>
      <c r="H168" s="504">
        <f t="shared" si="50"/>
        <v>7.0000000000000001E-3</v>
      </c>
      <c r="I168" s="14">
        <f t="shared" si="51"/>
        <v>7.0000000000000001E-3</v>
      </c>
      <c r="J168" s="498">
        <f t="shared" si="36"/>
        <v>240.16999999999871</v>
      </c>
      <c r="K168" s="15"/>
      <c r="L168" s="8">
        <f t="shared" si="52"/>
        <v>6.9313131313130949</v>
      </c>
      <c r="M168" s="8">
        <f t="shared" si="53"/>
        <v>9.0909090909090917</v>
      </c>
      <c r="N168" s="499" t="str">
        <f t="shared" si="37"/>
        <v/>
      </c>
      <c r="O168" s="4"/>
      <c r="P168" s="118"/>
      <c r="Q168" s="118"/>
      <c r="R168" s="4" t="str">
        <f t="shared" ca="1" si="38"/>
        <v>Ok</v>
      </c>
      <c r="S168" s="501">
        <f ca="1">IF(R168="Não","",COUNTIFS($R$9:R168,"Ok"))</f>
        <v>160</v>
      </c>
      <c r="T168" s="6">
        <f t="shared" ca="1" si="39"/>
        <v>46090</v>
      </c>
      <c r="U168" s="501">
        <f t="shared" ca="1" si="40"/>
        <v>343.09999999999815</v>
      </c>
      <c r="V168" s="501">
        <f t="shared" ca="1" si="41"/>
        <v>6.9313131313130949</v>
      </c>
      <c r="W168" s="501">
        <f t="shared" si="42"/>
        <v>0</v>
      </c>
      <c r="X168" s="1">
        <f t="shared" si="43"/>
        <v>0</v>
      </c>
      <c r="Y168" s="1">
        <f t="shared" si="43"/>
        <v>0</v>
      </c>
    </row>
    <row r="169" spans="1:25" s="1" customFormat="1" x14ac:dyDescent="0.25">
      <c r="A169" s="7">
        <f t="shared" si="44"/>
        <v>161</v>
      </c>
      <c r="B169" s="11">
        <f t="shared" si="45"/>
        <v>11</v>
      </c>
      <c r="C169" s="502">
        <f t="shared" si="46"/>
        <v>46091</v>
      </c>
      <c r="D169" s="7">
        <f t="shared" si="47"/>
        <v>100</v>
      </c>
      <c r="E169" s="12">
        <f t="shared" si="48"/>
        <v>0.9</v>
      </c>
      <c r="F169" s="473">
        <f t="shared" si="49"/>
        <v>343.99999999999812</v>
      </c>
      <c r="G169" s="473"/>
      <c r="H169" s="504">
        <f t="shared" si="50"/>
        <v>7.0000000000000001E-3</v>
      </c>
      <c r="I169" s="14">
        <f t="shared" si="51"/>
        <v>7.0000000000000001E-3</v>
      </c>
      <c r="J169" s="498">
        <f t="shared" si="36"/>
        <v>240.7999999999987</v>
      </c>
      <c r="K169" s="15"/>
      <c r="L169" s="8">
        <f t="shared" si="52"/>
        <v>6.9494949494949116</v>
      </c>
      <c r="M169" s="8">
        <f t="shared" si="53"/>
        <v>9.0909090909090917</v>
      </c>
      <c r="N169" s="499" t="str">
        <f t="shared" si="37"/>
        <v/>
      </c>
      <c r="O169" s="4"/>
      <c r="P169" s="118"/>
      <c r="Q169" s="118"/>
      <c r="R169" s="4" t="str">
        <f t="shared" ca="1" si="38"/>
        <v>Ok</v>
      </c>
      <c r="S169" s="501">
        <f ca="1">IF(R169="Não","",COUNTIFS($R$9:R169,"Ok"))</f>
        <v>161</v>
      </c>
      <c r="T169" s="6">
        <f t="shared" ca="1" si="39"/>
        <v>46091</v>
      </c>
      <c r="U169" s="501">
        <f t="shared" ca="1" si="40"/>
        <v>343.99999999999812</v>
      </c>
      <c r="V169" s="501">
        <f t="shared" ca="1" si="41"/>
        <v>6.9494949494949116</v>
      </c>
      <c r="W169" s="501">
        <f t="shared" si="42"/>
        <v>0</v>
      </c>
      <c r="X169" s="1">
        <f t="shared" si="43"/>
        <v>0</v>
      </c>
      <c r="Y169" s="1">
        <f t="shared" si="43"/>
        <v>0</v>
      </c>
    </row>
    <row r="170" spans="1:25" s="1" customFormat="1" x14ac:dyDescent="0.25">
      <c r="A170" s="7">
        <f t="shared" si="44"/>
        <v>162</v>
      </c>
      <c r="B170" s="11">
        <f t="shared" si="45"/>
        <v>11</v>
      </c>
      <c r="C170" s="502">
        <f t="shared" si="46"/>
        <v>46092</v>
      </c>
      <c r="D170" s="7">
        <f t="shared" si="47"/>
        <v>100</v>
      </c>
      <c r="E170" s="12">
        <f t="shared" si="48"/>
        <v>0.9</v>
      </c>
      <c r="F170" s="473">
        <f t="shared" si="49"/>
        <v>344.8999999999981</v>
      </c>
      <c r="G170" s="473"/>
      <c r="H170" s="504">
        <f t="shared" si="50"/>
        <v>7.0000000000000001E-3</v>
      </c>
      <c r="I170" s="14">
        <f t="shared" si="51"/>
        <v>7.0000000000000001E-3</v>
      </c>
      <c r="J170" s="498">
        <f t="shared" si="36"/>
        <v>241.42999999999864</v>
      </c>
      <c r="K170" s="15"/>
      <c r="L170" s="8">
        <f t="shared" si="52"/>
        <v>6.9676767676767293</v>
      </c>
      <c r="M170" s="8">
        <f t="shared" si="53"/>
        <v>9.0909090909090917</v>
      </c>
      <c r="N170" s="499" t="str">
        <f t="shared" si="37"/>
        <v/>
      </c>
      <c r="O170" s="4"/>
      <c r="P170" s="118"/>
      <c r="Q170" s="118"/>
      <c r="R170" s="4" t="str">
        <f t="shared" ca="1" si="38"/>
        <v>Ok</v>
      </c>
      <c r="S170" s="501">
        <f ca="1">IF(R170="Não","",COUNTIFS($R$9:R170,"Ok"))</f>
        <v>162</v>
      </c>
      <c r="T170" s="6">
        <f t="shared" ca="1" si="39"/>
        <v>46092</v>
      </c>
      <c r="U170" s="501">
        <f t="shared" ca="1" si="40"/>
        <v>344.8999999999981</v>
      </c>
      <c r="V170" s="501">
        <f t="shared" ca="1" si="41"/>
        <v>6.9676767676767293</v>
      </c>
      <c r="W170" s="501">
        <f t="shared" si="42"/>
        <v>0</v>
      </c>
      <c r="X170" s="1">
        <f t="shared" si="43"/>
        <v>0</v>
      </c>
      <c r="Y170" s="1">
        <f t="shared" si="43"/>
        <v>0</v>
      </c>
    </row>
    <row r="171" spans="1:25" s="1" customFormat="1" x14ac:dyDescent="0.25">
      <c r="A171" s="7">
        <f t="shared" si="44"/>
        <v>163</v>
      </c>
      <c r="B171" s="11">
        <f t="shared" si="45"/>
        <v>11</v>
      </c>
      <c r="C171" s="502">
        <f t="shared" si="46"/>
        <v>46093</v>
      </c>
      <c r="D171" s="7">
        <f t="shared" si="47"/>
        <v>100</v>
      </c>
      <c r="E171" s="12">
        <f t="shared" si="48"/>
        <v>0.9</v>
      </c>
      <c r="F171" s="473">
        <f t="shared" si="49"/>
        <v>345.79999999999808</v>
      </c>
      <c r="G171" s="473"/>
      <c r="H171" s="504">
        <f t="shared" si="50"/>
        <v>7.0000000000000001E-3</v>
      </c>
      <c r="I171" s="14">
        <f t="shared" si="51"/>
        <v>7.0000000000000001E-3</v>
      </c>
      <c r="J171" s="498">
        <f t="shared" si="36"/>
        <v>242.05999999999867</v>
      </c>
      <c r="K171" s="15"/>
      <c r="L171" s="8">
        <f t="shared" si="52"/>
        <v>6.9858585858585478</v>
      </c>
      <c r="M171" s="8">
        <f t="shared" si="53"/>
        <v>9.0909090909090917</v>
      </c>
      <c r="N171" s="499" t="str">
        <f t="shared" si="37"/>
        <v/>
      </c>
      <c r="O171" s="4"/>
      <c r="P171" s="118"/>
      <c r="Q171" s="118"/>
      <c r="R171" s="4" t="str">
        <f t="shared" ca="1" si="38"/>
        <v>Ok</v>
      </c>
      <c r="S171" s="501">
        <f ca="1">IF(R171="Não","",COUNTIFS($R$9:R171,"Ok"))</f>
        <v>163</v>
      </c>
      <c r="T171" s="6">
        <f t="shared" ca="1" si="39"/>
        <v>46093</v>
      </c>
      <c r="U171" s="501">
        <f t="shared" ca="1" si="40"/>
        <v>345.79999999999808</v>
      </c>
      <c r="V171" s="501">
        <f t="shared" ca="1" si="41"/>
        <v>6.9858585858585478</v>
      </c>
      <c r="W171" s="501">
        <f t="shared" si="42"/>
        <v>0</v>
      </c>
      <c r="X171" s="1">
        <f t="shared" si="43"/>
        <v>0</v>
      </c>
      <c r="Y171" s="1">
        <f t="shared" si="43"/>
        <v>0</v>
      </c>
    </row>
    <row r="172" spans="1:25" s="1" customFormat="1" x14ac:dyDescent="0.25">
      <c r="A172" s="7">
        <f t="shared" si="44"/>
        <v>164</v>
      </c>
      <c r="B172" s="11">
        <f t="shared" si="45"/>
        <v>11</v>
      </c>
      <c r="C172" s="502">
        <f t="shared" si="46"/>
        <v>46094</v>
      </c>
      <c r="D172" s="7">
        <f t="shared" si="47"/>
        <v>100</v>
      </c>
      <c r="E172" s="12">
        <f t="shared" si="48"/>
        <v>0.9</v>
      </c>
      <c r="F172" s="473">
        <f t="shared" si="49"/>
        <v>346.69999999999806</v>
      </c>
      <c r="G172" s="473"/>
      <c r="H172" s="504">
        <f t="shared" si="50"/>
        <v>7.0000000000000001E-3</v>
      </c>
      <c r="I172" s="14">
        <f t="shared" si="51"/>
        <v>7.0000000000000001E-3</v>
      </c>
      <c r="J172" s="498">
        <f t="shared" si="36"/>
        <v>242.68999999999866</v>
      </c>
      <c r="K172" s="15"/>
      <c r="L172" s="8">
        <f t="shared" si="52"/>
        <v>7.0040404040403645</v>
      </c>
      <c r="M172" s="8">
        <f t="shared" si="53"/>
        <v>9.0909090909090917</v>
      </c>
      <c r="N172" s="499" t="str">
        <f t="shared" si="37"/>
        <v/>
      </c>
      <c r="O172" s="4"/>
      <c r="P172" s="118"/>
      <c r="Q172" s="118"/>
      <c r="R172" s="4" t="str">
        <f t="shared" ca="1" si="38"/>
        <v>Ok</v>
      </c>
      <c r="S172" s="501">
        <f ca="1">IF(R172="Não","",COUNTIFS($R$9:R172,"Ok"))</f>
        <v>164</v>
      </c>
      <c r="T172" s="6">
        <f t="shared" ca="1" si="39"/>
        <v>46094</v>
      </c>
      <c r="U172" s="501">
        <f t="shared" ca="1" si="40"/>
        <v>346.69999999999806</v>
      </c>
      <c r="V172" s="501">
        <f t="shared" ca="1" si="41"/>
        <v>7.0040404040403645</v>
      </c>
      <c r="W172" s="501">
        <f t="shared" si="42"/>
        <v>0</v>
      </c>
      <c r="X172" s="1">
        <f t="shared" si="43"/>
        <v>0</v>
      </c>
      <c r="Y172" s="1">
        <f t="shared" si="43"/>
        <v>0</v>
      </c>
    </row>
    <row r="173" spans="1:25" s="1" customFormat="1" x14ac:dyDescent="0.25">
      <c r="A173" s="7">
        <f t="shared" si="44"/>
        <v>165</v>
      </c>
      <c r="B173" s="11">
        <f t="shared" si="45"/>
        <v>11</v>
      </c>
      <c r="C173" s="502">
        <f t="shared" si="46"/>
        <v>46095</v>
      </c>
      <c r="D173" s="7">
        <f t="shared" si="47"/>
        <v>100</v>
      </c>
      <c r="E173" s="12">
        <f t="shared" si="48"/>
        <v>0.9</v>
      </c>
      <c r="F173" s="473">
        <f t="shared" si="49"/>
        <v>347.59999999999803</v>
      </c>
      <c r="G173" s="473"/>
      <c r="H173" s="504">
        <f t="shared" si="50"/>
        <v>7.0000000000000001E-3</v>
      </c>
      <c r="I173" s="14">
        <f t="shared" si="51"/>
        <v>7.0000000000000001E-3</v>
      </c>
      <c r="J173" s="498">
        <f t="shared" si="36"/>
        <v>243.31999999999866</v>
      </c>
      <c r="K173" s="15"/>
      <c r="L173" s="8">
        <f t="shared" si="52"/>
        <v>7.0222222222221831</v>
      </c>
      <c r="M173" s="8">
        <f t="shared" si="53"/>
        <v>9.0909090909090917</v>
      </c>
      <c r="N173" s="499" t="str">
        <f t="shared" si="37"/>
        <v/>
      </c>
      <c r="O173" s="4"/>
      <c r="P173" s="118"/>
      <c r="Q173" s="118"/>
      <c r="R173" s="4" t="str">
        <f t="shared" ca="1" si="38"/>
        <v>Ok</v>
      </c>
      <c r="S173" s="501">
        <f ca="1">IF(R173="Não","",COUNTIFS($R$9:R173,"Ok"))</f>
        <v>165</v>
      </c>
      <c r="T173" s="6">
        <f t="shared" ca="1" si="39"/>
        <v>46095</v>
      </c>
      <c r="U173" s="501">
        <f t="shared" ca="1" si="40"/>
        <v>347.59999999999803</v>
      </c>
      <c r="V173" s="501">
        <f t="shared" ca="1" si="41"/>
        <v>7.0222222222221831</v>
      </c>
      <c r="W173" s="501">
        <f t="shared" si="42"/>
        <v>0</v>
      </c>
      <c r="X173" s="1">
        <f t="shared" si="43"/>
        <v>0</v>
      </c>
      <c r="Y173" s="1">
        <f t="shared" si="43"/>
        <v>0</v>
      </c>
    </row>
    <row r="174" spans="1:25" s="1" customFormat="1" x14ac:dyDescent="0.25">
      <c r="A174" s="7">
        <f t="shared" si="44"/>
        <v>166</v>
      </c>
      <c r="B174" s="11">
        <f t="shared" si="45"/>
        <v>11</v>
      </c>
      <c r="C174" s="502">
        <f t="shared" si="46"/>
        <v>46096</v>
      </c>
      <c r="D174" s="7">
        <f t="shared" si="47"/>
        <v>100</v>
      </c>
      <c r="E174" s="12">
        <f t="shared" si="48"/>
        <v>0.9</v>
      </c>
      <c r="F174" s="473">
        <f t="shared" si="49"/>
        <v>348.49999999999801</v>
      </c>
      <c r="G174" s="473"/>
      <c r="H174" s="504">
        <f t="shared" si="50"/>
        <v>7.0000000000000001E-3</v>
      </c>
      <c r="I174" s="14">
        <f t="shared" si="51"/>
        <v>7.0000000000000001E-3</v>
      </c>
      <c r="J174" s="498">
        <f t="shared" si="36"/>
        <v>243.9499999999986</v>
      </c>
      <c r="K174" s="15"/>
      <c r="L174" s="8">
        <f t="shared" si="52"/>
        <v>7.0404040404039998</v>
      </c>
      <c r="M174" s="8">
        <f t="shared" si="53"/>
        <v>9.0909090909090917</v>
      </c>
      <c r="N174" s="499" t="str">
        <f t="shared" si="37"/>
        <v/>
      </c>
      <c r="O174" s="4"/>
      <c r="P174" s="118"/>
      <c r="Q174" s="118"/>
      <c r="R174" s="4" t="str">
        <f t="shared" ca="1" si="38"/>
        <v>Ok</v>
      </c>
      <c r="S174" s="501">
        <f ca="1">IF(R174="Não","",COUNTIFS($R$9:R174,"Ok"))</f>
        <v>166</v>
      </c>
      <c r="T174" s="6">
        <f t="shared" ca="1" si="39"/>
        <v>46096</v>
      </c>
      <c r="U174" s="501">
        <f t="shared" ca="1" si="40"/>
        <v>348.49999999999801</v>
      </c>
      <c r="V174" s="501">
        <f t="shared" ca="1" si="41"/>
        <v>7.0404040404039998</v>
      </c>
      <c r="W174" s="501">
        <f t="shared" si="42"/>
        <v>0</v>
      </c>
      <c r="X174" s="1">
        <f t="shared" si="43"/>
        <v>0</v>
      </c>
      <c r="Y174" s="1">
        <f t="shared" si="43"/>
        <v>0</v>
      </c>
    </row>
    <row r="175" spans="1:25" s="1" customFormat="1" x14ac:dyDescent="0.25">
      <c r="A175" s="7">
        <f t="shared" si="44"/>
        <v>167</v>
      </c>
      <c r="B175" s="11">
        <f t="shared" si="45"/>
        <v>11</v>
      </c>
      <c r="C175" s="502">
        <f t="shared" si="46"/>
        <v>46097</v>
      </c>
      <c r="D175" s="7">
        <f t="shared" si="47"/>
        <v>100</v>
      </c>
      <c r="E175" s="12">
        <f t="shared" si="48"/>
        <v>0.9</v>
      </c>
      <c r="F175" s="473">
        <f t="shared" si="49"/>
        <v>349.39999999999799</v>
      </c>
      <c r="G175" s="473"/>
      <c r="H175" s="504">
        <f t="shared" si="50"/>
        <v>7.0000000000000001E-3</v>
      </c>
      <c r="I175" s="14">
        <f t="shared" si="51"/>
        <v>7.0000000000000001E-3</v>
      </c>
      <c r="J175" s="498">
        <f t="shared" si="36"/>
        <v>244.57999999999859</v>
      </c>
      <c r="K175" s="15"/>
      <c r="L175" s="8">
        <f t="shared" si="52"/>
        <v>7.0585858585858174</v>
      </c>
      <c r="M175" s="8">
        <f t="shared" si="53"/>
        <v>9.0909090909090917</v>
      </c>
      <c r="N175" s="499" t="str">
        <f t="shared" si="37"/>
        <v/>
      </c>
      <c r="O175" s="4"/>
      <c r="P175" s="118"/>
      <c r="Q175" s="118"/>
      <c r="R175" s="4" t="str">
        <f t="shared" ca="1" si="38"/>
        <v>Ok</v>
      </c>
      <c r="S175" s="501">
        <f ca="1">IF(R175="Não","",COUNTIFS($R$9:R175,"Ok"))</f>
        <v>167</v>
      </c>
      <c r="T175" s="6">
        <f t="shared" ca="1" si="39"/>
        <v>46097</v>
      </c>
      <c r="U175" s="501">
        <f t="shared" ca="1" si="40"/>
        <v>349.39999999999799</v>
      </c>
      <c r="V175" s="501">
        <f t="shared" ca="1" si="41"/>
        <v>7.0585858585858174</v>
      </c>
      <c r="W175" s="501">
        <f t="shared" si="42"/>
        <v>0</v>
      </c>
      <c r="X175" s="1">
        <f t="shared" si="43"/>
        <v>0</v>
      </c>
      <c r="Y175" s="1">
        <f t="shared" si="43"/>
        <v>0</v>
      </c>
    </row>
    <row r="176" spans="1:25" s="1" customFormat="1" x14ac:dyDescent="0.25">
      <c r="A176" s="7">
        <f t="shared" si="44"/>
        <v>168</v>
      </c>
      <c r="B176" s="11">
        <f t="shared" si="45"/>
        <v>11</v>
      </c>
      <c r="C176" s="502">
        <f t="shared" si="46"/>
        <v>46098</v>
      </c>
      <c r="D176" s="7">
        <f t="shared" si="47"/>
        <v>100</v>
      </c>
      <c r="E176" s="12">
        <f t="shared" si="48"/>
        <v>0.9</v>
      </c>
      <c r="F176" s="473">
        <f t="shared" si="49"/>
        <v>350.29999999999797</v>
      </c>
      <c r="G176" s="473"/>
      <c r="H176" s="504">
        <f t="shared" si="50"/>
        <v>7.0000000000000001E-3</v>
      </c>
      <c r="I176" s="14">
        <f t="shared" si="51"/>
        <v>7.0000000000000001E-3</v>
      </c>
      <c r="J176" s="498">
        <f t="shared" si="36"/>
        <v>245.20999999999859</v>
      </c>
      <c r="K176" s="15"/>
      <c r="L176" s="8">
        <f t="shared" si="52"/>
        <v>7.076767676767636</v>
      </c>
      <c r="M176" s="8">
        <f t="shared" si="53"/>
        <v>9.0909090909090917</v>
      </c>
      <c r="N176" s="499" t="str">
        <f t="shared" si="37"/>
        <v/>
      </c>
      <c r="O176" s="4"/>
      <c r="P176" s="118"/>
      <c r="Q176" s="118"/>
      <c r="R176" s="4" t="str">
        <f t="shared" ca="1" si="38"/>
        <v>Ok</v>
      </c>
      <c r="S176" s="501">
        <f ca="1">IF(R176="Não","",COUNTIFS($R$9:R176,"Ok"))</f>
        <v>168</v>
      </c>
      <c r="T176" s="6">
        <f t="shared" ca="1" si="39"/>
        <v>46098</v>
      </c>
      <c r="U176" s="501">
        <f t="shared" ca="1" si="40"/>
        <v>350.29999999999797</v>
      </c>
      <c r="V176" s="501">
        <f t="shared" ca="1" si="41"/>
        <v>7.076767676767636</v>
      </c>
      <c r="W176" s="501">
        <f t="shared" si="42"/>
        <v>0</v>
      </c>
      <c r="X176" s="1">
        <f t="shared" si="43"/>
        <v>0</v>
      </c>
      <c r="Y176" s="1">
        <f t="shared" si="43"/>
        <v>0</v>
      </c>
    </row>
    <row r="177" spans="1:25" s="1" customFormat="1" x14ac:dyDescent="0.25">
      <c r="A177" s="7">
        <f t="shared" si="44"/>
        <v>169</v>
      </c>
      <c r="B177" s="11">
        <f t="shared" si="45"/>
        <v>11</v>
      </c>
      <c r="C177" s="502">
        <f t="shared" si="46"/>
        <v>46099</v>
      </c>
      <c r="D177" s="7">
        <f t="shared" si="47"/>
        <v>100</v>
      </c>
      <c r="E177" s="12">
        <f t="shared" si="48"/>
        <v>0.9</v>
      </c>
      <c r="F177" s="473">
        <f t="shared" si="49"/>
        <v>351.19999999999794</v>
      </c>
      <c r="G177" s="473"/>
      <c r="H177" s="504">
        <f t="shared" si="50"/>
        <v>7.0000000000000001E-3</v>
      </c>
      <c r="I177" s="14">
        <f t="shared" si="51"/>
        <v>7.0000000000000001E-3</v>
      </c>
      <c r="J177" s="498">
        <f t="shared" si="36"/>
        <v>245.83999999999855</v>
      </c>
      <c r="K177" s="15"/>
      <c r="L177" s="8">
        <f t="shared" si="52"/>
        <v>7.0949494949494545</v>
      </c>
      <c r="M177" s="8">
        <f t="shared" si="53"/>
        <v>9.0909090909090917</v>
      </c>
      <c r="N177" s="499" t="str">
        <f t="shared" si="37"/>
        <v/>
      </c>
      <c r="O177" s="4"/>
      <c r="P177" s="118"/>
      <c r="Q177" s="118"/>
      <c r="R177" s="4" t="str">
        <f t="shared" ca="1" si="38"/>
        <v>Ok</v>
      </c>
      <c r="S177" s="501">
        <f ca="1">IF(R177="Não","",COUNTIFS($R$9:R177,"Ok"))</f>
        <v>169</v>
      </c>
      <c r="T177" s="6">
        <f t="shared" ca="1" si="39"/>
        <v>46099</v>
      </c>
      <c r="U177" s="501">
        <f t="shared" ca="1" si="40"/>
        <v>351.19999999999794</v>
      </c>
      <c r="V177" s="501">
        <f t="shared" ca="1" si="41"/>
        <v>7.0949494949494545</v>
      </c>
      <c r="W177" s="501">
        <f t="shared" si="42"/>
        <v>0</v>
      </c>
      <c r="X177" s="1">
        <f t="shared" si="43"/>
        <v>0</v>
      </c>
      <c r="Y177" s="1">
        <f t="shared" si="43"/>
        <v>0</v>
      </c>
    </row>
    <row r="178" spans="1:25" s="1" customFormat="1" x14ac:dyDescent="0.25">
      <c r="A178" s="7">
        <f t="shared" si="44"/>
        <v>170</v>
      </c>
      <c r="B178" s="11">
        <f t="shared" si="45"/>
        <v>11</v>
      </c>
      <c r="C178" s="502">
        <f t="shared" si="46"/>
        <v>46100</v>
      </c>
      <c r="D178" s="7">
        <f t="shared" si="47"/>
        <v>100</v>
      </c>
      <c r="E178" s="12">
        <f t="shared" si="48"/>
        <v>0.9</v>
      </c>
      <c r="F178" s="473">
        <f t="shared" si="49"/>
        <v>352.09999999999792</v>
      </c>
      <c r="G178" s="473"/>
      <c r="H178" s="504">
        <f t="shared" si="50"/>
        <v>7.0000000000000001E-3</v>
      </c>
      <c r="I178" s="14">
        <f t="shared" si="51"/>
        <v>7.0000000000000001E-3</v>
      </c>
      <c r="J178" s="498">
        <f t="shared" si="36"/>
        <v>246.46999999999855</v>
      </c>
      <c r="K178" s="15"/>
      <c r="L178" s="8">
        <f t="shared" si="52"/>
        <v>7.1131313131312703</v>
      </c>
      <c r="M178" s="8">
        <f t="shared" si="53"/>
        <v>9.0909090909090917</v>
      </c>
      <c r="N178" s="499" t="str">
        <f t="shared" si="37"/>
        <v/>
      </c>
      <c r="O178" s="4"/>
      <c r="P178" s="118"/>
      <c r="Q178" s="118"/>
      <c r="R178" s="4" t="str">
        <f t="shared" ca="1" si="38"/>
        <v>Ok</v>
      </c>
      <c r="S178" s="501">
        <f ca="1">IF(R178="Não","",COUNTIFS($R$9:R178,"Ok"))</f>
        <v>170</v>
      </c>
      <c r="T178" s="6">
        <f t="shared" ca="1" si="39"/>
        <v>46100</v>
      </c>
      <c r="U178" s="501">
        <f t="shared" ca="1" si="40"/>
        <v>352.09999999999792</v>
      </c>
      <c r="V178" s="501">
        <f t="shared" ca="1" si="41"/>
        <v>7.1131313131312703</v>
      </c>
      <c r="W178" s="501">
        <f t="shared" si="42"/>
        <v>0</v>
      </c>
      <c r="X178" s="1">
        <f t="shared" si="43"/>
        <v>0</v>
      </c>
      <c r="Y178" s="1">
        <f t="shared" si="43"/>
        <v>0</v>
      </c>
    </row>
    <row r="179" spans="1:25" s="1" customFormat="1" x14ac:dyDescent="0.25">
      <c r="A179" s="7">
        <f t="shared" si="44"/>
        <v>171</v>
      </c>
      <c r="B179" s="11">
        <f t="shared" si="45"/>
        <v>11</v>
      </c>
      <c r="C179" s="502">
        <f t="shared" si="46"/>
        <v>46101</v>
      </c>
      <c r="D179" s="7">
        <f t="shared" si="47"/>
        <v>100</v>
      </c>
      <c r="E179" s="12">
        <f t="shared" si="48"/>
        <v>0.9</v>
      </c>
      <c r="F179" s="473">
        <f t="shared" si="49"/>
        <v>352.9999999999979</v>
      </c>
      <c r="G179" s="473"/>
      <c r="H179" s="504">
        <f t="shared" si="50"/>
        <v>7.0000000000000001E-3</v>
      </c>
      <c r="I179" s="14">
        <f t="shared" si="51"/>
        <v>7.0000000000000001E-3</v>
      </c>
      <c r="J179" s="498">
        <f t="shared" si="36"/>
        <v>247.09999999999854</v>
      </c>
      <c r="K179" s="15"/>
      <c r="L179" s="8">
        <f t="shared" si="52"/>
        <v>7.1313131313130889</v>
      </c>
      <c r="M179" s="8">
        <f t="shared" si="53"/>
        <v>9.0909090909090917</v>
      </c>
      <c r="N179" s="499" t="str">
        <f t="shared" si="37"/>
        <v/>
      </c>
      <c r="O179" s="4"/>
      <c r="P179" s="118"/>
      <c r="Q179" s="118"/>
      <c r="R179" s="4" t="str">
        <f t="shared" ca="1" si="38"/>
        <v>Ok</v>
      </c>
      <c r="S179" s="501">
        <f ca="1">IF(R179="Não","",COUNTIFS($R$9:R179,"Ok"))</f>
        <v>171</v>
      </c>
      <c r="T179" s="6">
        <f t="shared" ca="1" si="39"/>
        <v>46101</v>
      </c>
      <c r="U179" s="501">
        <f t="shared" ca="1" si="40"/>
        <v>352.9999999999979</v>
      </c>
      <c r="V179" s="501">
        <f t="shared" ca="1" si="41"/>
        <v>7.1313131313130889</v>
      </c>
      <c r="W179" s="501">
        <f t="shared" si="42"/>
        <v>0</v>
      </c>
      <c r="X179" s="1">
        <f t="shared" si="43"/>
        <v>0</v>
      </c>
      <c r="Y179" s="1">
        <f t="shared" si="43"/>
        <v>0</v>
      </c>
    </row>
    <row r="180" spans="1:25" s="1" customFormat="1" x14ac:dyDescent="0.25">
      <c r="A180" s="7">
        <f t="shared" si="44"/>
        <v>172</v>
      </c>
      <c r="B180" s="11">
        <f t="shared" si="45"/>
        <v>11</v>
      </c>
      <c r="C180" s="502">
        <f t="shared" si="46"/>
        <v>46102</v>
      </c>
      <c r="D180" s="7">
        <f t="shared" si="47"/>
        <v>100</v>
      </c>
      <c r="E180" s="12">
        <f t="shared" si="48"/>
        <v>0.9</v>
      </c>
      <c r="F180" s="473">
        <f t="shared" si="49"/>
        <v>353.89999999999787</v>
      </c>
      <c r="G180" s="473"/>
      <c r="H180" s="504">
        <f t="shared" si="50"/>
        <v>7.0000000000000001E-3</v>
      </c>
      <c r="I180" s="14">
        <f t="shared" si="51"/>
        <v>7.0000000000000001E-3</v>
      </c>
      <c r="J180" s="498">
        <f t="shared" si="36"/>
        <v>247.72999999999848</v>
      </c>
      <c r="K180" s="15"/>
      <c r="L180" s="8">
        <f t="shared" si="52"/>
        <v>7.1494949494949074</v>
      </c>
      <c r="M180" s="8">
        <f t="shared" si="53"/>
        <v>9.0909090909090917</v>
      </c>
      <c r="N180" s="499" t="str">
        <f t="shared" si="37"/>
        <v/>
      </c>
      <c r="O180" s="4"/>
      <c r="P180" s="118"/>
      <c r="Q180" s="118"/>
      <c r="R180" s="4" t="str">
        <f t="shared" ca="1" si="38"/>
        <v>Ok</v>
      </c>
      <c r="S180" s="501">
        <f ca="1">IF(R180="Não","",COUNTIFS($R$9:R180,"Ok"))</f>
        <v>172</v>
      </c>
      <c r="T180" s="6">
        <f t="shared" ca="1" si="39"/>
        <v>46102</v>
      </c>
      <c r="U180" s="501">
        <f t="shared" ca="1" si="40"/>
        <v>353.89999999999787</v>
      </c>
      <c r="V180" s="501">
        <f t="shared" ca="1" si="41"/>
        <v>7.1494949494949074</v>
      </c>
      <c r="W180" s="501">
        <f t="shared" si="42"/>
        <v>0</v>
      </c>
      <c r="X180" s="1">
        <f t="shared" si="43"/>
        <v>0</v>
      </c>
      <c r="Y180" s="1">
        <f t="shared" si="43"/>
        <v>0</v>
      </c>
    </row>
    <row r="181" spans="1:25" s="1" customFormat="1" x14ac:dyDescent="0.25">
      <c r="A181" s="7">
        <f t="shared" si="44"/>
        <v>173</v>
      </c>
      <c r="B181" s="11">
        <f t="shared" si="45"/>
        <v>11</v>
      </c>
      <c r="C181" s="502">
        <f t="shared" si="46"/>
        <v>46103</v>
      </c>
      <c r="D181" s="7">
        <f t="shared" si="47"/>
        <v>100</v>
      </c>
      <c r="E181" s="12">
        <f t="shared" si="48"/>
        <v>0.9</v>
      </c>
      <c r="F181" s="473">
        <f t="shared" si="49"/>
        <v>354.79999999999785</v>
      </c>
      <c r="G181" s="473"/>
      <c r="H181" s="504">
        <f t="shared" si="50"/>
        <v>7.0000000000000001E-3</v>
      </c>
      <c r="I181" s="14">
        <f t="shared" si="51"/>
        <v>7.0000000000000001E-3</v>
      </c>
      <c r="J181" s="498">
        <f t="shared" si="36"/>
        <v>248.35999999999848</v>
      </c>
      <c r="K181" s="15"/>
      <c r="L181" s="8">
        <f t="shared" si="52"/>
        <v>7.1676767676767241</v>
      </c>
      <c r="M181" s="8">
        <f t="shared" si="53"/>
        <v>9.0909090909090917</v>
      </c>
      <c r="N181" s="499" t="str">
        <f t="shared" si="37"/>
        <v/>
      </c>
      <c r="O181" s="4"/>
      <c r="P181" s="118"/>
      <c r="Q181" s="118"/>
      <c r="R181" s="4" t="str">
        <f t="shared" ca="1" si="38"/>
        <v>Ok</v>
      </c>
      <c r="S181" s="501">
        <f ca="1">IF(R181="Não","",COUNTIFS($R$9:R181,"Ok"))</f>
        <v>173</v>
      </c>
      <c r="T181" s="6">
        <f t="shared" ca="1" si="39"/>
        <v>46103</v>
      </c>
      <c r="U181" s="501">
        <f t="shared" ca="1" si="40"/>
        <v>354.79999999999785</v>
      </c>
      <c r="V181" s="501">
        <f t="shared" ca="1" si="41"/>
        <v>7.1676767676767241</v>
      </c>
      <c r="W181" s="501">
        <f t="shared" si="42"/>
        <v>0</v>
      </c>
      <c r="X181" s="1">
        <f t="shared" si="43"/>
        <v>0</v>
      </c>
      <c r="Y181" s="1">
        <f t="shared" si="43"/>
        <v>0</v>
      </c>
    </row>
    <row r="182" spans="1:25" s="1" customFormat="1" x14ac:dyDescent="0.25">
      <c r="A182" s="7">
        <f t="shared" si="44"/>
        <v>174</v>
      </c>
      <c r="B182" s="11">
        <f t="shared" si="45"/>
        <v>11</v>
      </c>
      <c r="C182" s="502">
        <f t="shared" si="46"/>
        <v>46104</v>
      </c>
      <c r="D182" s="7">
        <f t="shared" si="47"/>
        <v>100</v>
      </c>
      <c r="E182" s="12">
        <f t="shared" si="48"/>
        <v>0.9</v>
      </c>
      <c r="F182" s="473">
        <f t="shared" si="49"/>
        <v>355.69999999999783</v>
      </c>
      <c r="G182" s="473"/>
      <c r="H182" s="504">
        <f t="shared" si="50"/>
        <v>7.0000000000000001E-3</v>
      </c>
      <c r="I182" s="14">
        <f t="shared" si="51"/>
        <v>7.0000000000000001E-3</v>
      </c>
      <c r="J182" s="498">
        <f t="shared" si="36"/>
        <v>248.9899999999985</v>
      </c>
      <c r="K182" s="15"/>
      <c r="L182" s="8">
        <f t="shared" si="52"/>
        <v>7.1858585858585409</v>
      </c>
      <c r="M182" s="8">
        <f t="shared" si="53"/>
        <v>9.0909090909090917</v>
      </c>
      <c r="N182" s="499" t="str">
        <f t="shared" si="37"/>
        <v/>
      </c>
      <c r="O182" s="4"/>
      <c r="P182" s="118"/>
      <c r="Q182" s="118"/>
      <c r="R182" s="4" t="str">
        <f t="shared" ca="1" si="38"/>
        <v>Ok</v>
      </c>
      <c r="S182" s="501">
        <f ca="1">IF(R182="Não","",COUNTIFS($R$9:R182,"Ok"))</f>
        <v>174</v>
      </c>
      <c r="T182" s="6">
        <f t="shared" ca="1" si="39"/>
        <v>46104</v>
      </c>
      <c r="U182" s="501">
        <f t="shared" ca="1" si="40"/>
        <v>355.69999999999783</v>
      </c>
      <c r="V182" s="501">
        <f t="shared" ca="1" si="41"/>
        <v>7.1858585858585409</v>
      </c>
      <c r="W182" s="501">
        <f t="shared" si="42"/>
        <v>0</v>
      </c>
      <c r="X182" s="1">
        <f t="shared" si="43"/>
        <v>0</v>
      </c>
      <c r="Y182" s="1">
        <f t="shared" si="43"/>
        <v>0</v>
      </c>
    </row>
    <row r="183" spans="1:25" s="1" customFormat="1" x14ac:dyDescent="0.25">
      <c r="A183" s="7">
        <f t="shared" si="44"/>
        <v>175</v>
      </c>
      <c r="B183" s="11">
        <f t="shared" si="45"/>
        <v>11</v>
      </c>
      <c r="C183" s="502">
        <f t="shared" si="46"/>
        <v>46105</v>
      </c>
      <c r="D183" s="7">
        <f t="shared" si="47"/>
        <v>100</v>
      </c>
      <c r="E183" s="12">
        <f t="shared" si="48"/>
        <v>0.9</v>
      </c>
      <c r="F183" s="473">
        <f t="shared" si="49"/>
        <v>356.59999999999781</v>
      </c>
      <c r="G183" s="473"/>
      <c r="H183" s="504">
        <f t="shared" si="50"/>
        <v>7.0000000000000001E-3</v>
      </c>
      <c r="I183" s="14">
        <f t="shared" si="51"/>
        <v>7.0000000000000001E-3</v>
      </c>
      <c r="J183" s="498">
        <f t="shared" si="36"/>
        <v>249.6199999999985</v>
      </c>
      <c r="K183" s="15"/>
      <c r="L183" s="8">
        <f t="shared" si="52"/>
        <v>7.2040404040403594</v>
      </c>
      <c r="M183" s="8">
        <f t="shared" si="53"/>
        <v>9.0909090909090917</v>
      </c>
      <c r="N183" s="499" t="str">
        <f t="shared" si="37"/>
        <v/>
      </c>
      <c r="O183" s="4"/>
      <c r="P183" s="118"/>
      <c r="Q183" s="118"/>
      <c r="R183" s="4" t="str">
        <f t="shared" ca="1" si="38"/>
        <v>Ok</v>
      </c>
      <c r="S183" s="501">
        <f ca="1">IF(R183="Não","",COUNTIFS($R$9:R183,"Ok"))</f>
        <v>175</v>
      </c>
      <c r="T183" s="6">
        <f t="shared" ca="1" si="39"/>
        <v>46105</v>
      </c>
      <c r="U183" s="501">
        <f t="shared" ca="1" si="40"/>
        <v>356.59999999999781</v>
      </c>
      <c r="V183" s="501">
        <f t="shared" ca="1" si="41"/>
        <v>7.2040404040403594</v>
      </c>
      <c r="W183" s="501">
        <f t="shared" si="42"/>
        <v>0</v>
      </c>
      <c r="X183" s="1">
        <f t="shared" si="43"/>
        <v>0</v>
      </c>
      <c r="Y183" s="1">
        <f t="shared" si="43"/>
        <v>0</v>
      </c>
    </row>
    <row r="184" spans="1:25" s="1" customFormat="1" x14ac:dyDescent="0.25">
      <c r="A184" s="7">
        <f t="shared" si="44"/>
        <v>176</v>
      </c>
      <c r="B184" s="11">
        <f t="shared" si="45"/>
        <v>11</v>
      </c>
      <c r="C184" s="502">
        <f t="shared" si="46"/>
        <v>46106</v>
      </c>
      <c r="D184" s="7">
        <f t="shared" si="47"/>
        <v>100</v>
      </c>
      <c r="E184" s="12">
        <f t="shared" si="48"/>
        <v>0.9</v>
      </c>
      <c r="F184" s="473">
        <f t="shared" si="49"/>
        <v>357.49999999999778</v>
      </c>
      <c r="G184" s="473"/>
      <c r="H184" s="504">
        <f t="shared" si="50"/>
        <v>7.0000000000000001E-3</v>
      </c>
      <c r="I184" s="14">
        <f t="shared" si="51"/>
        <v>7.0000000000000001E-3</v>
      </c>
      <c r="J184" s="498">
        <f t="shared" si="36"/>
        <v>250.24999999999844</v>
      </c>
      <c r="K184" s="15"/>
      <c r="L184" s="8">
        <f t="shared" si="52"/>
        <v>7.2222222222221779</v>
      </c>
      <c r="M184" s="8">
        <f t="shared" si="53"/>
        <v>9.0909090909090917</v>
      </c>
      <c r="N184" s="499" t="str">
        <f t="shared" si="37"/>
        <v/>
      </c>
      <c r="O184" s="4"/>
      <c r="P184" s="118"/>
      <c r="Q184" s="118"/>
      <c r="R184" s="4" t="str">
        <f t="shared" ca="1" si="38"/>
        <v>Ok</v>
      </c>
      <c r="S184" s="501">
        <f ca="1">IF(R184="Não","",COUNTIFS($R$9:R184,"Ok"))</f>
        <v>176</v>
      </c>
      <c r="T184" s="6">
        <f t="shared" ca="1" si="39"/>
        <v>46106</v>
      </c>
      <c r="U184" s="501">
        <f t="shared" ca="1" si="40"/>
        <v>357.49999999999778</v>
      </c>
      <c r="V184" s="501">
        <f t="shared" ca="1" si="41"/>
        <v>7.2222222222221779</v>
      </c>
      <c r="W184" s="501">
        <f t="shared" si="42"/>
        <v>0</v>
      </c>
      <c r="X184" s="1">
        <f t="shared" si="43"/>
        <v>0</v>
      </c>
      <c r="Y184" s="1">
        <f t="shared" si="43"/>
        <v>0</v>
      </c>
    </row>
    <row r="185" spans="1:25" s="1" customFormat="1" x14ac:dyDescent="0.25">
      <c r="A185" s="7">
        <f t="shared" si="44"/>
        <v>177</v>
      </c>
      <c r="B185" s="11">
        <f t="shared" si="45"/>
        <v>11</v>
      </c>
      <c r="C185" s="502">
        <f t="shared" si="46"/>
        <v>46107</v>
      </c>
      <c r="D185" s="7">
        <f t="shared" si="47"/>
        <v>100</v>
      </c>
      <c r="E185" s="12">
        <f t="shared" si="48"/>
        <v>0.9</v>
      </c>
      <c r="F185" s="473">
        <f t="shared" si="49"/>
        <v>358.39999999999776</v>
      </c>
      <c r="G185" s="473"/>
      <c r="H185" s="504">
        <f t="shared" si="50"/>
        <v>7.0000000000000001E-3</v>
      </c>
      <c r="I185" s="14">
        <f t="shared" si="51"/>
        <v>7.0000000000000001E-3</v>
      </c>
      <c r="J185" s="498">
        <f t="shared" si="36"/>
        <v>250.87999999999843</v>
      </c>
      <c r="K185" s="15"/>
      <c r="L185" s="8">
        <f t="shared" si="52"/>
        <v>7.2404040404039955</v>
      </c>
      <c r="M185" s="8">
        <f t="shared" si="53"/>
        <v>9.0909090909090917</v>
      </c>
      <c r="N185" s="499" t="str">
        <f t="shared" si="37"/>
        <v/>
      </c>
      <c r="O185" s="4"/>
      <c r="P185" s="118"/>
      <c r="Q185" s="118"/>
      <c r="R185" s="4" t="str">
        <f t="shared" ca="1" si="38"/>
        <v>Ok</v>
      </c>
      <c r="S185" s="501">
        <f ca="1">IF(R185="Não","",COUNTIFS($R$9:R185,"Ok"))</f>
        <v>177</v>
      </c>
      <c r="T185" s="6">
        <f t="shared" ca="1" si="39"/>
        <v>46107</v>
      </c>
      <c r="U185" s="501">
        <f t="shared" ca="1" si="40"/>
        <v>358.39999999999776</v>
      </c>
      <c r="V185" s="501">
        <f t="shared" ca="1" si="41"/>
        <v>7.2404040404039955</v>
      </c>
      <c r="W185" s="501">
        <f t="shared" si="42"/>
        <v>0</v>
      </c>
      <c r="X185" s="1">
        <f t="shared" si="43"/>
        <v>0</v>
      </c>
      <c r="Y185" s="1">
        <f t="shared" si="43"/>
        <v>0</v>
      </c>
    </row>
    <row r="186" spans="1:25" s="1" customFormat="1" x14ac:dyDescent="0.25">
      <c r="A186" s="7">
        <f t="shared" si="44"/>
        <v>178</v>
      </c>
      <c r="B186" s="11">
        <f t="shared" si="45"/>
        <v>11</v>
      </c>
      <c r="C186" s="502">
        <f t="shared" si="46"/>
        <v>46108</v>
      </c>
      <c r="D186" s="7">
        <f t="shared" si="47"/>
        <v>100</v>
      </c>
      <c r="E186" s="12">
        <f t="shared" si="48"/>
        <v>0.9</v>
      </c>
      <c r="F186" s="473">
        <f t="shared" si="49"/>
        <v>359.29999999999774</v>
      </c>
      <c r="G186" s="473"/>
      <c r="H186" s="504">
        <f t="shared" si="50"/>
        <v>7.0000000000000001E-3</v>
      </c>
      <c r="I186" s="14">
        <f t="shared" si="51"/>
        <v>7.0000000000000001E-3</v>
      </c>
      <c r="J186" s="498">
        <f t="shared" si="36"/>
        <v>251.50999999999843</v>
      </c>
      <c r="K186" s="15"/>
      <c r="L186" s="8">
        <f t="shared" si="52"/>
        <v>7.2585858585858123</v>
      </c>
      <c r="M186" s="8">
        <f t="shared" si="53"/>
        <v>9.0909090909090917</v>
      </c>
      <c r="N186" s="499" t="str">
        <f t="shared" si="37"/>
        <v/>
      </c>
      <c r="O186" s="4"/>
      <c r="P186" s="118"/>
      <c r="Q186" s="118"/>
      <c r="R186" s="4" t="str">
        <f t="shared" ca="1" si="38"/>
        <v>Ok</v>
      </c>
      <c r="S186" s="501">
        <f ca="1">IF(R186="Não","",COUNTIFS($R$9:R186,"Ok"))</f>
        <v>178</v>
      </c>
      <c r="T186" s="6">
        <f t="shared" ca="1" si="39"/>
        <v>46108</v>
      </c>
      <c r="U186" s="501">
        <f t="shared" ca="1" si="40"/>
        <v>359.29999999999774</v>
      </c>
      <c r="V186" s="501">
        <f t="shared" ca="1" si="41"/>
        <v>7.2585858585858123</v>
      </c>
      <c r="W186" s="501">
        <f t="shared" si="42"/>
        <v>0</v>
      </c>
      <c r="X186" s="1">
        <f t="shared" si="43"/>
        <v>0</v>
      </c>
      <c r="Y186" s="1">
        <f t="shared" si="43"/>
        <v>0</v>
      </c>
    </row>
    <row r="187" spans="1:25" s="1" customFormat="1" x14ac:dyDescent="0.25">
      <c r="A187" s="7">
        <f t="shared" si="44"/>
        <v>179</v>
      </c>
      <c r="B187" s="11">
        <f t="shared" si="45"/>
        <v>11</v>
      </c>
      <c r="C187" s="502">
        <f t="shared" si="46"/>
        <v>46109</v>
      </c>
      <c r="D187" s="7">
        <f t="shared" si="47"/>
        <v>100</v>
      </c>
      <c r="E187" s="12">
        <f t="shared" si="48"/>
        <v>0.9</v>
      </c>
      <c r="F187" s="473">
        <f t="shared" si="49"/>
        <v>360.19999999999771</v>
      </c>
      <c r="G187" s="473"/>
      <c r="H187" s="504">
        <f t="shared" si="50"/>
        <v>7.0000000000000001E-3</v>
      </c>
      <c r="I187" s="14">
        <f t="shared" si="51"/>
        <v>7.0000000000000001E-3</v>
      </c>
      <c r="J187" s="498">
        <f t="shared" si="36"/>
        <v>252.13999999999839</v>
      </c>
      <c r="K187" s="15"/>
      <c r="L187" s="8">
        <f t="shared" si="52"/>
        <v>7.2767676767676308</v>
      </c>
      <c r="M187" s="8">
        <f t="shared" si="53"/>
        <v>9.0909090909090917</v>
      </c>
      <c r="N187" s="499" t="str">
        <f t="shared" si="37"/>
        <v/>
      </c>
      <c r="O187" s="4"/>
      <c r="P187" s="118"/>
      <c r="Q187" s="118"/>
      <c r="R187" s="4" t="str">
        <f t="shared" ca="1" si="38"/>
        <v>Ok</v>
      </c>
      <c r="S187" s="501">
        <f ca="1">IF(R187="Não","",COUNTIFS($R$9:R187,"Ok"))</f>
        <v>179</v>
      </c>
      <c r="T187" s="6">
        <f t="shared" ca="1" si="39"/>
        <v>46109</v>
      </c>
      <c r="U187" s="501">
        <f t="shared" ca="1" si="40"/>
        <v>360.19999999999771</v>
      </c>
      <c r="V187" s="501">
        <f t="shared" ca="1" si="41"/>
        <v>7.2767676767676308</v>
      </c>
      <c r="W187" s="501">
        <f t="shared" si="42"/>
        <v>0</v>
      </c>
      <c r="X187" s="1">
        <f t="shared" si="43"/>
        <v>0</v>
      </c>
      <c r="Y187" s="1">
        <f t="shared" si="43"/>
        <v>0</v>
      </c>
    </row>
    <row r="188" spans="1:25" s="1" customFormat="1" x14ac:dyDescent="0.25">
      <c r="A188" s="7">
        <f t="shared" si="44"/>
        <v>180</v>
      </c>
      <c r="B188" s="11">
        <f t="shared" si="45"/>
        <v>11</v>
      </c>
      <c r="C188" s="502">
        <f t="shared" si="46"/>
        <v>46110</v>
      </c>
      <c r="D188" s="7">
        <f t="shared" si="47"/>
        <v>100</v>
      </c>
      <c r="E188" s="12">
        <f t="shared" si="48"/>
        <v>0.9</v>
      </c>
      <c r="F188" s="473">
        <f t="shared" si="49"/>
        <v>361.09999999999769</v>
      </c>
      <c r="G188" s="473"/>
      <c r="H188" s="504">
        <f t="shared" si="50"/>
        <v>7.0000000000000001E-3</v>
      </c>
      <c r="I188" s="14">
        <f t="shared" si="51"/>
        <v>7.0000000000000001E-3</v>
      </c>
      <c r="J188" s="498">
        <f t="shared" si="36"/>
        <v>252.76999999999839</v>
      </c>
      <c r="K188" s="15"/>
      <c r="L188" s="8">
        <f t="shared" si="52"/>
        <v>7.2949494949494484</v>
      </c>
      <c r="M188" s="8">
        <f t="shared" si="53"/>
        <v>9.0909090909090917</v>
      </c>
      <c r="N188" s="499" t="str">
        <f t="shared" si="37"/>
        <v/>
      </c>
      <c r="O188" s="4"/>
      <c r="P188" s="118"/>
      <c r="Q188" s="118"/>
      <c r="R188" s="4" t="str">
        <f t="shared" ca="1" si="38"/>
        <v>Ok</v>
      </c>
      <c r="S188" s="501">
        <f ca="1">IF(R188="Não","",COUNTIFS($R$9:R188,"Ok"))</f>
        <v>180</v>
      </c>
      <c r="T188" s="6">
        <f t="shared" ca="1" si="39"/>
        <v>46110</v>
      </c>
      <c r="U188" s="501">
        <f t="shared" ca="1" si="40"/>
        <v>361.09999999999769</v>
      </c>
      <c r="V188" s="501">
        <f t="shared" ca="1" si="41"/>
        <v>7.2949494949494484</v>
      </c>
      <c r="W188" s="501">
        <f t="shared" si="42"/>
        <v>0</v>
      </c>
      <c r="X188" s="1">
        <f t="shared" si="43"/>
        <v>0</v>
      </c>
      <c r="Y188" s="1">
        <f t="shared" si="43"/>
        <v>0</v>
      </c>
    </row>
    <row r="189" spans="1:25" s="1" customFormat="1" x14ac:dyDescent="0.25">
      <c r="A189" s="7">
        <f t="shared" si="44"/>
        <v>181</v>
      </c>
      <c r="B189" s="11">
        <f t="shared" si="45"/>
        <v>11</v>
      </c>
      <c r="C189" s="502">
        <f t="shared" si="46"/>
        <v>46111</v>
      </c>
      <c r="D189" s="7">
        <f t="shared" si="47"/>
        <v>100</v>
      </c>
      <c r="E189" s="12">
        <f t="shared" si="48"/>
        <v>0.9</v>
      </c>
      <c r="F189" s="473">
        <f t="shared" si="49"/>
        <v>361.99999999999767</v>
      </c>
      <c r="G189" s="473"/>
      <c r="H189" s="504">
        <f t="shared" si="50"/>
        <v>7.0000000000000001E-3</v>
      </c>
      <c r="I189" s="14">
        <f t="shared" si="51"/>
        <v>7.0000000000000001E-3</v>
      </c>
      <c r="J189" s="498">
        <f t="shared" si="36"/>
        <v>253.39999999999839</v>
      </c>
      <c r="K189" s="15"/>
      <c r="L189" s="8">
        <f t="shared" si="52"/>
        <v>7.3131313131312661</v>
      </c>
      <c r="M189" s="8">
        <f t="shared" si="53"/>
        <v>9.0909090909090917</v>
      </c>
      <c r="N189" s="499" t="str">
        <f t="shared" si="37"/>
        <v/>
      </c>
      <c r="O189" s="4"/>
      <c r="P189" s="118"/>
      <c r="Q189" s="118"/>
      <c r="R189" s="4" t="str">
        <f t="shared" ca="1" si="38"/>
        <v>Ok</v>
      </c>
      <c r="S189" s="501">
        <f ca="1">IF(R189="Não","",COUNTIFS($R$9:R189,"Ok"))</f>
        <v>181</v>
      </c>
      <c r="T189" s="6">
        <f t="shared" ca="1" si="39"/>
        <v>46111</v>
      </c>
      <c r="U189" s="501">
        <f t="shared" ca="1" si="40"/>
        <v>361.99999999999767</v>
      </c>
      <c r="V189" s="501">
        <f t="shared" ca="1" si="41"/>
        <v>7.3131313131312661</v>
      </c>
      <c r="W189" s="501">
        <f t="shared" si="42"/>
        <v>0</v>
      </c>
      <c r="X189" s="1">
        <f t="shared" si="43"/>
        <v>0</v>
      </c>
      <c r="Y189" s="1">
        <f t="shared" si="43"/>
        <v>0</v>
      </c>
    </row>
    <row r="190" spans="1:25" s="1" customFormat="1" x14ac:dyDescent="0.25">
      <c r="A190" s="7">
        <f t="shared" si="44"/>
        <v>182</v>
      </c>
      <c r="B190" s="11">
        <f t="shared" si="45"/>
        <v>11</v>
      </c>
      <c r="C190" s="502">
        <f t="shared" si="46"/>
        <v>46112</v>
      </c>
      <c r="D190" s="7">
        <f t="shared" si="47"/>
        <v>100</v>
      </c>
      <c r="E190" s="12">
        <f t="shared" si="48"/>
        <v>0.9</v>
      </c>
      <c r="F190" s="473">
        <f t="shared" si="49"/>
        <v>362.89999999999765</v>
      </c>
      <c r="G190" s="473"/>
      <c r="H190" s="504">
        <f t="shared" si="50"/>
        <v>7.0000000000000001E-3</v>
      </c>
      <c r="I190" s="14">
        <f t="shared" si="51"/>
        <v>7.0000000000000001E-3</v>
      </c>
      <c r="J190" s="498">
        <f t="shared" si="36"/>
        <v>254.02999999999838</v>
      </c>
      <c r="K190" s="15"/>
      <c r="L190" s="8">
        <f t="shared" si="52"/>
        <v>7.3313131313130846</v>
      </c>
      <c r="M190" s="8">
        <f t="shared" si="53"/>
        <v>9.0909090909090917</v>
      </c>
      <c r="N190" s="499" t="str">
        <f t="shared" si="37"/>
        <v/>
      </c>
      <c r="O190" s="4"/>
      <c r="P190" s="118"/>
      <c r="Q190" s="118"/>
      <c r="R190" s="4" t="str">
        <f t="shared" ca="1" si="38"/>
        <v>Ok</v>
      </c>
      <c r="S190" s="501">
        <f ca="1">IF(R190="Não","",COUNTIFS($R$9:R190,"Ok"))</f>
        <v>182</v>
      </c>
      <c r="T190" s="6">
        <f t="shared" ca="1" si="39"/>
        <v>46112</v>
      </c>
      <c r="U190" s="501">
        <f t="shared" ca="1" si="40"/>
        <v>362.89999999999765</v>
      </c>
      <c r="V190" s="501">
        <f t="shared" ca="1" si="41"/>
        <v>7.3313131313130846</v>
      </c>
      <c r="W190" s="501">
        <f t="shared" si="42"/>
        <v>0</v>
      </c>
      <c r="X190" s="1">
        <f t="shared" si="43"/>
        <v>0</v>
      </c>
      <c r="Y190" s="1">
        <f t="shared" si="43"/>
        <v>0</v>
      </c>
    </row>
    <row r="191" spans="1:25" s="1" customFormat="1" x14ac:dyDescent="0.25">
      <c r="A191" s="7">
        <f t="shared" si="44"/>
        <v>183</v>
      </c>
      <c r="B191" s="11">
        <f t="shared" si="45"/>
        <v>11</v>
      </c>
      <c r="C191" s="502">
        <f t="shared" si="46"/>
        <v>46113</v>
      </c>
      <c r="D191" s="7">
        <f t="shared" si="47"/>
        <v>100</v>
      </c>
      <c r="E191" s="12">
        <f t="shared" si="48"/>
        <v>0.9</v>
      </c>
      <c r="F191" s="473">
        <f t="shared" si="49"/>
        <v>363.79999999999762</v>
      </c>
      <c r="G191" s="473"/>
      <c r="H191" s="504">
        <f t="shared" si="50"/>
        <v>7.0000000000000001E-3</v>
      </c>
      <c r="I191" s="14">
        <f t="shared" si="51"/>
        <v>7.0000000000000001E-3</v>
      </c>
      <c r="J191" s="498">
        <f t="shared" si="36"/>
        <v>254.65999999999832</v>
      </c>
      <c r="K191" s="15"/>
      <c r="L191" s="8">
        <f t="shared" si="52"/>
        <v>7.3494949494949005</v>
      </c>
      <c r="M191" s="8">
        <f t="shared" si="53"/>
        <v>9.0909090909090917</v>
      </c>
      <c r="N191" s="499" t="str">
        <f t="shared" si="37"/>
        <v/>
      </c>
      <c r="O191" s="4"/>
      <c r="P191" s="118"/>
      <c r="Q191" s="118"/>
      <c r="R191" s="4" t="str">
        <f t="shared" ca="1" si="38"/>
        <v>Ok</v>
      </c>
      <c r="S191" s="501">
        <f ca="1">IF(R191="Não","",COUNTIFS($R$9:R191,"Ok"))</f>
        <v>183</v>
      </c>
      <c r="T191" s="6">
        <f t="shared" ca="1" si="39"/>
        <v>46113</v>
      </c>
      <c r="U191" s="501">
        <f t="shared" ca="1" si="40"/>
        <v>363.79999999999762</v>
      </c>
      <c r="V191" s="501">
        <f t="shared" ca="1" si="41"/>
        <v>7.3494949494949005</v>
      </c>
      <c r="W191" s="501">
        <f t="shared" si="42"/>
        <v>0</v>
      </c>
      <c r="X191" s="1">
        <f t="shared" si="43"/>
        <v>0</v>
      </c>
      <c r="Y191" s="1">
        <f t="shared" si="43"/>
        <v>0</v>
      </c>
    </row>
    <row r="192" spans="1:25" s="1" customFormat="1" x14ac:dyDescent="0.25">
      <c r="A192" s="7">
        <f t="shared" si="44"/>
        <v>184</v>
      </c>
      <c r="B192" s="11">
        <f t="shared" si="45"/>
        <v>11</v>
      </c>
      <c r="C192" s="502">
        <f t="shared" si="46"/>
        <v>46114</v>
      </c>
      <c r="D192" s="7">
        <f t="shared" si="47"/>
        <v>100</v>
      </c>
      <c r="E192" s="12">
        <f t="shared" si="48"/>
        <v>0.9</v>
      </c>
      <c r="F192" s="473">
        <f t="shared" si="49"/>
        <v>364.6999999999976</v>
      </c>
      <c r="G192" s="473"/>
      <c r="H192" s="504">
        <f t="shared" si="50"/>
        <v>7.0000000000000001E-3</v>
      </c>
      <c r="I192" s="14">
        <f t="shared" si="51"/>
        <v>7.0000000000000001E-3</v>
      </c>
      <c r="J192" s="498">
        <f t="shared" si="36"/>
        <v>255.28999999999832</v>
      </c>
      <c r="K192" s="15"/>
      <c r="L192" s="8">
        <f t="shared" si="52"/>
        <v>7.367676767676719</v>
      </c>
      <c r="M192" s="8">
        <f t="shared" si="53"/>
        <v>9.0909090909090917</v>
      </c>
      <c r="N192" s="499" t="str">
        <f t="shared" si="37"/>
        <v/>
      </c>
      <c r="O192" s="4"/>
      <c r="P192" s="118"/>
      <c r="Q192" s="118"/>
      <c r="R192" s="4" t="str">
        <f t="shared" ca="1" si="38"/>
        <v>Ok</v>
      </c>
      <c r="S192" s="501">
        <f ca="1">IF(R192="Não","",COUNTIFS($R$9:R192,"Ok"))</f>
        <v>184</v>
      </c>
      <c r="T192" s="6">
        <f t="shared" ca="1" si="39"/>
        <v>46114</v>
      </c>
      <c r="U192" s="501">
        <f t="shared" ca="1" si="40"/>
        <v>364.6999999999976</v>
      </c>
      <c r="V192" s="501">
        <f t="shared" ca="1" si="41"/>
        <v>7.367676767676719</v>
      </c>
      <c r="W192" s="501">
        <f t="shared" si="42"/>
        <v>0</v>
      </c>
      <c r="X192" s="1">
        <f t="shared" si="43"/>
        <v>0</v>
      </c>
      <c r="Y192" s="1">
        <f t="shared" si="43"/>
        <v>0</v>
      </c>
    </row>
    <row r="193" spans="1:25" s="1" customFormat="1" x14ac:dyDescent="0.25">
      <c r="A193" s="7">
        <f t="shared" si="44"/>
        <v>185</v>
      </c>
      <c r="B193" s="11">
        <f t="shared" si="45"/>
        <v>11</v>
      </c>
      <c r="C193" s="502">
        <f t="shared" si="46"/>
        <v>46115</v>
      </c>
      <c r="D193" s="7">
        <f t="shared" si="47"/>
        <v>100</v>
      </c>
      <c r="E193" s="12">
        <f t="shared" si="48"/>
        <v>0.9</v>
      </c>
      <c r="F193" s="473">
        <f t="shared" si="49"/>
        <v>365.59999999999758</v>
      </c>
      <c r="G193" s="473"/>
      <c r="H193" s="504">
        <f t="shared" si="50"/>
        <v>7.0000000000000001E-3</v>
      </c>
      <c r="I193" s="14">
        <f t="shared" si="51"/>
        <v>7.0000000000000001E-3</v>
      </c>
      <c r="J193" s="498">
        <f t="shared" si="36"/>
        <v>255.91999999999834</v>
      </c>
      <c r="K193" s="15"/>
      <c r="L193" s="8">
        <f t="shared" si="52"/>
        <v>7.3858585858585375</v>
      </c>
      <c r="M193" s="8">
        <f t="shared" si="53"/>
        <v>9.0909090909090917</v>
      </c>
      <c r="N193" s="499" t="str">
        <f t="shared" si="37"/>
        <v/>
      </c>
      <c r="O193" s="4"/>
      <c r="P193" s="118"/>
      <c r="Q193" s="118"/>
      <c r="R193" s="4" t="str">
        <f t="shared" ca="1" si="38"/>
        <v>Ok</v>
      </c>
      <c r="S193" s="501">
        <f ca="1">IF(R193="Não","",COUNTIFS($R$9:R193,"Ok"))</f>
        <v>185</v>
      </c>
      <c r="T193" s="6">
        <f t="shared" ca="1" si="39"/>
        <v>46115</v>
      </c>
      <c r="U193" s="501">
        <f t="shared" ca="1" si="40"/>
        <v>365.59999999999758</v>
      </c>
      <c r="V193" s="501">
        <f t="shared" ca="1" si="41"/>
        <v>7.3858585858585375</v>
      </c>
      <c r="W193" s="501">
        <f t="shared" si="42"/>
        <v>0</v>
      </c>
      <c r="X193" s="1">
        <f t="shared" si="43"/>
        <v>0</v>
      </c>
      <c r="Y193" s="1">
        <f t="shared" si="43"/>
        <v>0</v>
      </c>
    </row>
    <row r="194" spans="1:25" s="1" customFormat="1" x14ac:dyDescent="0.25">
      <c r="A194" s="7">
        <f t="shared" si="44"/>
        <v>186</v>
      </c>
      <c r="B194" s="11">
        <f t="shared" si="45"/>
        <v>11</v>
      </c>
      <c r="C194" s="502">
        <f t="shared" si="46"/>
        <v>46116</v>
      </c>
      <c r="D194" s="7">
        <f t="shared" si="47"/>
        <v>100</v>
      </c>
      <c r="E194" s="12">
        <f t="shared" si="48"/>
        <v>0.9</v>
      </c>
      <c r="F194" s="473">
        <f t="shared" si="49"/>
        <v>366.49999999999756</v>
      </c>
      <c r="G194" s="473"/>
      <c r="H194" s="504">
        <f t="shared" si="50"/>
        <v>7.0000000000000001E-3</v>
      </c>
      <c r="I194" s="14">
        <f t="shared" si="51"/>
        <v>7.0000000000000001E-3</v>
      </c>
      <c r="J194" s="498">
        <f t="shared" si="36"/>
        <v>256.54999999999831</v>
      </c>
      <c r="K194" s="15"/>
      <c r="L194" s="8">
        <f t="shared" si="52"/>
        <v>7.4040404040403534</v>
      </c>
      <c r="M194" s="8">
        <f t="shared" si="53"/>
        <v>9.0909090909090917</v>
      </c>
      <c r="N194" s="499" t="str">
        <f t="shared" si="37"/>
        <v/>
      </c>
      <c r="O194" s="4"/>
      <c r="P194" s="118"/>
      <c r="Q194" s="118"/>
      <c r="R194" s="4" t="str">
        <f t="shared" ca="1" si="38"/>
        <v>Ok</v>
      </c>
      <c r="S194" s="501">
        <f ca="1">IF(R194="Não","",COUNTIFS($R$9:R194,"Ok"))</f>
        <v>186</v>
      </c>
      <c r="T194" s="6">
        <f t="shared" ca="1" si="39"/>
        <v>46116</v>
      </c>
      <c r="U194" s="501">
        <f t="shared" ca="1" si="40"/>
        <v>366.49999999999756</v>
      </c>
      <c r="V194" s="501">
        <f t="shared" ca="1" si="41"/>
        <v>7.4040404040403534</v>
      </c>
      <c r="W194" s="501">
        <f t="shared" si="42"/>
        <v>0</v>
      </c>
      <c r="X194" s="1">
        <f t="shared" si="43"/>
        <v>0</v>
      </c>
      <c r="Y194" s="1">
        <f t="shared" si="43"/>
        <v>0</v>
      </c>
    </row>
    <row r="195" spans="1:25" s="1" customFormat="1" x14ac:dyDescent="0.25">
      <c r="A195" s="7">
        <f t="shared" si="44"/>
        <v>187</v>
      </c>
      <c r="B195" s="11">
        <f t="shared" si="45"/>
        <v>11</v>
      </c>
      <c r="C195" s="502">
        <f t="shared" si="46"/>
        <v>46117</v>
      </c>
      <c r="D195" s="7">
        <f t="shared" si="47"/>
        <v>100</v>
      </c>
      <c r="E195" s="12">
        <f t="shared" si="48"/>
        <v>0.9</v>
      </c>
      <c r="F195" s="473">
        <f t="shared" si="49"/>
        <v>367.39999999999753</v>
      </c>
      <c r="G195" s="473"/>
      <c r="H195" s="504">
        <f t="shared" si="50"/>
        <v>7.0000000000000001E-3</v>
      </c>
      <c r="I195" s="14">
        <f t="shared" si="51"/>
        <v>7.0000000000000001E-3</v>
      </c>
      <c r="J195" s="498">
        <f t="shared" si="36"/>
        <v>257.1799999999983</v>
      </c>
      <c r="K195" s="15"/>
      <c r="L195" s="8">
        <f t="shared" si="52"/>
        <v>7.4222222222221719</v>
      </c>
      <c r="M195" s="8">
        <f t="shared" si="53"/>
        <v>9.0909090909090917</v>
      </c>
      <c r="N195" s="499" t="str">
        <f t="shared" si="37"/>
        <v/>
      </c>
      <c r="O195" s="4"/>
      <c r="P195" s="118"/>
      <c r="Q195" s="118"/>
      <c r="R195" s="4" t="str">
        <f t="shared" ca="1" si="38"/>
        <v>Ok</v>
      </c>
      <c r="S195" s="501">
        <f ca="1">IF(R195="Não","",COUNTIFS($R$9:R195,"Ok"))</f>
        <v>187</v>
      </c>
      <c r="T195" s="6">
        <f t="shared" ca="1" si="39"/>
        <v>46117</v>
      </c>
      <c r="U195" s="501">
        <f t="shared" ca="1" si="40"/>
        <v>367.39999999999753</v>
      </c>
      <c r="V195" s="501">
        <f t="shared" ca="1" si="41"/>
        <v>7.4222222222221719</v>
      </c>
      <c r="W195" s="501">
        <f t="shared" si="42"/>
        <v>0</v>
      </c>
      <c r="X195" s="1">
        <f t="shared" si="43"/>
        <v>0</v>
      </c>
      <c r="Y195" s="1">
        <f t="shared" si="43"/>
        <v>0</v>
      </c>
    </row>
    <row r="196" spans="1:25" s="1" customFormat="1" x14ac:dyDescent="0.25">
      <c r="A196" s="7">
        <f t="shared" si="44"/>
        <v>188</v>
      </c>
      <c r="B196" s="11">
        <f t="shared" si="45"/>
        <v>11</v>
      </c>
      <c r="C196" s="502">
        <f t="shared" si="46"/>
        <v>46118</v>
      </c>
      <c r="D196" s="7">
        <f t="shared" si="47"/>
        <v>100</v>
      </c>
      <c r="E196" s="12">
        <f t="shared" si="48"/>
        <v>0.9</v>
      </c>
      <c r="F196" s="473">
        <f t="shared" si="49"/>
        <v>368.29999999999751</v>
      </c>
      <c r="G196" s="473"/>
      <c r="H196" s="504">
        <f t="shared" si="50"/>
        <v>7.0000000000000001E-3</v>
      </c>
      <c r="I196" s="14">
        <f t="shared" si="51"/>
        <v>7.0000000000000001E-3</v>
      </c>
      <c r="J196" s="498">
        <f t="shared" si="36"/>
        <v>257.8099999999983</v>
      </c>
      <c r="K196" s="15"/>
      <c r="L196" s="8">
        <f t="shared" si="52"/>
        <v>7.4404040404039904</v>
      </c>
      <c r="M196" s="8">
        <f t="shared" si="53"/>
        <v>9.0909090909090917</v>
      </c>
      <c r="N196" s="499" t="str">
        <f t="shared" si="37"/>
        <v/>
      </c>
      <c r="O196" s="4"/>
      <c r="P196" s="118"/>
      <c r="Q196" s="118"/>
      <c r="R196" s="4" t="str">
        <f t="shared" ca="1" si="38"/>
        <v>Ok</v>
      </c>
      <c r="S196" s="501">
        <f ca="1">IF(R196="Não","",COUNTIFS($R$9:R196,"Ok"))</f>
        <v>188</v>
      </c>
      <c r="T196" s="6">
        <f t="shared" ca="1" si="39"/>
        <v>46118</v>
      </c>
      <c r="U196" s="501">
        <f t="shared" ca="1" si="40"/>
        <v>368.29999999999751</v>
      </c>
      <c r="V196" s="501">
        <f t="shared" ca="1" si="41"/>
        <v>7.4404040404039904</v>
      </c>
      <c r="W196" s="501">
        <f t="shared" si="42"/>
        <v>0</v>
      </c>
      <c r="X196" s="1">
        <f t="shared" si="43"/>
        <v>0</v>
      </c>
      <c r="Y196" s="1">
        <f t="shared" si="43"/>
        <v>0</v>
      </c>
    </row>
    <row r="197" spans="1:25" s="1" customFormat="1" x14ac:dyDescent="0.25">
      <c r="A197" s="7">
        <f t="shared" si="44"/>
        <v>189</v>
      </c>
      <c r="B197" s="11">
        <f t="shared" si="45"/>
        <v>11</v>
      </c>
      <c r="C197" s="502">
        <f t="shared" si="46"/>
        <v>46119</v>
      </c>
      <c r="D197" s="7">
        <f t="shared" si="47"/>
        <v>100</v>
      </c>
      <c r="E197" s="12">
        <f t="shared" si="48"/>
        <v>0.9</v>
      </c>
      <c r="F197" s="473">
        <f t="shared" si="49"/>
        <v>369.19999999999749</v>
      </c>
      <c r="G197" s="473"/>
      <c r="H197" s="504">
        <f t="shared" si="50"/>
        <v>7.0000000000000001E-3</v>
      </c>
      <c r="I197" s="14">
        <f t="shared" si="51"/>
        <v>7.0000000000000001E-3</v>
      </c>
      <c r="J197" s="498">
        <f t="shared" si="36"/>
        <v>258.43999999999824</v>
      </c>
      <c r="K197" s="15"/>
      <c r="L197" s="8">
        <f t="shared" si="52"/>
        <v>7.4585858585858071</v>
      </c>
      <c r="M197" s="8">
        <f t="shared" si="53"/>
        <v>9.0909090909090917</v>
      </c>
      <c r="N197" s="499" t="str">
        <f t="shared" si="37"/>
        <v/>
      </c>
      <c r="O197" s="4"/>
      <c r="P197" s="118"/>
      <c r="Q197" s="118"/>
      <c r="R197" s="4" t="str">
        <f t="shared" ca="1" si="38"/>
        <v>Ok</v>
      </c>
      <c r="S197" s="501">
        <f ca="1">IF(R197="Não","",COUNTIFS($R$9:R197,"Ok"))</f>
        <v>189</v>
      </c>
      <c r="T197" s="6">
        <f t="shared" ca="1" si="39"/>
        <v>46119</v>
      </c>
      <c r="U197" s="501">
        <f t="shared" ca="1" si="40"/>
        <v>369.19999999999749</v>
      </c>
      <c r="V197" s="501">
        <f t="shared" ca="1" si="41"/>
        <v>7.4585858585858071</v>
      </c>
      <c r="W197" s="501">
        <f t="shared" si="42"/>
        <v>0</v>
      </c>
      <c r="X197" s="1">
        <f t="shared" si="43"/>
        <v>0</v>
      </c>
      <c r="Y197" s="1">
        <f t="shared" si="43"/>
        <v>0</v>
      </c>
    </row>
    <row r="198" spans="1:25" s="1" customFormat="1" x14ac:dyDescent="0.25">
      <c r="A198" s="7">
        <f t="shared" si="44"/>
        <v>190</v>
      </c>
      <c r="B198" s="11">
        <f t="shared" si="45"/>
        <v>11</v>
      </c>
      <c r="C198" s="502">
        <f t="shared" si="46"/>
        <v>46120</v>
      </c>
      <c r="D198" s="7">
        <f t="shared" si="47"/>
        <v>100</v>
      </c>
      <c r="E198" s="12">
        <f t="shared" si="48"/>
        <v>0.9</v>
      </c>
      <c r="F198" s="473">
        <f t="shared" si="49"/>
        <v>370.09999999999746</v>
      </c>
      <c r="G198" s="473"/>
      <c r="H198" s="504">
        <f t="shared" si="50"/>
        <v>7.0000000000000001E-3</v>
      </c>
      <c r="I198" s="14">
        <f t="shared" si="51"/>
        <v>7.0000000000000001E-3</v>
      </c>
      <c r="J198" s="498">
        <f t="shared" si="36"/>
        <v>259.06999999999823</v>
      </c>
      <c r="K198" s="15"/>
      <c r="L198" s="8">
        <f t="shared" si="52"/>
        <v>7.4767676767676248</v>
      </c>
      <c r="M198" s="8">
        <f t="shared" si="53"/>
        <v>9.0909090909090917</v>
      </c>
      <c r="N198" s="499" t="str">
        <f t="shared" si="37"/>
        <v/>
      </c>
      <c r="O198" s="4"/>
      <c r="P198" s="118"/>
      <c r="Q198" s="118"/>
      <c r="R198" s="4" t="str">
        <f t="shared" ca="1" si="38"/>
        <v>Ok</v>
      </c>
      <c r="S198" s="501">
        <f ca="1">IF(R198="Não","",COUNTIFS($R$9:R198,"Ok"))</f>
        <v>190</v>
      </c>
      <c r="T198" s="6">
        <f t="shared" ca="1" si="39"/>
        <v>46120</v>
      </c>
      <c r="U198" s="501">
        <f t="shared" ca="1" si="40"/>
        <v>370.09999999999746</v>
      </c>
      <c r="V198" s="501">
        <f t="shared" ca="1" si="41"/>
        <v>7.4767676767676248</v>
      </c>
      <c r="W198" s="501">
        <f t="shared" si="42"/>
        <v>0</v>
      </c>
      <c r="X198" s="1">
        <f t="shared" si="43"/>
        <v>0</v>
      </c>
      <c r="Y198" s="1">
        <f t="shared" si="43"/>
        <v>0</v>
      </c>
    </row>
    <row r="199" spans="1:25" s="1" customFormat="1" x14ac:dyDescent="0.25">
      <c r="A199" s="7">
        <f t="shared" si="44"/>
        <v>191</v>
      </c>
      <c r="B199" s="11">
        <f t="shared" si="45"/>
        <v>11</v>
      </c>
      <c r="C199" s="502">
        <f t="shared" si="46"/>
        <v>46121</v>
      </c>
      <c r="D199" s="7">
        <f t="shared" si="47"/>
        <v>100</v>
      </c>
      <c r="E199" s="12">
        <f t="shared" si="48"/>
        <v>0.9</v>
      </c>
      <c r="F199" s="473">
        <f t="shared" si="49"/>
        <v>370.99999999999744</v>
      </c>
      <c r="G199" s="473"/>
      <c r="H199" s="504">
        <f t="shared" si="50"/>
        <v>7.0000000000000001E-3</v>
      </c>
      <c r="I199" s="14">
        <f t="shared" si="51"/>
        <v>7.0000000000000001E-3</v>
      </c>
      <c r="J199" s="498">
        <f t="shared" si="36"/>
        <v>259.69999999999823</v>
      </c>
      <c r="K199" s="15"/>
      <c r="L199" s="8">
        <f t="shared" si="52"/>
        <v>7.4949494949494433</v>
      </c>
      <c r="M199" s="8">
        <f t="shared" si="53"/>
        <v>9.0909090909090917</v>
      </c>
      <c r="N199" s="499" t="str">
        <f t="shared" si="37"/>
        <v/>
      </c>
      <c r="O199" s="4"/>
      <c r="P199" s="118"/>
      <c r="Q199" s="118"/>
      <c r="R199" s="4" t="str">
        <f t="shared" ca="1" si="38"/>
        <v>Ok</v>
      </c>
      <c r="S199" s="501">
        <f ca="1">IF(R199="Não","",COUNTIFS($R$9:R199,"Ok"))</f>
        <v>191</v>
      </c>
      <c r="T199" s="6">
        <f t="shared" ca="1" si="39"/>
        <v>46121</v>
      </c>
      <c r="U199" s="501">
        <f t="shared" ca="1" si="40"/>
        <v>370.99999999999744</v>
      </c>
      <c r="V199" s="501">
        <f t="shared" ca="1" si="41"/>
        <v>7.4949494949494433</v>
      </c>
      <c r="W199" s="501">
        <f t="shared" si="42"/>
        <v>0</v>
      </c>
      <c r="X199" s="1">
        <f t="shared" si="43"/>
        <v>0</v>
      </c>
      <c r="Y199" s="1">
        <f t="shared" si="43"/>
        <v>0</v>
      </c>
    </row>
    <row r="200" spans="1:25" s="1" customFormat="1" x14ac:dyDescent="0.25">
      <c r="A200" s="7">
        <f t="shared" si="44"/>
        <v>192</v>
      </c>
      <c r="B200" s="11">
        <f t="shared" si="45"/>
        <v>11</v>
      </c>
      <c r="C200" s="502">
        <f t="shared" si="46"/>
        <v>46122</v>
      </c>
      <c r="D200" s="7">
        <f t="shared" si="47"/>
        <v>100</v>
      </c>
      <c r="E200" s="12">
        <f t="shared" si="48"/>
        <v>0.9</v>
      </c>
      <c r="F200" s="473">
        <f t="shared" si="49"/>
        <v>371.89999999999742</v>
      </c>
      <c r="G200" s="473"/>
      <c r="H200" s="504">
        <f t="shared" si="50"/>
        <v>7.0000000000000001E-3</v>
      </c>
      <c r="I200" s="14">
        <f t="shared" si="51"/>
        <v>7.0000000000000001E-3</v>
      </c>
      <c r="J200" s="498">
        <f t="shared" si="36"/>
        <v>260.32999999999822</v>
      </c>
      <c r="K200" s="15"/>
      <c r="L200" s="8">
        <f t="shared" si="52"/>
        <v>7.5131313131312618</v>
      </c>
      <c r="M200" s="8">
        <f t="shared" si="53"/>
        <v>9.0909090909090917</v>
      </c>
      <c r="N200" s="499" t="str">
        <f t="shared" si="37"/>
        <v/>
      </c>
      <c r="O200" s="4"/>
      <c r="P200" s="118"/>
      <c r="Q200" s="118"/>
      <c r="R200" s="4" t="str">
        <f t="shared" ca="1" si="38"/>
        <v>Ok</v>
      </c>
      <c r="S200" s="501">
        <f ca="1">IF(R200="Não","",COUNTIFS($R$9:R200,"Ok"))</f>
        <v>192</v>
      </c>
      <c r="T200" s="6">
        <f t="shared" ca="1" si="39"/>
        <v>46122</v>
      </c>
      <c r="U200" s="501">
        <f t="shared" ca="1" si="40"/>
        <v>371.89999999999742</v>
      </c>
      <c r="V200" s="501">
        <f t="shared" ca="1" si="41"/>
        <v>7.5131313131312618</v>
      </c>
      <c r="W200" s="501">
        <f t="shared" si="42"/>
        <v>0</v>
      </c>
      <c r="X200" s="1">
        <f t="shared" si="43"/>
        <v>0</v>
      </c>
      <c r="Y200" s="1">
        <f t="shared" si="43"/>
        <v>0</v>
      </c>
    </row>
    <row r="201" spans="1:25" s="1" customFormat="1" x14ac:dyDescent="0.25">
      <c r="A201" s="7">
        <f t="shared" si="44"/>
        <v>193</v>
      </c>
      <c r="B201" s="11">
        <f t="shared" si="45"/>
        <v>11</v>
      </c>
      <c r="C201" s="502">
        <f t="shared" si="46"/>
        <v>46123</v>
      </c>
      <c r="D201" s="7">
        <f t="shared" si="47"/>
        <v>100</v>
      </c>
      <c r="E201" s="12">
        <f t="shared" si="48"/>
        <v>0.9</v>
      </c>
      <c r="F201" s="473">
        <f t="shared" si="49"/>
        <v>372.7999999999974</v>
      </c>
      <c r="G201" s="473"/>
      <c r="H201" s="504">
        <f t="shared" si="50"/>
        <v>7.0000000000000001E-3</v>
      </c>
      <c r="I201" s="14">
        <f t="shared" si="51"/>
        <v>7.0000000000000001E-3</v>
      </c>
      <c r="J201" s="498">
        <f t="shared" si="36"/>
        <v>260.95999999999816</v>
      </c>
      <c r="K201" s="15"/>
      <c r="L201" s="8">
        <f t="shared" si="52"/>
        <v>7.5313131313130786</v>
      </c>
      <c r="M201" s="8">
        <f t="shared" si="53"/>
        <v>9.0909090909090917</v>
      </c>
      <c r="N201" s="499" t="str">
        <f t="shared" si="37"/>
        <v/>
      </c>
      <c r="O201" s="4"/>
      <c r="P201" s="118"/>
      <c r="Q201" s="118"/>
      <c r="R201" s="4" t="str">
        <f t="shared" ca="1" si="38"/>
        <v>Ok</v>
      </c>
      <c r="S201" s="501">
        <f ca="1">IF(R201="Não","",COUNTIFS($R$9:R201,"Ok"))</f>
        <v>193</v>
      </c>
      <c r="T201" s="6">
        <f t="shared" ca="1" si="39"/>
        <v>46123</v>
      </c>
      <c r="U201" s="501">
        <f t="shared" ca="1" si="40"/>
        <v>372.7999999999974</v>
      </c>
      <c r="V201" s="501">
        <f t="shared" ca="1" si="41"/>
        <v>7.5313131313130786</v>
      </c>
      <c r="W201" s="501">
        <f t="shared" si="42"/>
        <v>0</v>
      </c>
      <c r="X201" s="1">
        <f t="shared" si="43"/>
        <v>0</v>
      </c>
      <c r="Y201" s="1">
        <f t="shared" si="43"/>
        <v>0</v>
      </c>
    </row>
    <row r="202" spans="1:25" s="1" customFormat="1" x14ac:dyDescent="0.25">
      <c r="A202" s="7">
        <f t="shared" si="44"/>
        <v>194</v>
      </c>
      <c r="B202" s="11">
        <f t="shared" si="45"/>
        <v>11</v>
      </c>
      <c r="C202" s="502">
        <f t="shared" si="46"/>
        <v>46124</v>
      </c>
      <c r="D202" s="7">
        <f t="shared" si="47"/>
        <v>100</v>
      </c>
      <c r="E202" s="12">
        <f t="shared" si="48"/>
        <v>0.9</v>
      </c>
      <c r="F202" s="473">
        <f t="shared" si="49"/>
        <v>373.69999999999737</v>
      </c>
      <c r="G202" s="473"/>
      <c r="H202" s="504">
        <f t="shared" si="50"/>
        <v>7.0000000000000001E-3</v>
      </c>
      <c r="I202" s="14">
        <f t="shared" si="51"/>
        <v>7.0000000000000001E-3</v>
      </c>
      <c r="J202" s="498">
        <f t="shared" ref="J202:J265" si="54">H202*F202*D202</f>
        <v>261.58999999999816</v>
      </c>
      <c r="K202" s="15"/>
      <c r="L202" s="8">
        <f t="shared" si="52"/>
        <v>7.5494949494948971</v>
      </c>
      <c r="M202" s="8">
        <f t="shared" si="53"/>
        <v>9.0909090909090917</v>
      </c>
      <c r="N202" s="499" t="str">
        <f t="shared" ref="N202:N265" si="55">IFERROR(IF(K202="","",K202/F202/D202),"")</f>
        <v/>
      </c>
      <c r="O202" s="4"/>
      <c r="P202" s="118"/>
      <c r="Q202" s="118"/>
      <c r="R202" s="4" t="str">
        <f t="shared" ref="R202:R265" ca="1" si="56">IF(C202&lt;=TODAY(),"Ok","Não")</f>
        <v>Ok</v>
      </c>
      <c r="S202" s="501">
        <f ca="1">IF(R202="Não","",COUNTIFS($R$9:R202,"Ok"))</f>
        <v>194</v>
      </c>
      <c r="T202" s="6">
        <f t="shared" ref="T202:T265" ca="1" si="57">IF(R202="Ok",C202,"")</f>
        <v>46124</v>
      </c>
      <c r="U202" s="501">
        <f t="shared" ref="U202:U265" ca="1" si="58">IF(R202="Ok",F202,"")</f>
        <v>373.69999999999737</v>
      </c>
      <c r="V202" s="501">
        <f t="shared" ref="V202:V265" ca="1" si="59">IF(R202="Ok", L202,"")</f>
        <v>7.5494949494948971</v>
      </c>
      <c r="W202" s="501">
        <f t="shared" ref="W202:W265" si="60">((-(P202*F202)+(Q202*F202))/30)*-1</f>
        <v>0</v>
      </c>
      <c r="X202" s="1">
        <f t="shared" ref="X202:Y265" si="61">IFERROR((P202*$F202)/30,"")</f>
        <v>0</v>
      </c>
      <c r="Y202" s="1">
        <f t="shared" si="61"/>
        <v>0</v>
      </c>
    </row>
    <row r="203" spans="1:25" s="1" customFormat="1" x14ac:dyDescent="0.25">
      <c r="A203" s="7">
        <f t="shared" ref="A203:A266" si="62">IF(OR(D203=0,D203=""),"",A202+1)</f>
        <v>195</v>
      </c>
      <c r="B203" s="11">
        <f t="shared" ref="B203:B266" si="63">IFERROR(IF(C203="","",B202),"")</f>
        <v>11</v>
      </c>
      <c r="C203" s="502">
        <f t="shared" ref="C203:C266" si="64">IF(OR(D203=0,D203=""),"",C202+1)</f>
        <v>46125</v>
      </c>
      <c r="D203" s="7">
        <f t="shared" ref="D203:D266" si="65">D202-P203+Q203</f>
        <v>100</v>
      </c>
      <c r="E203" s="12">
        <f t="shared" ref="E203:E266" si="66">IFERROR(IF(C203="","",E202),"")</f>
        <v>0.9</v>
      </c>
      <c r="F203" s="473">
        <f t="shared" ref="F203:F266" si="67">IFERROR(IF(D203="","",IF(C203="","",F202+E202)),"")</f>
        <v>374.59999999999735</v>
      </c>
      <c r="G203" s="473"/>
      <c r="H203" s="504">
        <f t="shared" ref="H203:H266" si="68">H202+G203</f>
        <v>7.0000000000000001E-3</v>
      </c>
      <c r="I203" s="14">
        <f t="shared" ref="I203:I266" si="69">IFERROR(IF(F203="","",IF(C203="","",I202)),"")</f>
        <v>7.0000000000000001E-3</v>
      </c>
      <c r="J203" s="498">
        <f t="shared" si="54"/>
        <v>262.21999999999815</v>
      </c>
      <c r="K203" s="15"/>
      <c r="L203" s="8">
        <f t="shared" ref="L203:L266" si="70">IFERROR(IF(D203="","",IF(C203="","",(D203*F203)/450/B203)),"")</f>
        <v>7.5676767676767147</v>
      </c>
      <c r="M203" s="8">
        <f t="shared" ref="M203:M266" si="71">IFERROR(IF(D203="","",IF(C203="","",D203/B203)),"")</f>
        <v>9.0909090909090917</v>
      </c>
      <c r="N203" s="499" t="str">
        <f t="shared" si="55"/>
        <v/>
      </c>
      <c r="O203" s="4"/>
      <c r="P203" s="118"/>
      <c r="Q203" s="118"/>
      <c r="R203" s="4" t="str">
        <f t="shared" ca="1" si="56"/>
        <v>Ok</v>
      </c>
      <c r="S203" s="501">
        <f ca="1">IF(R203="Não","",COUNTIFS($R$9:R203,"Ok"))</f>
        <v>195</v>
      </c>
      <c r="T203" s="6">
        <f t="shared" ca="1" si="57"/>
        <v>46125</v>
      </c>
      <c r="U203" s="501">
        <f t="shared" ca="1" si="58"/>
        <v>374.59999999999735</v>
      </c>
      <c r="V203" s="501">
        <f t="shared" ca="1" si="59"/>
        <v>7.5676767676767147</v>
      </c>
      <c r="W203" s="501">
        <f t="shared" si="60"/>
        <v>0</v>
      </c>
      <c r="X203" s="1">
        <f t="shared" si="61"/>
        <v>0</v>
      </c>
      <c r="Y203" s="1">
        <f t="shared" si="61"/>
        <v>0</v>
      </c>
    </row>
    <row r="204" spans="1:25" s="1" customFormat="1" x14ac:dyDescent="0.25">
      <c r="A204" s="7">
        <f t="shared" si="62"/>
        <v>196</v>
      </c>
      <c r="B204" s="11">
        <f t="shared" si="63"/>
        <v>11</v>
      </c>
      <c r="C204" s="502">
        <f t="shared" si="64"/>
        <v>46126</v>
      </c>
      <c r="D204" s="7">
        <f t="shared" si="65"/>
        <v>100</v>
      </c>
      <c r="E204" s="12">
        <f t="shared" si="66"/>
        <v>0.9</v>
      </c>
      <c r="F204" s="473">
        <f t="shared" si="67"/>
        <v>375.49999999999733</v>
      </c>
      <c r="G204" s="473"/>
      <c r="H204" s="504">
        <f t="shared" si="68"/>
        <v>7.0000000000000001E-3</v>
      </c>
      <c r="I204" s="14">
        <f t="shared" si="69"/>
        <v>7.0000000000000001E-3</v>
      </c>
      <c r="J204" s="498">
        <f t="shared" si="54"/>
        <v>262.84999999999809</v>
      </c>
      <c r="K204" s="15"/>
      <c r="L204" s="8">
        <f t="shared" si="70"/>
        <v>7.5858585858585315</v>
      </c>
      <c r="M204" s="8">
        <f t="shared" si="71"/>
        <v>9.0909090909090917</v>
      </c>
      <c r="N204" s="499" t="str">
        <f t="shared" si="55"/>
        <v/>
      </c>
      <c r="O204" s="4"/>
      <c r="P204" s="118"/>
      <c r="Q204" s="118"/>
      <c r="R204" s="4" t="str">
        <f t="shared" ca="1" si="56"/>
        <v>Ok</v>
      </c>
      <c r="S204" s="501">
        <f ca="1">IF(R204="Não","",COUNTIFS($R$9:R204,"Ok"))</f>
        <v>196</v>
      </c>
      <c r="T204" s="6">
        <f t="shared" ca="1" si="57"/>
        <v>46126</v>
      </c>
      <c r="U204" s="501">
        <f t="shared" ca="1" si="58"/>
        <v>375.49999999999733</v>
      </c>
      <c r="V204" s="501">
        <f t="shared" ca="1" si="59"/>
        <v>7.5858585858585315</v>
      </c>
      <c r="W204" s="501">
        <f t="shared" si="60"/>
        <v>0</v>
      </c>
      <c r="X204" s="1">
        <f t="shared" si="61"/>
        <v>0</v>
      </c>
      <c r="Y204" s="1">
        <f t="shared" si="61"/>
        <v>0</v>
      </c>
    </row>
    <row r="205" spans="1:25" s="1" customFormat="1" x14ac:dyDescent="0.25">
      <c r="A205" s="7">
        <f t="shared" si="62"/>
        <v>197</v>
      </c>
      <c r="B205" s="11">
        <f t="shared" si="63"/>
        <v>11</v>
      </c>
      <c r="C205" s="502">
        <f t="shared" si="64"/>
        <v>46127</v>
      </c>
      <c r="D205" s="7">
        <f t="shared" si="65"/>
        <v>100</v>
      </c>
      <c r="E205" s="12">
        <f t="shared" si="66"/>
        <v>0.9</v>
      </c>
      <c r="F205" s="473">
        <f t="shared" si="67"/>
        <v>376.39999999999731</v>
      </c>
      <c r="G205" s="473"/>
      <c r="H205" s="504">
        <f t="shared" si="68"/>
        <v>7.0000000000000001E-3</v>
      </c>
      <c r="I205" s="14">
        <f t="shared" si="69"/>
        <v>7.0000000000000001E-3</v>
      </c>
      <c r="J205" s="498">
        <f t="shared" si="54"/>
        <v>263.47999999999814</v>
      </c>
      <c r="K205" s="15"/>
      <c r="L205" s="8">
        <f t="shared" si="70"/>
        <v>7.60404040404035</v>
      </c>
      <c r="M205" s="8">
        <f t="shared" si="71"/>
        <v>9.0909090909090917</v>
      </c>
      <c r="N205" s="499" t="str">
        <f t="shared" si="55"/>
        <v/>
      </c>
      <c r="O205" s="4"/>
      <c r="P205" s="118"/>
      <c r="Q205" s="118"/>
      <c r="R205" s="4" t="str">
        <f t="shared" ca="1" si="56"/>
        <v>Ok</v>
      </c>
      <c r="S205" s="501">
        <f ca="1">IF(R205="Não","",COUNTIFS($R$9:R205,"Ok"))</f>
        <v>197</v>
      </c>
      <c r="T205" s="6">
        <f t="shared" ca="1" si="57"/>
        <v>46127</v>
      </c>
      <c r="U205" s="501">
        <f t="shared" ca="1" si="58"/>
        <v>376.39999999999731</v>
      </c>
      <c r="V205" s="501">
        <f t="shared" ca="1" si="59"/>
        <v>7.60404040404035</v>
      </c>
      <c r="W205" s="501">
        <f t="shared" si="60"/>
        <v>0</v>
      </c>
      <c r="X205" s="1">
        <f t="shared" si="61"/>
        <v>0</v>
      </c>
      <c r="Y205" s="1">
        <f t="shared" si="61"/>
        <v>0</v>
      </c>
    </row>
    <row r="206" spans="1:25" s="1" customFormat="1" x14ac:dyDescent="0.25">
      <c r="A206" s="7">
        <f t="shared" si="62"/>
        <v>198</v>
      </c>
      <c r="B206" s="11">
        <f t="shared" si="63"/>
        <v>11</v>
      </c>
      <c r="C206" s="502">
        <f t="shared" si="64"/>
        <v>46128</v>
      </c>
      <c r="D206" s="7">
        <f t="shared" si="65"/>
        <v>100</v>
      </c>
      <c r="E206" s="12">
        <f t="shared" si="66"/>
        <v>0.9</v>
      </c>
      <c r="F206" s="473">
        <f t="shared" si="67"/>
        <v>377.29999999999728</v>
      </c>
      <c r="G206" s="473"/>
      <c r="H206" s="504">
        <f t="shared" si="68"/>
        <v>7.0000000000000001E-3</v>
      </c>
      <c r="I206" s="14">
        <f t="shared" si="69"/>
        <v>7.0000000000000001E-3</v>
      </c>
      <c r="J206" s="498">
        <f t="shared" si="54"/>
        <v>264.10999999999814</v>
      </c>
      <c r="K206" s="15"/>
      <c r="L206" s="8">
        <f t="shared" si="70"/>
        <v>7.6222222222221685</v>
      </c>
      <c r="M206" s="8">
        <f t="shared" si="71"/>
        <v>9.0909090909090917</v>
      </c>
      <c r="N206" s="499" t="str">
        <f t="shared" si="55"/>
        <v/>
      </c>
      <c r="O206" s="4"/>
      <c r="P206" s="118"/>
      <c r="Q206" s="118"/>
      <c r="R206" s="4" t="str">
        <f t="shared" ca="1" si="56"/>
        <v>Ok</v>
      </c>
      <c r="S206" s="501">
        <f ca="1">IF(R206="Não","",COUNTIFS($R$9:R206,"Ok"))</f>
        <v>198</v>
      </c>
      <c r="T206" s="6">
        <f t="shared" ca="1" si="57"/>
        <v>46128</v>
      </c>
      <c r="U206" s="501">
        <f t="shared" ca="1" si="58"/>
        <v>377.29999999999728</v>
      </c>
      <c r="V206" s="501">
        <f t="shared" ca="1" si="59"/>
        <v>7.6222222222221685</v>
      </c>
      <c r="W206" s="501">
        <f t="shared" si="60"/>
        <v>0</v>
      </c>
      <c r="X206" s="1">
        <f t="shared" si="61"/>
        <v>0</v>
      </c>
      <c r="Y206" s="1">
        <f t="shared" si="61"/>
        <v>0</v>
      </c>
    </row>
    <row r="207" spans="1:25" s="1" customFormat="1" x14ac:dyDescent="0.25">
      <c r="A207" s="7">
        <f t="shared" si="62"/>
        <v>199</v>
      </c>
      <c r="B207" s="11">
        <f t="shared" si="63"/>
        <v>11</v>
      </c>
      <c r="C207" s="502">
        <f t="shared" si="64"/>
        <v>46129</v>
      </c>
      <c r="D207" s="7">
        <f t="shared" si="65"/>
        <v>100</v>
      </c>
      <c r="E207" s="12">
        <f t="shared" si="66"/>
        <v>0.9</v>
      </c>
      <c r="F207" s="473">
        <f t="shared" si="67"/>
        <v>378.19999999999726</v>
      </c>
      <c r="G207" s="473"/>
      <c r="H207" s="504">
        <f t="shared" si="68"/>
        <v>7.0000000000000001E-3</v>
      </c>
      <c r="I207" s="14">
        <f t="shared" si="69"/>
        <v>7.0000000000000001E-3</v>
      </c>
      <c r="J207" s="498">
        <f t="shared" si="54"/>
        <v>264.73999999999808</v>
      </c>
      <c r="K207" s="15"/>
      <c r="L207" s="8">
        <f t="shared" si="70"/>
        <v>7.6404040404039844</v>
      </c>
      <c r="M207" s="8">
        <f t="shared" si="71"/>
        <v>9.0909090909090917</v>
      </c>
      <c r="N207" s="499" t="str">
        <f t="shared" si="55"/>
        <v/>
      </c>
      <c r="O207" s="4"/>
      <c r="P207" s="118"/>
      <c r="Q207" s="118"/>
      <c r="R207" s="4" t="str">
        <f t="shared" ca="1" si="56"/>
        <v>Ok</v>
      </c>
      <c r="S207" s="501">
        <f ca="1">IF(R207="Não","",COUNTIFS($R$9:R207,"Ok"))</f>
        <v>199</v>
      </c>
      <c r="T207" s="6">
        <f t="shared" ca="1" si="57"/>
        <v>46129</v>
      </c>
      <c r="U207" s="501">
        <f t="shared" ca="1" si="58"/>
        <v>378.19999999999726</v>
      </c>
      <c r="V207" s="501">
        <f t="shared" ca="1" si="59"/>
        <v>7.6404040404039844</v>
      </c>
      <c r="W207" s="501">
        <f t="shared" si="60"/>
        <v>0</v>
      </c>
      <c r="X207" s="1">
        <f t="shared" si="61"/>
        <v>0</v>
      </c>
      <c r="Y207" s="1">
        <f t="shared" si="61"/>
        <v>0</v>
      </c>
    </row>
    <row r="208" spans="1:25" s="1" customFormat="1" x14ac:dyDescent="0.25">
      <c r="A208" s="7">
        <f t="shared" si="62"/>
        <v>200</v>
      </c>
      <c r="B208" s="11">
        <f t="shared" si="63"/>
        <v>11</v>
      </c>
      <c r="C208" s="502">
        <f t="shared" si="64"/>
        <v>46130</v>
      </c>
      <c r="D208" s="7">
        <f t="shared" si="65"/>
        <v>100</v>
      </c>
      <c r="E208" s="12">
        <f t="shared" si="66"/>
        <v>0.9</v>
      </c>
      <c r="F208" s="473">
        <f t="shared" si="67"/>
        <v>379.09999999999724</v>
      </c>
      <c r="G208" s="473"/>
      <c r="H208" s="504">
        <f t="shared" si="68"/>
        <v>7.0000000000000001E-3</v>
      </c>
      <c r="I208" s="14">
        <f t="shared" si="69"/>
        <v>7.0000000000000001E-3</v>
      </c>
      <c r="J208" s="498">
        <f t="shared" si="54"/>
        <v>265.36999999999807</v>
      </c>
      <c r="K208" s="15"/>
      <c r="L208" s="8">
        <f t="shared" si="70"/>
        <v>7.6585858585858029</v>
      </c>
      <c r="M208" s="8">
        <f t="shared" si="71"/>
        <v>9.0909090909090917</v>
      </c>
      <c r="N208" s="499" t="str">
        <f t="shared" si="55"/>
        <v/>
      </c>
      <c r="O208" s="4"/>
      <c r="P208" s="118"/>
      <c r="Q208" s="118"/>
      <c r="R208" s="4" t="str">
        <f t="shared" ca="1" si="56"/>
        <v>Ok</v>
      </c>
      <c r="S208" s="501">
        <f ca="1">IF(R208="Não","",COUNTIFS($R$9:R208,"Ok"))</f>
        <v>200</v>
      </c>
      <c r="T208" s="6">
        <f t="shared" ca="1" si="57"/>
        <v>46130</v>
      </c>
      <c r="U208" s="501">
        <f t="shared" ca="1" si="58"/>
        <v>379.09999999999724</v>
      </c>
      <c r="V208" s="501">
        <f t="shared" ca="1" si="59"/>
        <v>7.6585858585858029</v>
      </c>
      <c r="W208" s="501">
        <f t="shared" si="60"/>
        <v>0</v>
      </c>
      <c r="X208" s="1">
        <f t="shared" si="61"/>
        <v>0</v>
      </c>
      <c r="Y208" s="1">
        <f t="shared" si="61"/>
        <v>0</v>
      </c>
    </row>
    <row r="209" spans="1:25" s="1" customFormat="1" x14ac:dyDescent="0.25">
      <c r="A209" s="7">
        <f t="shared" si="62"/>
        <v>201</v>
      </c>
      <c r="B209" s="11">
        <f t="shared" si="63"/>
        <v>11</v>
      </c>
      <c r="C209" s="502">
        <f t="shared" si="64"/>
        <v>46131</v>
      </c>
      <c r="D209" s="7">
        <f t="shared" si="65"/>
        <v>100</v>
      </c>
      <c r="E209" s="12">
        <f t="shared" si="66"/>
        <v>0.9</v>
      </c>
      <c r="F209" s="473">
        <f t="shared" si="67"/>
        <v>379.99999999999721</v>
      </c>
      <c r="G209" s="473"/>
      <c r="H209" s="504">
        <f t="shared" si="68"/>
        <v>7.0000000000000001E-3</v>
      </c>
      <c r="I209" s="14">
        <f t="shared" si="69"/>
        <v>7.0000000000000001E-3</v>
      </c>
      <c r="J209" s="498">
        <f t="shared" si="54"/>
        <v>265.99999999999807</v>
      </c>
      <c r="K209" s="15"/>
      <c r="L209" s="8">
        <f t="shared" si="70"/>
        <v>7.6767676767676214</v>
      </c>
      <c r="M209" s="8">
        <f t="shared" si="71"/>
        <v>9.0909090909090917</v>
      </c>
      <c r="N209" s="499" t="str">
        <f t="shared" si="55"/>
        <v/>
      </c>
      <c r="O209" s="4"/>
      <c r="P209" s="118"/>
      <c r="Q209" s="118"/>
      <c r="R209" s="4" t="str">
        <f t="shared" ca="1" si="56"/>
        <v>Ok</v>
      </c>
      <c r="S209" s="501">
        <f ca="1">IF(R209="Não","",COUNTIFS($R$9:R209,"Ok"))</f>
        <v>201</v>
      </c>
      <c r="T209" s="6">
        <f t="shared" ca="1" si="57"/>
        <v>46131</v>
      </c>
      <c r="U209" s="501">
        <f t="shared" ca="1" si="58"/>
        <v>379.99999999999721</v>
      </c>
      <c r="V209" s="501">
        <f t="shared" ca="1" si="59"/>
        <v>7.6767676767676214</v>
      </c>
      <c r="W209" s="501">
        <f t="shared" si="60"/>
        <v>0</v>
      </c>
      <c r="X209" s="1">
        <f t="shared" si="61"/>
        <v>0</v>
      </c>
      <c r="Y209" s="1">
        <f t="shared" si="61"/>
        <v>0</v>
      </c>
    </row>
    <row r="210" spans="1:25" s="1" customFormat="1" x14ac:dyDescent="0.25">
      <c r="A210" s="7">
        <f t="shared" si="62"/>
        <v>202</v>
      </c>
      <c r="B210" s="11">
        <f t="shared" si="63"/>
        <v>11</v>
      </c>
      <c r="C210" s="502">
        <f t="shared" si="64"/>
        <v>46132</v>
      </c>
      <c r="D210" s="7">
        <f t="shared" si="65"/>
        <v>100</v>
      </c>
      <c r="E210" s="12">
        <f t="shared" si="66"/>
        <v>0.9</v>
      </c>
      <c r="F210" s="473">
        <f t="shared" si="67"/>
        <v>380.89999999999719</v>
      </c>
      <c r="G210" s="473"/>
      <c r="H210" s="504">
        <f t="shared" si="68"/>
        <v>7.0000000000000001E-3</v>
      </c>
      <c r="I210" s="14">
        <f t="shared" si="69"/>
        <v>7.0000000000000001E-3</v>
      </c>
      <c r="J210" s="498">
        <f t="shared" si="54"/>
        <v>266.62999999999806</v>
      </c>
      <c r="K210" s="15"/>
      <c r="L210" s="8">
        <f t="shared" si="70"/>
        <v>7.6949494949494381</v>
      </c>
      <c r="M210" s="8">
        <f t="shared" si="71"/>
        <v>9.0909090909090917</v>
      </c>
      <c r="N210" s="499" t="str">
        <f t="shared" si="55"/>
        <v/>
      </c>
      <c r="O210" s="4"/>
      <c r="P210" s="118"/>
      <c r="Q210" s="118"/>
      <c r="R210" s="4" t="str">
        <f t="shared" ca="1" si="56"/>
        <v>Ok</v>
      </c>
      <c r="S210" s="501">
        <f ca="1">IF(R210="Não","",COUNTIFS($R$9:R210,"Ok"))</f>
        <v>202</v>
      </c>
      <c r="T210" s="6">
        <f t="shared" ca="1" si="57"/>
        <v>46132</v>
      </c>
      <c r="U210" s="501">
        <f t="shared" ca="1" si="58"/>
        <v>380.89999999999719</v>
      </c>
      <c r="V210" s="501">
        <f t="shared" ca="1" si="59"/>
        <v>7.6949494949494381</v>
      </c>
      <c r="W210" s="501">
        <f t="shared" si="60"/>
        <v>0</v>
      </c>
      <c r="X210" s="1">
        <f t="shared" si="61"/>
        <v>0</v>
      </c>
      <c r="Y210" s="1">
        <f t="shared" si="61"/>
        <v>0</v>
      </c>
    </row>
    <row r="211" spans="1:25" s="1" customFormat="1" x14ac:dyDescent="0.25">
      <c r="A211" s="7">
        <f t="shared" si="62"/>
        <v>203</v>
      </c>
      <c r="B211" s="11">
        <f t="shared" si="63"/>
        <v>11</v>
      </c>
      <c r="C211" s="502">
        <f t="shared" si="64"/>
        <v>46133</v>
      </c>
      <c r="D211" s="7">
        <f t="shared" si="65"/>
        <v>100</v>
      </c>
      <c r="E211" s="12">
        <f t="shared" si="66"/>
        <v>0.9</v>
      </c>
      <c r="F211" s="473">
        <f t="shared" si="67"/>
        <v>381.79999999999717</v>
      </c>
      <c r="G211" s="473"/>
      <c r="H211" s="504">
        <f t="shared" si="68"/>
        <v>7.0000000000000001E-3</v>
      </c>
      <c r="I211" s="14">
        <f t="shared" si="69"/>
        <v>7.0000000000000001E-3</v>
      </c>
      <c r="J211" s="498">
        <f t="shared" si="54"/>
        <v>267.259999999998</v>
      </c>
      <c r="K211" s="15"/>
      <c r="L211" s="8">
        <f t="shared" si="70"/>
        <v>7.7131313131312558</v>
      </c>
      <c r="M211" s="8">
        <f t="shared" si="71"/>
        <v>9.0909090909090917</v>
      </c>
      <c r="N211" s="499" t="str">
        <f t="shared" si="55"/>
        <v/>
      </c>
      <c r="O211" s="4"/>
      <c r="P211" s="118"/>
      <c r="Q211" s="118"/>
      <c r="R211" s="4" t="str">
        <f t="shared" ca="1" si="56"/>
        <v>Ok</v>
      </c>
      <c r="S211" s="501">
        <f ca="1">IF(R211="Não","",COUNTIFS($R$9:R211,"Ok"))</f>
        <v>203</v>
      </c>
      <c r="T211" s="6">
        <f t="shared" ca="1" si="57"/>
        <v>46133</v>
      </c>
      <c r="U211" s="501">
        <f t="shared" ca="1" si="58"/>
        <v>381.79999999999717</v>
      </c>
      <c r="V211" s="501">
        <f t="shared" ca="1" si="59"/>
        <v>7.7131313131312558</v>
      </c>
      <c r="W211" s="501">
        <f t="shared" si="60"/>
        <v>0</v>
      </c>
      <c r="X211" s="1">
        <f t="shared" si="61"/>
        <v>0</v>
      </c>
      <c r="Y211" s="1">
        <f t="shared" si="61"/>
        <v>0</v>
      </c>
    </row>
    <row r="212" spans="1:25" s="1" customFormat="1" x14ac:dyDescent="0.25">
      <c r="A212" s="7">
        <f t="shared" si="62"/>
        <v>204</v>
      </c>
      <c r="B212" s="11">
        <f t="shared" si="63"/>
        <v>11</v>
      </c>
      <c r="C212" s="502">
        <f t="shared" si="64"/>
        <v>46134</v>
      </c>
      <c r="D212" s="7">
        <f t="shared" si="65"/>
        <v>100</v>
      </c>
      <c r="E212" s="12">
        <f t="shared" si="66"/>
        <v>0.9</v>
      </c>
      <c r="F212" s="473">
        <f t="shared" si="67"/>
        <v>382.69999999999715</v>
      </c>
      <c r="G212" s="473"/>
      <c r="H212" s="504">
        <f t="shared" si="68"/>
        <v>7.0000000000000001E-3</v>
      </c>
      <c r="I212" s="14">
        <f t="shared" si="69"/>
        <v>7.0000000000000001E-3</v>
      </c>
      <c r="J212" s="498">
        <f t="shared" si="54"/>
        <v>267.889999999998</v>
      </c>
      <c r="K212" s="15"/>
      <c r="L212" s="8">
        <f t="shared" si="70"/>
        <v>7.7313131313130734</v>
      </c>
      <c r="M212" s="8">
        <f t="shared" si="71"/>
        <v>9.0909090909090917</v>
      </c>
      <c r="N212" s="499" t="str">
        <f t="shared" si="55"/>
        <v/>
      </c>
      <c r="O212" s="4"/>
      <c r="P212" s="118"/>
      <c r="Q212" s="118"/>
      <c r="R212" s="4" t="str">
        <f t="shared" ca="1" si="56"/>
        <v>Ok</v>
      </c>
      <c r="S212" s="501">
        <f ca="1">IF(R212="Não","",COUNTIFS($R$9:R212,"Ok"))</f>
        <v>204</v>
      </c>
      <c r="T212" s="6">
        <f t="shared" ca="1" si="57"/>
        <v>46134</v>
      </c>
      <c r="U212" s="501">
        <f t="shared" ca="1" si="58"/>
        <v>382.69999999999715</v>
      </c>
      <c r="V212" s="501">
        <f t="shared" ca="1" si="59"/>
        <v>7.7313131313130734</v>
      </c>
      <c r="W212" s="501">
        <f t="shared" si="60"/>
        <v>0</v>
      </c>
      <c r="X212" s="1">
        <f t="shared" si="61"/>
        <v>0</v>
      </c>
      <c r="Y212" s="1">
        <f t="shared" si="61"/>
        <v>0</v>
      </c>
    </row>
    <row r="213" spans="1:25" s="1" customFormat="1" x14ac:dyDescent="0.25">
      <c r="A213" s="7">
        <f t="shared" si="62"/>
        <v>205</v>
      </c>
      <c r="B213" s="11">
        <f t="shared" si="63"/>
        <v>11</v>
      </c>
      <c r="C213" s="502">
        <f t="shared" si="64"/>
        <v>46135</v>
      </c>
      <c r="D213" s="7">
        <f t="shared" si="65"/>
        <v>100</v>
      </c>
      <c r="E213" s="12">
        <f t="shared" si="66"/>
        <v>0.9</v>
      </c>
      <c r="F213" s="473">
        <f t="shared" si="67"/>
        <v>383.59999999999712</v>
      </c>
      <c r="G213" s="473"/>
      <c r="H213" s="504">
        <f t="shared" si="68"/>
        <v>7.0000000000000001E-3</v>
      </c>
      <c r="I213" s="14">
        <f t="shared" si="69"/>
        <v>7.0000000000000001E-3</v>
      </c>
      <c r="J213" s="498">
        <f t="shared" si="54"/>
        <v>268.51999999999799</v>
      </c>
      <c r="K213" s="15"/>
      <c r="L213" s="8">
        <f t="shared" si="70"/>
        <v>7.749494949494891</v>
      </c>
      <c r="M213" s="8">
        <f t="shared" si="71"/>
        <v>9.0909090909090917</v>
      </c>
      <c r="N213" s="499" t="str">
        <f t="shared" si="55"/>
        <v/>
      </c>
      <c r="O213" s="4"/>
      <c r="P213" s="118"/>
      <c r="Q213" s="118"/>
      <c r="R213" s="4" t="str">
        <f t="shared" ca="1" si="56"/>
        <v>Ok</v>
      </c>
      <c r="S213" s="501">
        <f ca="1">IF(R213="Não","",COUNTIFS($R$9:R213,"Ok"))</f>
        <v>205</v>
      </c>
      <c r="T213" s="6">
        <f t="shared" ca="1" si="57"/>
        <v>46135</v>
      </c>
      <c r="U213" s="501">
        <f t="shared" ca="1" si="58"/>
        <v>383.59999999999712</v>
      </c>
      <c r="V213" s="501">
        <f t="shared" ca="1" si="59"/>
        <v>7.749494949494891</v>
      </c>
      <c r="W213" s="501">
        <f t="shared" si="60"/>
        <v>0</v>
      </c>
      <c r="X213" s="1">
        <f t="shared" si="61"/>
        <v>0</v>
      </c>
      <c r="Y213" s="1">
        <f t="shared" si="61"/>
        <v>0</v>
      </c>
    </row>
    <row r="214" spans="1:25" s="1" customFormat="1" x14ac:dyDescent="0.25">
      <c r="A214" s="7">
        <f t="shared" si="62"/>
        <v>206</v>
      </c>
      <c r="B214" s="11">
        <f t="shared" si="63"/>
        <v>11</v>
      </c>
      <c r="C214" s="502">
        <f t="shared" si="64"/>
        <v>46136</v>
      </c>
      <c r="D214" s="7">
        <f t="shared" si="65"/>
        <v>100</v>
      </c>
      <c r="E214" s="12">
        <f t="shared" si="66"/>
        <v>0.9</v>
      </c>
      <c r="F214" s="473">
        <f t="shared" si="67"/>
        <v>384.4999999999971</v>
      </c>
      <c r="G214" s="473"/>
      <c r="H214" s="504">
        <f t="shared" si="68"/>
        <v>7.0000000000000001E-3</v>
      </c>
      <c r="I214" s="14">
        <f t="shared" si="69"/>
        <v>7.0000000000000001E-3</v>
      </c>
      <c r="J214" s="498">
        <f t="shared" si="54"/>
        <v>269.14999999999793</v>
      </c>
      <c r="K214" s="15"/>
      <c r="L214" s="8">
        <f t="shared" si="70"/>
        <v>7.7676767676767096</v>
      </c>
      <c r="M214" s="8">
        <f t="shared" si="71"/>
        <v>9.0909090909090917</v>
      </c>
      <c r="N214" s="499" t="str">
        <f t="shared" si="55"/>
        <v/>
      </c>
      <c r="O214" s="4"/>
      <c r="P214" s="118"/>
      <c r="Q214" s="118"/>
      <c r="R214" s="4" t="str">
        <f t="shared" ca="1" si="56"/>
        <v>Ok</v>
      </c>
      <c r="S214" s="501">
        <f ca="1">IF(R214="Não","",COUNTIFS($R$9:R214,"Ok"))</f>
        <v>206</v>
      </c>
      <c r="T214" s="6">
        <f t="shared" ca="1" si="57"/>
        <v>46136</v>
      </c>
      <c r="U214" s="501">
        <f t="shared" ca="1" si="58"/>
        <v>384.4999999999971</v>
      </c>
      <c r="V214" s="501">
        <f t="shared" ca="1" si="59"/>
        <v>7.7676767676767096</v>
      </c>
      <c r="W214" s="501">
        <f t="shared" si="60"/>
        <v>0</v>
      </c>
      <c r="X214" s="1">
        <f t="shared" si="61"/>
        <v>0</v>
      </c>
      <c r="Y214" s="1">
        <f t="shared" si="61"/>
        <v>0</v>
      </c>
    </row>
    <row r="215" spans="1:25" s="1" customFormat="1" x14ac:dyDescent="0.25">
      <c r="A215" s="7">
        <f t="shared" si="62"/>
        <v>207</v>
      </c>
      <c r="B215" s="11">
        <f t="shared" si="63"/>
        <v>11</v>
      </c>
      <c r="C215" s="502">
        <f t="shared" si="64"/>
        <v>46137</v>
      </c>
      <c r="D215" s="7">
        <f t="shared" si="65"/>
        <v>100</v>
      </c>
      <c r="E215" s="12">
        <f t="shared" si="66"/>
        <v>0.9</v>
      </c>
      <c r="F215" s="473">
        <f t="shared" si="67"/>
        <v>385.39999999999708</v>
      </c>
      <c r="G215" s="473"/>
      <c r="H215" s="504">
        <f t="shared" si="68"/>
        <v>7.0000000000000001E-3</v>
      </c>
      <c r="I215" s="14">
        <f t="shared" si="69"/>
        <v>7.0000000000000001E-3</v>
      </c>
      <c r="J215" s="498">
        <f t="shared" si="54"/>
        <v>269.77999999999793</v>
      </c>
      <c r="K215" s="15"/>
      <c r="L215" s="8">
        <f t="shared" si="70"/>
        <v>7.7858585858585263</v>
      </c>
      <c r="M215" s="8">
        <f t="shared" si="71"/>
        <v>9.0909090909090917</v>
      </c>
      <c r="N215" s="499" t="str">
        <f t="shared" si="55"/>
        <v/>
      </c>
      <c r="O215" s="4"/>
      <c r="P215" s="118"/>
      <c r="Q215" s="118"/>
      <c r="R215" s="4" t="str">
        <f t="shared" ca="1" si="56"/>
        <v>Ok</v>
      </c>
      <c r="S215" s="501">
        <f ca="1">IF(R215="Não","",COUNTIFS($R$9:R215,"Ok"))</f>
        <v>207</v>
      </c>
      <c r="T215" s="6">
        <f t="shared" ca="1" si="57"/>
        <v>46137</v>
      </c>
      <c r="U215" s="501">
        <f t="shared" ca="1" si="58"/>
        <v>385.39999999999708</v>
      </c>
      <c r="V215" s="501">
        <f t="shared" ca="1" si="59"/>
        <v>7.7858585858585263</v>
      </c>
      <c r="W215" s="501">
        <f t="shared" si="60"/>
        <v>0</v>
      </c>
      <c r="X215" s="1">
        <f t="shared" si="61"/>
        <v>0</v>
      </c>
      <c r="Y215" s="1">
        <f t="shared" si="61"/>
        <v>0</v>
      </c>
    </row>
    <row r="216" spans="1:25" s="1" customFormat="1" x14ac:dyDescent="0.25">
      <c r="A216" s="7">
        <f t="shared" si="62"/>
        <v>208</v>
      </c>
      <c r="B216" s="11">
        <f t="shared" si="63"/>
        <v>11</v>
      </c>
      <c r="C216" s="502">
        <f t="shared" si="64"/>
        <v>46138</v>
      </c>
      <c r="D216" s="7">
        <f t="shared" si="65"/>
        <v>100</v>
      </c>
      <c r="E216" s="12">
        <f t="shared" si="66"/>
        <v>0.9</v>
      </c>
      <c r="F216" s="473">
        <f t="shared" si="67"/>
        <v>386.29999999999706</v>
      </c>
      <c r="G216" s="473"/>
      <c r="H216" s="504">
        <f t="shared" si="68"/>
        <v>7.0000000000000001E-3</v>
      </c>
      <c r="I216" s="14">
        <f t="shared" si="69"/>
        <v>7.0000000000000001E-3</v>
      </c>
      <c r="J216" s="498">
        <f t="shared" si="54"/>
        <v>270.40999999999798</v>
      </c>
      <c r="K216" s="15"/>
      <c r="L216" s="8">
        <f t="shared" si="70"/>
        <v>7.8040404040403448</v>
      </c>
      <c r="M216" s="8">
        <f t="shared" si="71"/>
        <v>9.0909090909090917</v>
      </c>
      <c r="N216" s="499" t="str">
        <f t="shared" si="55"/>
        <v/>
      </c>
      <c r="O216" s="4"/>
      <c r="P216" s="118"/>
      <c r="Q216" s="118"/>
      <c r="R216" s="4" t="str">
        <f t="shared" ca="1" si="56"/>
        <v>Ok</v>
      </c>
      <c r="S216" s="501">
        <f ca="1">IF(R216="Não","",COUNTIFS($R$9:R216,"Ok"))</f>
        <v>208</v>
      </c>
      <c r="T216" s="6">
        <f t="shared" ca="1" si="57"/>
        <v>46138</v>
      </c>
      <c r="U216" s="501">
        <f t="shared" ca="1" si="58"/>
        <v>386.29999999999706</v>
      </c>
      <c r="V216" s="501">
        <f t="shared" ca="1" si="59"/>
        <v>7.8040404040403448</v>
      </c>
      <c r="W216" s="501">
        <f t="shared" si="60"/>
        <v>0</v>
      </c>
      <c r="X216" s="1">
        <f t="shared" si="61"/>
        <v>0</v>
      </c>
      <c r="Y216" s="1">
        <f t="shared" si="61"/>
        <v>0</v>
      </c>
    </row>
    <row r="217" spans="1:25" s="1" customFormat="1" x14ac:dyDescent="0.25">
      <c r="A217" s="7">
        <f t="shared" si="62"/>
        <v>209</v>
      </c>
      <c r="B217" s="11">
        <f t="shared" si="63"/>
        <v>11</v>
      </c>
      <c r="C217" s="502">
        <f t="shared" si="64"/>
        <v>46139</v>
      </c>
      <c r="D217" s="7">
        <f t="shared" si="65"/>
        <v>100</v>
      </c>
      <c r="E217" s="12">
        <f t="shared" si="66"/>
        <v>0.9</v>
      </c>
      <c r="F217" s="473">
        <f t="shared" si="67"/>
        <v>387.19999999999703</v>
      </c>
      <c r="G217" s="473"/>
      <c r="H217" s="504">
        <f t="shared" si="68"/>
        <v>7.0000000000000001E-3</v>
      </c>
      <c r="I217" s="14">
        <f t="shared" si="69"/>
        <v>7.0000000000000001E-3</v>
      </c>
      <c r="J217" s="498">
        <f t="shared" si="54"/>
        <v>271.03999999999797</v>
      </c>
      <c r="K217" s="15"/>
      <c r="L217" s="8">
        <f t="shared" si="70"/>
        <v>7.8222222222221625</v>
      </c>
      <c r="M217" s="8">
        <f t="shared" si="71"/>
        <v>9.0909090909090917</v>
      </c>
      <c r="N217" s="499" t="str">
        <f t="shared" si="55"/>
        <v/>
      </c>
      <c r="O217" s="4"/>
      <c r="P217" s="118"/>
      <c r="Q217" s="118"/>
      <c r="R217" s="4" t="str">
        <f t="shared" ca="1" si="56"/>
        <v>Ok</v>
      </c>
      <c r="S217" s="501">
        <f ca="1">IF(R217="Não","",COUNTIFS($R$9:R217,"Ok"))</f>
        <v>209</v>
      </c>
      <c r="T217" s="6">
        <f t="shared" ca="1" si="57"/>
        <v>46139</v>
      </c>
      <c r="U217" s="501">
        <f t="shared" ca="1" si="58"/>
        <v>387.19999999999703</v>
      </c>
      <c r="V217" s="501">
        <f t="shared" ca="1" si="59"/>
        <v>7.8222222222221625</v>
      </c>
      <c r="W217" s="501">
        <f t="shared" si="60"/>
        <v>0</v>
      </c>
      <c r="X217" s="1">
        <f t="shared" si="61"/>
        <v>0</v>
      </c>
      <c r="Y217" s="1">
        <f t="shared" si="61"/>
        <v>0</v>
      </c>
    </row>
    <row r="218" spans="1:25" s="1" customFormat="1" x14ac:dyDescent="0.25">
      <c r="A218" s="7">
        <f t="shared" si="62"/>
        <v>210</v>
      </c>
      <c r="B218" s="11">
        <f t="shared" si="63"/>
        <v>11</v>
      </c>
      <c r="C218" s="502">
        <f t="shared" si="64"/>
        <v>46140</v>
      </c>
      <c r="D218" s="7">
        <f t="shared" si="65"/>
        <v>100</v>
      </c>
      <c r="E218" s="12">
        <f t="shared" si="66"/>
        <v>0.9</v>
      </c>
      <c r="F218" s="473">
        <f t="shared" si="67"/>
        <v>388.09999999999701</v>
      </c>
      <c r="G218" s="473"/>
      <c r="H218" s="504">
        <f t="shared" si="68"/>
        <v>7.0000000000000001E-3</v>
      </c>
      <c r="I218" s="14">
        <f t="shared" si="69"/>
        <v>7.0000000000000001E-3</v>
      </c>
      <c r="J218" s="498">
        <f t="shared" si="54"/>
        <v>271.66999999999791</v>
      </c>
      <c r="K218" s="15"/>
      <c r="L218" s="8">
        <f t="shared" si="70"/>
        <v>7.840404040403981</v>
      </c>
      <c r="M218" s="8">
        <f t="shared" si="71"/>
        <v>9.0909090909090917</v>
      </c>
      <c r="N218" s="499" t="str">
        <f t="shared" si="55"/>
        <v/>
      </c>
      <c r="O218" s="4"/>
      <c r="P218" s="118"/>
      <c r="Q218" s="118"/>
      <c r="R218" s="4" t="str">
        <f t="shared" ca="1" si="56"/>
        <v>Ok</v>
      </c>
      <c r="S218" s="501">
        <f ca="1">IF(R218="Não","",COUNTIFS($R$9:R218,"Ok"))</f>
        <v>210</v>
      </c>
      <c r="T218" s="6">
        <f t="shared" ca="1" si="57"/>
        <v>46140</v>
      </c>
      <c r="U218" s="501">
        <f t="shared" ca="1" si="58"/>
        <v>388.09999999999701</v>
      </c>
      <c r="V218" s="501">
        <f t="shared" ca="1" si="59"/>
        <v>7.840404040403981</v>
      </c>
      <c r="W218" s="501">
        <f t="shared" si="60"/>
        <v>0</v>
      </c>
      <c r="X218" s="1">
        <f t="shared" si="61"/>
        <v>0</v>
      </c>
      <c r="Y218" s="1">
        <f t="shared" si="61"/>
        <v>0</v>
      </c>
    </row>
    <row r="219" spans="1:25" s="1" customFormat="1" x14ac:dyDescent="0.25">
      <c r="A219" s="7">
        <f t="shared" si="62"/>
        <v>211</v>
      </c>
      <c r="B219" s="11">
        <f t="shared" si="63"/>
        <v>11</v>
      </c>
      <c r="C219" s="502">
        <f t="shared" si="64"/>
        <v>46141</v>
      </c>
      <c r="D219" s="7">
        <f t="shared" si="65"/>
        <v>100</v>
      </c>
      <c r="E219" s="12">
        <f t="shared" si="66"/>
        <v>0.9</v>
      </c>
      <c r="F219" s="473">
        <f t="shared" si="67"/>
        <v>388.99999999999699</v>
      </c>
      <c r="G219" s="473"/>
      <c r="H219" s="504">
        <f t="shared" si="68"/>
        <v>7.0000000000000001E-3</v>
      </c>
      <c r="I219" s="14">
        <f t="shared" si="69"/>
        <v>7.0000000000000001E-3</v>
      </c>
      <c r="J219" s="498">
        <f t="shared" si="54"/>
        <v>272.29999999999791</v>
      </c>
      <c r="K219" s="15"/>
      <c r="L219" s="8">
        <f t="shared" si="70"/>
        <v>7.8585858585857977</v>
      </c>
      <c r="M219" s="8">
        <f t="shared" si="71"/>
        <v>9.0909090909090917</v>
      </c>
      <c r="N219" s="499" t="str">
        <f t="shared" si="55"/>
        <v/>
      </c>
      <c r="O219" s="4"/>
      <c r="P219" s="118"/>
      <c r="Q219" s="118"/>
      <c r="R219" s="4" t="str">
        <f t="shared" ca="1" si="56"/>
        <v>Ok</v>
      </c>
      <c r="S219" s="501">
        <f ca="1">IF(R219="Não","",COUNTIFS($R$9:R219,"Ok"))</f>
        <v>211</v>
      </c>
      <c r="T219" s="6">
        <f t="shared" ca="1" si="57"/>
        <v>46141</v>
      </c>
      <c r="U219" s="501">
        <f t="shared" ca="1" si="58"/>
        <v>388.99999999999699</v>
      </c>
      <c r="V219" s="501">
        <f t="shared" ca="1" si="59"/>
        <v>7.8585858585857977</v>
      </c>
      <c r="W219" s="501">
        <f t="shared" si="60"/>
        <v>0</v>
      </c>
      <c r="X219" s="1">
        <f t="shared" si="61"/>
        <v>0</v>
      </c>
      <c r="Y219" s="1">
        <f t="shared" si="61"/>
        <v>0</v>
      </c>
    </row>
    <row r="220" spans="1:25" s="1" customFormat="1" x14ac:dyDescent="0.25">
      <c r="A220" s="7">
        <f t="shared" si="62"/>
        <v>212</v>
      </c>
      <c r="B220" s="11">
        <f t="shared" si="63"/>
        <v>11</v>
      </c>
      <c r="C220" s="502">
        <f t="shared" si="64"/>
        <v>46142</v>
      </c>
      <c r="D220" s="7">
        <f t="shared" si="65"/>
        <v>100</v>
      </c>
      <c r="E220" s="12">
        <f t="shared" si="66"/>
        <v>0.9</v>
      </c>
      <c r="F220" s="473">
        <f t="shared" si="67"/>
        <v>389.89999999999696</v>
      </c>
      <c r="G220" s="473"/>
      <c r="H220" s="504">
        <f t="shared" si="68"/>
        <v>7.0000000000000001E-3</v>
      </c>
      <c r="I220" s="14">
        <f t="shared" si="69"/>
        <v>7.0000000000000001E-3</v>
      </c>
      <c r="J220" s="498">
        <f t="shared" si="54"/>
        <v>272.9299999999979</v>
      </c>
      <c r="K220" s="15"/>
      <c r="L220" s="8">
        <f t="shared" si="70"/>
        <v>7.8767676767676145</v>
      </c>
      <c r="M220" s="8">
        <f t="shared" si="71"/>
        <v>9.0909090909090917</v>
      </c>
      <c r="N220" s="499" t="str">
        <f t="shared" si="55"/>
        <v/>
      </c>
      <c r="O220" s="4"/>
      <c r="P220" s="118"/>
      <c r="Q220" s="118"/>
      <c r="R220" s="4" t="str">
        <f t="shared" ca="1" si="56"/>
        <v>Ok</v>
      </c>
      <c r="S220" s="501">
        <f ca="1">IF(R220="Não","",COUNTIFS($R$9:R220,"Ok"))</f>
        <v>212</v>
      </c>
      <c r="T220" s="6">
        <f t="shared" ca="1" si="57"/>
        <v>46142</v>
      </c>
      <c r="U220" s="501">
        <f t="shared" ca="1" si="58"/>
        <v>389.89999999999696</v>
      </c>
      <c r="V220" s="501">
        <f t="shared" ca="1" si="59"/>
        <v>7.8767676767676145</v>
      </c>
      <c r="W220" s="501">
        <f t="shared" si="60"/>
        <v>0</v>
      </c>
      <c r="X220" s="1">
        <f t="shared" si="61"/>
        <v>0</v>
      </c>
      <c r="Y220" s="1">
        <f t="shared" si="61"/>
        <v>0</v>
      </c>
    </row>
    <row r="221" spans="1:25" s="1" customFormat="1" x14ac:dyDescent="0.25">
      <c r="A221" s="7">
        <f t="shared" si="62"/>
        <v>213</v>
      </c>
      <c r="B221" s="11">
        <f t="shared" si="63"/>
        <v>11</v>
      </c>
      <c r="C221" s="502">
        <f t="shared" si="64"/>
        <v>46143</v>
      </c>
      <c r="D221" s="7">
        <f t="shared" si="65"/>
        <v>100</v>
      </c>
      <c r="E221" s="12">
        <f t="shared" si="66"/>
        <v>0.9</v>
      </c>
      <c r="F221" s="473">
        <f t="shared" si="67"/>
        <v>390.79999999999694</v>
      </c>
      <c r="G221" s="473"/>
      <c r="H221" s="504">
        <f t="shared" si="68"/>
        <v>7.0000000000000001E-3</v>
      </c>
      <c r="I221" s="14">
        <f t="shared" si="69"/>
        <v>7.0000000000000001E-3</v>
      </c>
      <c r="J221" s="498">
        <f t="shared" si="54"/>
        <v>273.55999999999784</v>
      </c>
      <c r="K221" s="15"/>
      <c r="L221" s="8">
        <f t="shared" si="70"/>
        <v>7.894949494949433</v>
      </c>
      <c r="M221" s="8">
        <f t="shared" si="71"/>
        <v>9.0909090909090917</v>
      </c>
      <c r="N221" s="499" t="str">
        <f t="shared" si="55"/>
        <v/>
      </c>
      <c r="O221" s="4"/>
      <c r="P221" s="118"/>
      <c r="Q221" s="118"/>
      <c r="R221" s="4" t="str">
        <f t="shared" ca="1" si="56"/>
        <v>Ok</v>
      </c>
      <c r="S221" s="501">
        <f ca="1">IF(R221="Não","",COUNTIFS($R$9:R221,"Ok"))</f>
        <v>213</v>
      </c>
      <c r="T221" s="6">
        <f t="shared" ca="1" si="57"/>
        <v>46143</v>
      </c>
      <c r="U221" s="501">
        <f t="shared" ca="1" si="58"/>
        <v>390.79999999999694</v>
      </c>
      <c r="V221" s="501">
        <f t="shared" ca="1" si="59"/>
        <v>7.894949494949433</v>
      </c>
      <c r="W221" s="501">
        <f t="shared" si="60"/>
        <v>0</v>
      </c>
      <c r="X221" s="1">
        <f t="shared" si="61"/>
        <v>0</v>
      </c>
      <c r="Y221" s="1">
        <f t="shared" si="61"/>
        <v>0</v>
      </c>
    </row>
    <row r="222" spans="1:25" s="1" customFormat="1" x14ac:dyDescent="0.25">
      <c r="A222" s="7">
        <f t="shared" si="62"/>
        <v>214</v>
      </c>
      <c r="B222" s="11">
        <f t="shared" si="63"/>
        <v>11</v>
      </c>
      <c r="C222" s="502">
        <f t="shared" si="64"/>
        <v>46144</v>
      </c>
      <c r="D222" s="7">
        <f t="shared" si="65"/>
        <v>100</v>
      </c>
      <c r="E222" s="12">
        <f t="shared" si="66"/>
        <v>0.9</v>
      </c>
      <c r="F222" s="473">
        <f t="shared" si="67"/>
        <v>391.69999999999692</v>
      </c>
      <c r="G222" s="473"/>
      <c r="H222" s="504">
        <f t="shared" si="68"/>
        <v>7.0000000000000001E-3</v>
      </c>
      <c r="I222" s="14">
        <f t="shared" si="69"/>
        <v>7.0000000000000001E-3</v>
      </c>
      <c r="J222" s="498">
        <f t="shared" si="54"/>
        <v>274.18999999999784</v>
      </c>
      <c r="K222" s="15"/>
      <c r="L222" s="8">
        <f t="shared" si="70"/>
        <v>7.9131313131312515</v>
      </c>
      <c r="M222" s="8">
        <f t="shared" si="71"/>
        <v>9.0909090909090917</v>
      </c>
      <c r="N222" s="499" t="str">
        <f t="shared" si="55"/>
        <v/>
      </c>
      <c r="O222" s="4"/>
      <c r="P222" s="118"/>
      <c r="Q222" s="118"/>
      <c r="R222" s="4" t="str">
        <f t="shared" ca="1" si="56"/>
        <v>Ok</v>
      </c>
      <c r="S222" s="501">
        <f ca="1">IF(R222="Não","",COUNTIFS($R$9:R222,"Ok"))</f>
        <v>214</v>
      </c>
      <c r="T222" s="6">
        <f t="shared" ca="1" si="57"/>
        <v>46144</v>
      </c>
      <c r="U222" s="501">
        <f t="shared" ca="1" si="58"/>
        <v>391.69999999999692</v>
      </c>
      <c r="V222" s="501">
        <f t="shared" ca="1" si="59"/>
        <v>7.9131313131312515</v>
      </c>
      <c r="W222" s="501">
        <f t="shared" si="60"/>
        <v>0</v>
      </c>
      <c r="X222" s="1">
        <f t="shared" si="61"/>
        <v>0</v>
      </c>
      <c r="Y222" s="1">
        <f t="shared" si="61"/>
        <v>0</v>
      </c>
    </row>
    <row r="223" spans="1:25" s="1" customFormat="1" x14ac:dyDescent="0.25">
      <c r="A223" s="7">
        <f t="shared" si="62"/>
        <v>215</v>
      </c>
      <c r="B223" s="11">
        <f t="shared" si="63"/>
        <v>11</v>
      </c>
      <c r="C223" s="502">
        <f t="shared" si="64"/>
        <v>46145</v>
      </c>
      <c r="D223" s="7">
        <f t="shared" si="65"/>
        <v>100</v>
      </c>
      <c r="E223" s="12">
        <f t="shared" si="66"/>
        <v>0.9</v>
      </c>
      <c r="F223" s="473">
        <f t="shared" si="67"/>
        <v>392.5999999999969</v>
      </c>
      <c r="G223" s="473"/>
      <c r="H223" s="504">
        <f t="shared" si="68"/>
        <v>7.0000000000000001E-3</v>
      </c>
      <c r="I223" s="14">
        <f t="shared" si="69"/>
        <v>7.0000000000000001E-3</v>
      </c>
      <c r="J223" s="498">
        <f t="shared" si="54"/>
        <v>274.81999999999783</v>
      </c>
      <c r="K223" s="15"/>
      <c r="L223" s="8">
        <f t="shared" si="70"/>
        <v>7.9313131313130674</v>
      </c>
      <c r="M223" s="8">
        <f t="shared" si="71"/>
        <v>9.0909090909090917</v>
      </c>
      <c r="N223" s="499" t="str">
        <f t="shared" si="55"/>
        <v/>
      </c>
      <c r="O223" s="4"/>
      <c r="P223" s="118"/>
      <c r="Q223" s="118"/>
      <c r="R223" s="4" t="str">
        <f t="shared" ca="1" si="56"/>
        <v>Ok</v>
      </c>
      <c r="S223" s="501">
        <f ca="1">IF(R223="Não","",COUNTIFS($R$9:R223,"Ok"))</f>
        <v>215</v>
      </c>
      <c r="T223" s="6">
        <f t="shared" ca="1" si="57"/>
        <v>46145</v>
      </c>
      <c r="U223" s="501">
        <f t="shared" ca="1" si="58"/>
        <v>392.5999999999969</v>
      </c>
      <c r="V223" s="501">
        <f t="shared" ca="1" si="59"/>
        <v>7.9313131313130674</v>
      </c>
      <c r="W223" s="501">
        <f t="shared" si="60"/>
        <v>0</v>
      </c>
      <c r="X223" s="1">
        <f t="shared" si="61"/>
        <v>0</v>
      </c>
      <c r="Y223" s="1">
        <f t="shared" si="61"/>
        <v>0</v>
      </c>
    </row>
    <row r="224" spans="1:25" s="1" customFormat="1" x14ac:dyDescent="0.25">
      <c r="A224" s="7">
        <f t="shared" si="62"/>
        <v>216</v>
      </c>
      <c r="B224" s="11">
        <f t="shared" si="63"/>
        <v>11</v>
      </c>
      <c r="C224" s="502">
        <f t="shared" si="64"/>
        <v>46146</v>
      </c>
      <c r="D224" s="7">
        <f t="shared" si="65"/>
        <v>100</v>
      </c>
      <c r="E224" s="12">
        <f t="shared" si="66"/>
        <v>0.9</v>
      </c>
      <c r="F224" s="473">
        <f t="shared" si="67"/>
        <v>393.49999999999687</v>
      </c>
      <c r="G224" s="473"/>
      <c r="H224" s="504">
        <f t="shared" si="68"/>
        <v>7.0000000000000001E-3</v>
      </c>
      <c r="I224" s="14">
        <f t="shared" si="69"/>
        <v>7.0000000000000001E-3</v>
      </c>
      <c r="J224" s="498">
        <f t="shared" si="54"/>
        <v>275.44999999999777</v>
      </c>
      <c r="K224" s="15"/>
      <c r="L224" s="8">
        <f t="shared" si="70"/>
        <v>7.9494949494948859</v>
      </c>
      <c r="M224" s="8">
        <f t="shared" si="71"/>
        <v>9.0909090909090917</v>
      </c>
      <c r="N224" s="499" t="str">
        <f t="shared" si="55"/>
        <v/>
      </c>
      <c r="O224" s="4"/>
      <c r="P224" s="118"/>
      <c r="Q224" s="118"/>
      <c r="R224" s="4" t="str">
        <f t="shared" ca="1" si="56"/>
        <v>Ok</v>
      </c>
      <c r="S224" s="501">
        <f ca="1">IF(R224="Não","",COUNTIFS($R$9:R224,"Ok"))</f>
        <v>216</v>
      </c>
      <c r="T224" s="6">
        <f t="shared" ca="1" si="57"/>
        <v>46146</v>
      </c>
      <c r="U224" s="501">
        <f t="shared" ca="1" si="58"/>
        <v>393.49999999999687</v>
      </c>
      <c r="V224" s="501">
        <f t="shared" ca="1" si="59"/>
        <v>7.9494949494948859</v>
      </c>
      <c r="W224" s="501">
        <f t="shared" si="60"/>
        <v>0</v>
      </c>
      <c r="X224" s="1">
        <f t="shared" si="61"/>
        <v>0</v>
      </c>
      <c r="Y224" s="1">
        <f t="shared" si="61"/>
        <v>0</v>
      </c>
    </row>
    <row r="225" spans="1:25" s="1" customFormat="1" x14ac:dyDescent="0.25">
      <c r="A225" s="7">
        <f t="shared" si="62"/>
        <v>217</v>
      </c>
      <c r="B225" s="11">
        <f t="shared" si="63"/>
        <v>11</v>
      </c>
      <c r="C225" s="502">
        <f t="shared" si="64"/>
        <v>46147</v>
      </c>
      <c r="D225" s="7">
        <f t="shared" si="65"/>
        <v>100</v>
      </c>
      <c r="E225" s="12">
        <f t="shared" si="66"/>
        <v>0.9</v>
      </c>
      <c r="F225" s="473">
        <f t="shared" si="67"/>
        <v>394.39999999999685</v>
      </c>
      <c r="G225" s="473"/>
      <c r="H225" s="504">
        <f t="shared" si="68"/>
        <v>7.0000000000000001E-3</v>
      </c>
      <c r="I225" s="14">
        <f t="shared" si="69"/>
        <v>7.0000000000000001E-3</v>
      </c>
      <c r="J225" s="498">
        <f t="shared" si="54"/>
        <v>276.07999999999777</v>
      </c>
      <c r="K225" s="15"/>
      <c r="L225" s="8">
        <f t="shared" si="70"/>
        <v>7.9676767676767044</v>
      </c>
      <c r="M225" s="8">
        <f t="shared" si="71"/>
        <v>9.0909090909090917</v>
      </c>
      <c r="N225" s="499" t="str">
        <f t="shared" si="55"/>
        <v/>
      </c>
      <c r="O225" s="4"/>
      <c r="P225" s="118"/>
      <c r="Q225" s="118"/>
      <c r="R225" s="4" t="str">
        <f t="shared" ca="1" si="56"/>
        <v>Ok</v>
      </c>
      <c r="S225" s="501">
        <f ca="1">IF(R225="Não","",COUNTIFS($R$9:R225,"Ok"))</f>
        <v>217</v>
      </c>
      <c r="T225" s="6">
        <f t="shared" ca="1" si="57"/>
        <v>46147</v>
      </c>
      <c r="U225" s="501">
        <f t="shared" ca="1" si="58"/>
        <v>394.39999999999685</v>
      </c>
      <c r="V225" s="501">
        <f t="shared" ca="1" si="59"/>
        <v>7.9676767676767044</v>
      </c>
      <c r="W225" s="501">
        <f t="shared" si="60"/>
        <v>0</v>
      </c>
      <c r="X225" s="1">
        <f t="shared" si="61"/>
        <v>0</v>
      </c>
      <c r="Y225" s="1">
        <f t="shared" si="61"/>
        <v>0</v>
      </c>
    </row>
    <row r="226" spans="1:25" s="1" customFormat="1" x14ac:dyDescent="0.25">
      <c r="A226" s="7">
        <f t="shared" si="62"/>
        <v>218</v>
      </c>
      <c r="B226" s="11">
        <f t="shared" si="63"/>
        <v>11</v>
      </c>
      <c r="C226" s="502">
        <f t="shared" si="64"/>
        <v>46148</v>
      </c>
      <c r="D226" s="7">
        <f t="shared" si="65"/>
        <v>100</v>
      </c>
      <c r="E226" s="12">
        <f t="shared" si="66"/>
        <v>0.9</v>
      </c>
      <c r="F226" s="473">
        <f t="shared" si="67"/>
        <v>395.29999999999683</v>
      </c>
      <c r="G226" s="473"/>
      <c r="H226" s="504">
        <f t="shared" si="68"/>
        <v>7.0000000000000001E-3</v>
      </c>
      <c r="I226" s="14">
        <f t="shared" si="69"/>
        <v>7.0000000000000001E-3</v>
      </c>
      <c r="J226" s="498">
        <f t="shared" si="54"/>
        <v>276.70999999999776</v>
      </c>
      <c r="K226" s="15"/>
      <c r="L226" s="8">
        <f t="shared" si="70"/>
        <v>7.985858585858522</v>
      </c>
      <c r="M226" s="8">
        <f t="shared" si="71"/>
        <v>9.0909090909090917</v>
      </c>
      <c r="N226" s="499" t="str">
        <f t="shared" si="55"/>
        <v/>
      </c>
      <c r="O226" s="4"/>
      <c r="P226" s="118"/>
      <c r="Q226" s="118"/>
      <c r="R226" s="4" t="str">
        <f t="shared" ca="1" si="56"/>
        <v>Ok</v>
      </c>
      <c r="S226" s="501">
        <f ca="1">IF(R226="Não","",COUNTIFS($R$9:R226,"Ok"))</f>
        <v>218</v>
      </c>
      <c r="T226" s="6">
        <f t="shared" ca="1" si="57"/>
        <v>46148</v>
      </c>
      <c r="U226" s="501">
        <f t="shared" ca="1" si="58"/>
        <v>395.29999999999683</v>
      </c>
      <c r="V226" s="501">
        <f t="shared" ca="1" si="59"/>
        <v>7.985858585858522</v>
      </c>
      <c r="W226" s="501">
        <f t="shared" si="60"/>
        <v>0</v>
      </c>
      <c r="X226" s="1">
        <f t="shared" si="61"/>
        <v>0</v>
      </c>
      <c r="Y226" s="1">
        <f t="shared" si="61"/>
        <v>0</v>
      </c>
    </row>
    <row r="227" spans="1:25" s="1" customFormat="1" x14ac:dyDescent="0.25">
      <c r="A227" s="7">
        <f t="shared" si="62"/>
        <v>219</v>
      </c>
      <c r="B227" s="11">
        <f t="shared" si="63"/>
        <v>11</v>
      </c>
      <c r="C227" s="502">
        <f t="shared" si="64"/>
        <v>46149</v>
      </c>
      <c r="D227" s="7">
        <f t="shared" si="65"/>
        <v>100</v>
      </c>
      <c r="E227" s="12">
        <f t="shared" si="66"/>
        <v>0.9</v>
      </c>
      <c r="F227" s="473">
        <f t="shared" si="67"/>
        <v>396.19999999999681</v>
      </c>
      <c r="G227" s="473"/>
      <c r="H227" s="504">
        <f t="shared" si="68"/>
        <v>7.0000000000000001E-3</v>
      </c>
      <c r="I227" s="14">
        <f t="shared" si="69"/>
        <v>7.0000000000000001E-3</v>
      </c>
      <c r="J227" s="498">
        <f t="shared" si="54"/>
        <v>277.33999999999781</v>
      </c>
      <c r="K227" s="15"/>
      <c r="L227" s="8">
        <f t="shared" si="70"/>
        <v>8.0040404040403388</v>
      </c>
      <c r="M227" s="8">
        <f t="shared" si="71"/>
        <v>9.0909090909090917</v>
      </c>
      <c r="N227" s="499" t="str">
        <f t="shared" si="55"/>
        <v/>
      </c>
      <c r="O227" s="4"/>
      <c r="P227" s="118"/>
      <c r="Q227" s="118"/>
      <c r="R227" s="4" t="str">
        <f t="shared" ca="1" si="56"/>
        <v>Ok</v>
      </c>
      <c r="S227" s="501">
        <f ca="1">IF(R227="Não","",COUNTIFS($R$9:R227,"Ok"))</f>
        <v>219</v>
      </c>
      <c r="T227" s="6">
        <f t="shared" ca="1" si="57"/>
        <v>46149</v>
      </c>
      <c r="U227" s="501">
        <f t="shared" ca="1" si="58"/>
        <v>396.19999999999681</v>
      </c>
      <c r="V227" s="501">
        <f t="shared" ca="1" si="59"/>
        <v>8.0040404040403388</v>
      </c>
      <c r="W227" s="501">
        <f t="shared" si="60"/>
        <v>0</v>
      </c>
      <c r="X227" s="1">
        <f t="shared" si="61"/>
        <v>0</v>
      </c>
      <c r="Y227" s="1">
        <f t="shared" si="61"/>
        <v>0</v>
      </c>
    </row>
    <row r="228" spans="1:25" s="1" customFormat="1" x14ac:dyDescent="0.25">
      <c r="A228" s="7">
        <f t="shared" si="62"/>
        <v>220</v>
      </c>
      <c r="B228" s="11">
        <f t="shared" si="63"/>
        <v>11</v>
      </c>
      <c r="C228" s="502">
        <f t="shared" si="64"/>
        <v>46150</v>
      </c>
      <c r="D228" s="7">
        <f t="shared" si="65"/>
        <v>100</v>
      </c>
      <c r="E228" s="12">
        <f t="shared" si="66"/>
        <v>0.9</v>
      </c>
      <c r="F228" s="473">
        <f t="shared" si="67"/>
        <v>397.09999999999678</v>
      </c>
      <c r="G228" s="473"/>
      <c r="H228" s="504">
        <f t="shared" si="68"/>
        <v>7.0000000000000001E-3</v>
      </c>
      <c r="I228" s="14">
        <f t="shared" si="69"/>
        <v>7.0000000000000001E-3</v>
      </c>
      <c r="J228" s="498">
        <f t="shared" si="54"/>
        <v>277.96999999999775</v>
      </c>
      <c r="K228" s="15"/>
      <c r="L228" s="8">
        <f t="shared" si="70"/>
        <v>8.0222222222221564</v>
      </c>
      <c r="M228" s="8">
        <f t="shared" si="71"/>
        <v>9.0909090909090917</v>
      </c>
      <c r="N228" s="499" t="str">
        <f t="shared" si="55"/>
        <v/>
      </c>
      <c r="O228" s="4"/>
      <c r="P228" s="118"/>
      <c r="Q228" s="118"/>
      <c r="R228" s="4" t="str">
        <f t="shared" ca="1" si="56"/>
        <v>Ok</v>
      </c>
      <c r="S228" s="501">
        <f ca="1">IF(R228="Não","",COUNTIFS($R$9:R228,"Ok"))</f>
        <v>220</v>
      </c>
      <c r="T228" s="6">
        <f t="shared" ca="1" si="57"/>
        <v>46150</v>
      </c>
      <c r="U228" s="501">
        <f t="shared" ca="1" si="58"/>
        <v>397.09999999999678</v>
      </c>
      <c r="V228" s="501">
        <f t="shared" ca="1" si="59"/>
        <v>8.0222222222221564</v>
      </c>
      <c r="W228" s="501">
        <f t="shared" si="60"/>
        <v>0</v>
      </c>
      <c r="X228" s="1">
        <f t="shared" si="61"/>
        <v>0</v>
      </c>
      <c r="Y228" s="1">
        <f t="shared" si="61"/>
        <v>0</v>
      </c>
    </row>
    <row r="229" spans="1:25" s="1" customFormat="1" x14ac:dyDescent="0.25">
      <c r="A229" s="7">
        <f t="shared" si="62"/>
        <v>221</v>
      </c>
      <c r="B229" s="11">
        <f t="shared" si="63"/>
        <v>11</v>
      </c>
      <c r="C229" s="502">
        <f t="shared" si="64"/>
        <v>46151</v>
      </c>
      <c r="D229" s="7">
        <f t="shared" si="65"/>
        <v>100</v>
      </c>
      <c r="E229" s="12">
        <f t="shared" si="66"/>
        <v>0.9</v>
      </c>
      <c r="F229" s="473">
        <f t="shared" si="67"/>
        <v>397.99999999999676</v>
      </c>
      <c r="G229" s="473"/>
      <c r="H229" s="504">
        <f t="shared" si="68"/>
        <v>7.0000000000000001E-3</v>
      </c>
      <c r="I229" s="14">
        <f t="shared" si="69"/>
        <v>7.0000000000000001E-3</v>
      </c>
      <c r="J229" s="498">
        <f t="shared" si="54"/>
        <v>278.59999999999775</v>
      </c>
      <c r="K229" s="15"/>
      <c r="L229" s="8">
        <f t="shared" si="70"/>
        <v>8.0404040404039741</v>
      </c>
      <c r="M229" s="8">
        <f t="shared" si="71"/>
        <v>9.0909090909090917</v>
      </c>
      <c r="N229" s="499" t="str">
        <f t="shared" si="55"/>
        <v/>
      </c>
      <c r="O229" s="4"/>
      <c r="P229" s="118"/>
      <c r="Q229" s="118"/>
      <c r="R229" s="4" t="str">
        <f t="shared" ca="1" si="56"/>
        <v>Ok</v>
      </c>
      <c r="S229" s="501">
        <f ca="1">IF(R229="Não","",COUNTIFS($R$9:R229,"Ok"))</f>
        <v>221</v>
      </c>
      <c r="T229" s="6">
        <f t="shared" ca="1" si="57"/>
        <v>46151</v>
      </c>
      <c r="U229" s="501">
        <f t="shared" ca="1" si="58"/>
        <v>397.99999999999676</v>
      </c>
      <c r="V229" s="501">
        <f t="shared" ca="1" si="59"/>
        <v>8.0404040404039741</v>
      </c>
      <c r="W229" s="501">
        <f t="shared" si="60"/>
        <v>0</v>
      </c>
      <c r="X229" s="1">
        <f t="shared" si="61"/>
        <v>0</v>
      </c>
      <c r="Y229" s="1">
        <f t="shared" si="61"/>
        <v>0</v>
      </c>
    </row>
    <row r="230" spans="1:25" s="1" customFormat="1" x14ac:dyDescent="0.25">
      <c r="A230" s="7">
        <f t="shared" si="62"/>
        <v>222</v>
      </c>
      <c r="B230" s="11">
        <f t="shared" si="63"/>
        <v>11</v>
      </c>
      <c r="C230" s="502">
        <f t="shared" si="64"/>
        <v>46152</v>
      </c>
      <c r="D230" s="7">
        <f t="shared" si="65"/>
        <v>100</v>
      </c>
      <c r="E230" s="12">
        <f t="shared" si="66"/>
        <v>0.9</v>
      </c>
      <c r="F230" s="473">
        <f t="shared" si="67"/>
        <v>398.89999999999674</v>
      </c>
      <c r="G230" s="473"/>
      <c r="H230" s="504">
        <f t="shared" si="68"/>
        <v>7.0000000000000001E-3</v>
      </c>
      <c r="I230" s="14">
        <f t="shared" si="69"/>
        <v>7.0000000000000001E-3</v>
      </c>
      <c r="J230" s="498">
        <f t="shared" si="54"/>
        <v>279.22999999999774</v>
      </c>
      <c r="K230" s="15"/>
      <c r="L230" s="8">
        <f t="shared" si="70"/>
        <v>8.0585858585857935</v>
      </c>
      <c r="M230" s="8">
        <f t="shared" si="71"/>
        <v>9.0909090909090917</v>
      </c>
      <c r="N230" s="499" t="str">
        <f t="shared" si="55"/>
        <v/>
      </c>
      <c r="O230" s="4"/>
      <c r="P230" s="118"/>
      <c r="Q230" s="118"/>
      <c r="R230" s="4" t="str">
        <f t="shared" ca="1" si="56"/>
        <v>Ok</v>
      </c>
      <c r="S230" s="501">
        <f ca="1">IF(R230="Não","",COUNTIFS($R$9:R230,"Ok"))</f>
        <v>222</v>
      </c>
      <c r="T230" s="6">
        <f t="shared" ca="1" si="57"/>
        <v>46152</v>
      </c>
      <c r="U230" s="501">
        <f t="shared" ca="1" si="58"/>
        <v>398.89999999999674</v>
      </c>
      <c r="V230" s="501">
        <f t="shared" ca="1" si="59"/>
        <v>8.0585858585857935</v>
      </c>
      <c r="W230" s="501">
        <f t="shared" si="60"/>
        <v>0</v>
      </c>
      <c r="X230" s="1">
        <f t="shared" si="61"/>
        <v>0</v>
      </c>
      <c r="Y230" s="1">
        <f t="shared" si="61"/>
        <v>0</v>
      </c>
    </row>
    <row r="231" spans="1:25" s="1" customFormat="1" x14ac:dyDescent="0.25">
      <c r="A231" s="7">
        <f t="shared" si="62"/>
        <v>223</v>
      </c>
      <c r="B231" s="11">
        <f t="shared" si="63"/>
        <v>11</v>
      </c>
      <c r="C231" s="502">
        <f t="shared" si="64"/>
        <v>46153</v>
      </c>
      <c r="D231" s="7">
        <f t="shared" si="65"/>
        <v>100</v>
      </c>
      <c r="E231" s="12">
        <f t="shared" si="66"/>
        <v>0.9</v>
      </c>
      <c r="F231" s="473">
        <f t="shared" si="67"/>
        <v>399.79999999999671</v>
      </c>
      <c r="G231" s="473"/>
      <c r="H231" s="504">
        <f t="shared" si="68"/>
        <v>7.0000000000000001E-3</v>
      </c>
      <c r="I231" s="14">
        <f t="shared" si="69"/>
        <v>7.0000000000000001E-3</v>
      </c>
      <c r="J231" s="498">
        <f t="shared" si="54"/>
        <v>279.85999999999768</v>
      </c>
      <c r="K231" s="15"/>
      <c r="L231" s="8">
        <f t="shared" si="70"/>
        <v>8.0767676767676111</v>
      </c>
      <c r="M231" s="8">
        <f t="shared" si="71"/>
        <v>9.0909090909090917</v>
      </c>
      <c r="N231" s="499" t="str">
        <f t="shared" si="55"/>
        <v/>
      </c>
      <c r="O231" s="4"/>
      <c r="P231" s="118"/>
      <c r="Q231" s="118"/>
      <c r="R231" s="4" t="str">
        <f t="shared" ca="1" si="56"/>
        <v>Ok</v>
      </c>
      <c r="S231" s="501">
        <f ca="1">IF(R231="Não","",COUNTIFS($R$9:R231,"Ok"))</f>
        <v>223</v>
      </c>
      <c r="T231" s="6">
        <f t="shared" ca="1" si="57"/>
        <v>46153</v>
      </c>
      <c r="U231" s="501">
        <f t="shared" ca="1" si="58"/>
        <v>399.79999999999671</v>
      </c>
      <c r="V231" s="501">
        <f t="shared" ca="1" si="59"/>
        <v>8.0767676767676111</v>
      </c>
      <c r="W231" s="501">
        <f t="shared" si="60"/>
        <v>0</v>
      </c>
      <c r="X231" s="1">
        <f t="shared" si="61"/>
        <v>0</v>
      </c>
      <c r="Y231" s="1">
        <f t="shared" si="61"/>
        <v>0</v>
      </c>
    </row>
    <row r="232" spans="1:25" s="1" customFormat="1" x14ac:dyDescent="0.25">
      <c r="A232" s="7">
        <f t="shared" si="62"/>
        <v>224</v>
      </c>
      <c r="B232" s="11">
        <f t="shared" si="63"/>
        <v>11</v>
      </c>
      <c r="C232" s="502">
        <f t="shared" si="64"/>
        <v>46154</v>
      </c>
      <c r="D232" s="7">
        <f t="shared" si="65"/>
        <v>100</v>
      </c>
      <c r="E232" s="12">
        <f t="shared" si="66"/>
        <v>0.9</v>
      </c>
      <c r="F232" s="473">
        <f t="shared" si="67"/>
        <v>400.69999999999669</v>
      </c>
      <c r="G232" s="473"/>
      <c r="H232" s="504">
        <f t="shared" si="68"/>
        <v>7.0000000000000001E-3</v>
      </c>
      <c r="I232" s="14">
        <f t="shared" si="69"/>
        <v>7.0000000000000001E-3</v>
      </c>
      <c r="J232" s="498">
        <f t="shared" si="54"/>
        <v>280.48999999999768</v>
      </c>
      <c r="K232" s="15"/>
      <c r="L232" s="8">
        <f t="shared" si="70"/>
        <v>8.0949494949494287</v>
      </c>
      <c r="M232" s="8">
        <f t="shared" si="71"/>
        <v>9.0909090909090917</v>
      </c>
      <c r="N232" s="499" t="str">
        <f t="shared" si="55"/>
        <v/>
      </c>
      <c r="O232" s="4"/>
      <c r="P232" s="118"/>
      <c r="Q232" s="118"/>
      <c r="R232" s="4" t="str">
        <f t="shared" ca="1" si="56"/>
        <v>Ok</v>
      </c>
      <c r="S232" s="501">
        <f ca="1">IF(R232="Não","",COUNTIFS($R$9:R232,"Ok"))</f>
        <v>224</v>
      </c>
      <c r="T232" s="6">
        <f t="shared" ca="1" si="57"/>
        <v>46154</v>
      </c>
      <c r="U232" s="501">
        <f t="shared" ca="1" si="58"/>
        <v>400.69999999999669</v>
      </c>
      <c r="V232" s="501">
        <f t="shared" ca="1" si="59"/>
        <v>8.0949494949494287</v>
      </c>
      <c r="W232" s="501">
        <f t="shared" si="60"/>
        <v>0</v>
      </c>
      <c r="X232" s="1">
        <f t="shared" si="61"/>
        <v>0</v>
      </c>
      <c r="Y232" s="1">
        <f t="shared" si="61"/>
        <v>0</v>
      </c>
    </row>
    <row r="233" spans="1:25" s="1" customFormat="1" x14ac:dyDescent="0.25">
      <c r="A233" s="7">
        <f t="shared" si="62"/>
        <v>225</v>
      </c>
      <c r="B233" s="11">
        <f t="shared" si="63"/>
        <v>11</v>
      </c>
      <c r="C233" s="502">
        <f t="shared" si="64"/>
        <v>46155</v>
      </c>
      <c r="D233" s="7">
        <f t="shared" si="65"/>
        <v>100</v>
      </c>
      <c r="E233" s="12">
        <f t="shared" si="66"/>
        <v>0.9</v>
      </c>
      <c r="F233" s="473">
        <f t="shared" si="67"/>
        <v>401.59999999999667</v>
      </c>
      <c r="G233" s="473"/>
      <c r="H233" s="504">
        <f t="shared" si="68"/>
        <v>7.0000000000000001E-3</v>
      </c>
      <c r="I233" s="14">
        <f t="shared" si="69"/>
        <v>7.0000000000000001E-3</v>
      </c>
      <c r="J233" s="498">
        <f t="shared" si="54"/>
        <v>281.11999999999767</v>
      </c>
      <c r="K233" s="15"/>
      <c r="L233" s="8">
        <f t="shared" si="70"/>
        <v>8.1131313131312464</v>
      </c>
      <c r="M233" s="8">
        <f t="shared" si="71"/>
        <v>9.0909090909090917</v>
      </c>
      <c r="N233" s="499" t="str">
        <f t="shared" si="55"/>
        <v/>
      </c>
      <c r="O233" s="4"/>
      <c r="P233" s="118"/>
      <c r="Q233" s="118"/>
      <c r="R233" s="4" t="str">
        <f t="shared" ca="1" si="56"/>
        <v>Ok</v>
      </c>
      <c r="S233" s="501">
        <f ca="1">IF(R233="Não","",COUNTIFS($R$9:R233,"Ok"))</f>
        <v>225</v>
      </c>
      <c r="T233" s="6">
        <f t="shared" ca="1" si="57"/>
        <v>46155</v>
      </c>
      <c r="U233" s="501">
        <f t="shared" ca="1" si="58"/>
        <v>401.59999999999667</v>
      </c>
      <c r="V233" s="501">
        <f t="shared" ca="1" si="59"/>
        <v>8.1131313131312464</v>
      </c>
      <c r="W233" s="501">
        <f t="shared" si="60"/>
        <v>0</v>
      </c>
      <c r="X233" s="1">
        <f t="shared" si="61"/>
        <v>0</v>
      </c>
      <c r="Y233" s="1">
        <f t="shared" si="61"/>
        <v>0</v>
      </c>
    </row>
    <row r="234" spans="1:25" s="1" customFormat="1" x14ac:dyDescent="0.25">
      <c r="A234" s="7">
        <f t="shared" si="62"/>
        <v>226</v>
      </c>
      <c r="B234" s="11">
        <f t="shared" si="63"/>
        <v>11</v>
      </c>
      <c r="C234" s="502">
        <f t="shared" si="64"/>
        <v>46156</v>
      </c>
      <c r="D234" s="7">
        <f t="shared" si="65"/>
        <v>100</v>
      </c>
      <c r="E234" s="12">
        <f t="shared" si="66"/>
        <v>0.9</v>
      </c>
      <c r="F234" s="473">
        <f t="shared" si="67"/>
        <v>402.49999999999665</v>
      </c>
      <c r="G234" s="473"/>
      <c r="H234" s="504">
        <f t="shared" si="68"/>
        <v>7.0000000000000001E-3</v>
      </c>
      <c r="I234" s="14">
        <f t="shared" si="69"/>
        <v>7.0000000000000001E-3</v>
      </c>
      <c r="J234" s="498">
        <f t="shared" si="54"/>
        <v>281.74999999999767</v>
      </c>
      <c r="K234" s="15"/>
      <c r="L234" s="8">
        <f t="shared" si="70"/>
        <v>8.131313131313064</v>
      </c>
      <c r="M234" s="8">
        <f t="shared" si="71"/>
        <v>9.0909090909090917</v>
      </c>
      <c r="N234" s="499" t="str">
        <f t="shared" si="55"/>
        <v/>
      </c>
      <c r="O234" s="4"/>
      <c r="P234" s="118"/>
      <c r="Q234" s="118"/>
      <c r="R234" s="4" t="str">
        <f t="shared" ca="1" si="56"/>
        <v>Ok</v>
      </c>
      <c r="S234" s="501">
        <f ca="1">IF(R234="Não","",COUNTIFS($R$9:R234,"Ok"))</f>
        <v>226</v>
      </c>
      <c r="T234" s="6">
        <f t="shared" ca="1" si="57"/>
        <v>46156</v>
      </c>
      <c r="U234" s="501">
        <f t="shared" ca="1" si="58"/>
        <v>402.49999999999665</v>
      </c>
      <c r="V234" s="501">
        <f t="shared" ca="1" si="59"/>
        <v>8.131313131313064</v>
      </c>
      <c r="W234" s="501">
        <f t="shared" si="60"/>
        <v>0</v>
      </c>
      <c r="X234" s="1">
        <f t="shared" si="61"/>
        <v>0</v>
      </c>
      <c r="Y234" s="1">
        <f t="shared" si="61"/>
        <v>0</v>
      </c>
    </row>
    <row r="235" spans="1:25" s="1" customFormat="1" x14ac:dyDescent="0.25">
      <c r="A235" s="7">
        <f t="shared" si="62"/>
        <v>227</v>
      </c>
      <c r="B235" s="11">
        <f t="shared" si="63"/>
        <v>11</v>
      </c>
      <c r="C235" s="502">
        <f t="shared" si="64"/>
        <v>46157</v>
      </c>
      <c r="D235" s="7">
        <f t="shared" si="65"/>
        <v>100</v>
      </c>
      <c r="E235" s="12">
        <f t="shared" si="66"/>
        <v>0.9</v>
      </c>
      <c r="F235" s="473">
        <f t="shared" si="67"/>
        <v>403.39999999999662</v>
      </c>
      <c r="G235" s="473"/>
      <c r="H235" s="504">
        <f t="shared" si="68"/>
        <v>7.0000000000000001E-3</v>
      </c>
      <c r="I235" s="14">
        <f t="shared" si="69"/>
        <v>7.0000000000000001E-3</v>
      </c>
      <c r="J235" s="498">
        <f t="shared" si="54"/>
        <v>282.37999999999761</v>
      </c>
      <c r="K235" s="15"/>
      <c r="L235" s="8">
        <f t="shared" si="70"/>
        <v>8.1494949494948816</v>
      </c>
      <c r="M235" s="8">
        <f t="shared" si="71"/>
        <v>9.0909090909090917</v>
      </c>
      <c r="N235" s="499" t="str">
        <f t="shared" si="55"/>
        <v/>
      </c>
      <c r="O235" s="4"/>
      <c r="P235" s="118"/>
      <c r="Q235" s="118"/>
      <c r="R235" s="4" t="str">
        <f t="shared" ca="1" si="56"/>
        <v>Ok</v>
      </c>
      <c r="S235" s="501">
        <f ca="1">IF(R235="Não","",COUNTIFS($R$9:R235,"Ok"))</f>
        <v>227</v>
      </c>
      <c r="T235" s="6">
        <f t="shared" ca="1" si="57"/>
        <v>46157</v>
      </c>
      <c r="U235" s="501">
        <f t="shared" ca="1" si="58"/>
        <v>403.39999999999662</v>
      </c>
      <c r="V235" s="501">
        <f t="shared" ca="1" si="59"/>
        <v>8.1494949494948816</v>
      </c>
      <c r="W235" s="501">
        <f t="shared" si="60"/>
        <v>0</v>
      </c>
      <c r="X235" s="1">
        <f t="shared" si="61"/>
        <v>0</v>
      </c>
      <c r="Y235" s="1">
        <f t="shared" si="61"/>
        <v>0</v>
      </c>
    </row>
    <row r="236" spans="1:25" s="1" customFormat="1" x14ac:dyDescent="0.25">
      <c r="A236" s="7">
        <f t="shared" si="62"/>
        <v>228</v>
      </c>
      <c r="B236" s="11">
        <f t="shared" si="63"/>
        <v>11</v>
      </c>
      <c r="C236" s="502">
        <f t="shared" si="64"/>
        <v>46158</v>
      </c>
      <c r="D236" s="7">
        <f t="shared" si="65"/>
        <v>100</v>
      </c>
      <c r="E236" s="12">
        <f t="shared" si="66"/>
        <v>0.9</v>
      </c>
      <c r="F236" s="473">
        <f t="shared" si="67"/>
        <v>404.2999999999966</v>
      </c>
      <c r="G236" s="473"/>
      <c r="H236" s="504">
        <f t="shared" si="68"/>
        <v>7.0000000000000001E-3</v>
      </c>
      <c r="I236" s="14">
        <f t="shared" si="69"/>
        <v>7.0000000000000001E-3</v>
      </c>
      <c r="J236" s="498">
        <f t="shared" si="54"/>
        <v>283.0099999999976</v>
      </c>
      <c r="K236" s="15"/>
      <c r="L236" s="8">
        <f t="shared" si="70"/>
        <v>8.1676767676766975</v>
      </c>
      <c r="M236" s="8">
        <f t="shared" si="71"/>
        <v>9.0909090909090917</v>
      </c>
      <c r="N236" s="499" t="str">
        <f t="shared" si="55"/>
        <v/>
      </c>
      <c r="O236" s="4"/>
      <c r="P236" s="118"/>
      <c r="Q236" s="118"/>
      <c r="R236" s="4" t="str">
        <f t="shared" ca="1" si="56"/>
        <v>Ok</v>
      </c>
      <c r="S236" s="501">
        <f ca="1">IF(R236="Não","",COUNTIFS($R$9:R236,"Ok"))</f>
        <v>228</v>
      </c>
      <c r="T236" s="6">
        <f t="shared" ca="1" si="57"/>
        <v>46158</v>
      </c>
      <c r="U236" s="501">
        <f t="shared" ca="1" si="58"/>
        <v>404.2999999999966</v>
      </c>
      <c r="V236" s="501">
        <f t="shared" ca="1" si="59"/>
        <v>8.1676767676766975</v>
      </c>
      <c r="W236" s="501">
        <f t="shared" si="60"/>
        <v>0</v>
      </c>
      <c r="X236" s="1">
        <f t="shared" si="61"/>
        <v>0</v>
      </c>
      <c r="Y236" s="1">
        <f t="shared" si="61"/>
        <v>0</v>
      </c>
    </row>
    <row r="237" spans="1:25" s="1" customFormat="1" x14ac:dyDescent="0.25">
      <c r="A237" s="7">
        <f t="shared" si="62"/>
        <v>229</v>
      </c>
      <c r="B237" s="11">
        <f t="shared" si="63"/>
        <v>11</v>
      </c>
      <c r="C237" s="502">
        <f t="shared" si="64"/>
        <v>46159</v>
      </c>
      <c r="D237" s="7">
        <f t="shared" si="65"/>
        <v>100</v>
      </c>
      <c r="E237" s="12">
        <f t="shared" si="66"/>
        <v>0.9</v>
      </c>
      <c r="F237" s="473">
        <f t="shared" si="67"/>
        <v>405.19999999999658</v>
      </c>
      <c r="G237" s="473"/>
      <c r="H237" s="504">
        <f t="shared" si="68"/>
        <v>7.0000000000000001E-3</v>
      </c>
      <c r="I237" s="14">
        <f t="shared" si="69"/>
        <v>7.0000000000000001E-3</v>
      </c>
      <c r="J237" s="498">
        <f t="shared" si="54"/>
        <v>283.6399999999976</v>
      </c>
      <c r="K237" s="15"/>
      <c r="L237" s="8">
        <f t="shared" si="70"/>
        <v>8.1858585858585169</v>
      </c>
      <c r="M237" s="8">
        <f t="shared" si="71"/>
        <v>9.0909090909090917</v>
      </c>
      <c r="N237" s="499" t="str">
        <f t="shared" si="55"/>
        <v/>
      </c>
      <c r="O237" s="4"/>
      <c r="P237" s="118"/>
      <c r="Q237" s="118"/>
      <c r="R237" s="4" t="str">
        <f t="shared" ca="1" si="56"/>
        <v>Ok</v>
      </c>
      <c r="S237" s="501">
        <f ca="1">IF(R237="Não","",COUNTIFS($R$9:R237,"Ok"))</f>
        <v>229</v>
      </c>
      <c r="T237" s="6">
        <f t="shared" ca="1" si="57"/>
        <v>46159</v>
      </c>
      <c r="U237" s="501">
        <f t="shared" ca="1" si="58"/>
        <v>405.19999999999658</v>
      </c>
      <c r="V237" s="501">
        <f t="shared" ca="1" si="59"/>
        <v>8.1858585858585169</v>
      </c>
      <c r="W237" s="501">
        <f t="shared" si="60"/>
        <v>0</v>
      </c>
      <c r="X237" s="1">
        <f t="shared" si="61"/>
        <v>0</v>
      </c>
      <c r="Y237" s="1">
        <f t="shared" si="61"/>
        <v>0</v>
      </c>
    </row>
    <row r="238" spans="1:25" s="1" customFormat="1" x14ac:dyDescent="0.25">
      <c r="A238" s="7">
        <f t="shared" si="62"/>
        <v>230</v>
      </c>
      <c r="B238" s="11">
        <f t="shared" si="63"/>
        <v>11</v>
      </c>
      <c r="C238" s="502">
        <f t="shared" si="64"/>
        <v>46160</v>
      </c>
      <c r="D238" s="7">
        <f t="shared" si="65"/>
        <v>100</v>
      </c>
      <c r="E238" s="12">
        <f t="shared" si="66"/>
        <v>0.9</v>
      </c>
      <c r="F238" s="473">
        <f t="shared" si="67"/>
        <v>406.09999999999656</v>
      </c>
      <c r="G238" s="473"/>
      <c r="H238" s="504">
        <f t="shared" si="68"/>
        <v>7.0000000000000001E-3</v>
      </c>
      <c r="I238" s="14">
        <f t="shared" si="69"/>
        <v>7.0000000000000001E-3</v>
      </c>
      <c r="J238" s="498">
        <f t="shared" si="54"/>
        <v>284.26999999999759</v>
      </c>
      <c r="K238" s="15"/>
      <c r="L238" s="8">
        <f t="shared" si="70"/>
        <v>8.2040404040403345</v>
      </c>
      <c r="M238" s="8">
        <f t="shared" si="71"/>
        <v>9.0909090909090917</v>
      </c>
      <c r="N238" s="499" t="str">
        <f t="shared" si="55"/>
        <v/>
      </c>
      <c r="O238" s="4"/>
      <c r="P238" s="118"/>
      <c r="Q238" s="118"/>
      <c r="R238" s="4" t="str">
        <f t="shared" ca="1" si="56"/>
        <v>Ok</v>
      </c>
      <c r="S238" s="501">
        <f ca="1">IF(R238="Não","",COUNTIFS($R$9:R238,"Ok"))</f>
        <v>230</v>
      </c>
      <c r="T238" s="6">
        <f t="shared" ca="1" si="57"/>
        <v>46160</v>
      </c>
      <c r="U238" s="501">
        <f t="shared" ca="1" si="58"/>
        <v>406.09999999999656</v>
      </c>
      <c r="V238" s="501">
        <f t="shared" ca="1" si="59"/>
        <v>8.2040404040403345</v>
      </c>
      <c r="W238" s="501">
        <f t="shared" si="60"/>
        <v>0</v>
      </c>
      <c r="X238" s="1">
        <f t="shared" si="61"/>
        <v>0</v>
      </c>
      <c r="Y238" s="1">
        <f t="shared" si="61"/>
        <v>0</v>
      </c>
    </row>
    <row r="239" spans="1:25" s="1" customFormat="1" x14ac:dyDescent="0.25">
      <c r="A239" s="7">
        <f t="shared" si="62"/>
        <v>231</v>
      </c>
      <c r="B239" s="11">
        <f t="shared" si="63"/>
        <v>11</v>
      </c>
      <c r="C239" s="502">
        <f t="shared" si="64"/>
        <v>46161</v>
      </c>
      <c r="D239" s="7">
        <f t="shared" si="65"/>
        <v>100</v>
      </c>
      <c r="E239" s="12">
        <f t="shared" si="66"/>
        <v>0.9</v>
      </c>
      <c r="F239" s="473">
        <f t="shared" si="67"/>
        <v>406.99999999999653</v>
      </c>
      <c r="G239" s="473"/>
      <c r="H239" s="504">
        <f t="shared" si="68"/>
        <v>7.0000000000000001E-3</v>
      </c>
      <c r="I239" s="14">
        <f t="shared" si="69"/>
        <v>7.0000000000000001E-3</v>
      </c>
      <c r="J239" s="498">
        <f t="shared" si="54"/>
        <v>284.89999999999759</v>
      </c>
      <c r="K239" s="15"/>
      <c r="L239" s="8">
        <f t="shared" si="70"/>
        <v>8.2222222222221504</v>
      </c>
      <c r="M239" s="8">
        <f t="shared" si="71"/>
        <v>9.0909090909090917</v>
      </c>
      <c r="N239" s="499" t="str">
        <f t="shared" si="55"/>
        <v/>
      </c>
      <c r="O239" s="4"/>
      <c r="P239" s="118"/>
      <c r="Q239" s="118"/>
      <c r="R239" s="4" t="str">
        <f t="shared" ca="1" si="56"/>
        <v>Ok</v>
      </c>
      <c r="S239" s="501">
        <f ca="1">IF(R239="Não","",COUNTIFS($R$9:R239,"Ok"))</f>
        <v>231</v>
      </c>
      <c r="T239" s="6">
        <f t="shared" ca="1" si="57"/>
        <v>46161</v>
      </c>
      <c r="U239" s="501">
        <f t="shared" ca="1" si="58"/>
        <v>406.99999999999653</v>
      </c>
      <c r="V239" s="501">
        <f t="shared" ca="1" si="59"/>
        <v>8.2222222222221504</v>
      </c>
      <c r="W239" s="501">
        <f t="shared" si="60"/>
        <v>0</v>
      </c>
      <c r="X239" s="1">
        <f t="shared" si="61"/>
        <v>0</v>
      </c>
      <c r="Y239" s="1">
        <f t="shared" si="61"/>
        <v>0</v>
      </c>
    </row>
    <row r="240" spans="1:25" s="1" customFormat="1" x14ac:dyDescent="0.25">
      <c r="A240" s="7">
        <f t="shared" si="62"/>
        <v>232</v>
      </c>
      <c r="B240" s="11">
        <f t="shared" si="63"/>
        <v>11</v>
      </c>
      <c r="C240" s="502">
        <f t="shared" si="64"/>
        <v>46162</v>
      </c>
      <c r="D240" s="7">
        <f t="shared" si="65"/>
        <v>100</v>
      </c>
      <c r="E240" s="12">
        <f t="shared" si="66"/>
        <v>0.9</v>
      </c>
      <c r="F240" s="473">
        <f t="shared" si="67"/>
        <v>407.89999999999651</v>
      </c>
      <c r="G240" s="473"/>
      <c r="H240" s="504">
        <f t="shared" si="68"/>
        <v>7.0000000000000001E-3</v>
      </c>
      <c r="I240" s="14">
        <f t="shared" si="69"/>
        <v>7.0000000000000001E-3</v>
      </c>
      <c r="J240" s="498">
        <f t="shared" si="54"/>
        <v>285.52999999999759</v>
      </c>
      <c r="K240" s="15"/>
      <c r="L240" s="8">
        <f t="shared" si="70"/>
        <v>8.2404040404039698</v>
      </c>
      <c r="M240" s="8">
        <f t="shared" si="71"/>
        <v>9.0909090909090917</v>
      </c>
      <c r="N240" s="499" t="str">
        <f t="shared" si="55"/>
        <v/>
      </c>
      <c r="O240" s="4"/>
      <c r="P240" s="118"/>
      <c r="Q240" s="118"/>
      <c r="R240" s="4" t="str">
        <f t="shared" ca="1" si="56"/>
        <v>Ok</v>
      </c>
      <c r="S240" s="501">
        <f ca="1">IF(R240="Não","",COUNTIFS($R$9:R240,"Ok"))</f>
        <v>232</v>
      </c>
      <c r="T240" s="6">
        <f t="shared" ca="1" si="57"/>
        <v>46162</v>
      </c>
      <c r="U240" s="501">
        <f t="shared" ca="1" si="58"/>
        <v>407.89999999999651</v>
      </c>
      <c r="V240" s="501">
        <f t="shared" ca="1" si="59"/>
        <v>8.2404040404039698</v>
      </c>
      <c r="W240" s="501">
        <f t="shared" si="60"/>
        <v>0</v>
      </c>
      <c r="X240" s="1">
        <f t="shared" si="61"/>
        <v>0</v>
      </c>
      <c r="Y240" s="1">
        <f t="shared" si="61"/>
        <v>0</v>
      </c>
    </row>
    <row r="241" spans="1:25" s="1" customFormat="1" x14ac:dyDescent="0.25">
      <c r="A241" s="7">
        <f t="shared" si="62"/>
        <v>233</v>
      </c>
      <c r="B241" s="11">
        <f t="shared" si="63"/>
        <v>11</v>
      </c>
      <c r="C241" s="502">
        <f t="shared" si="64"/>
        <v>46163</v>
      </c>
      <c r="D241" s="7">
        <f t="shared" si="65"/>
        <v>100</v>
      </c>
      <c r="E241" s="12">
        <f t="shared" si="66"/>
        <v>0.9</v>
      </c>
      <c r="F241" s="473">
        <f t="shared" si="67"/>
        <v>408.79999999999649</v>
      </c>
      <c r="G241" s="473"/>
      <c r="H241" s="504">
        <f t="shared" si="68"/>
        <v>7.0000000000000001E-3</v>
      </c>
      <c r="I241" s="14">
        <f t="shared" si="69"/>
        <v>7.0000000000000001E-3</v>
      </c>
      <c r="J241" s="498">
        <f t="shared" si="54"/>
        <v>286.15999999999752</v>
      </c>
      <c r="K241" s="15"/>
      <c r="L241" s="8">
        <f t="shared" si="70"/>
        <v>8.2585858585857874</v>
      </c>
      <c r="M241" s="8">
        <f t="shared" si="71"/>
        <v>9.0909090909090917</v>
      </c>
      <c r="N241" s="499" t="str">
        <f t="shared" si="55"/>
        <v/>
      </c>
      <c r="O241" s="4"/>
      <c r="P241" s="118"/>
      <c r="Q241" s="118"/>
      <c r="R241" s="4" t="str">
        <f t="shared" ca="1" si="56"/>
        <v>Ok</v>
      </c>
      <c r="S241" s="501">
        <f ca="1">IF(R241="Não","",COUNTIFS($R$9:R241,"Ok"))</f>
        <v>233</v>
      </c>
      <c r="T241" s="6">
        <f t="shared" ca="1" si="57"/>
        <v>46163</v>
      </c>
      <c r="U241" s="501">
        <f t="shared" ca="1" si="58"/>
        <v>408.79999999999649</v>
      </c>
      <c r="V241" s="501">
        <f t="shared" ca="1" si="59"/>
        <v>8.2585858585857874</v>
      </c>
      <c r="W241" s="501">
        <f t="shared" si="60"/>
        <v>0</v>
      </c>
      <c r="X241" s="1">
        <f t="shared" si="61"/>
        <v>0</v>
      </c>
      <c r="Y241" s="1">
        <f t="shared" si="61"/>
        <v>0</v>
      </c>
    </row>
    <row r="242" spans="1:25" s="1" customFormat="1" x14ac:dyDescent="0.25">
      <c r="A242" s="7">
        <f t="shared" si="62"/>
        <v>234</v>
      </c>
      <c r="B242" s="11">
        <f t="shared" si="63"/>
        <v>11</v>
      </c>
      <c r="C242" s="502">
        <f t="shared" si="64"/>
        <v>46164</v>
      </c>
      <c r="D242" s="7">
        <f t="shared" si="65"/>
        <v>100</v>
      </c>
      <c r="E242" s="12">
        <f t="shared" si="66"/>
        <v>0.9</v>
      </c>
      <c r="F242" s="473">
        <f t="shared" si="67"/>
        <v>409.69999999999646</v>
      </c>
      <c r="G242" s="473"/>
      <c r="H242" s="504">
        <f t="shared" si="68"/>
        <v>7.0000000000000001E-3</v>
      </c>
      <c r="I242" s="14">
        <f t="shared" si="69"/>
        <v>7.0000000000000001E-3</v>
      </c>
      <c r="J242" s="498">
        <f t="shared" si="54"/>
        <v>286.78999999999752</v>
      </c>
      <c r="K242" s="15"/>
      <c r="L242" s="8">
        <f t="shared" si="70"/>
        <v>8.2767676767676051</v>
      </c>
      <c r="M242" s="8">
        <f t="shared" si="71"/>
        <v>9.0909090909090917</v>
      </c>
      <c r="N242" s="499" t="str">
        <f t="shared" si="55"/>
        <v/>
      </c>
      <c r="O242" s="4"/>
      <c r="P242" s="118"/>
      <c r="Q242" s="118"/>
      <c r="R242" s="4" t="str">
        <f t="shared" ca="1" si="56"/>
        <v>Ok</v>
      </c>
      <c r="S242" s="501">
        <f ca="1">IF(R242="Não","",COUNTIFS($R$9:R242,"Ok"))</f>
        <v>234</v>
      </c>
      <c r="T242" s="6">
        <f t="shared" ca="1" si="57"/>
        <v>46164</v>
      </c>
      <c r="U242" s="501">
        <f t="shared" ca="1" si="58"/>
        <v>409.69999999999646</v>
      </c>
      <c r="V242" s="501">
        <f t="shared" ca="1" si="59"/>
        <v>8.2767676767676051</v>
      </c>
      <c r="W242" s="501">
        <f t="shared" si="60"/>
        <v>0</v>
      </c>
      <c r="X242" s="1">
        <f t="shared" si="61"/>
        <v>0</v>
      </c>
      <c r="Y242" s="1">
        <f t="shared" si="61"/>
        <v>0</v>
      </c>
    </row>
    <row r="243" spans="1:25" s="1" customFormat="1" x14ac:dyDescent="0.25">
      <c r="A243" s="7">
        <f t="shared" si="62"/>
        <v>235</v>
      </c>
      <c r="B243" s="11">
        <f t="shared" si="63"/>
        <v>11</v>
      </c>
      <c r="C243" s="502">
        <f t="shared" si="64"/>
        <v>46165</v>
      </c>
      <c r="D243" s="7">
        <f t="shared" si="65"/>
        <v>100</v>
      </c>
      <c r="E243" s="12">
        <f t="shared" si="66"/>
        <v>0.9</v>
      </c>
      <c r="F243" s="473">
        <f t="shared" si="67"/>
        <v>410.59999999999644</v>
      </c>
      <c r="G243" s="473"/>
      <c r="H243" s="504">
        <f t="shared" si="68"/>
        <v>7.0000000000000001E-3</v>
      </c>
      <c r="I243" s="14">
        <f t="shared" si="69"/>
        <v>7.0000000000000001E-3</v>
      </c>
      <c r="J243" s="498">
        <f t="shared" si="54"/>
        <v>287.41999999999751</v>
      </c>
      <c r="K243" s="15"/>
      <c r="L243" s="8">
        <f t="shared" si="70"/>
        <v>8.2949494949494227</v>
      </c>
      <c r="M243" s="8">
        <f t="shared" si="71"/>
        <v>9.0909090909090917</v>
      </c>
      <c r="N243" s="499" t="str">
        <f t="shared" si="55"/>
        <v/>
      </c>
      <c r="O243" s="4"/>
      <c r="P243" s="118"/>
      <c r="Q243" s="118"/>
      <c r="R243" s="4" t="str">
        <f t="shared" ca="1" si="56"/>
        <v>Ok</v>
      </c>
      <c r="S243" s="501">
        <f ca="1">IF(R243="Não","",COUNTIFS($R$9:R243,"Ok"))</f>
        <v>235</v>
      </c>
      <c r="T243" s="6">
        <f t="shared" ca="1" si="57"/>
        <v>46165</v>
      </c>
      <c r="U243" s="501">
        <f t="shared" ca="1" si="58"/>
        <v>410.59999999999644</v>
      </c>
      <c r="V243" s="501">
        <f t="shared" ca="1" si="59"/>
        <v>8.2949494949494227</v>
      </c>
      <c r="W243" s="501">
        <f t="shared" si="60"/>
        <v>0</v>
      </c>
      <c r="X243" s="1">
        <f t="shared" si="61"/>
        <v>0</v>
      </c>
      <c r="Y243" s="1">
        <f t="shared" si="61"/>
        <v>0</v>
      </c>
    </row>
    <row r="244" spans="1:25" s="1" customFormat="1" x14ac:dyDescent="0.25">
      <c r="A244" s="7">
        <f t="shared" si="62"/>
        <v>236</v>
      </c>
      <c r="B244" s="11">
        <f t="shared" si="63"/>
        <v>11</v>
      </c>
      <c r="C244" s="502">
        <f t="shared" si="64"/>
        <v>46166</v>
      </c>
      <c r="D244" s="7">
        <f t="shared" si="65"/>
        <v>100</v>
      </c>
      <c r="E244" s="12">
        <f t="shared" si="66"/>
        <v>0.9</v>
      </c>
      <c r="F244" s="473">
        <f t="shared" si="67"/>
        <v>411.49999999999642</v>
      </c>
      <c r="G244" s="473"/>
      <c r="H244" s="504">
        <f t="shared" si="68"/>
        <v>7.0000000000000001E-3</v>
      </c>
      <c r="I244" s="14">
        <f t="shared" si="69"/>
        <v>7.0000000000000001E-3</v>
      </c>
      <c r="J244" s="498">
        <f t="shared" si="54"/>
        <v>288.04999999999751</v>
      </c>
      <c r="K244" s="15"/>
      <c r="L244" s="8">
        <f t="shared" si="70"/>
        <v>8.3131313131312403</v>
      </c>
      <c r="M244" s="8">
        <f t="shared" si="71"/>
        <v>9.0909090909090917</v>
      </c>
      <c r="N244" s="499" t="str">
        <f t="shared" si="55"/>
        <v/>
      </c>
      <c r="O244" s="4"/>
      <c r="P244" s="118"/>
      <c r="Q244" s="118"/>
      <c r="R244" s="4" t="str">
        <f t="shared" ca="1" si="56"/>
        <v>Ok</v>
      </c>
      <c r="S244" s="501">
        <f ca="1">IF(R244="Não","",COUNTIFS($R$9:R244,"Ok"))</f>
        <v>236</v>
      </c>
      <c r="T244" s="6">
        <f t="shared" ca="1" si="57"/>
        <v>46166</v>
      </c>
      <c r="U244" s="501">
        <f t="shared" ca="1" si="58"/>
        <v>411.49999999999642</v>
      </c>
      <c r="V244" s="501">
        <f t="shared" ca="1" si="59"/>
        <v>8.3131313131312403</v>
      </c>
      <c r="W244" s="501">
        <f t="shared" si="60"/>
        <v>0</v>
      </c>
      <c r="X244" s="1">
        <f t="shared" si="61"/>
        <v>0</v>
      </c>
      <c r="Y244" s="1">
        <f t="shared" si="61"/>
        <v>0</v>
      </c>
    </row>
    <row r="245" spans="1:25" s="1" customFormat="1" x14ac:dyDescent="0.25">
      <c r="A245" s="7">
        <f t="shared" si="62"/>
        <v>237</v>
      </c>
      <c r="B245" s="11">
        <f t="shared" si="63"/>
        <v>11</v>
      </c>
      <c r="C245" s="502">
        <f t="shared" si="64"/>
        <v>46167</v>
      </c>
      <c r="D245" s="7">
        <f t="shared" si="65"/>
        <v>100</v>
      </c>
      <c r="E245" s="12">
        <f t="shared" si="66"/>
        <v>0.9</v>
      </c>
      <c r="F245" s="473">
        <f t="shared" si="67"/>
        <v>412.3999999999964</v>
      </c>
      <c r="G245" s="473"/>
      <c r="H245" s="504">
        <f t="shared" si="68"/>
        <v>7.0000000000000001E-3</v>
      </c>
      <c r="I245" s="14">
        <f t="shared" si="69"/>
        <v>7.0000000000000001E-3</v>
      </c>
      <c r="J245" s="498">
        <f t="shared" si="54"/>
        <v>288.67999999999745</v>
      </c>
      <c r="K245" s="15"/>
      <c r="L245" s="8">
        <f t="shared" si="70"/>
        <v>8.331313131313058</v>
      </c>
      <c r="M245" s="8">
        <f t="shared" si="71"/>
        <v>9.0909090909090917</v>
      </c>
      <c r="N245" s="499" t="str">
        <f t="shared" si="55"/>
        <v/>
      </c>
      <c r="O245" s="4"/>
      <c r="P245" s="118"/>
      <c r="Q245" s="118"/>
      <c r="R245" s="4" t="str">
        <f t="shared" ca="1" si="56"/>
        <v>Ok</v>
      </c>
      <c r="S245" s="501">
        <f ca="1">IF(R245="Não","",COUNTIFS($R$9:R245,"Ok"))</f>
        <v>237</v>
      </c>
      <c r="T245" s="6">
        <f t="shared" ca="1" si="57"/>
        <v>46167</v>
      </c>
      <c r="U245" s="501">
        <f t="shared" ca="1" si="58"/>
        <v>412.3999999999964</v>
      </c>
      <c r="V245" s="501">
        <f t="shared" ca="1" si="59"/>
        <v>8.331313131313058</v>
      </c>
      <c r="W245" s="501">
        <f t="shared" si="60"/>
        <v>0</v>
      </c>
      <c r="X245" s="1">
        <f t="shared" si="61"/>
        <v>0</v>
      </c>
      <c r="Y245" s="1">
        <f t="shared" si="61"/>
        <v>0</v>
      </c>
    </row>
    <row r="246" spans="1:25" s="1" customFormat="1" x14ac:dyDescent="0.25">
      <c r="A246" s="7">
        <f t="shared" si="62"/>
        <v>238</v>
      </c>
      <c r="B246" s="11">
        <f t="shared" si="63"/>
        <v>11</v>
      </c>
      <c r="C246" s="502">
        <f t="shared" si="64"/>
        <v>46168</v>
      </c>
      <c r="D246" s="7">
        <f t="shared" si="65"/>
        <v>100</v>
      </c>
      <c r="E246" s="12">
        <f t="shared" si="66"/>
        <v>0.9</v>
      </c>
      <c r="F246" s="473">
        <f t="shared" si="67"/>
        <v>413.29999999999637</v>
      </c>
      <c r="G246" s="473"/>
      <c r="H246" s="504">
        <f t="shared" si="68"/>
        <v>7.0000000000000001E-3</v>
      </c>
      <c r="I246" s="14">
        <f t="shared" si="69"/>
        <v>7.0000000000000001E-3</v>
      </c>
      <c r="J246" s="498">
        <f t="shared" si="54"/>
        <v>289.30999999999744</v>
      </c>
      <c r="K246" s="15"/>
      <c r="L246" s="8">
        <f t="shared" si="70"/>
        <v>8.3494949494948756</v>
      </c>
      <c r="M246" s="8">
        <f t="shared" si="71"/>
        <v>9.0909090909090917</v>
      </c>
      <c r="N246" s="499" t="str">
        <f t="shared" si="55"/>
        <v/>
      </c>
      <c r="O246" s="4"/>
      <c r="P246" s="118"/>
      <c r="Q246" s="118"/>
      <c r="R246" s="4" t="str">
        <f t="shared" ca="1" si="56"/>
        <v>Ok</v>
      </c>
      <c r="S246" s="501">
        <f ca="1">IF(R246="Não","",COUNTIFS($R$9:R246,"Ok"))</f>
        <v>238</v>
      </c>
      <c r="T246" s="6">
        <f t="shared" ca="1" si="57"/>
        <v>46168</v>
      </c>
      <c r="U246" s="501">
        <f t="shared" ca="1" si="58"/>
        <v>413.29999999999637</v>
      </c>
      <c r="V246" s="501">
        <f t="shared" ca="1" si="59"/>
        <v>8.3494949494948756</v>
      </c>
      <c r="W246" s="501">
        <f t="shared" si="60"/>
        <v>0</v>
      </c>
      <c r="X246" s="1">
        <f t="shared" si="61"/>
        <v>0</v>
      </c>
      <c r="Y246" s="1">
        <f t="shared" si="61"/>
        <v>0</v>
      </c>
    </row>
    <row r="247" spans="1:25" s="1" customFormat="1" x14ac:dyDescent="0.25">
      <c r="A247" s="7">
        <f t="shared" si="62"/>
        <v>239</v>
      </c>
      <c r="B247" s="11">
        <f t="shared" si="63"/>
        <v>11</v>
      </c>
      <c r="C247" s="502">
        <f t="shared" si="64"/>
        <v>46169</v>
      </c>
      <c r="D247" s="7">
        <f t="shared" si="65"/>
        <v>100</v>
      </c>
      <c r="E247" s="12">
        <f t="shared" si="66"/>
        <v>0.9</v>
      </c>
      <c r="F247" s="473">
        <f t="shared" si="67"/>
        <v>414.19999999999635</v>
      </c>
      <c r="G247" s="473"/>
      <c r="H247" s="504">
        <f t="shared" si="68"/>
        <v>7.0000000000000001E-3</v>
      </c>
      <c r="I247" s="14">
        <f t="shared" si="69"/>
        <v>7.0000000000000001E-3</v>
      </c>
      <c r="J247" s="498">
        <f t="shared" si="54"/>
        <v>289.93999999999744</v>
      </c>
      <c r="K247" s="15"/>
      <c r="L247" s="8">
        <f t="shared" si="70"/>
        <v>8.367676767676695</v>
      </c>
      <c r="M247" s="8">
        <f t="shared" si="71"/>
        <v>9.0909090909090917</v>
      </c>
      <c r="N247" s="499" t="str">
        <f t="shared" si="55"/>
        <v/>
      </c>
      <c r="O247" s="4"/>
      <c r="P247" s="118"/>
      <c r="Q247" s="118"/>
      <c r="R247" s="4" t="str">
        <f t="shared" ca="1" si="56"/>
        <v>Ok</v>
      </c>
      <c r="S247" s="501">
        <f ca="1">IF(R247="Não","",COUNTIFS($R$9:R247,"Ok"))</f>
        <v>239</v>
      </c>
      <c r="T247" s="6">
        <f t="shared" ca="1" si="57"/>
        <v>46169</v>
      </c>
      <c r="U247" s="501">
        <f t="shared" ca="1" si="58"/>
        <v>414.19999999999635</v>
      </c>
      <c r="V247" s="501">
        <f t="shared" ca="1" si="59"/>
        <v>8.367676767676695</v>
      </c>
      <c r="W247" s="501">
        <f t="shared" si="60"/>
        <v>0</v>
      </c>
      <c r="X247" s="1">
        <f t="shared" si="61"/>
        <v>0</v>
      </c>
      <c r="Y247" s="1">
        <f t="shared" si="61"/>
        <v>0</v>
      </c>
    </row>
    <row r="248" spans="1:25" s="1" customFormat="1" x14ac:dyDescent="0.25">
      <c r="A248" s="7">
        <f t="shared" si="62"/>
        <v>240</v>
      </c>
      <c r="B248" s="11">
        <f t="shared" si="63"/>
        <v>11</v>
      </c>
      <c r="C248" s="502">
        <f t="shared" si="64"/>
        <v>46170</v>
      </c>
      <c r="D248" s="7">
        <f t="shared" si="65"/>
        <v>100</v>
      </c>
      <c r="E248" s="12">
        <f t="shared" si="66"/>
        <v>0.9</v>
      </c>
      <c r="F248" s="473">
        <f t="shared" si="67"/>
        <v>415.09999999999633</v>
      </c>
      <c r="G248" s="473"/>
      <c r="H248" s="504">
        <f t="shared" si="68"/>
        <v>7.0000000000000001E-3</v>
      </c>
      <c r="I248" s="14">
        <f t="shared" si="69"/>
        <v>7.0000000000000001E-3</v>
      </c>
      <c r="J248" s="498">
        <f t="shared" si="54"/>
        <v>290.56999999999744</v>
      </c>
      <c r="K248" s="15"/>
      <c r="L248" s="8">
        <f t="shared" si="70"/>
        <v>8.3858585858585126</v>
      </c>
      <c r="M248" s="8">
        <f t="shared" si="71"/>
        <v>9.0909090909090917</v>
      </c>
      <c r="N248" s="499" t="str">
        <f t="shared" si="55"/>
        <v/>
      </c>
      <c r="O248" s="4"/>
      <c r="P248" s="118"/>
      <c r="Q248" s="118"/>
      <c r="R248" s="4" t="str">
        <f t="shared" ca="1" si="56"/>
        <v>Ok</v>
      </c>
      <c r="S248" s="501">
        <f ca="1">IF(R248="Não","",COUNTIFS($R$9:R248,"Ok"))</f>
        <v>240</v>
      </c>
      <c r="T248" s="6">
        <f t="shared" ca="1" si="57"/>
        <v>46170</v>
      </c>
      <c r="U248" s="501">
        <f t="shared" ca="1" si="58"/>
        <v>415.09999999999633</v>
      </c>
      <c r="V248" s="501">
        <f t="shared" ca="1" si="59"/>
        <v>8.3858585858585126</v>
      </c>
      <c r="W248" s="501">
        <f t="shared" si="60"/>
        <v>0</v>
      </c>
      <c r="X248" s="1">
        <f t="shared" si="61"/>
        <v>0</v>
      </c>
      <c r="Y248" s="1">
        <f t="shared" si="61"/>
        <v>0</v>
      </c>
    </row>
    <row r="249" spans="1:25" s="1" customFormat="1" x14ac:dyDescent="0.25">
      <c r="A249" s="7">
        <f t="shared" si="62"/>
        <v>241</v>
      </c>
      <c r="B249" s="11">
        <f t="shared" si="63"/>
        <v>11</v>
      </c>
      <c r="C249" s="502">
        <f t="shared" si="64"/>
        <v>46171</v>
      </c>
      <c r="D249" s="7">
        <f t="shared" si="65"/>
        <v>100</v>
      </c>
      <c r="E249" s="12">
        <f t="shared" si="66"/>
        <v>0.9</v>
      </c>
      <c r="F249" s="473">
        <f t="shared" si="67"/>
        <v>415.99999999999631</v>
      </c>
      <c r="G249" s="473"/>
      <c r="H249" s="504">
        <f t="shared" si="68"/>
        <v>7.0000000000000001E-3</v>
      </c>
      <c r="I249" s="14">
        <f t="shared" si="69"/>
        <v>7.0000000000000001E-3</v>
      </c>
      <c r="J249" s="498">
        <f t="shared" si="54"/>
        <v>291.19999999999743</v>
      </c>
      <c r="K249" s="15"/>
      <c r="L249" s="8">
        <f t="shared" si="70"/>
        <v>8.4040404040403285</v>
      </c>
      <c r="M249" s="8">
        <f t="shared" si="71"/>
        <v>9.0909090909090917</v>
      </c>
      <c r="N249" s="499" t="str">
        <f t="shared" si="55"/>
        <v/>
      </c>
      <c r="O249" s="4"/>
      <c r="P249" s="118"/>
      <c r="Q249" s="118"/>
      <c r="R249" s="4" t="str">
        <f t="shared" ca="1" si="56"/>
        <v>Ok</v>
      </c>
      <c r="S249" s="501">
        <f ca="1">IF(R249="Não","",COUNTIFS($R$9:R249,"Ok"))</f>
        <v>241</v>
      </c>
      <c r="T249" s="6">
        <f t="shared" ca="1" si="57"/>
        <v>46171</v>
      </c>
      <c r="U249" s="501">
        <f t="shared" ca="1" si="58"/>
        <v>415.99999999999631</v>
      </c>
      <c r="V249" s="501">
        <f t="shared" ca="1" si="59"/>
        <v>8.4040404040403285</v>
      </c>
      <c r="W249" s="501">
        <f t="shared" si="60"/>
        <v>0</v>
      </c>
      <c r="X249" s="1">
        <f t="shared" si="61"/>
        <v>0</v>
      </c>
      <c r="Y249" s="1">
        <f t="shared" si="61"/>
        <v>0</v>
      </c>
    </row>
    <row r="250" spans="1:25" s="1" customFormat="1" x14ac:dyDescent="0.25">
      <c r="A250" s="7">
        <f t="shared" si="62"/>
        <v>242</v>
      </c>
      <c r="B250" s="11">
        <f t="shared" si="63"/>
        <v>11</v>
      </c>
      <c r="C250" s="502">
        <f t="shared" si="64"/>
        <v>46172</v>
      </c>
      <c r="D250" s="7">
        <f t="shared" si="65"/>
        <v>100</v>
      </c>
      <c r="E250" s="12">
        <f t="shared" si="66"/>
        <v>0.9</v>
      </c>
      <c r="F250" s="473">
        <f t="shared" si="67"/>
        <v>416.89999999999628</v>
      </c>
      <c r="G250" s="473"/>
      <c r="H250" s="504">
        <f t="shared" si="68"/>
        <v>7.0000000000000001E-3</v>
      </c>
      <c r="I250" s="14">
        <f t="shared" si="69"/>
        <v>7.0000000000000001E-3</v>
      </c>
      <c r="J250" s="498">
        <f t="shared" si="54"/>
        <v>291.82999999999743</v>
      </c>
      <c r="K250" s="15"/>
      <c r="L250" s="8">
        <f t="shared" si="70"/>
        <v>8.4222222222221479</v>
      </c>
      <c r="M250" s="8">
        <f t="shared" si="71"/>
        <v>9.0909090909090917</v>
      </c>
      <c r="N250" s="499" t="str">
        <f t="shared" si="55"/>
        <v/>
      </c>
      <c r="O250" s="4"/>
      <c r="P250" s="118"/>
      <c r="Q250" s="118"/>
      <c r="R250" s="4" t="str">
        <f t="shared" ca="1" si="56"/>
        <v>Ok</v>
      </c>
      <c r="S250" s="501">
        <f ca="1">IF(R250="Não","",COUNTIFS($R$9:R250,"Ok"))</f>
        <v>242</v>
      </c>
      <c r="T250" s="6">
        <f t="shared" ca="1" si="57"/>
        <v>46172</v>
      </c>
      <c r="U250" s="501">
        <f t="shared" ca="1" si="58"/>
        <v>416.89999999999628</v>
      </c>
      <c r="V250" s="501">
        <f t="shared" ca="1" si="59"/>
        <v>8.4222222222221479</v>
      </c>
      <c r="W250" s="501">
        <f t="shared" si="60"/>
        <v>0</v>
      </c>
      <c r="X250" s="1">
        <f t="shared" si="61"/>
        <v>0</v>
      </c>
      <c r="Y250" s="1">
        <f t="shared" si="61"/>
        <v>0</v>
      </c>
    </row>
    <row r="251" spans="1:25" s="1" customFormat="1" x14ac:dyDescent="0.25">
      <c r="A251" s="7">
        <f t="shared" si="62"/>
        <v>243</v>
      </c>
      <c r="B251" s="11">
        <f t="shared" si="63"/>
        <v>11</v>
      </c>
      <c r="C251" s="502">
        <f t="shared" si="64"/>
        <v>46173</v>
      </c>
      <c r="D251" s="7">
        <f t="shared" si="65"/>
        <v>100</v>
      </c>
      <c r="E251" s="12">
        <f t="shared" si="66"/>
        <v>0.9</v>
      </c>
      <c r="F251" s="473">
        <f t="shared" si="67"/>
        <v>417.79999999999626</v>
      </c>
      <c r="G251" s="473"/>
      <c r="H251" s="504">
        <f t="shared" si="68"/>
        <v>7.0000000000000001E-3</v>
      </c>
      <c r="I251" s="14">
        <f t="shared" si="69"/>
        <v>7.0000000000000001E-3</v>
      </c>
      <c r="J251" s="498">
        <f t="shared" si="54"/>
        <v>292.45999999999736</v>
      </c>
      <c r="K251" s="15"/>
      <c r="L251" s="8">
        <f t="shared" si="70"/>
        <v>8.4404040404039655</v>
      </c>
      <c r="M251" s="8">
        <f t="shared" si="71"/>
        <v>9.0909090909090917</v>
      </c>
      <c r="N251" s="499" t="str">
        <f t="shared" si="55"/>
        <v/>
      </c>
      <c r="O251" s="4"/>
      <c r="P251" s="118"/>
      <c r="Q251" s="118"/>
      <c r="R251" s="4" t="str">
        <f t="shared" ca="1" si="56"/>
        <v>Ok</v>
      </c>
      <c r="S251" s="501">
        <f ca="1">IF(R251="Não","",COUNTIFS($R$9:R251,"Ok"))</f>
        <v>243</v>
      </c>
      <c r="T251" s="6">
        <f t="shared" ca="1" si="57"/>
        <v>46173</v>
      </c>
      <c r="U251" s="501">
        <f t="shared" ca="1" si="58"/>
        <v>417.79999999999626</v>
      </c>
      <c r="V251" s="501">
        <f t="shared" ca="1" si="59"/>
        <v>8.4404040404039655</v>
      </c>
      <c r="W251" s="501">
        <f t="shared" si="60"/>
        <v>0</v>
      </c>
      <c r="X251" s="1">
        <f t="shared" si="61"/>
        <v>0</v>
      </c>
      <c r="Y251" s="1">
        <f t="shared" si="61"/>
        <v>0</v>
      </c>
    </row>
    <row r="252" spans="1:25" s="1" customFormat="1" x14ac:dyDescent="0.25">
      <c r="A252" s="7">
        <f t="shared" si="62"/>
        <v>244</v>
      </c>
      <c r="B252" s="11">
        <f t="shared" si="63"/>
        <v>11</v>
      </c>
      <c r="C252" s="502">
        <f t="shared" si="64"/>
        <v>46174</v>
      </c>
      <c r="D252" s="7">
        <f t="shared" si="65"/>
        <v>100</v>
      </c>
      <c r="E252" s="12">
        <f t="shared" si="66"/>
        <v>0.9</v>
      </c>
      <c r="F252" s="473">
        <f t="shared" si="67"/>
        <v>418.69999999999624</v>
      </c>
      <c r="G252" s="473"/>
      <c r="H252" s="504">
        <f t="shared" si="68"/>
        <v>7.0000000000000001E-3</v>
      </c>
      <c r="I252" s="14">
        <f t="shared" si="69"/>
        <v>7.0000000000000001E-3</v>
      </c>
      <c r="J252" s="498">
        <f t="shared" si="54"/>
        <v>293.08999999999736</v>
      </c>
      <c r="K252" s="15"/>
      <c r="L252" s="8">
        <f t="shared" si="70"/>
        <v>8.4585858585857814</v>
      </c>
      <c r="M252" s="8">
        <f t="shared" si="71"/>
        <v>9.0909090909090917</v>
      </c>
      <c r="N252" s="499" t="str">
        <f t="shared" si="55"/>
        <v/>
      </c>
      <c r="O252" s="4"/>
      <c r="P252" s="118"/>
      <c r="Q252" s="118"/>
      <c r="R252" s="4" t="str">
        <f t="shared" ca="1" si="56"/>
        <v>Ok</v>
      </c>
      <c r="S252" s="501">
        <f ca="1">IF(R252="Não","",COUNTIFS($R$9:R252,"Ok"))</f>
        <v>244</v>
      </c>
      <c r="T252" s="6">
        <f t="shared" ca="1" si="57"/>
        <v>46174</v>
      </c>
      <c r="U252" s="501">
        <f t="shared" ca="1" si="58"/>
        <v>418.69999999999624</v>
      </c>
      <c r="V252" s="501">
        <f t="shared" ca="1" si="59"/>
        <v>8.4585858585857814</v>
      </c>
      <c r="W252" s="501">
        <f t="shared" si="60"/>
        <v>0</v>
      </c>
      <c r="X252" s="1">
        <f t="shared" si="61"/>
        <v>0</v>
      </c>
      <c r="Y252" s="1">
        <f t="shared" si="61"/>
        <v>0</v>
      </c>
    </row>
    <row r="253" spans="1:25" s="1" customFormat="1" x14ac:dyDescent="0.25">
      <c r="A253" s="7">
        <f t="shared" si="62"/>
        <v>245</v>
      </c>
      <c r="B253" s="11">
        <f t="shared" si="63"/>
        <v>11</v>
      </c>
      <c r="C253" s="502">
        <f t="shared" si="64"/>
        <v>46175</v>
      </c>
      <c r="D253" s="7">
        <f t="shared" si="65"/>
        <v>100</v>
      </c>
      <c r="E253" s="12">
        <f t="shared" si="66"/>
        <v>0.9</v>
      </c>
      <c r="F253" s="473">
        <f t="shared" si="67"/>
        <v>419.59999999999621</v>
      </c>
      <c r="G253" s="473"/>
      <c r="H253" s="504">
        <f t="shared" si="68"/>
        <v>7.0000000000000001E-3</v>
      </c>
      <c r="I253" s="14">
        <f t="shared" si="69"/>
        <v>7.0000000000000001E-3</v>
      </c>
      <c r="J253" s="498">
        <f t="shared" si="54"/>
        <v>293.71999999999736</v>
      </c>
      <c r="K253" s="15"/>
      <c r="L253" s="8">
        <f t="shared" si="70"/>
        <v>8.4767676767676008</v>
      </c>
      <c r="M253" s="8">
        <f t="shared" si="71"/>
        <v>9.0909090909090917</v>
      </c>
      <c r="N253" s="499" t="str">
        <f t="shared" si="55"/>
        <v/>
      </c>
      <c r="O253" s="4"/>
      <c r="P253" s="118"/>
      <c r="Q253" s="118"/>
      <c r="R253" s="4" t="str">
        <f t="shared" ca="1" si="56"/>
        <v>Ok</v>
      </c>
      <c r="S253" s="501">
        <f ca="1">IF(R253="Não","",COUNTIFS($R$9:R253,"Ok"))</f>
        <v>245</v>
      </c>
      <c r="T253" s="6">
        <f t="shared" ca="1" si="57"/>
        <v>46175</v>
      </c>
      <c r="U253" s="501">
        <f t="shared" ca="1" si="58"/>
        <v>419.59999999999621</v>
      </c>
      <c r="V253" s="501">
        <f t="shared" ca="1" si="59"/>
        <v>8.4767676767676008</v>
      </c>
      <c r="W253" s="501">
        <f t="shared" si="60"/>
        <v>0</v>
      </c>
      <c r="X253" s="1">
        <f t="shared" si="61"/>
        <v>0</v>
      </c>
      <c r="Y253" s="1">
        <f t="shared" si="61"/>
        <v>0</v>
      </c>
    </row>
    <row r="254" spans="1:25" s="1" customFormat="1" x14ac:dyDescent="0.25">
      <c r="A254" s="7">
        <f t="shared" si="62"/>
        <v>246</v>
      </c>
      <c r="B254" s="11">
        <f t="shared" si="63"/>
        <v>11</v>
      </c>
      <c r="C254" s="502">
        <f t="shared" si="64"/>
        <v>46176</v>
      </c>
      <c r="D254" s="7">
        <f t="shared" si="65"/>
        <v>100</v>
      </c>
      <c r="E254" s="12">
        <f t="shared" si="66"/>
        <v>0.9</v>
      </c>
      <c r="F254" s="473">
        <f t="shared" si="67"/>
        <v>420.49999999999619</v>
      </c>
      <c r="G254" s="473"/>
      <c r="H254" s="504">
        <f t="shared" si="68"/>
        <v>7.0000000000000001E-3</v>
      </c>
      <c r="I254" s="14">
        <f t="shared" si="69"/>
        <v>7.0000000000000001E-3</v>
      </c>
      <c r="J254" s="498">
        <f t="shared" si="54"/>
        <v>294.34999999999735</v>
      </c>
      <c r="K254" s="15"/>
      <c r="L254" s="8">
        <f t="shared" si="70"/>
        <v>8.4949494949494184</v>
      </c>
      <c r="M254" s="8">
        <f t="shared" si="71"/>
        <v>9.0909090909090917</v>
      </c>
      <c r="N254" s="499" t="str">
        <f t="shared" si="55"/>
        <v/>
      </c>
      <c r="O254" s="4"/>
      <c r="P254" s="118"/>
      <c r="Q254" s="118"/>
      <c r="R254" s="4" t="str">
        <f t="shared" ca="1" si="56"/>
        <v>Ok</v>
      </c>
      <c r="S254" s="501">
        <f ca="1">IF(R254="Não","",COUNTIFS($R$9:R254,"Ok"))</f>
        <v>246</v>
      </c>
      <c r="T254" s="6">
        <f t="shared" ca="1" si="57"/>
        <v>46176</v>
      </c>
      <c r="U254" s="501">
        <f t="shared" ca="1" si="58"/>
        <v>420.49999999999619</v>
      </c>
      <c r="V254" s="501">
        <f t="shared" ca="1" si="59"/>
        <v>8.4949494949494184</v>
      </c>
      <c r="W254" s="501">
        <f t="shared" si="60"/>
        <v>0</v>
      </c>
      <c r="X254" s="1">
        <f t="shared" si="61"/>
        <v>0</v>
      </c>
      <c r="Y254" s="1">
        <f t="shared" si="61"/>
        <v>0</v>
      </c>
    </row>
    <row r="255" spans="1:25" s="1" customFormat="1" x14ac:dyDescent="0.25">
      <c r="A255" s="7">
        <f t="shared" si="62"/>
        <v>247</v>
      </c>
      <c r="B255" s="11">
        <f t="shared" si="63"/>
        <v>11</v>
      </c>
      <c r="C255" s="502">
        <f t="shared" si="64"/>
        <v>46177</v>
      </c>
      <c r="D255" s="7">
        <f t="shared" si="65"/>
        <v>100</v>
      </c>
      <c r="E255" s="12">
        <f t="shared" si="66"/>
        <v>0.9</v>
      </c>
      <c r="F255" s="473">
        <f t="shared" si="67"/>
        <v>421.39999999999617</v>
      </c>
      <c r="G255" s="473"/>
      <c r="H255" s="504">
        <f t="shared" si="68"/>
        <v>7.0000000000000001E-3</v>
      </c>
      <c r="I255" s="14">
        <f t="shared" si="69"/>
        <v>7.0000000000000001E-3</v>
      </c>
      <c r="J255" s="498">
        <f t="shared" si="54"/>
        <v>294.97999999999729</v>
      </c>
      <c r="K255" s="15"/>
      <c r="L255" s="8">
        <f t="shared" si="70"/>
        <v>8.5131313131312361</v>
      </c>
      <c r="M255" s="8">
        <f t="shared" si="71"/>
        <v>9.0909090909090917</v>
      </c>
      <c r="N255" s="499" t="str">
        <f t="shared" si="55"/>
        <v/>
      </c>
      <c r="O255" s="4"/>
      <c r="P255" s="118"/>
      <c r="Q255" s="118"/>
      <c r="R255" s="4" t="str">
        <f t="shared" ca="1" si="56"/>
        <v>Ok</v>
      </c>
      <c r="S255" s="501">
        <f ca="1">IF(R255="Não","",COUNTIFS($R$9:R255,"Ok"))</f>
        <v>247</v>
      </c>
      <c r="T255" s="6">
        <f t="shared" ca="1" si="57"/>
        <v>46177</v>
      </c>
      <c r="U255" s="501">
        <f t="shared" ca="1" si="58"/>
        <v>421.39999999999617</v>
      </c>
      <c r="V255" s="501">
        <f t="shared" ca="1" si="59"/>
        <v>8.5131313131312361</v>
      </c>
      <c r="W255" s="501">
        <f t="shared" si="60"/>
        <v>0</v>
      </c>
      <c r="X255" s="1">
        <f t="shared" si="61"/>
        <v>0</v>
      </c>
      <c r="Y255" s="1">
        <f t="shared" si="61"/>
        <v>0</v>
      </c>
    </row>
    <row r="256" spans="1:25" s="1" customFormat="1" x14ac:dyDescent="0.25">
      <c r="A256" s="7">
        <f t="shared" si="62"/>
        <v>248</v>
      </c>
      <c r="B256" s="11">
        <f t="shared" si="63"/>
        <v>11</v>
      </c>
      <c r="C256" s="502">
        <f t="shared" si="64"/>
        <v>46178</v>
      </c>
      <c r="D256" s="7">
        <f t="shared" si="65"/>
        <v>100</v>
      </c>
      <c r="E256" s="12">
        <f t="shared" si="66"/>
        <v>0.9</v>
      </c>
      <c r="F256" s="473">
        <f t="shared" si="67"/>
        <v>422.29999999999615</v>
      </c>
      <c r="G256" s="473"/>
      <c r="H256" s="504">
        <f t="shared" si="68"/>
        <v>7.0000000000000001E-3</v>
      </c>
      <c r="I256" s="14">
        <f t="shared" si="69"/>
        <v>7.0000000000000001E-3</v>
      </c>
      <c r="J256" s="498">
        <f t="shared" si="54"/>
        <v>295.60999999999729</v>
      </c>
      <c r="K256" s="15"/>
      <c r="L256" s="8">
        <f t="shared" si="70"/>
        <v>8.5313131313130537</v>
      </c>
      <c r="M256" s="8">
        <f t="shared" si="71"/>
        <v>9.0909090909090917</v>
      </c>
      <c r="N256" s="499" t="str">
        <f t="shared" si="55"/>
        <v/>
      </c>
      <c r="O256" s="4"/>
      <c r="P256" s="118"/>
      <c r="Q256" s="118"/>
      <c r="R256" s="4" t="str">
        <f t="shared" ca="1" si="56"/>
        <v>Ok</v>
      </c>
      <c r="S256" s="501">
        <f ca="1">IF(R256="Não","",COUNTIFS($R$9:R256,"Ok"))</f>
        <v>248</v>
      </c>
      <c r="T256" s="6">
        <f t="shared" ca="1" si="57"/>
        <v>46178</v>
      </c>
      <c r="U256" s="501">
        <f t="shared" ca="1" si="58"/>
        <v>422.29999999999615</v>
      </c>
      <c r="V256" s="501">
        <f t="shared" ca="1" si="59"/>
        <v>8.5313131313130537</v>
      </c>
      <c r="W256" s="501">
        <f t="shared" si="60"/>
        <v>0</v>
      </c>
      <c r="X256" s="1">
        <f t="shared" si="61"/>
        <v>0</v>
      </c>
      <c r="Y256" s="1">
        <f t="shared" si="61"/>
        <v>0</v>
      </c>
    </row>
    <row r="257" spans="1:25" s="1" customFormat="1" x14ac:dyDescent="0.25">
      <c r="A257" s="7">
        <f t="shared" si="62"/>
        <v>249</v>
      </c>
      <c r="B257" s="11">
        <f t="shared" si="63"/>
        <v>11</v>
      </c>
      <c r="C257" s="502">
        <f t="shared" si="64"/>
        <v>46179</v>
      </c>
      <c r="D257" s="7">
        <f t="shared" si="65"/>
        <v>100</v>
      </c>
      <c r="E257" s="12">
        <f t="shared" si="66"/>
        <v>0.9</v>
      </c>
      <c r="F257" s="473">
        <f t="shared" si="67"/>
        <v>423.19999999999612</v>
      </c>
      <c r="G257" s="473"/>
      <c r="H257" s="504">
        <f t="shared" si="68"/>
        <v>7.0000000000000001E-3</v>
      </c>
      <c r="I257" s="14">
        <f t="shared" si="69"/>
        <v>7.0000000000000001E-3</v>
      </c>
      <c r="J257" s="498">
        <f t="shared" si="54"/>
        <v>296.23999999999728</v>
      </c>
      <c r="K257" s="15"/>
      <c r="L257" s="8">
        <f t="shared" si="70"/>
        <v>8.5494949494948713</v>
      </c>
      <c r="M257" s="8">
        <f t="shared" si="71"/>
        <v>9.0909090909090917</v>
      </c>
      <c r="N257" s="499" t="str">
        <f t="shared" si="55"/>
        <v/>
      </c>
      <c r="O257" s="4"/>
      <c r="P257" s="118"/>
      <c r="Q257" s="118"/>
      <c r="R257" s="4" t="str">
        <f t="shared" ca="1" si="56"/>
        <v>Ok</v>
      </c>
      <c r="S257" s="501">
        <f ca="1">IF(R257="Não","",COUNTIFS($R$9:R257,"Ok"))</f>
        <v>249</v>
      </c>
      <c r="T257" s="6">
        <f t="shared" ca="1" si="57"/>
        <v>46179</v>
      </c>
      <c r="U257" s="501">
        <f t="shared" ca="1" si="58"/>
        <v>423.19999999999612</v>
      </c>
      <c r="V257" s="501">
        <f t="shared" ca="1" si="59"/>
        <v>8.5494949494948713</v>
      </c>
      <c r="W257" s="501">
        <f t="shared" si="60"/>
        <v>0</v>
      </c>
      <c r="X257" s="1">
        <f t="shared" si="61"/>
        <v>0</v>
      </c>
      <c r="Y257" s="1">
        <f t="shared" si="61"/>
        <v>0</v>
      </c>
    </row>
    <row r="258" spans="1:25" s="1" customFormat="1" x14ac:dyDescent="0.25">
      <c r="A258" s="7">
        <f t="shared" si="62"/>
        <v>250</v>
      </c>
      <c r="B258" s="11">
        <f t="shared" si="63"/>
        <v>11</v>
      </c>
      <c r="C258" s="502">
        <f t="shared" si="64"/>
        <v>46180</v>
      </c>
      <c r="D258" s="7">
        <f t="shared" si="65"/>
        <v>100</v>
      </c>
      <c r="E258" s="12">
        <f t="shared" si="66"/>
        <v>0.9</v>
      </c>
      <c r="F258" s="473">
        <f t="shared" si="67"/>
        <v>424.0999999999961</v>
      </c>
      <c r="G258" s="473"/>
      <c r="H258" s="504">
        <f t="shared" si="68"/>
        <v>7.0000000000000001E-3</v>
      </c>
      <c r="I258" s="14">
        <f t="shared" si="69"/>
        <v>7.0000000000000001E-3</v>
      </c>
      <c r="J258" s="498">
        <f t="shared" si="54"/>
        <v>296.86999999999728</v>
      </c>
      <c r="K258" s="15"/>
      <c r="L258" s="8">
        <f t="shared" si="70"/>
        <v>8.567676767676689</v>
      </c>
      <c r="M258" s="8">
        <f t="shared" si="71"/>
        <v>9.0909090909090917</v>
      </c>
      <c r="N258" s="499" t="str">
        <f t="shared" si="55"/>
        <v/>
      </c>
      <c r="O258" s="4"/>
      <c r="P258" s="118"/>
      <c r="Q258" s="118"/>
      <c r="R258" s="4" t="str">
        <f t="shared" ca="1" si="56"/>
        <v>Ok</v>
      </c>
      <c r="S258" s="501">
        <f ca="1">IF(R258="Não","",COUNTIFS($R$9:R258,"Ok"))</f>
        <v>250</v>
      </c>
      <c r="T258" s="6">
        <f t="shared" ca="1" si="57"/>
        <v>46180</v>
      </c>
      <c r="U258" s="501">
        <f t="shared" ca="1" si="58"/>
        <v>424.0999999999961</v>
      </c>
      <c r="V258" s="501">
        <f t="shared" ca="1" si="59"/>
        <v>8.567676767676689</v>
      </c>
      <c r="W258" s="501">
        <f t="shared" si="60"/>
        <v>0</v>
      </c>
      <c r="X258" s="1">
        <f t="shared" si="61"/>
        <v>0</v>
      </c>
      <c r="Y258" s="1">
        <f t="shared" si="61"/>
        <v>0</v>
      </c>
    </row>
    <row r="259" spans="1:25" s="1" customFormat="1" x14ac:dyDescent="0.25">
      <c r="A259" s="7">
        <f t="shared" si="62"/>
        <v>251</v>
      </c>
      <c r="B259" s="11">
        <f t="shared" si="63"/>
        <v>11</v>
      </c>
      <c r="C259" s="502">
        <f t="shared" si="64"/>
        <v>46181</v>
      </c>
      <c r="D259" s="7">
        <f t="shared" si="65"/>
        <v>100</v>
      </c>
      <c r="E259" s="12">
        <f t="shared" si="66"/>
        <v>0.9</v>
      </c>
      <c r="F259" s="473">
        <f t="shared" si="67"/>
        <v>424.99999999999608</v>
      </c>
      <c r="G259" s="473"/>
      <c r="H259" s="504">
        <f t="shared" si="68"/>
        <v>7.0000000000000001E-3</v>
      </c>
      <c r="I259" s="14">
        <f t="shared" si="69"/>
        <v>7.0000000000000001E-3</v>
      </c>
      <c r="J259" s="498">
        <f t="shared" si="54"/>
        <v>297.49999999999727</v>
      </c>
      <c r="K259" s="15"/>
      <c r="L259" s="8">
        <f t="shared" si="70"/>
        <v>8.5858585858585066</v>
      </c>
      <c r="M259" s="8">
        <f t="shared" si="71"/>
        <v>9.0909090909090917</v>
      </c>
      <c r="N259" s="499" t="str">
        <f t="shared" si="55"/>
        <v/>
      </c>
      <c r="O259" s="4"/>
      <c r="P259" s="118"/>
      <c r="Q259" s="118"/>
      <c r="R259" s="4" t="str">
        <f t="shared" ca="1" si="56"/>
        <v>Ok</v>
      </c>
      <c r="S259" s="501">
        <f ca="1">IF(R259="Não","",COUNTIFS($R$9:R259,"Ok"))</f>
        <v>251</v>
      </c>
      <c r="T259" s="6">
        <f t="shared" ca="1" si="57"/>
        <v>46181</v>
      </c>
      <c r="U259" s="501">
        <f t="shared" ca="1" si="58"/>
        <v>424.99999999999608</v>
      </c>
      <c r="V259" s="501">
        <f t="shared" ca="1" si="59"/>
        <v>8.5858585858585066</v>
      </c>
      <c r="W259" s="501">
        <f t="shared" si="60"/>
        <v>0</v>
      </c>
      <c r="X259" s="1">
        <f t="shared" si="61"/>
        <v>0</v>
      </c>
      <c r="Y259" s="1">
        <f t="shared" si="61"/>
        <v>0</v>
      </c>
    </row>
    <row r="260" spans="1:25" s="1" customFormat="1" x14ac:dyDescent="0.25">
      <c r="A260" s="7">
        <f t="shared" si="62"/>
        <v>252</v>
      </c>
      <c r="B260" s="11">
        <f t="shared" si="63"/>
        <v>11</v>
      </c>
      <c r="C260" s="502">
        <f t="shared" si="64"/>
        <v>46182</v>
      </c>
      <c r="D260" s="7">
        <f t="shared" si="65"/>
        <v>100</v>
      </c>
      <c r="E260" s="12">
        <f t="shared" si="66"/>
        <v>0.9</v>
      </c>
      <c r="F260" s="473">
        <f t="shared" si="67"/>
        <v>425.89999999999606</v>
      </c>
      <c r="G260" s="473"/>
      <c r="H260" s="504">
        <f t="shared" si="68"/>
        <v>7.0000000000000001E-3</v>
      </c>
      <c r="I260" s="14">
        <f t="shared" si="69"/>
        <v>7.0000000000000001E-3</v>
      </c>
      <c r="J260" s="498">
        <f t="shared" si="54"/>
        <v>298.12999999999727</v>
      </c>
      <c r="K260" s="15"/>
      <c r="L260" s="8">
        <f t="shared" si="70"/>
        <v>8.6040404040403242</v>
      </c>
      <c r="M260" s="8">
        <f t="shared" si="71"/>
        <v>9.0909090909090917</v>
      </c>
      <c r="N260" s="499" t="str">
        <f t="shared" si="55"/>
        <v/>
      </c>
      <c r="O260" s="4"/>
      <c r="P260" s="118"/>
      <c r="Q260" s="118"/>
      <c r="R260" s="4" t="str">
        <f t="shared" ca="1" si="56"/>
        <v>Ok</v>
      </c>
      <c r="S260" s="501">
        <f ca="1">IF(R260="Não","",COUNTIFS($R$9:R260,"Ok"))</f>
        <v>252</v>
      </c>
      <c r="T260" s="6">
        <f t="shared" ca="1" si="57"/>
        <v>46182</v>
      </c>
      <c r="U260" s="501">
        <f t="shared" ca="1" si="58"/>
        <v>425.89999999999606</v>
      </c>
      <c r="V260" s="501">
        <f t="shared" ca="1" si="59"/>
        <v>8.6040404040403242</v>
      </c>
      <c r="W260" s="501">
        <f t="shared" si="60"/>
        <v>0</v>
      </c>
      <c r="X260" s="1">
        <f t="shared" si="61"/>
        <v>0</v>
      </c>
      <c r="Y260" s="1">
        <f t="shared" si="61"/>
        <v>0</v>
      </c>
    </row>
    <row r="261" spans="1:25" s="1" customFormat="1" x14ac:dyDescent="0.25">
      <c r="A261" s="7">
        <f t="shared" si="62"/>
        <v>253</v>
      </c>
      <c r="B261" s="11">
        <f t="shared" si="63"/>
        <v>11</v>
      </c>
      <c r="C261" s="502">
        <f t="shared" si="64"/>
        <v>46183</v>
      </c>
      <c r="D261" s="7">
        <f t="shared" si="65"/>
        <v>100</v>
      </c>
      <c r="E261" s="12">
        <f t="shared" si="66"/>
        <v>0.9</v>
      </c>
      <c r="F261" s="473">
        <f t="shared" si="67"/>
        <v>426.79999999999603</v>
      </c>
      <c r="G261" s="473"/>
      <c r="H261" s="504">
        <f t="shared" si="68"/>
        <v>7.0000000000000001E-3</v>
      </c>
      <c r="I261" s="14">
        <f t="shared" si="69"/>
        <v>7.0000000000000001E-3</v>
      </c>
      <c r="J261" s="498">
        <f t="shared" si="54"/>
        <v>298.75999999999726</v>
      </c>
      <c r="K261" s="15"/>
      <c r="L261" s="8">
        <f t="shared" si="70"/>
        <v>8.6222222222221419</v>
      </c>
      <c r="M261" s="8">
        <f t="shared" si="71"/>
        <v>9.0909090909090917</v>
      </c>
      <c r="N261" s="499" t="str">
        <f t="shared" si="55"/>
        <v/>
      </c>
      <c r="O261" s="4"/>
      <c r="P261" s="118"/>
      <c r="Q261" s="118"/>
      <c r="R261" s="4" t="str">
        <f t="shared" ca="1" si="56"/>
        <v>Ok</v>
      </c>
      <c r="S261" s="501">
        <f ca="1">IF(R261="Não","",COUNTIFS($R$9:R261,"Ok"))</f>
        <v>253</v>
      </c>
      <c r="T261" s="6">
        <f t="shared" ca="1" si="57"/>
        <v>46183</v>
      </c>
      <c r="U261" s="501">
        <f t="shared" ca="1" si="58"/>
        <v>426.79999999999603</v>
      </c>
      <c r="V261" s="501">
        <f t="shared" ca="1" si="59"/>
        <v>8.6222222222221419</v>
      </c>
      <c r="W261" s="501">
        <f t="shared" si="60"/>
        <v>0</v>
      </c>
      <c r="X261" s="1">
        <f t="shared" si="61"/>
        <v>0</v>
      </c>
      <c r="Y261" s="1">
        <f t="shared" si="61"/>
        <v>0</v>
      </c>
    </row>
    <row r="262" spans="1:25" s="1" customFormat="1" x14ac:dyDescent="0.25">
      <c r="A262" s="7">
        <f t="shared" si="62"/>
        <v>254</v>
      </c>
      <c r="B262" s="11">
        <f t="shared" si="63"/>
        <v>11</v>
      </c>
      <c r="C262" s="502">
        <f t="shared" si="64"/>
        <v>46184</v>
      </c>
      <c r="D262" s="7">
        <f t="shared" si="65"/>
        <v>100</v>
      </c>
      <c r="E262" s="12">
        <f t="shared" si="66"/>
        <v>0.9</v>
      </c>
      <c r="F262" s="473">
        <f t="shared" si="67"/>
        <v>427.69999999999601</v>
      </c>
      <c r="G262" s="473"/>
      <c r="H262" s="504">
        <f t="shared" si="68"/>
        <v>7.0000000000000001E-3</v>
      </c>
      <c r="I262" s="14">
        <f t="shared" si="69"/>
        <v>7.0000000000000001E-3</v>
      </c>
      <c r="J262" s="498">
        <f t="shared" si="54"/>
        <v>299.3899999999972</v>
      </c>
      <c r="K262" s="15"/>
      <c r="L262" s="8">
        <f t="shared" si="70"/>
        <v>8.6404040404039595</v>
      </c>
      <c r="M262" s="8">
        <f t="shared" si="71"/>
        <v>9.0909090909090917</v>
      </c>
      <c r="N262" s="499" t="str">
        <f t="shared" si="55"/>
        <v/>
      </c>
      <c r="O262" s="4"/>
      <c r="P262" s="118"/>
      <c r="Q262" s="118"/>
      <c r="R262" s="4" t="str">
        <f t="shared" ca="1" si="56"/>
        <v>Ok</v>
      </c>
      <c r="S262" s="501">
        <f ca="1">IF(R262="Não","",COUNTIFS($R$9:R262,"Ok"))</f>
        <v>254</v>
      </c>
      <c r="T262" s="6">
        <f t="shared" ca="1" si="57"/>
        <v>46184</v>
      </c>
      <c r="U262" s="501">
        <f t="shared" ca="1" si="58"/>
        <v>427.69999999999601</v>
      </c>
      <c r="V262" s="501">
        <f t="shared" ca="1" si="59"/>
        <v>8.6404040404039595</v>
      </c>
      <c r="W262" s="501">
        <f t="shared" si="60"/>
        <v>0</v>
      </c>
      <c r="X262" s="1">
        <f t="shared" si="61"/>
        <v>0</v>
      </c>
      <c r="Y262" s="1">
        <f t="shared" si="61"/>
        <v>0</v>
      </c>
    </row>
    <row r="263" spans="1:25" s="1" customFormat="1" x14ac:dyDescent="0.25">
      <c r="A263" s="7">
        <f t="shared" si="62"/>
        <v>255</v>
      </c>
      <c r="B263" s="11">
        <f t="shared" si="63"/>
        <v>11</v>
      </c>
      <c r="C263" s="502">
        <f t="shared" si="64"/>
        <v>46185</v>
      </c>
      <c r="D263" s="7">
        <f t="shared" si="65"/>
        <v>100</v>
      </c>
      <c r="E263" s="12">
        <f t="shared" si="66"/>
        <v>0.9</v>
      </c>
      <c r="F263" s="473">
        <f t="shared" si="67"/>
        <v>428.59999999999599</v>
      </c>
      <c r="G263" s="473"/>
      <c r="H263" s="504">
        <f t="shared" si="68"/>
        <v>7.0000000000000001E-3</v>
      </c>
      <c r="I263" s="14">
        <f t="shared" si="69"/>
        <v>7.0000000000000001E-3</v>
      </c>
      <c r="J263" s="498">
        <f t="shared" si="54"/>
        <v>300.0199999999972</v>
      </c>
      <c r="K263" s="15"/>
      <c r="L263" s="8">
        <f t="shared" si="70"/>
        <v>8.6585858585857789</v>
      </c>
      <c r="M263" s="8">
        <f t="shared" si="71"/>
        <v>9.0909090909090917</v>
      </c>
      <c r="N263" s="499" t="str">
        <f t="shared" si="55"/>
        <v/>
      </c>
      <c r="O263" s="4"/>
      <c r="P263" s="118"/>
      <c r="Q263" s="118"/>
      <c r="R263" s="4" t="str">
        <f t="shared" ca="1" si="56"/>
        <v>Ok</v>
      </c>
      <c r="S263" s="501">
        <f ca="1">IF(R263="Não","",COUNTIFS($R$9:R263,"Ok"))</f>
        <v>255</v>
      </c>
      <c r="T263" s="6">
        <f t="shared" ca="1" si="57"/>
        <v>46185</v>
      </c>
      <c r="U263" s="501">
        <f t="shared" ca="1" si="58"/>
        <v>428.59999999999599</v>
      </c>
      <c r="V263" s="501">
        <f t="shared" ca="1" si="59"/>
        <v>8.6585858585857789</v>
      </c>
      <c r="W263" s="501">
        <f t="shared" si="60"/>
        <v>0</v>
      </c>
      <c r="X263" s="1">
        <f t="shared" si="61"/>
        <v>0</v>
      </c>
      <c r="Y263" s="1">
        <f t="shared" si="61"/>
        <v>0</v>
      </c>
    </row>
    <row r="264" spans="1:25" s="1" customFormat="1" x14ac:dyDescent="0.25">
      <c r="A264" s="7">
        <f t="shared" si="62"/>
        <v>256</v>
      </c>
      <c r="B264" s="11">
        <f t="shared" si="63"/>
        <v>11</v>
      </c>
      <c r="C264" s="502">
        <f t="shared" si="64"/>
        <v>46186</v>
      </c>
      <c r="D264" s="7">
        <f t="shared" si="65"/>
        <v>100</v>
      </c>
      <c r="E264" s="12">
        <f t="shared" si="66"/>
        <v>0.9</v>
      </c>
      <c r="F264" s="473">
        <f t="shared" si="67"/>
        <v>429.49999999999596</v>
      </c>
      <c r="G264" s="473"/>
      <c r="H264" s="504">
        <f t="shared" si="68"/>
        <v>7.0000000000000001E-3</v>
      </c>
      <c r="I264" s="14">
        <f t="shared" si="69"/>
        <v>7.0000000000000001E-3</v>
      </c>
      <c r="J264" s="498">
        <f t="shared" si="54"/>
        <v>300.64999999999719</v>
      </c>
      <c r="K264" s="15"/>
      <c r="L264" s="8">
        <f t="shared" si="70"/>
        <v>8.6767676767675965</v>
      </c>
      <c r="M264" s="8">
        <f t="shared" si="71"/>
        <v>9.0909090909090917</v>
      </c>
      <c r="N264" s="499" t="str">
        <f t="shared" si="55"/>
        <v/>
      </c>
      <c r="O264" s="4"/>
      <c r="P264" s="118"/>
      <c r="Q264" s="118"/>
      <c r="R264" s="4" t="str">
        <f t="shared" ca="1" si="56"/>
        <v>Ok</v>
      </c>
      <c r="S264" s="501">
        <f ca="1">IF(R264="Não","",COUNTIFS($R$9:R264,"Ok"))</f>
        <v>256</v>
      </c>
      <c r="T264" s="6">
        <f t="shared" ca="1" si="57"/>
        <v>46186</v>
      </c>
      <c r="U264" s="501">
        <f t="shared" ca="1" si="58"/>
        <v>429.49999999999596</v>
      </c>
      <c r="V264" s="501">
        <f t="shared" ca="1" si="59"/>
        <v>8.6767676767675965</v>
      </c>
      <c r="W264" s="501">
        <f t="shared" si="60"/>
        <v>0</v>
      </c>
      <c r="X264" s="1">
        <f t="shared" si="61"/>
        <v>0</v>
      </c>
      <c r="Y264" s="1">
        <f t="shared" si="61"/>
        <v>0</v>
      </c>
    </row>
    <row r="265" spans="1:25" s="1" customFormat="1" x14ac:dyDescent="0.25">
      <c r="A265" s="7">
        <f t="shared" si="62"/>
        <v>257</v>
      </c>
      <c r="B265" s="11">
        <f t="shared" si="63"/>
        <v>11</v>
      </c>
      <c r="C265" s="502">
        <f t="shared" si="64"/>
        <v>46187</v>
      </c>
      <c r="D265" s="7">
        <f t="shared" si="65"/>
        <v>100</v>
      </c>
      <c r="E265" s="12">
        <f t="shared" si="66"/>
        <v>0.9</v>
      </c>
      <c r="F265" s="473">
        <f t="shared" si="67"/>
        <v>430.39999999999594</v>
      </c>
      <c r="G265" s="473"/>
      <c r="H265" s="504">
        <f t="shared" si="68"/>
        <v>7.0000000000000001E-3</v>
      </c>
      <c r="I265" s="14">
        <f t="shared" si="69"/>
        <v>7.0000000000000001E-3</v>
      </c>
      <c r="J265" s="498">
        <f t="shared" si="54"/>
        <v>301.27999999999713</v>
      </c>
      <c r="K265" s="15"/>
      <c r="L265" s="8">
        <f t="shared" si="70"/>
        <v>8.6949494949494124</v>
      </c>
      <c r="M265" s="8">
        <f t="shared" si="71"/>
        <v>9.0909090909090917</v>
      </c>
      <c r="N265" s="499" t="str">
        <f t="shared" si="55"/>
        <v/>
      </c>
      <c r="O265" s="4"/>
      <c r="P265" s="118"/>
      <c r="Q265" s="118"/>
      <c r="R265" s="4" t="str">
        <f t="shared" ca="1" si="56"/>
        <v>Ok</v>
      </c>
      <c r="S265" s="501">
        <f ca="1">IF(R265="Não","",COUNTIFS($R$9:R265,"Ok"))</f>
        <v>257</v>
      </c>
      <c r="T265" s="6">
        <f t="shared" ca="1" si="57"/>
        <v>46187</v>
      </c>
      <c r="U265" s="501">
        <f t="shared" ca="1" si="58"/>
        <v>430.39999999999594</v>
      </c>
      <c r="V265" s="501">
        <f t="shared" ca="1" si="59"/>
        <v>8.6949494949494124</v>
      </c>
      <c r="W265" s="501">
        <f t="shared" si="60"/>
        <v>0</v>
      </c>
      <c r="X265" s="1">
        <f t="shared" si="61"/>
        <v>0</v>
      </c>
      <c r="Y265" s="1">
        <f t="shared" si="61"/>
        <v>0</v>
      </c>
    </row>
    <row r="266" spans="1:25" s="1" customFormat="1" x14ac:dyDescent="0.25">
      <c r="A266" s="7">
        <f t="shared" si="62"/>
        <v>258</v>
      </c>
      <c r="B266" s="11">
        <f t="shared" si="63"/>
        <v>11</v>
      </c>
      <c r="C266" s="502">
        <f t="shared" si="64"/>
        <v>46188</v>
      </c>
      <c r="D266" s="7">
        <f t="shared" si="65"/>
        <v>100</v>
      </c>
      <c r="E266" s="12">
        <f t="shared" si="66"/>
        <v>0.9</v>
      </c>
      <c r="F266" s="473">
        <f t="shared" si="67"/>
        <v>431.29999999999592</v>
      </c>
      <c r="G266" s="473"/>
      <c r="H266" s="504">
        <f t="shared" si="68"/>
        <v>7.0000000000000001E-3</v>
      </c>
      <c r="I266" s="14">
        <f t="shared" si="69"/>
        <v>7.0000000000000001E-3</v>
      </c>
      <c r="J266" s="498">
        <f t="shared" ref="J266:J329" si="72">H266*F266*D266</f>
        <v>301.90999999999713</v>
      </c>
      <c r="K266" s="15"/>
      <c r="L266" s="8">
        <f t="shared" si="70"/>
        <v>8.71313131313123</v>
      </c>
      <c r="M266" s="8">
        <f t="shared" si="71"/>
        <v>9.0909090909090917</v>
      </c>
      <c r="N266" s="499" t="str">
        <f t="shared" ref="N266:N329" si="73">IFERROR(IF(K266="","",K266/F266/D266),"")</f>
        <v/>
      </c>
      <c r="O266" s="4"/>
      <c r="P266" s="118"/>
      <c r="Q266" s="118"/>
      <c r="R266" s="4" t="str">
        <f t="shared" ref="R266:R329" ca="1" si="74">IF(C266&lt;=TODAY(),"Ok","Não")</f>
        <v>Ok</v>
      </c>
      <c r="S266" s="501">
        <f ca="1">IF(R266="Não","",COUNTIFS($R$9:R266,"Ok"))</f>
        <v>258</v>
      </c>
      <c r="T266" s="6">
        <f t="shared" ref="T266:T329" ca="1" si="75">IF(R266="Ok",C266,"")</f>
        <v>46188</v>
      </c>
      <c r="U266" s="501">
        <f t="shared" ref="U266:U329" ca="1" si="76">IF(R266="Ok",F266,"")</f>
        <v>431.29999999999592</v>
      </c>
      <c r="V266" s="501">
        <f t="shared" ref="V266:V329" ca="1" si="77">IF(R266="Ok", L266,"")</f>
        <v>8.71313131313123</v>
      </c>
      <c r="W266" s="501">
        <f t="shared" ref="W266:W329" si="78">((-(P266*F266)+(Q266*F266))/30)*-1</f>
        <v>0</v>
      </c>
      <c r="X266" s="1">
        <f t="shared" ref="X266:Y329" si="79">IFERROR((P266*$F266)/30,"")</f>
        <v>0</v>
      </c>
      <c r="Y266" s="1">
        <f t="shared" si="79"/>
        <v>0</v>
      </c>
    </row>
    <row r="267" spans="1:25" s="1" customFormat="1" x14ac:dyDescent="0.25">
      <c r="A267" s="7">
        <f t="shared" ref="A267:A330" si="80">IF(OR(D267=0,D267=""),"",A266+1)</f>
        <v>259</v>
      </c>
      <c r="B267" s="11">
        <f t="shared" ref="B267:B330" si="81">IFERROR(IF(C267="","",B266),"")</f>
        <v>11</v>
      </c>
      <c r="C267" s="502">
        <f t="shared" ref="C267:C330" si="82">IF(OR(D267=0,D267=""),"",C266+1)</f>
        <v>46189</v>
      </c>
      <c r="D267" s="7">
        <f t="shared" ref="D267:D330" si="83">D266-P267+Q267</f>
        <v>100</v>
      </c>
      <c r="E267" s="12">
        <f t="shared" ref="E267:E330" si="84">IFERROR(IF(C267="","",E266),"")</f>
        <v>0.9</v>
      </c>
      <c r="F267" s="473">
        <f t="shared" ref="F267:F330" si="85">IFERROR(IF(D267="","",IF(C267="","",F266+E266)),"")</f>
        <v>432.1999999999959</v>
      </c>
      <c r="G267" s="473"/>
      <c r="H267" s="504">
        <f t="shared" ref="H267:H330" si="86">H266+G267</f>
        <v>7.0000000000000001E-3</v>
      </c>
      <c r="I267" s="14">
        <f t="shared" ref="I267:I330" si="87">IFERROR(IF(F267="","",IF(C267="","",I266)),"")</f>
        <v>7.0000000000000001E-3</v>
      </c>
      <c r="J267" s="498">
        <f t="shared" si="72"/>
        <v>302.53999999999712</v>
      </c>
      <c r="K267" s="15"/>
      <c r="L267" s="8">
        <f t="shared" ref="L267:L330" si="88">IFERROR(IF(D267="","",IF(C267="","",(D267*F267)/450/B267)),"")</f>
        <v>8.7313131313130494</v>
      </c>
      <c r="M267" s="8">
        <f t="shared" ref="M267:M330" si="89">IFERROR(IF(D267="","",IF(C267="","",D267/B267)),"")</f>
        <v>9.0909090909090917</v>
      </c>
      <c r="N267" s="499" t="str">
        <f t="shared" si="73"/>
        <v/>
      </c>
      <c r="O267" s="4"/>
      <c r="P267" s="118"/>
      <c r="Q267" s="118"/>
      <c r="R267" s="4" t="str">
        <f t="shared" ca="1" si="74"/>
        <v>Ok</v>
      </c>
      <c r="S267" s="501">
        <f ca="1">IF(R267="Não","",COUNTIFS($R$9:R267,"Ok"))</f>
        <v>259</v>
      </c>
      <c r="T267" s="6">
        <f t="shared" ca="1" si="75"/>
        <v>46189</v>
      </c>
      <c r="U267" s="501">
        <f t="shared" ca="1" si="76"/>
        <v>432.1999999999959</v>
      </c>
      <c r="V267" s="501">
        <f t="shared" ca="1" si="77"/>
        <v>8.7313131313130494</v>
      </c>
      <c r="W267" s="501">
        <f t="shared" si="78"/>
        <v>0</v>
      </c>
      <c r="X267" s="1">
        <f t="shared" si="79"/>
        <v>0</v>
      </c>
      <c r="Y267" s="1">
        <f t="shared" si="79"/>
        <v>0</v>
      </c>
    </row>
    <row r="268" spans="1:25" s="1" customFormat="1" x14ac:dyDescent="0.25">
      <c r="A268" s="7">
        <f t="shared" si="80"/>
        <v>260</v>
      </c>
      <c r="B268" s="11">
        <f t="shared" si="81"/>
        <v>11</v>
      </c>
      <c r="C268" s="502">
        <f t="shared" si="82"/>
        <v>46190</v>
      </c>
      <c r="D268" s="7">
        <f t="shared" si="83"/>
        <v>100</v>
      </c>
      <c r="E268" s="12">
        <f t="shared" si="84"/>
        <v>0.9</v>
      </c>
      <c r="F268" s="473">
        <f t="shared" si="85"/>
        <v>433.09999999999587</v>
      </c>
      <c r="G268" s="473"/>
      <c r="H268" s="504">
        <f t="shared" si="86"/>
        <v>7.0000000000000001E-3</v>
      </c>
      <c r="I268" s="14">
        <f t="shared" si="87"/>
        <v>7.0000000000000001E-3</v>
      </c>
      <c r="J268" s="498">
        <f t="shared" si="72"/>
        <v>303.16999999999712</v>
      </c>
      <c r="K268" s="15"/>
      <c r="L268" s="8">
        <f t="shared" si="88"/>
        <v>8.7494949494948653</v>
      </c>
      <c r="M268" s="8">
        <f t="shared" si="89"/>
        <v>9.0909090909090917</v>
      </c>
      <c r="N268" s="499" t="str">
        <f t="shared" si="73"/>
        <v/>
      </c>
      <c r="O268" s="4"/>
      <c r="P268" s="118"/>
      <c r="Q268" s="118"/>
      <c r="R268" s="4" t="str">
        <f t="shared" ca="1" si="74"/>
        <v>Ok</v>
      </c>
      <c r="S268" s="501">
        <f ca="1">IF(R268="Não","",COUNTIFS($R$9:R268,"Ok"))</f>
        <v>260</v>
      </c>
      <c r="T268" s="6">
        <f t="shared" ca="1" si="75"/>
        <v>46190</v>
      </c>
      <c r="U268" s="501">
        <f t="shared" ca="1" si="76"/>
        <v>433.09999999999587</v>
      </c>
      <c r="V268" s="501">
        <f t="shared" ca="1" si="77"/>
        <v>8.7494949494948653</v>
      </c>
      <c r="W268" s="501">
        <f t="shared" si="78"/>
        <v>0</v>
      </c>
      <c r="X268" s="1">
        <f t="shared" si="79"/>
        <v>0</v>
      </c>
      <c r="Y268" s="1">
        <f t="shared" si="79"/>
        <v>0</v>
      </c>
    </row>
    <row r="269" spans="1:25" s="1" customFormat="1" x14ac:dyDescent="0.25">
      <c r="A269" s="7">
        <f t="shared" si="80"/>
        <v>261</v>
      </c>
      <c r="B269" s="11">
        <f t="shared" si="81"/>
        <v>11</v>
      </c>
      <c r="C269" s="502">
        <f t="shared" si="82"/>
        <v>46191</v>
      </c>
      <c r="D269" s="7">
        <f t="shared" si="83"/>
        <v>100</v>
      </c>
      <c r="E269" s="12">
        <f t="shared" si="84"/>
        <v>0.9</v>
      </c>
      <c r="F269" s="473">
        <f t="shared" si="85"/>
        <v>433.99999999999585</v>
      </c>
      <c r="G269" s="473"/>
      <c r="H269" s="504">
        <f t="shared" si="86"/>
        <v>7.0000000000000001E-3</v>
      </c>
      <c r="I269" s="14">
        <f t="shared" si="87"/>
        <v>7.0000000000000001E-3</v>
      </c>
      <c r="J269" s="498">
        <f t="shared" si="72"/>
        <v>303.79999999999711</v>
      </c>
      <c r="K269" s="15"/>
      <c r="L269" s="8">
        <f t="shared" si="88"/>
        <v>8.7676767676766829</v>
      </c>
      <c r="M269" s="8">
        <f t="shared" si="89"/>
        <v>9.0909090909090917</v>
      </c>
      <c r="N269" s="499" t="str">
        <f t="shared" si="73"/>
        <v/>
      </c>
      <c r="O269" s="4"/>
      <c r="P269" s="118"/>
      <c r="Q269" s="118"/>
      <c r="R269" s="4" t="str">
        <f t="shared" ca="1" si="74"/>
        <v>Ok</v>
      </c>
      <c r="S269" s="501">
        <f ca="1">IF(R269="Não","",COUNTIFS($R$9:R269,"Ok"))</f>
        <v>261</v>
      </c>
      <c r="T269" s="6">
        <f t="shared" ca="1" si="75"/>
        <v>46191</v>
      </c>
      <c r="U269" s="501">
        <f t="shared" ca="1" si="76"/>
        <v>433.99999999999585</v>
      </c>
      <c r="V269" s="501">
        <f t="shared" ca="1" si="77"/>
        <v>8.7676767676766829</v>
      </c>
      <c r="W269" s="501">
        <f t="shared" si="78"/>
        <v>0</v>
      </c>
      <c r="X269" s="1">
        <f t="shared" si="79"/>
        <v>0</v>
      </c>
      <c r="Y269" s="1">
        <f t="shared" si="79"/>
        <v>0</v>
      </c>
    </row>
    <row r="270" spans="1:25" s="1" customFormat="1" x14ac:dyDescent="0.25">
      <c r="A270" s="7">
        <f t="shared" si="80"/>
        <v>262</v>
      </c>
      <c r="B270" s="11">
        <f t="shared" si="81"/>
        <v>11</v>
      </c>
      <c r="C270" s="502">
        <f t="shared" si="82"/>
        <v>46192</v>
      </c>
      <c r="D270" s="7">
        <f t="shared" si="83"/>
        <v>100</v>
      </c>
      <c r="E270" s="12">
        <f t="shared" si="84"/>
        <v>0.9</v>
      </c>
      <c r="F270" s="473">
        <f t="shared" si="85"/>
        <v>434.89999999999583</v>
      </c>
      <c r="G270" s="473"/>
      <c r="H270" s="504">
        <f t="shared" si="86"/>
        <v>7.0000000000000001E-3</v>
      </c>
      <c r="I270" s="14">
        <f t="shared" si="87"/>
        <v>7.0000000000000001E-3</v>
      </c>
      <c r="J270" s="498">
        <f t="shared" si="72"/>
        <v>304.42999999999711</v>
      </c>
      <c r="K270" s="15"/>
      <c r="L270" s="8">
        <f t="shared" si="88"/>
        <v>8.7858585858585023</v>
      </c>
      <c r="M270" s="8">
        <f t="shared" si="89"/>
        <v>9.0909090909090917</v>
      </c>
      <c r="N270" s="499" t="str">
        <f t="shared" si="73"/>
        <v/>
      </c>
      <c r="O270" s="4"/>
      <c r="P270" s="118"/>
      <c r="Q270" s="118"/>
      <c r="R270" s="4" t="str">
        <f t="shared" ca="1" si="74"/>
        <v>Ok</v>
      </c>
      <c r="S270" s="501">
        <f ca="1">IF(R270="Não","",COUNTIFS($R$9:R270,"Ok"))</f>
        <v>262</v>
      </c>
      <c r="T270" s="6">
        <f t="shared" ca="1" si="75"/>
        <v>46192</v>
      </c>
      <c r="U270" s="501">
        <f t="shared" ca="1" si="76"/>
        <v>434.89999999999583</v>
      </c>
      <c r="V270" s="501">
        <f t="shared" ca="1" si="77"/>
        <v>8.7858585858585023</v>
      </c>
      <c r="W270" s="501">
        <f t="shared" si="78"/>
        <v>0</v>
      </c>
      <c r="X270" s="1">
        <f t="shared" si="79"/>
        <v>0</v>
      </c>
      <c r="Y270" s="1">
        <f t="shared" si="79"/>
        <v>0</v>
      </c>
    </row>
    <row r="271" spans="1:25" s="1" customFormat="1" x14ac:dyDescent="0.25">
      <c r="A271" s="7">
        <f t="shared" si="80"/>
        <v>263</v>
      </c>
      <c r="B271" s="11">
        <f t="shared" si="81"/>
        <v>11</v>
      </c>
      <c r="C271" s="502">
        <f t="shared" si="82"/>
        <v>46193</v>
      </c>
      <c r="D271" s="7">
        <f t="shared" si="83"/>
        <v>100</v>
      </c>
      <c r="E271" s="12">
        <f t="shared" si="84"/>
        <v>0.9</v>
      </c>
      <c r="F271" s="473">
        <f t="shared" si="85"/>
        <v>435.7999999999958</v>
      </c>
      <c r="G271" s="473"/>
      <c r="H271" s="504">
        <f t="shared" si="86"/>
        <v>7.0000000000000001E-3</v>
      </c>
      <c r="I271" s="14">
        <f t="shared" si="87"/>
        <v>7.0000000000000001E-3</v>
      </c>
      <c r="J271" s="498">
        <f t="shared" si="72"/>
        <v>305.0599999999971</v>
      </c>
      <c r="K271" s="15"/>
      <c r="L271" s="8">
        <f t="shared" si="88"/>
        <v>8.80404040404032</v>
      </c>
      <c r="M271" s="8">
        <f t="shared" si="89"/>
        <v>9.0909090909090917</v>
      </c>
      <c r="N271" s="499" t="str">
        <f t="shared" si="73"/>
        <v/>
      </c>
      <c r="O271" s="4"/>
      <c r="P271" s="118"/>
      <c r="Q271" s="118"/>
      <c r="R271" s="4" t="str">
        <f t="shared" ca="1" si="74"/>
        <v>Ok</v>
      </c>
      <c r="S271" s="501">
        <f ca="1">IF(R271="Não","",COUNTIFS($R$9:R271,"Ok"))</f>
        <v>263</v>
      </c>
      <c r="T271" s="6">
        <f t="shared" ca="1" si="75"/>
        <v>46193</v>
      </c>
      <c r="U271" s="501">
        <f t="shared" ca="1" si="76"/>
        <v>435.7999999999958</v>
      </c>
      <c r="V271" s="501">
        <f t="shared" ca="1" si="77"/>
        <v>8.80404040404032</v>
      </c>
      <c r="W271" s="501">
        <f t="shared" si="78"/>
        <v>0</v>
      </c>
      <c r="X271" s="1">
        <f t="shared" si="79"/>
        <v>0</v>
      </c>
      <c r="Y271" s="1">
        <f t="shared" si="79"/>
        <v>0</v>
      </c>
    </row>
    <row r="272" spans="1:25" s="1" customFormat="1" x14ac:dyDescent="0.25">
      <c r="A272" s="7">
        <f t="shared" si="80"/>
        <v>264</v>
      </c>
      <c r="B272" s="11">
        <f t="shared" si="81"/>
        <v>11</v>
      </c>
      <c r="C272" s="502">
        <f t="shared" si="82"/>
        <v>46194</v>
      </c>
      <c r="D272" s="7">
        <f t="shared" si="83"/>
        <v>100</v>
      </c>
      <c r="E272" s="12">
        <f t="shared" si="84"/>
        <v>0.9</v>
      </c>
      <c r="F272" s="473">
        <f t="shared" si="85"/>
        <v>436.69999999999578</v>
      </c>
      <c r="G272" s="473"/>
      <c r="H272" s="504">
        <f t="shared" si="86"/>
        <v>7.0000000000000001E-3</v>
      </c>
      <c r="I272" s="14">
        <f t="shared" si="87"/>
        <v>7.0000000000000001E-3</v>
      </c>
      <c r="J272" s="498">
        <f t="shared" si="72"/>
        <v>305.68999999999704</v>
      </c>
      <c r="K272" s="15"/>
      <c r="L272" s="8">
        <f t="shared" si="88"/>
        <v>8.8222222222221376</v>
      </c>
      <c r="M272" s="8">
        <f t="shared" si="89"/>
        <v>9.0909090909090917</v>
      </c>
      <c r="N272" s="499" t="str">
        <f t="shared" si="73"/>
        <v/>
      </c>
      <c r="O272" s="4"/>
      <c r="P272" s="118"/>
      <c r="Q272" s="118"/>
      <c r="R272" s="4" t="str">
        <f t="shared" ca="1" si="74"/>
        <v>Ok</v>
      </c>
      <c r="S272" s="501">
        <f ca="1">IF(R272="Não","",COUNTIFS($R$9:R272,"Ok"))</f>
        <v>264</v>
      </c>
      <c r="T272" s="6">
        <f t="shared" ca="1" si="75"/>
        <v>46194</v>
      </c>
      <c r="U272" s="501">
        <f t="shared" ca="1" si="76"/>
        <v>436.69999999999578</v>
      </c>
      <c r="V272" s="501">
        <f t="shared" ca="1" si="77"/>
        <v>8.8222222222221376</v>
      </c>
      <c r="W272" s="501">
        <f t="shared" si="78"/>
        <v>0</v>
      </c>
      <c r="X272" s="1">
        <f t="shared" si="79"/>
        <v>0</v>
      </c>
      <c r="Y272" s="1">
        <f t="shared" si="79"/>
        <v>0</v>
      </c>
    </row>
    <row r="273" spans="1:25" s="1" customFormat="1" x14ac:dyDescent="0.25">
      <c r="A273" s="7">
        <f t="shared" si="80"/>
        <v>265</v>
      </c>
      <c r="B273" s="11">
        <f t="shared" si="81"/>
        <v>11</v>
      </c>
      <c r="C273" s="502">
        <f t="shared" si="82"/>
        <v>46195</v>
      </c>
      <c r="D273" s="7">
        <f t="shared" si="83"/>
        <v>100</v>
      </c>
      <c r="E273" s="12">
        <f t="shared" si="84"/>
        <v>0.9</v>
      </c>
      <c r="F273" s="473">
        <f t="shared" si="85"/>
        <v>437.59999999999576</v>
      </c>
      <c r="G273" s="473"/>
      <c r="H273" s="504">
        <f t="shared" si="86"/>
        <v>7.0000000000000001E-3</v>
      </c>
      <c r="I273" s="14">
        <f t="shared" si="87"/>
        <v>7.0000000000000001E-3</v>
      </c>
      <c r="J273" s="498">
        <f t="shared" si="72"/>
        <v>306.31999999999704</v>
      </c>
      <c r="K273" s="15"/>
      <c r="L273" s="8">
        <f t="shared" si="88"/>
        <v>8.8404040404039552</v>
      </c>
      <c r="M273" s="8">
        <f t="shared" si="89"/>
        <v>9.0909090909090917</v>
      </c>
      <c r="N273" s="499" t="str">
        <f t="shared" si="73"/>
        <v/>
      </c>
      <c r="O273" s="4"/>
      <c r="P273" s="118"/>
      <c r="Q273" s="118"/>
      <c r="R273" s="4" t="str">
        <f t="shared" ca="1" si="74"/>
        <v>Ok</v>
      </c>
      <c r="S273" s="501">
        <f ca="1">IF(R273="Não","",COUNTIFS($R$9:R273,"Ok"))</f>
        <v>265</v>
      </c>
      <c r="T273" s="6">
        <f t="shared" ca="1" si="75"/>
        <v>46195</v>
      </c>
      <c r="U273" s="501">
        <f t="shared" ca="1" si="76"/>
        <v>437.59999999999576</v>
      </c>
      <c r="V273" s="501">
        <f t="shared" ca="1" si="77"/>
        <v>8.8404040404039552</v>
      </c>
      <c r="W273" s="501">
        <f t="shared" si="78"/>
        <v>0</v>
      </c>
      <c r="X273" s="1">
        <f t="shared" si="79"/>
        <v>0</v>
      </c>
      <c r="Y273" s="1">
        <f t="shared" si="79"/>
        <v>0</v>
      </c>
    </row>
    <row r="274" spans="1:25" s="1" customFormat="1" x14ac:dyDescent="0.25">
      <c r="A274" s="7">
        <f t="shared" si="80"/>
        <v>266</v>
      </c>
      <c r="B274" s="11">
        <f t="shared" si="81"/>
        <v>11</v>
      </c>
      <c r="C274" s="502">
        <f t="shared" si="82"/>
        <v>46196</v>
      </c>
      <c r="D274" s="7">
        <f t="shared" si="83"/>
        <v>100</v>
      </c>
      <c r="E274" s="12">
        <f t="shared" si="84"/>
        <v>0.9</v>
      </c>
      <c r="F274" s="473">
        <f t="shared" si="85"/>
        <v>438.49999999999574</v>
      </c>
      <c r="G274" s="473"/>
      <c r="H274" s="504">
        <f t="shared" si="86"/>
        <v>7.0000000000000001E-3</v>
      </c>
      <c r="I274" s="14">
        <f t="shared" si="87"/>
        <v>7.0000000000000001E-3</v>
      </c>
      <c r="J274" s="498">
        <f t="shared" si="72"/>
        <v>306.94999999999703</v>
      </c>
      <c r="K274" s="15"/>
      <c r="L274" s="8">
        <f t="shared" si="88"/>
        <v>8.8585858585857711</v>
      </c>
      <c r="M274" s="8">
        <f t="shared" si="89"/>
        <v>9.0909090909090917</v>
      </c>
      <c r="N274" s="499" t="str">
        <f t="shared" si="73"/>
        <v/>
      </c>
      <c r="O274" s="4"/>
      <c r="P274" s="118"/>
      <c r="Q274" s="118"/>
      <c r="R274" s="4" t="str">
        <f t="shared" ca="1" si="74"/>
        <v>Ok</v>
      </c>
      <c r="S274" s="501">
        <f ca="1">IF(R274="Não","",COUNTIFS($R$9:R274,"Ok"))</f>
        <v>266</v>
      </c>
      <c r="T274" s="6">
        <f t="shared" ca="1" si="75"/>
        <v>46196</v>
      </c>
      <c r="U274" s="501">
        <f t="shared" ca="1" si="76"/>
        <v>438.49999999999574</v>
      </c>
      <c r="V274" s="501">
        <f t="shared" ca="1" si="77"/>
        <v>8.8585858585857711</v>
      </c>
      <c r="W274" s="501">
        <f t="shared" si="78"/>
        <v>0</v>
      </c>
      <c r="X274" s="1">
        <f t="shared" si="79"/>
        <v>0</v>
      </c>
      <c r="Y274" s="1">
        <f t="shared" si="79"/>
        <v>0</v>
      </c>
    </row>
    <row r="275" spans="1:25" s="1" customFormat="1" x14ac:dyDescent="0.25">
      <c r="A275" s="7">
        <f t="shared" si="80"/>
        <v>267</v>
      </c>
      <c r="B275" s="11">
        <f t="shared" si="81"/>
        <v>11</v>
      </c>
      <c r="C275" s="502">
        <f t="shared" si="82"/>
        <v>46197</v>
      </c>
      <c r="D275" s="7">
        <f t="shared" si="83"/>
        <v>100</v>
      </c>
      <c r="E275" s="12">
        <f t="shared" si="84"/>
        <v>0.9</v>
      </c>
      <c r="F275" s="473">
        <f t="shared" si="85"/>
        <v>439.39999999999571</v>
      </c>
      <c r="G275" s="473"/>
      <c r="H275" s="504">
        <f t="shared" si="86"/>
        <v>7.0000000000000001E-3</v>
      </c>
      <c r="I275" s="14">
        <f t="shared" si="87"/>
        <v>7.0000000000000001E-3</v>
      </c>
      <c r="J275" s="498">
        <f t="shared" si="72"/>
        <v>307.57999999999697</v>
      </c>
      <c r="K275" s="15"/>
      <c r="L275" s="8">
        <f t="shared" si="88"/>
        <v>8.8767676767675905</v>
      </c>
      <c r="M275" s="8">
        <f t="shared" si="89"/>
        <v>9.0909090909090917</v>
      </c>
      <c r="N275" s="499" t="str">
        <f t="shared" si="73"/>
        <v/>
      </c>
      <c r="O275" s="4"/>
      <c r="P275" s="118"/>
      <c r="Q275" s="118"/>
      <c r="R275" s="4" t="str">
        <f t="shared" ca="1" si="74"/>
        <v>Ok</v>
      </c>
      <c r="S275" s="501">
        <f ca="1">IF(R275="Não","",COUNTIFS($R$9:R275,"Ok"))</f>
        <v>267</v>
      </c>
      <c r="T275" s="6">
        <f t="shared" ca="1" si="75"/>
        <v>46197</v>
      </c>
      <c r="U275" s="501">
        <f t="shared" ca="1" si="76"/>
        <v>439.39999999999571</v>
      </c>
      <c r="V275" s="501">
        <f t="shared" ca="1" si="77"/>
        <v>8.8767676767675905</v>
      </c>
      <c r="W275" s="501">
        <f t="shared" si="78"/>
        <v>0</v>
      </c>
      <c r="X275" s="1">
        <f t="shared" si="79"/>
        <v>0</v>
      </c>
      <c r="Y275" s="1">
        <f t="shared" si="79"/>
        <v>0</v>
      </c>
    </row>
    <row r="276" spans="1:25" s="1" customFormat="1" x14ac:dyDescent="0.25">
      <c r="A276" s="7">
        <f t="shared" si="80"/>
        <v>268</v>
      </c>
      <c r="B276" s="11">
        <f t="shared" si="81"/>
        <v>11</v>
      </c>
      <c r="C276" s="502">
        <f t="shared" si="82"/>
        <v>46198</v>
      </c>
      <c r="D276" s="7">
        <f t="shared" si="83"/>
        <v>100</v>
      </c>
      <c r="E276" s="12">
        <f t="shared" si="84"/>
        <v>0.9</v>
      </c>
      <c r="F276" s="473">
        <f t="shared" si="85"/>
        <v>440.29999999999569</v>
      </c>
      <c r="G276" s="473"/>
      <c r="H276" s="504">
        <f t="shared" si="86"/>
        <v>7.0000000000000001E-3</v>
      </c>
      <c r="I276" s="14">
        <f t="shared" si="87"/>
        <v>7.0000000000000001E-3</v>
      </c>
      <c r="J276" s="498">
        <f t="shared" si="72"/>
        <v>308.20999999999697</v>
      </c>
      <c r="K276" s="15"/>
      <c r="L276" s="8">
        <f t="shared" si="88"/>
        <v>8.8949494949494081</v>
      </c>
      <c r="M276" s="8">
        <f t="shared" si="89"/>
        <v>9.0909090909090917</v>
      </c>
      <c r="N276" s="499" t="str">
        <f t="shared" si="73"/>
        <v/>
      </c>
      <c r="O276" s="4"/>
      <c r="P276" s="118"/>
      <c r="Q276" s="118"/>
      <c r="R276" s="4" t="str">
        <f t="shared" ca="1" si="74"/>
        <v>Ok</v>
      </c>
      <c r="S276" s="501">
        <f ca="1">IF(R276="Não","",COUNTIFS($R$9:R276,"Ok"))</f>
        <v>268</v>
      </c>
      <c r="T276" s="6">
        <f t="shared" ca="1" si="75"/>
        <v>46198</v>
      </c>
      <c r="U276" s="501">
        <f t="shared" ca="1" si="76"/>
        <v>440.29999999999569</v>
      </c>
      <c r="V276" s="501">
        <f t="shared" ca="1" si="77"/>
        <v>8.8949494949494081</v>
      </c>
      <c r="W276" s="501">
        <f t="shared" si="78"/>
        <v>0</v>
      </c>
      <c r="X276" s="1">
        <f t="shared" si="79"/>
        <v>0</v>
      </c>
      <c r="Y276" s="1">
        <f t="shared" si="79"/>
        <v>0</v>
      </c>
    </row>
    <row r="277" spans="1:25" s="1" customFormat="1" x14ac:dyDescent="0.25">
      <c r="A277" s="7">
        <f t="shared" si="80"/>
        <v>269</v>
      </c>
      <c r="B277" s="11">
        <f t="shared" si="81"/>
        <v>11</v>
      </c>
      <c r="C277" s="502">
        <f t="shared" si="82"/>
        <v>46199</v>
      </c>
      <c r="D277" s="7">
        <f t="shared" si="83"/>
        <v>100</v>
      </c>
      <c r="E277" s="12">
        <f t="shared" si="84"/>
        <v>0.9</v>
      </c>
      <c r="F277" s="473">
        <f t="shared" si="85"/>
        <v>441.19999999999567</v>
      </c>
      <c r="G277" s="473"/>
      <c r="H277" s="504">
        <f t="shared" si="86"/>
        <v>7.0000000000000001E-3</v>
      </c>
      <c r="I277" s="14">
        <f t="shared" si="87"/>
        <v>7.0000000000000001E-3</v>
      </c>
      <c r="J277" s="498">
        <f t="shared" si="72"/>
        <v>308.83999999999696</v>
      </c>
      <c r="K277" s="15"/>
      <c r="L277" s="8">
        <f t="shared" si="88"/>
        <v>8.913131313131224</v>
      </c>
      <c r="M277" s="8">
        <f t="shared" si="89"/>
        <v>9.0909090909090917</v>
      </c>
      <c r="N277" s="499" t="str">
        <f t="shared" si="73"/>
        <v/>
      </c>
      <c r="O277" s="4"/>
      <c r="P277" s="118"/>
      <c r="Q277" s="118"/>
      <c r="R277" s="4" t="str">
        <f t="shared" ca="1" si="74"/>
        <v>Ok</v>
      </c>
      <c r="S277" s="501">
        <f ca="1">IF(R277="Não","",COUNTIFS($R$9:R277,"Ok"))</f>
        <v>269</v>
      </c>
      <c r="T277" s="6">
        <f t="shared" ca="1" si="75"/>
        <v>46199</v>
      </c>
      <c r="U277" s="501">
        <f t="shared" ca="1" si="76"/>
        <v>441.19999999999567</v>
      </c>
      <c r="V277" s="501">
        <f t="shared" ca="1" si="77"/>
        <v>8.913131313131224</v>
      </c>
      <c r="W277" s="501">
        <f t="shared" si="78"/>
        <v>0</v>
      </c>
      <c r="X277" s="1">
        <f t="shared" si="79"/>
        <v>0</v>
      </c>
      <c r="Y277" s="1">
        <f t="shared" si="79"/>
        <v>0</v>
      </c>
    </row>
    <row r="278" spans="1:25" s="1" customFormat="1" x14ac:dyDescent="0.25">
      <c r="A278" s="7">
        <f t="shared" si="80"/>
        <v>270</v>
      </c>
      <c r="B278" s="11">
        <f t="shared" si="81"/>
        <v>11</v>
      </c>
      <c r="C278" s="502">
        <f t="shared" si="82"/>
        <v>46200</v>
      </c>
      <c r="D278" s="7">
        <f t="shared" si="83"/>
        <v>100</v>
      </c>
      <c r="E278" s="12">
        <f t="shared" si="84"/>
        <v>0.9</v>
      </c>
      <c r="F278" s="473">
        <f t="shared" si="85"/>
        <v>442.09999999999565</v>
      </c>
      <c r="G278" s="473"/>
      <c r="H278" s="504">
        <f t="shared" si="86"/>
        <v>7.0000000000000001E-3</v>
      </c>
      <c r="I278" s="14">
        <f t="shared" si="87"/>
        <v>7.0000000000000001E-3</v>
      </c>
      <c r="J278" s="498">
        <f t="shared" si="72"/>
        <v>309.46999999999696</v>
      </c>
      <c r="K278" s="15"/>
      <c r="L278" s="8">
        <f t="shared" si="88"/>
        <v>8.9313131313130434</v>
      </c>
      <c r="M278" s="8">
        <f t="shared" si="89"/>
        <v>9.0909090909090917</v>
      </c>
      <c r="N278" s="499" t="str">
        <f t="shared" si="73"/>
        <v/>
      </c>
      <c r="O278" s="4"/>
      <c r="P278" s="118"/>
      <c r="Q278" s="118"/>
      <c r="R278" s="4" t="str">
        <f t="shared" ca="1" si="74"/>
        <v>Ok</v>
      </c>
      <c r="S278" s="501">
        <f ca="1">IF(R278="Não","",COUNTIFS($R$9:R278,"Ok"))</f>
        <v>270</v>
      </c>
      <c r="T278" s="6">
        <f t="shared" ca="1" si="75"/>
        <v>46200</v>
      </c>
      <c r="U278" s="501">
        <f t="shared" ca="1" si="76"/>
        <v>442.09999999999565</v>
      </c>
      <c r="V278" s="501">
        <f t="shared" ca="1" si="77"/>
        <v>8.9313131313130434</v>
      </c>
      <c r="W278" s="501">
        <f t="shared" si="78"/>
        <v>0</v>
      </c>
      <c r="X278" s="1">
        <f t="shared" si="79"/>
        <v>0</v>
      </c>
      <c r="Y278" s="1">
        <f t="shared" si="79"/>
        <v>0</v>
      </c>
    </row>
    <row r="279" spans="1:25" s="1" customFormat="1" x14ac:dyDescent="0.25">
      <c r="A279" s="7">
        <f t="shared" si="80"/>
        <v>271</v>
      </c>
      <c r="B279" s="11">
        <f t="shared" si="81"/>
        <v>11</v>
      </c>
      <c r="C279" s="502">
        <f t="shared" si="82"/>
        <v>46201</v>
      </c>
      <c r="D279" s="7">
        <f t="shared" si="83"/>
        <v>100</v>
      </c>
      <c r="E279" s="12">
        <f t="shared" si="84"/>
        <v>0.9</v>
      </c>
      <c r="F279" s="473">
        <f t="shared" si="85"/>
        <v>442.99999999999562</v>
      </c>
      <c r="G279" s="473"/>
      <c r="H279" s="504">
        <f t="shared" si="86"/>
        <v>7.0000000000000001E-3</v>
      </c>
      <c r="I279" s="14">
        <f t="shared" si="87"/>
        <v>7.0000000000000001E-3</v>
      </c>
      <c r="J279" s="498">
        <f t="shared" si="72"/>
        <v>310.09999999999695</v>
      </c>
      <c r="K279" s="15"/>
      <c r="L279" s="8">
        <f t="shared" si="88"/>
        <v>8.949494949494861</v>
      </c>
      <c r="M279" s="8">
        <f t="shared" si="89"/>
        <v>9.0909090909090917</v>
      </c>
      <c r="N279" s="499" t="str">
        <f t="shared" si="73"/>
        <v/>
      </c>
      <c r="O279" s="4"/>
      <c r="P279" s="118"/>
      <c r="Q279" s="118"/>
      <c r="R279" s="4" t="str">
        <f t="shared" ca="1" si="74"/>
        <v>Ok</v>
      </c>
      <c r="S279" s="501">
        <f ca="1">IF(R279="Não","",COUNTIFS($R$9:R279,"Ok"))</f>
        <v>271</v>
      </c>
      <c r="T279" s="6">
        <f t="shared" ca="1" si="75"/>
        <v>46201</v>
      </c>
      <c r="U279" s="501">
        <f t="shared" ca="1" si="76"/>
        <v>442.99999999999562</v>
      </c>
      <c r="V279" s="501">
        <f t="shared" ca="1" si="77"/>
        <v>8.949494949494861</v>
      </c>
      <c r="W279" s="501">
        <f t="shared" si="78"/>
        <v>0</v>
      </c>
      <c r="X279" s="1">
        <f t="shared" si="79"/>
        <v>0</v>
      </c>
      <c r="Y279" s="1">
        <f t="shared" si="79"/>
        <v>0</v>
      </c>
    </row>
    <row r="280" spans="1:25" s="1" customFormat="1" x14ac:dyDescent="0.25">
      <c r="A280" s="7">
        <f t="shared" si="80"/>
        <v>272</v>
      </c>
      <c r="B280" s="11">
        <f t="shared" si="81"/>
        <v>11</v>
      </c>
      <c r="C280" s="502">
        <f t="shared" si="82"/>
        <v>46202</v>
      </c>
      <c r="D280" s="7">
        <f t="shared" si="83"/>
        <v>100</v>
      </c>
      <c r="E280" s="12">
        <f t="shared" si="84"/>
        <v>0.9</v>
      </c>
      <c r="F280" s="473">
        <f t="shared" si="85"/>
        <v>443.8999999999956</v>
      </c>
      <c r="G280" s="473"/>
      <c r="H280" s="504">
        <f t="shared" si="86"/>
        <v>7.0000000000000001E-3</v>
      </c>
      <c r="I280" s="14">
        <f t="shared" si="87"/>
        <v>7.0000000000000001E-3</v>
      </c>
      <c r="J280" s="498">
        <f t="shared" si="72"/>
        <v>310.72999999999695</v>
      </c>
      <c r="K280" s="15"/>
      <c r="L280" s="8">
        <f t="shared" si="88"/>
        <v>8.9676767676766804</v>
      </c>
      <c r="M280" s="8">
        <f t="shared" si="89"/>
        <v>9.0909090909090917</v>
      </c>
      <c r="N280" s="499" t="str">
        <f t="shared" si="73"/>
        <v/>
      </c>
      <c r="O280" s="4"/>
      <c r="P280" s="118"/>
      <c r="Q280" s="118"/>
      <c r="R280" s="4" t="str">
        <f t="shared" ca="1" si="74"/>
        <v>Ok</v>
      </c>
      <c r="S280" s="501">
        <f ca="1">IF(R280="Não","",COUNTIFS($R$9:R280,"Ok"))</f>
        <v>272</v>
      </c>
      <c r="T280" s="6">
        <f t="shared" ca="1" si="75"/>
        <v>46202</v>
      </c>
      <c r="U280" s="501">
        <f t="shared" ca="1" si="76"/>
        <v>443.8999999999956</v>
      </c>
      <c r="V280" s="501">
        <f t="shared" ca="1" si="77"/>
        <v>8.9676767676766804</v>
      </c>
      <c r="W280" s="501">
        <f t="shared" si="78"/>
        <v>0</v>
      </c>
      <c r="X280" s="1">
        <f t="shared" si="79"/>
        <v>0</v>
      </c>
      <c r="Y280" s="1">
        <f t="shared" si="79"/>
        <v>0</v>
      </c>
    </row>
    <row r="281" spans="1:25" s="1" customFormat="1" x14ac:dyDescent="0.25">
      <c r="A281" s="7">
        <f t="shared" si="80"/>
        <v>273</v>
      </c>
      <c r="B281" s="11">
        <f t="shared" si="81"/>
        <v>11</v>
      </c>
      <c r="C281" s="502">
        <f t="shared" si="82"/>
        <v>46203</v>
      </c>
      <c r="D281" s="7">
        <f t="shared" si="83"/>
        <v>100</v>
      </c>
      <c r="E281" s="12">
        <f t="shared" si="84"/>
        <v>0.9</v>
      </c>
      <c r="F281" s="473">
        <f t="shared" si="85"/>
        <v>444.79999999999558</v>
      </c>
      <c r="G281" s="473"/>
      <c r="H281" s="504">
        <f t="shared" si="86"/>
        <v>7.0000000000000001E-3</v>
      </c>
      <c r="I281" s="14">
        <f t="shared" si="87"/>
        <v>7.0000000000000001E-3</v>
      </c>
      <c r="J281" s="498">
        <f t="shared" si="72"/>
        <v>311.35999999999694</v>
      </c>
      <c r="K281" s="15"/>
      <c r="L281" s="8">
        <f t="shared" si="88"/>
        <v>8.9858585858584963</v>
      </c>
      <c r="M281" s="8">
        <f t="shared" si="89"/>
        <v>9.0909090909090917</v>
      </c>
      <c r="N281" s="499" t="str">
        <f t="shared" si="73"/>
        <v/>
      </c>
      <c r="O281" s="4"/>
      <c r="P281" s="118"/>
      <c r="Q281" s="118"/>
      <c r="R281" s="4" t="str">
        <f t="shared" ca="1" si="74"/>
        <v>Ok</v>
      </c>
      <c r="S281" s="501">
        <f ca="1">IF(R281="Não","",COUNTIFS($R$9:R281,"Ok"))</f>
        <v>273</v>
      </c>
      <c r="T281" s="6">
        <f t="shared" ca="1" si="75"/>
        <v>46203</v>
      </c>
      <c r="U281" s="501">
        <f t="shared" ca="1" si="76"/>
        <v>444.79999999999558</v>
      </c>
      <c r="V281" s="501">
        <f t="shared" ca="1" si="77"/>
        <v>8.9858585858584963</v>
      </c>
      <c r="W281" s="501">
        <f t="shared" si="78"/>
        <v>0</v>
      </c>
      <c r="X281" s="1">
        <f t="shared" si="79"/>
        <v>0</v>
      </c>
      <c r="Y281" s="1">
        <f t="shared" si="79"/>
        <v>0</v>
      </c>
    </row>
    <row r="282" spans="1:25" s="1" customFormat="1" x14ac:dyDescent="0.25">
      <c r="A282" s="7">
        <f t="shared" si="80"/>
        <v>274</v>
      </c>
      <c r="B282" s="11">
        <f t="shared" si="81"/>
        <v>11</v>
      </c>
      <c r="C282" s="502">
        <f t="shared" si="82"/>
        <v>46204</v>
      </c>
      <c r="D282" s="7">
        <f t="shared" si="83"/>
        <v>100</v>
      </c>
      <c r="E282" s="12">
        <f t="shared" si="84"/>
        <v>0.9</v>
      </c>
      <c r="F282" s="473">
        <f t="shared" si="85"/>
        <v>445.69999999999555</v>
      </c>
      <c r="G282" s="473"/>
      <c r="H282" s="504">
        <f t="shared" si="86"/>
        <v>7.0000000000000001E-3</v>
      </c>
      <c r="I282" s="14">
        <f t="shared" si="87"/>
        <v>7.0000000000000001E-3</v>
      </c>
      <c r="J282" s="498">
        <f t="shared" si="72"/>
        <v>311.98999999999688</v>
      </c>
      <c r="K282" s="15"/>
      <c r="L282" s="8">
        <f t="shared" si="88"/>
        <v>9.0040404040403139</v>
      </c>
      <c r="M282" s="8">
        <f t="shared" si="89"/>
        <v>9.0909090909090917</v>
      </c>
      <c r="N282" s="499" t="str">
        <f t="shared" si="73"/>
        <v/>
      </c>
      <c r="O282" s="4"/>
      <c r="P282" s="118"/>
      <c r="Q282" s="118"/>
      <c r="R282" s="4" t="str">
        <f t="shared" ca="1" si="74"/>
        <v>Ok</v>
      </c>
      <c r="S282" s="501">
        <f ca="1">IF(R282="Não","",COUNTIFS($R$9:R282,"Ok"))</f>
        <v>274</v>
      </c>
      <c r="T282" s="6">
        <f t="shared" ca="1" si="75"/>
        <v>46204</v>
      </c>
      <c r="U282" s="501">
        <f t="shared" ca="1" si="76"/>
        <v>445.69999999999555</v>
      </c>
      <c r="V282" s="501">
        <f t="shared" ca="1" si="77"/>
        <v>9.0040404040403139</v>
      </c>
      <c r="W282" s="501">
        <f t="shared" si="78"/>
        <v>0</v>
      </c>
      <c r="X282" s="1">
        <f t="shared" si="79"/>
        <v>0</v>
      </c>
      <c r="Y282" s="1">
        <f t="shared" si="79"/>
        <v>0</v>
      </c>
    </row>
    <row r="283" spans="1:25" s="1" customFormat="1" x14ac:dyDescent="0.25">
      <c r="A283" s="7">
        <f t="shared" si="80"/>
        <v>275</v>
      </c>
      <c r="B283" s="11">
        <f t="shared" si="81"/>
        <v>11</v>
      </c>
      <c r="C283" s="502">
        <f t="shared" si="82"/>
        <v>46205</v>
      </c>
      <c r="D283" s="7">
        <f t="shared" si="83"/>
        <v>100</v>
      </c>
      <c r="E283" s="12">
        <f t="shared" si="84"/>
        <v>0.9</v>
      </c>
      <c r="F283" s="473">
        <f t="shared" si="85"/>
        <v>446.59999999999553</v>
      </c>
      <c r="G283" s="473"/>
      <c r="H283" s="504">
        <f t="shared" si="86"/>
        <v>7.0000000000000001E-3</v>
      </c>
      <c r="I283" s="14">
        <f t="shared" si="87"/>
        <v>7.0000000000000001E-3</v>
      </c>
      <c r="J283" s="498">
        <f t="shared" si="72"/>
        <v>312.61999999999688</v>
      </c>
      <c r="K283" s="15"/>
      <c r="L283" s="8">
        <f t="shared" si="88"/>
        <v>9.0222222222221333</v>
      </c>
      <c r="M283" s="8">
        <f t="shared" si="89"/>
        <v>9.0909090909090917</v>
      </c>
      <c r="N283" s="499" t="str">
        <f t="shared" si="73"/>
        <v/>
      </c>
      <c r="O283" s="4"/>
      <c r="P283" s="118"/>
      <c r="Q283" s="118"/>
      <c r="R283" s="4" t="str">
        <f t="shared" ca="1" si="74"/>
        <v>Ok</v>
      </c>
      <c r="S283" s="501">
        <f ca="1">IF(R283="Não","",COUNTIFS($R$9:R283,"Ok"))</f>
        <v>275</v>
      </c>
      <c r="T283" s="6">
        <f t="shared" ca="1" si="75"/>
        <v>46205</v>
      </c>
      <c r="U283" s="501">
        <f t="shared" ca="1" si="76"/>
        <v>446.59999999999553</v>
      </c>
      <c r="V283" s="501">
        <f t="shared" ca="1" si="77"/>
        <v>9.0222222222221333</v>
      </c>
      <c r="W283" s="501">
        <f t="shared" si="78"/>
        <v>0</v>
      </c>
      <c r="X283" s="1">
        <f t="shared" si="79"/>
        <v>0</v>
      </c>
      <c r="Y283" s="1">
        <f t="shared" si="79"/>
        <v>0</v>
      </c>
    </row>
    <row r="284" spans="1:25" s="1" customFormat="1" x14ac:dyDescent="0.25">
      <c r="A284" s="7">
        <f t="shared" si="80"/>
        <v>276</v>
      </c>
      <c r="B284" s="11">
        <f t="shared" si="81"/>
        <v>11</v>
      </c>
      <c r="C284" s="502">
        <f t="shared" si="82"/>
        <v>46206</v>
      </c>
      <c r="D284" s="7">
        <f t="shared" si="83"/>
        <v>100</v>
      </c>
      <c r="E284" s="12">
        <f t="shared" si="84"/>
        <v>0.9</v>
      </c>
      <c r="F284" s="473">
        <f t="shared" si="85"/>
        <v>447.49999999999551</v>
      </c>
      <c r="G284" s="473"/>
      <c r="H284" s="504">
        <f t="shared" si="86"/>
        <v>7.0000000000000001E-3</v>
      </c>
      <c r="I284" s="14">
        <f t="shared" si="87"/>
        <v>7.0000000000000001E-3</v>
      </c>
      <c r="J284" s="498">
        <f t="shared" si="72"/>
        <v>313.24999999999687</v>
      </c>
      <c r="K284" s="15"/>
      <c r="L284" s="8">
        <f t="shared" si="88"/>
        <v>9.0404040404039492</v>
      </c>
      <c r="M284" s="8">
        <f t="shared" si="89"/>
        <v>9.0909090909090917</v>
      </c>
      <c r="N284" s="499" t="str">
        <f t="shared" si="73"/>
        <v/>
      </c>
      <c r="O284" s="4"/>
      <c r="P284" s="118"/>
      <c r="Q284" s="118"/>
      <c r="R284" s="4" t="str">
        <f t="shared" ca="1" si="74"/>
        <v>Ok</v>
      </c>
      <c r="S284" s="501">
        <f ca="1">IF(R284="Não","",COUNTIFS($R$9:R284,"Ok"))</f>
        <v>276</v>
      </c>
      <c r="T284" s="6">
        <f t="shared" ca="1" si="75"/>
        <v>46206</v>
      </c>
      <c r="U284" s="501">
        <f t="shared" ca="1" si="76"/>
        <v>447.49999999999551</v>
      </c>
      <c r="V284" s="501">
        <f t="shared" ca="1" si="77"/>
        <v>9.0404040404039492</v>
      </c>
      <c r="W284" s="501">
        <f t="shared" si="78"/>
        <v>0</v>
      </c>
      <c r="X284" s="1">
        <f t="shared" si="79"/>
        <v>0</v>
      </c>
      <c r="Y284" s="1">
        <f t="shared" si="79"/>
        <v>0</v>
      </c>
    </row>
    <row r="285" spans="1:25" s="1" customFormat="1" x14ac:dyDescent="0.25">
      <c r="A285" s="7">
        <f t="shared" si="80"/>
        <v>277</v>
      </c>
      <c r="B285" s="11">
        <f t="shared" si="81"/>
        <v>11</v>
      </c>
      <c r="C285" s="502">
        <f t="shared" si="82"/>
        <v>46207</v>
      </c>
      <c r="D285" s="7">
        <f t="shared" si="83"/>
        <v>100</v>
      </c>
      <c r="E285" s="12">
        <f t="shared" si="84"/>
        <v>0.9</v>
      </c>
      <c r="F285" s="473">
        <f t="shared" si="85"/>
        <v>448.39999999999549</v>
      </c>
      <c r="G285" s="473"/>
      <c r="H285" s="504">
        <f t="shared" si="86"/>
        <v>7.0000000000000001E-3</v>
      </c>
      <c r="I285" s="14">
        <f t="shared" si="87"/>
        <v>7.0000000000000001E-3</v>
      </c>
      <c r="J285" s="498">
        <f t="shared" si="72"/>
        <v>313.87999999999681</v>
      </c>
      <c r="K285" s="15"/>
      <c r="L285" s="8">
        <f t="shared" si="88"/>
        <v>9.0585858585857668</v>
      </c>
      <c r="M285" s="8">
        <f t="shared" si="89"/>
        <v>9.0909090909090917</v>
      </c>
      <c r="N285" s="499" t="str">
        <f t="shared" si="73"/>
        <v/>
      </c>
      <c r="O285" s="4"/>
      <c r="P285" s="118"/>
      <c r="Q285" s="118"/>
      <c r="R285" s="4" t="str">
        <f t="shared" ca="1" si="74"/>
        <v>Ok</v>
      </c>
      <c r="S285" s="501">
        <f ca="1">IF(R285="Não","",COUNTIFS($R$9:R285,"Ok"))</f>
        <v>277</v>
      </c>
      <c r="T285" s="6">
        <f t="shared" ca="1" si="75"/>
        <v>46207</v>
      </c>
      <c r="U285" s="501">
        <f t="shared" ca="1" si="76"/>
        <v>448.39999999999549</v>
      </c>
      <c r="V285" s="501">
        <f t="shared" ca="1" si="77"/>
        <v>9.0585858585857668</v>
      </c>
      <c r="W285" s="501">
        <f t="shared" si="78"/>
        <v>0</v>
      </c>
      <c r="X285" s="1">
        <f t="shared" si="79"/>
        <v>0</v>
      </c>
      <c r="Y285" s="1">
        <f t="shared" si="79"/>
        <v>0</v>
      </c>
    </row>
    <row r="286" spans="1:25" s="1" customFormat="1" x14ac:dyDescent="0.25">
      <c r="A286" s="7">
        <f t="shared" si="80"/>
        <v>278</v>
      </c>
      <c r="B286" s="11">
        <f t="shared" si="81"/>
        <v>11</v>
      </c>
      <c r="C286" s="502">
        <f t="shared" si="82"/>
        <v>46208</v>
      </c>
      <c r="D286" s="7">
        <f t="shared" si="83"/>
        <v>100</v>
      </c>
      <c r="E286" s="12">
        <f t="shared" si="84"/>
        <v>0.9</v>
      </c>
      <c r="F286" s="473">
        <f t="shared" si="85"/>
        <v>449.29999999999546</v>
      </c>
      <c r="G286" s="473"/>
      <c r="H286" s="504">
        <f t="shared" si="86"/>
        <v>7.0000000000000001E-3</v>
      </c>
      <c r="I286" s="14">
        <f t="shared" si="87"/>
        <v>7.0000000000000001E-3</v>
      </c>
      <c r="J286" s="498">
        <f t="shared" si="72"/>
        <v>314.50999999999681</v>
      </c>
      <c r="K286" s="15"/>
      <c r="L286" s="8">
        <f t="shared" si="88"/>
        <v>9.0767676767675862</v>
      </c>
      <c r="M286" s="8">
        <f t="shared" si="89"/>
        <v>9.0909090909090917</v>
      </c>
      <c r="N286" s="499" t="str">
        <f t="shared" si="73"/>
        <v/>
      </c>
      <c r="O286" s="4"/>
      <c r="P286" s="118"/>
      <c r="Q286" s="118"/>
      <c r="R286" s="4" t="str">
        <f t="shared" ca="1" si="74"/>
        <v>Ok</v>
      </c>
      <c r="S286" s="501">
        <f ca="1">IF(R286="Não","",COUNTIFS($R$9:R286,"Ok"))</f>
        <v>278</v>
      </c>
      <c r="T286" s="6">
        <f t="shared" ca="1" si="75"/>
        <v>46208</v>
      </c>
      <c r="U286" s="501">
        <f t="shared" ca="1" si="76"/>
        <v>449.29999999999546</v>
      </c>
      <c r="V286" s="501">
        <f t="shared" ca="1" si="77"/>
        <v>9.0767676767675862</v>
      </c>
      <c r="W286" s="501">
        <f t="shared" si="78"/>
        <v>0</v>
      </c>
      <c r="X286" s="1">
        <f t="shared" si="79"/>
        <v>0</v>
      </c>
      <c r="Y286" s="1">
        <f t="shared" si="79"/>
        <v>0</v>
      </c>
    </row>
    <row r="287" spans="1:25" s="1" customFormat="1" x14ac:dyDescent="0.25">
      <c r="A287" s="7">
        <f t="shared" si="80"/>
        <v>279</v>
      </c>
      <c r="B287" s="11">
        <f t="shared" si="81"/>
        <v>11</v>
      </c>
      <c r="C287" s="502">
        <f t="shared" si="82"/>
        <v>46209</v>
      </c>
      <c r="D287" s="7">
        <f t="shared" si="83"/>
        <v>100</v>
      </c>
      <c r="E287" s="12">
        <f t="shared" si="84"/>
        <v>0.9</v>
      </c>
      <c r="F287" s="473">
        <f t="shared" si="85"/>
        <v>450.19999999999544</v>
      </c>
      <c r="G287" s="473"/>
      <c r="H287" s="504">
        <f t="shared" si="86"/>
        <v>7.0000000000000001E-3</v>
      </c>
      <c r="I287" s="14">
        <f t="shared" si="87"/>
        <v>7.0000000000000001E-3</v>
      </c>
      <c r="J287" s="498">
        <f t="shared" si="72"/>
        <v>315.1399999999968</v>
      </c>
      <c r="K287" s="15"/>
      <c r="L287" s="8">
        <f t="shared" si="88"/>
        <v>9.0949494949494021</v>
      </c>
      <c r="M287" s="8">
        <f t="shared" si="89"/>
        <v>9.0909090909090917</v>
      </c>
      <c r="N287" s="499" t="str">
        <f t="shared" si="73"/>
        <v/>
      </c>
      <c r="O287" s="4"/>
      <c r="P287" s="118"/>
      <c r="Q287" s="118"/>
      <c r="R287" s="4" t="str">
        <f t="shared" ca="1" si="74"/>
        <v>Ok</v>
      </c>
      <c r="S287" s="501">
        <f ca="1">IF(R287="Não","",COUNTIFS($R$9:R287,"Ok"))</f>
        <v>279</v>
      </c>
      <c r="T287" s="6">
        <f t="shared" ca="1" si="75"/>
        <v>46209</v>
      </c>
      <c r="U287" s="501">
        <f t="shared" ca="1" si="76"/>
        <v>450.19999999999544</v>
      </c>
      <c r="V287" s="501">
        <f t="shared" ca="1" si="77"/>
        <v>9.0949494949494021</v>
      </c>
      <c r="W287" s="501">
        <f t="shared" si="78"/>
        <v>0</v>
      </c>
      <c r="X287" s="1">
        <f t="shared" si="79"/>
        <v>0</v>
      </c>
      <c r="Y287" s="1">
        <f t="shared" si="79"/>
        <v>0</v>
      </c>
    </row>
    <row r="288" spans="1:25" s="1" customFormat="1" x14ac:dyDescent="0.25">
      <c r="A288" s="7">
        <f t="shared" si="80"/>
        <v>280</v>
      </c>
      <c r="B288" s="11">
        <f t="shared" si="81"/>
        <v>11</v>
      </c>
      <c r="C288" s="502">
        <f t="shared" si="82"/>
        <v>46210</v>
      </c>
      <c r="D288" s="7">
        <f t="shared" si="83"/>
        <v>100</v>
      </c>
      <c r="E288" s="12">
        <f t="shared" si="84"/>
        <v>0.9</v>
      </c>
      <c r="F288" s="473">
        <f t="shared" si="85"/>
        <v>451.09999999999542</v>
      </c>
      <c r="G288" s="473"/>
      <c r="H288" s="504">
        <f t="shared" si="86"/>
        <v>7.0000000000000001E-3</v>
      </c>
      <c r="I288" s="14">
        <f t="shared" si="87"/>
        <v>7.0000000000000001E-3</v>
      </c>
      <c r="J288" s="498">
        <f t="shared" si="72"/>
        <v>315.7699999999968</v>
      </c>
      <c r="K288" s="15"/>
      <c r="L288" s="8">
        <f t="shared" si="88"/>
        <v>9.1131313131312215</v>
      </c>
      <c r="M288" s="8">
        <f t="shared" si="89"/>
        <v>9.0909090909090917</v>
      </c>
      <c r="N288" s="499" t="str">
        <f t="shared" si="73"/>
        <v/>
      </c>
      <c r="O288" s="4"/>
      <c r="P288" s="118"/>
      <c r="Q288" s="118"/>
      <c r="R288" s="4" t="str">
        <f t="shared" ca="1" si="74"/>
        <v>Ok</v>
      </c>
      <c r="S288" s="501">
        <f ca="1">IF(R288="Não","",COUNTIFS($R$9:R288,"Ok"))</f>
        <v>280</v>
      </c>
      <c r="T288" s="6">
        <f t="shared" ca="1" si="75"/>
        <v>46210</v>
      </c>
      <c r="U288" s="501">
        <f t="shared" ca="1" si="76"/>
        <v>451.09999999999542</v>
      </c>
      <c r="V288" s="501">
        <f t="shared" ca="1" si="77"/>
        <v>9.1131313131312215</v>
      </c>
      <c r="W288" s="501">
        <f t="shared" si="78"/>
        <v>0</v>
      </c>
      <c r="X288" s="1">
        <f t="shared" si="79"/>
        <v>0</v>
      </c>
      <c r="Y288" s="1">
        <f t="shared" si="79"/>
        <v>0</v>
      </c>
    </row>
    <row r="289" spans="1:25" s="1" customFormat="1" x14ac:dyDescent="0.25">
      <c r="A289" s="7">
        <f t="shared" si="80"/>
        <v>281</v>
      </c>
      <c r="B289" s="11">
        <f t="shared" si="81"/>
        <v>11</v>
      </c>
      <c r="C289" s="502">
        <f t="shared" si="82"/>
        <v>46211</v>
      </c>
      <c r="D289" s="7">
        <f t="shared" si="83"/>
        <v>100</v>
      </c>
      <c r="E289" s="12">
        <f t="shared" si="84"/>
        <v>0.9</v>
      </c>
      <c r="F289" s="473">
        <f t="shared" si="85"/>
        <v>451.9999999999954</v>
      </c>
      <c r="G289" s="473"/>
      <c r="H289" s="504">
        <f t="shared" si="86"/>
        <v>7.0000000000000001E-3</v>
      </c>
      <c r="I289" s="14">
        <f t="shared" si="87"/>
        <v>7.0000000000000001E-3</v>
      </c>
      <c r="J289" s="498">
        <f t="shared" si="72"/>
        <v>316.39999999999679</v>
      </c>
      <c r="K289" s="15"/>
      <c r="L289" s="8">
        <f t="shared" si="88"/>
        <v>9.1313131313130373</v>
      </c>
      <c r="M289" s="8">
        <f t="shared" si="89"/>
        <v>9.0909090909090917</v>
      </c>
      <c r="N289" s="499" t="str">
        <f t="shared" si="73"/>
        <v/>
      </c>
      <c r="O289" s="4"/>
      <c r="P289" s="118"/>
      <c r="Q289" s="118"/>
      <c r="R289" s="4" t="str">
        <f t="shared" ca="1" si="74"/>
        <v>Ok</v>
      </c>
      <c r="S289" s="501">
        <f ca="1">IF(R289="Não","",COUNTIFS($R$9:R289,"Ok"))</f>
        <v>281</v>
      </c>
      <c r="T289" s="6">
        <f t="shared" ca="1" si="75"/>
        <v>46211</v>
      </c>
      <c r="U289" s="501">
        <f t="shared" ca="1" si="76"/>
        <v>451.9999999999954</v>
      </c>
      <c r="V289" s="501">
        <f t="shared" ca="1" si="77"/>
        <v>9.1313131313130373</v>
      </c>
      <c r="W289" s="501">
        <f t="shared" si="78"/>
        <v>0</v>
      </c>
      <c r="X289" s="1">
        <f t="shared" si="79"/>
        <v>0</v>
      </c>
      <c r="Y289" s="1">
        <f t="shared" si="79"/>
        <v>0</v>
      </c>
    </row>
    <row r="290" spans="1:25" s="1" customFormat="1" x14ac:dyDescent="0.25">
      <c r="A290" s="7">
        <f t="shared" si="80"/>
        <v>282</v>
      </c>
      <c r="B290" s="11">
        <f t="shared" si="81"/>
        <v>11</v>
      </c>
      <c r="C290" s="502">
        <f t="shared" si="82"/>
        <v>46212</v>
      </c>
      <c r="D290" s="7">
        <f t="shared" si="83"/>
        <v>100</v>
      </c>
      <c r="E290" s="12">
        <f t="shared" si="84"/>
        <v>0.9</v>
      </c>
      <c r="F290" s="473">
        <f t="shared" si="85"/>
        <v>452.89999999999537</v>
      </c>
      <c r="G290" s="473"/>
      <c r="H290" s="504">
        <f t="shared" si="86"/>
        <v>7.0000000000000001E-3</v>
      </c>
      <c r="I290" s="14">
        <f t="shared" si="87"/>
        <v>7.0000000000000001E-3</v>
      </c>
      <c r="J290" s="498">
        <f t="shared" si="72"/>
        <v>317.02999999999679</v>
      </c>
      <c r="K290" s="15"/>
      <c r="L290" s="8">
        <f t="shared" si="88"/>
        <v>9.149494949494855</v>
      </c>
      <c r="M290" s="8">
        <f t="shared" si="89"/>
        <v>9.0909090909090917</v>
      </c>
      <c r="N290" s="499" t="str">
        <f t="shared" si="73"/>
        <v/>
      </c>
      <c r="O290" s="4"/>
      <c r="P290" s="118"/>
      <c r="Q290" s="118"/>
      <c r="R290" s="4" t="str">
        <f t="shared" ca="1" si="74"/>
        <v>Ok</v>
      </c>
      <c r="S290" s="501">
        <f ca="1">IF(R290="Não","",COUNTIFS($R$9:R290,"Ok"))</f>
        <v>282</v>
      </c>
      <c r="T290" s="6">
        <f t="shared" ca="1" si="75"/>
        <v>46212</v>
      </c>
      <c r="U290" s="501">
        <f t="shared" ca="1" si="76"/>
        <v>452.89999999999537</v>
      </c>
      <c r="V290" s="501">
        <f t="shared" ca="1" si="77"/>
        <v>9.149494949494855</v>
      </c>
      <c r="W290" s="501">
        <f t="shared" si="78"/>
        <v>0</v>
      </c>
      <c r="X290" s="1">
        <f t="shared" si="79"/>
        <v>0</v>
      </c>
      <c r="Y290" s="1">
        <f t="shared" si="79"/>
        <v>0</v>
      </c>
    </row>
    <row r="291" spans="1:25" s="1" customFormat="1" x14ac:dyDescent="0.25">
      <c r="A291" s="7">
        <f t="shared" si="80"/>
        <v>283</v>
      </c>
      <c r="B291" s="11">
        <f t="shared" si="81"/>
        <v>11</v>
      </c>
      <c r="C291" s="502">
        <f t="shared" si="82"/>
        <v>46213</v>
      </c>
      <c r="D291" s="7">
        <f t="shared" si="83"/>
        <v>100</v>
      </c>
      <c r="E291" s="12">
        <f t="shared" si="84"/>
        <v>0.9</v>
      </c>
      <c r="F291" s="473">
        <f t="shared" si="85"/>
        <v>453.79999999999535</v>
      </c>
      <c r="G291" s="473"/>
      <c r="H291" s="504">
        <f t="shared" si="86"/>
        <v>7.0000000000000001E-3</v>
      </c>
      <c r="I291" s="14">
        <f t="shared" si="87"/>
        <v>7.0000000000000001E-3</v>
      </c>
      <c r="J291" s="498">
        <f t="shared" si="72"/>
        <v>317.65999999999678</v>
      </c>
      <c r="K291" s="15"/>
      <c r="L291" s="8">
        <f t="shared" si="88"/>
        <v>9.1676767676766744</v>
      </c>
      <c r="M291" s="8">
        <f t="shared" si="89"/>
        <v>9.0909090909090917</v>
      </c>
      <c r="N291" s="499" t="str">
        <f t="shared" si="73"/>
        <v/>
      </c>
      <c r="O291" s="4"/>
      <c r="P291" s="118"/>
      <c r="Q291" s="118"/>
      <c r="R291" s="4" t="str">
        <f t="shared" ca="1" si="74"/>
        <v>Ok</v>
      </c>
      <c r="S291" s="501">
        <f ca="1">IF(R291="Não","",COUNTIFS($R$9:R291,"Ok"))</f>
        <v>283</v>
      </c>
      <c r="T291" s="6">
        <f t="shared" ca="1" si="75"/>
        <v>46213</v>
      </c>
      <c r="U291" s="501">
        <f t="shared" ca="1" si="76"/>
        <v>453.79999999999535</v>
      </c>
      <c r="V291" s="501">
        <f t="shared" ca="1" si="77"/>
        <v>9.1676767676766744</v>
      </c>
      <c r="W291" s="501">
        <f t="shared" si="78"/>
        <v>0</v>
      </c>
      <c r="X291" s="1">
        <f t="shared" si="79"/>
        <v>0</v>
      </c>
      <c r="Y291" s="1">
        <f t="shared" si="79"/>
        <v>0</v>
      </c>
    </row>
    <row r="292" spans="1:25" s="1" customFormat="1" x14ac:dyDescent="0.25">
      <c r="A292" s="7">
        <f t="shared" si="80"/>
        <v>284</v>
      </c>
      <c r="B292" s="11">
        <f t="shared" si="81"/>
        <v>11</v>
      </c>
      <c r="C292" s="502">
        <f t="shared" si="82"/>
        <v>46214</v>
      </c>
      <c r="D292" s="7">
        <f t="shared" si="83"/>
        <v>100</v>
      </c>
      <c r="E292" s="12">
        <f t="shared" si="84"/>
        <v>0.9</v>
      </c>
      <c r="F292" s="473">
        <f t="shared" si="85"/>
        <v>454.69999999999533</v>
      </c>
      <c r="G292" s="473"/>
      <c r="H292" s="504">
        <f t="shared" si="86"/>
        <v>7.0000000000000001E-3</v>
      </c>
      <c r="I292" s="14">
        <f t="shared" si="87"/>
        <v>7.0000000000000001E-3</v>
      </c>
      <c r="J292" s="498">
        <f t="shared" si="72"/>
        <v>318.28999999999672</v>
      </c>
      <c r="K292" s="15"/>
      <c r="L292" s="8">
        <f t="shared" si="88"/>
        <v>9.185858585858492</v>
      </c>
      <c r="M292" s="8">
        <f t="shared" si="89"/>
        <v>9.0909090909090917</v>
      </c>
      <c r="N292" s="499" t="str">
        <f t="shared" si="73"/>
        <v/>
      </c>
      <c r="O292" s="4"/>
      <c r="P292" s="118"/>
      <c r="Q292" s="118"/>
      <c r="R292" s="4" t="str">
        <f t="shared" ca="1" si="74"/>
        <v>Ok</v>
      </c>
      <c r="S292" s="501">
        <f ca="1">IF(R292="Não","",COUNTIFS($R$9:R292,"Ok"))</f>
        <v>284</v>
      </c>
      <c r="T292" s="6">
        <f t="shared" ca="1" si="75"/>
        <v>46214</v>
      </c>
      <c r="U292" s="501">
        <f t="shared" ca="1" si="76"/>
        <v>454.69999999999533</v>
      </c>
      <c r="V292" s="501">
        <f t="shared" ca="1" si="77"/>
        <v>9.185858585858492</v>
      </c>
      <c r="W292" s="501">
        <f t="shared" si="78"/>
        <v>0</v>
      </c>
      <c r="X292" s="1">
        <f t="shared" si="79"/>
        <v>0</v>
      </c>
      <c r="Y292" s="1">
        <f t="shared" si="79"/>
        <v>0</v>
      </c>
    </row>
    <row r="293" spans="1:25" s="1" customFormat="1" x14ac:dyDescent="0.25">
      <c r="A293" s="7">
        <f t="shared" si="80"/>
        <v>285</v>
      </c>
      <c r="B293" s="11">
        <f t="shared" si="81"/>
        <v>11</v>
      </c>
      <c r="C293" s="502">
        <f t="shared" si="82"/>
        <v>46215</v>
      </c>
      <c r="D293" s="7">
        <f t="shared" si="83"/>
        <v>100</v>
      </c>
      <c r="E293" s="12">
        <f t="shared" si="84"/>
        <v>0.9</v>
      </c>
      <c r="F293" s="473">
        <f t="shared" si="85"/>
        <v>455.5999999999953</v>
      </c>
      <c r="G293" s="473"/>
      <c r="H293" s="504">
        <f t="shared" si="86"/>
        <v>7.0000000000000001E-3</v>
      </c>
      <c r="I293" s="14">
        <f t="shared" si="87"/>
        <v>7.0000000000000001E-3</v>
      </c>
      <c r="J293" s="498">
        <f t="shared" si="72"/>
        <v>318.91999999999672</v>
      </c>
      <c r="K293" s="15"/>
      <c r="L293" s="8">
        <f t="shared" si="88"/>
        <v>9.2040404040403079</v>
      </c>
      <c r="M293" s="8">
        <f t="shared" si="89"/>
        <v>9.0909090909090917</v>
      </c>
      <c r="N293" s="499" t="str">
        <f t="shared" si="73"/>
        <v/>
      </c>
      <c r="O293" s="4"/>
      <c r="P293" s="118"/>
      <c r="Q293" s="118"/>
      <c r="R293" s="4" t="str">
        <f t="shared" ca="1" si="74"/>
        <v>Ok</v>
      </c>
      <c r="S293" s="501">
        <f ca="1">IF(R293="Não","",COUNTIFS($R$9:R293,"Ok"))</f>
        <v>285</v>
      </c>
      <c r="T293" s="6">
        <f t="shared" ca="1" si="75"/>
        <v>46215</v>
      </c>
      <c r="U293" s="501">
        <f t="shared" ca="1" si="76"/>
        <v>455.5999999999953</v>
      </c>
      <c r="V293" s="501">
        <f t="shared" ca="1" si="77"/>
        <v>9.2040404040403079</v>
      </c>
      <c r="W293" s="501">
        <f t="shared" si="78"/>
        <v>0</v>
      </c>
      <c r="X293" s="1">
        <f t="shared" si="79"/>
        <v>0</v>
      </c>
      <c r="Y293" s="1">
        <f t="shared" si="79"/>
        <v>0</v>
      </c>
    </row>
    <row r="294" spans="1:25" s="1" customFormat="1" x14ac:dyDescent="0.25">
      <c r="A294" s="7">
        <f t="shared" si="80"/>
        <v>286</v>
      </c>
      <c r="B294" s="11">
        <f t="shared" si="81"/>
        <v>11</v>
      </c>
      <c r="C294" s="502">
        <f t="shared" si="82"/>
        <v>46216</v>
      </c>
      <c r="D294" s="7">
        <f t="shared" si="83"/>
        <v>100</v>
      </c>
      <c r="E294" s="12">
        <f t="shared" si="84"/>
        <v>0.9</v>
      </c>
      <c r="F294" s="473">
        <f t="shared" si="85"/>
        <v>456.49999999999528</v>
      </c>
      <c r="G294" s="473"/>
      <c r="H294" s="504">
        <f t="shared" si="86"/>
        <v>7.0000000000000001E-3</v>
      </c>
      <c r="I294" s="14">
        <f t="shared" si="87"/>
        <v>7.0000000000000001E-3</v>
      </c>
      <c r="J294" s="498">
        <f t="shared" si="72"/>
        <v>319.54999999999671</v>
      </c>
      <c r="K294" s="15"/>
      <c r="L294" s="8">
        <f t="shared" si="88"/>
        <v>9.2222222222221273</v>
      </c>
      <c r="M294" s="8">
        <f t="shared" si="89"/>
        <v>9.0909090909090917</v>
      </c>
      <c r="N294" s="499" t="str">
        <f t="shared" si="73"/>
        <v/>
      </c>
      <c r="O294" s="4"/>
      <c r="P294" s="118"/>
      <c r="Q294" s="118"/>
      <c r="R294" s="4" t="str">
        <f t="shared" ca="1" si="74"/>
        <v>Ok</v>
      </c>
      <c r="S294" s="501">
        <f ca="1">IF(R294="Não","",COUNTIFS($R$9:R294,"Ok"))</f>
        <v>286</v>
      </c>
      <c r="T294" s="6">
        <f t="shared" ca="1" si="75"/>
        <v>46216</v>
      </c>
      <c r="U294" s="501">
        <f t="shared" ca="1" si="76"/>
        <v>456.49999999999528</v>
      </c>
      <c r="V294" s="501">
        <f t="shared" ca="1" si="77"/>
        <v>9.2222222222221273</v>
      </c>
      <c r="W294" s="501">
        <f t="shared" si="78"/>
        <v>0</v>
      </c>
      <c r="X294" s="1">
        <f t="shared" si="79"/>
        <v>0</v>
      </c>
      <c r="Y294" s="1">
        <f t="shared" si="79"/>
        <v>0</v>
      </c>
    </row>
    <row r="295" spans="1:25" s="1" customFormat="1" x14ac:dyDescent="0.25">
      <c r="A295" s="7">
        <f t="shared" si="80"/>
        <v>287</v>
      </c>
      <c r="B295" s="11">
        <f t="shared" si="81"/>
        <v>11</v>
      </c>
      <c r="C295" s="502">
        <f t="shared" si="82"/>
        <v>46217</v>
      </c>
      <c r="D295" s="7">
        <f t="shared" si="83"/>
        <v>100</v>
      </c>
      <c r="E295" s="12">
        <f t="shared" si="84"/>
        <v>0.9</v>
      </c>
      <c r="F295" s="473">
        <f t="shared" si="85"/>
        <v>457.39999999999526</v>
      </c>
      <c r="G295" s="473"/>
      <c r="H295" s="504">
        <f t="shared" si="86"/>
        <v>7.0000000000000001E-3</v>
      </c>
      <c r="I295" s="14">
        <f t="shared" si="87"/>
        <v>7.0000000000000001E-3</v>
      </c>
      <c r="J295" s="498">
        <f t="shared" si="72"/>
        <v>320.17999999999665</v>
      </c>
      <c r="K295" s="15"/>
      <c r="L295" s="8">
        <f t="shared" si="88"/>
        <v>9.2404040404039449</v>
      </c>
      <c r="M295" s="8">
        <f t="shared" si="89"/>
        <v>9.0909090909090917</v>
      </c>
      <c r="N295" s="499" t="str">
        <f t="shared" si="73"/>
        <v/>
      </c>
      <c r="O295" s="4"/>
      <c r="P295" s="118"/>
      <c r="Q295" s="118"/>
      <c r="R295" s="4" t="str">
        <f t="shared" ca="1" si="74"/>
        <v>Ok</v>
      </c>
      <c r="S295" s="501">
        <f ca="1">IF(R295="Não","",COUNTIFS($R$9:R295,"Ok"))</f>
        <v>287</v>
      </c>
      <c r="T295" s="6">
        <f t="shared" ca="1" si="75"/>
        <v>46217</v>
      </c>
      <c r="U295" s="501">
        <f t="shared" ca="1" si="76"/>
        <v>457.39999999999526</v>
      </c>
      <c r="V295" s="501">
        <f t="shared" ca="1" si="77"/>
        <v>9.2404040404039449</v>
      </c>
      <c r="W295" s="501">
        <f t="shared" si="78"/>
        <v>0</v>
      </c>
      <c r="X295" s="1">
        <f t="shared" si="79"/>
        <v>0</v>
      </c>
      <c r="Y295" s="1">
        <f t="shared" si="79"/>
        <v>0</v>
      </c>
    </row>
    <row r="296" spans="1:25" s="1" customFormat="1" x14ac:dyDescent="0.25">
      <c r="A296" s="7">
        <f t="shared" si="80"/>
        <v>288</v>
      </c>
      <c r="B296" s="11">
        <f t="shared" si="81"/>
        <v>11</v>
      </c>
      <c r="C296" s="502">
        <f t="shared" si="82"/>
        <v>46218</v>
      </c>
      <c r="D296" s="7">
        <f t="shared" si="83"/>
        <v>100</v>
      </c>
      <c r="E296" s="12">
        <f t="shared" si="84"/>
        <v>0.9</v>
      </c>
      <c r="F296" s="473">
        <f t="shared" si="85"/>
        <v>458.29999999999524</v>
      </c>
      <c r="G296" s="473"/>
      <c r="H296" s="504">
        <f t="shared" si="86"/>
        <v>7.0000000000000001E-3</v>
      </c>
      <c r="I296" s="14">
        <f t="shared" si="87"/>
        <v>7.0000000000000001E-3</v>
      </c>
      <c r="J296" s="498">
        <f t="shared" si="72"/>
        <v>320.80999999999665</v>
      </c>
      <c r="K296" s="15"/>
      <c r="L296" s="8">
        <f t="shared" si="88"/>
        <v>9.2585858585857626</v>
      </c>
      <c r="M296" s="8">
        <f t="shared" si="89"/>
        <v>9.0909090909090917</v>
      </c>
      <c r="N296" s="499" t="str">
        <f t="shared" si="73"/>
        <v/>
      </c>
      <c r="O296" s="4"/>
      <c r="P296" s="118"/>
      <c r="Q296" s="118"/>
      <c r="R296" s="4" t="str">
        <f t="shared" ca="1" si="74"/>
        <v>Ok</v>
      </c>
      <c r="S296" s="501">
        <f ca="1">IF(R296="Não","",COUNTIFS($R$9:R296,"Ok"))</f>
        <v>288</v>
      </c>
      <c r="T296" s="6">
        <f t="shared" ca="1" si="75"/>
        <v>46218</v>
      </c>
      <c r="U296" s="501">
        <f t="shared" ca="1" si="76"/>
        <v>458.29999999999524</v>
      </c>
      <c r="V296" s="501">
        <f t="shared" ca="1" si="77"/>
        <v>9.2585858585857626</v>
      </c>
      <c r="W296" s="501">
        <f t="shared" si="78"/>
        <v>0</v>
      </c>
      <c r="X296" s="1">
        <f t="shared" si="79"/>
        <v>0</v>
      </c>
      <c r="Y296" s="1">
        <f t="shared" si="79"/>
        <v>0</v>
      </c>
    </row>
    <row r="297" spans="1:25" s="1" customFormat="1" x14ac:dyDescent="0.25">
      <c r="A297" s="7">
        <f t="shared" si="80"/>
        <v>289</v>
      </c>
      <c r="B297" s="11">
        <f t="shared" si="81"/>
        <v>11</v>
      </c>
      <c r="C297" s="502">
        <f t="shared" si="82"/>
        <v>46219</v>
      </c>
      <c r="D297" s="7">
        <f t="shared" si="83"/>
        <v>100</v>
      </c>
      <c r="E297" s="12">
        <f t="shared" si="84"/>
        <v>0.9</v>
      </c>
      <c r="F297" s="473">
        <f t="shared" si="85"/>
        <v>459.19999999999521</v>
      </c>
      <c r="G297" s="473"/>
      <c r="H297" s="504">
        <f t="shared" si="86"/>
        <v>7.0000000000000001E-3</v>
      </c>
      <c r="I297" s="14">
        <f t="shared" si="87"/>
        <v>7.0000000000000001E-3</v>
      </c>
      <c r="J297" s="498">
        <f t="shared" si="72"/>
        <v>321.43999999999664</v>
      </c>
      <c r="K297" s="15"/>
      <c r="L297" s="8">
        <f t="shared" si="88"/>
        <v>9.2767676767675784</v>
      </c>
      <c r="M297" s="8">
        <f t="shared" si="89"/>
        <v>9.0909090909090917</v>
      </c>
      <c r="N297" s="499" t="str">
        <f t="shared" si="73"/>
        <v/>
      </c>
      <c r="O297" s="4"/>
      <c r="P297" s="118"/>
      <c r="Q297" s="118"/>
      <c r="R297" s="4" t="str">
        <f t="shared" ca="1" si="74"/>
        <v>Ok</v>
      </c>
      <c r="S297" s="501">
        <f ca="1">IF(R297="Não","",COUNTIFS($R$9:R297,"Ok"))</f>
        <v>289</v>
      </c>
      <c r="T297" s="6">
        <f t="shared" ca="1" si="75"/>
        <v>46219</v>
      </c>
      <c r="U297" s="501">
        <f t="shared" ca="1" si="76"/>
        <v>459.19999999999521</v>
      </c>
      <c r="V297" s="501">
        <f t="shared" ca="1" si="77"/>
        <v>9.2767676767675784</v>
      </c>
      <c r="W297" s="501">
        <f t="shared" si="78"/>
        <v>0</v>
      </c>
      <c r="X297" s="1">
        <f t="shared" si="79"/>
        <v>0</v>
      </c>
      <c r="Y297" s="1">
        <f t="shared" si="79"/>
        <v>0</v>
      </c>
    </row>
    <row r="298" spans="1:25" s="1" customFormat="1" x14ac:dyDescent="0.25">
      <c r="A298" s="7">
        <f t="shared" si="80"/>
        <v>290</v>
      </c>
      <c r="B298" s="11">
        <f t="shared" si="81"/>
        <v>11</v>
      </c>
      <c r="C298" s="502">
        <f t="shared" si="82"/>
        <v>46220</v>
      </c>
      <c r="D298" s="7">
        <f t="shared" si="83"/>
        <v>100</v>
      </c>
      <c r="E298" s="12">
        <f t="shared" si="84"/>
        <v>0.9</v>
      </c>
      <c r="F298" s="473">
        <f t="shared" si="85"/>
        <v>460.09999999999519</v>
      </c>
      <c r="G298" s="473"/>
      <c r="H298" s="504">
        <f t="shared" si="86"/>
        <v>7.0000000000000001E-3</v>
      </c>
      <c r="I298" s="14">
        <f t="shared" si="87"/>
        <v>7.0000000000000001E-3</v>
      </c>
      <c r="J298" s="498">
        <f t="shared" si="72"/>
        <v>322.06999999999664</v>
      </c>
      <c r="K298" s="15"/>
      <c r="L298" s="8">
        <f t="shared" si="88"/>
        <v>9.2949494949493978</v>
      </c>
      <c r="M298" s="8">
        <f t="shared" si="89"/>
        <v>9.0909090909090917</v>
      </c>
      <c r="N298" s="499" t="str">
        <f t="shared" si="73"/>
        <v/>
      </c>
      <c r="O298" s="4"/>
      <c r="P298" s="118"/>
      <c r="Q298" s="118"/>
      <c r="R298" s="4" t="str">
        <f t="shared" ca="1" si="74"/>
        <v>Ok</v>
      </c>
      <c r="S298" s="501">
        <f ca="1">IF(R298="Não","",COUNTIFS($R$9:R298,"Ok"))</f>
        <v>290</v>
      </c>
      <c r="T298" s="6">
        <f t="shared" ca="1" si="75"/>
        <v>46220</v>
      </c>
      <c r="U298" s="501">
        <f t="shared" ca="1" si="76"/>
        <v>460.09999999999519</v>
      </c>
      <c r="V298" s="501">
        <f t="shared" ca="1" si="77"/>
        <v>9.2949494949493978</v>
      </c>
      <c r="W298" s="501">
        <f t="shared" si="78"/>
        <v>0</v>
      </c>
      <c r="X298" s="1">
        <f t="shared" si="79"/>
        <v>0</v>
      </c>
      <c r="Y298" s="1">
        <f t="shared" si="79"/>
        <v>0</v>
      </c>
    </row>
    <row r="299" spans="1:25" s="1" customFormat="1" x14ac:dyDescent="0.25">
      <c r="A299" s="7">
        <f t="shared" si="80"/>
        <v>291</v>
      </c>
      <c r="B299" s="11">
        <f t="shared" si="81"/>
        <v>11</v>
      </c>
      <c r="C299" s="502">
        <f t="shared" si="82"/>
        <v>46221</v>
      </c>
      <c r="D299" s="7">
        <f t="shared" si="83"/>
        <v>100</v>
      </c>
      <c r="E299" s="12">
        <f t="shared" si="84"/>
        <v>0.9</v>
      </c>
      <c r="F299" s="473">
        <f t="shared" si="85"/>
        <v>460.99999999999517</v>
      </c>
      <c r="G299" s="473"/>
      <c r="H299" s="504">
        <f t="shared" si="86"/>
        <v>7.0000000000000001E-3</v>
      </c>
      <c r="I299" s="14">
        <f t="shared" si="87"/>
        <v>7.0000000000000001E-3</v>
      </c>
      <c r="J299" s="498">
        <f t="shared" si="72"/>
        <v>322.69999999999663</v>
      </c>
      <c r="K299" s="15"/>
      <c r="L299" s="8">
        <f t="shared" si="88"/>
        <v>9.3131313131312154</v>
      </c>
      <c r="M299" s="8">
        <f t="shared" si="89"/>
        <v>9.0909090909090917</v>
      </c>
      <c r="N299" s="499" t="str">
        <f t="shared" si="73"/>
        <v/>
      </c>
      <c r="O299" s="4"/>
      <c r="P299" s="118"/>
      <c r="Q299" s="118"/>
      <c r="R299" s="4" t="str">
        <f t="shared" ca="1" si="74"/>
        <v>Ok</v>
      </c>
      <c r="S299" s="501">
        <f ca="1">IF(R299="Não","",COUNTIFS($R$9:R299,"Ok"))</f>
        <v>291</v>
      </c>
      <c r="T299" s="6">
        <f t="shared" ca="1" si="75"/>
        <v>46221</v>
      </c>
      <c r="U299" s="501">
        <f t="shared" ca="1" si="76"/>
        <v>460.99999999999517</v>
      </c>
      <c r="V299" s="501">
        <f t="shared" ca="1" si="77"/>
        <v>9.3131313131312154</v>
      </c>
      <c r="W299" s="501">
        <f t="shared" si="78"/>
        <v>0</v>
      </c>
      <c r="X299" s="1">
        <f t="shared" si="79"/>
        <v>0</v>
      </c>
      <c r="Y299" s="1">
        <f t="shared" si="79"/>
        <v>0</v>
      </c>
    </row>
    <row r="300" spans="1:25" s="1" customFormat="1" x14ac:dyDescent="0.25">
      <c r="A300" s="7">
        <f t="shared" si="80"/>
        <v>292</v>
      </c>
      <c r="B300" s="11">
        <f t="shared" si="81"/>
        <v>11</v>
      </c>
      <c r="C300" s="502">
        <f t="shared" si="82"/>
        <v>46222</v>
      </c>
      <c r="D300" s="7">
        <f t="shared" si="83"/>
        <v>100</v>
      </c>
      <c r="E300" s="12">
        <f t="shared" si="84"/>
        <v>0.9</v>
      </c>
      <c r="F300" s="473">
        <f t="shared" si="85"/>
        <v>461.89999999999515</v>
      </c>
      <c r="G300" s="473"/>
      <c r="H300" s="504">
        <f t="shared" si="86"/>
        <v>7.0000000000000001E-3</v>
      </c>
      <c r="I300" s="14">
        <f t="shared" si="87"/>
        <v>7.0000000000000001E-3</v>
      </c>
      <c r="J300" s="498">
        <f t="shared" si="72"/>
        <v>323.32999999999663</v>
      </c>
      <c r="K300" s="15"/>
      <c r="L300" s="8">
        <f t="shared" si="88"/>
        <v>9.3313131313130331</v>
      </c>
      <c r="M300" s="8">
        <f t="shared" si="89"/>
        <v>9.0909090909090917</v>
      </c>
      <c r="N300" s="499" t="str">
        <f t="shared" si="73"/>
        <v/>
      </c>
      <c r="O300" s="4"/>
      <c r="P300" s="118"/>
      <c r="Q300" s="118"/>
      <c r="R300" s="4" t="str">
        <f t="shared" ca="1" si="74"/>
        <v>Ok</v>
      </c>
      <c r="S300" s="501">
        <f ca="1">IF(R300="Não","",COUNTIFS($R$9:R300,"Ok"))</f>
        <v>292</v>
      </c>
      <c r="T300" s="6">
        <f t="shared" ca="1" si="75"/>
        <v>46222</v>
      </c>
      <c r="U300" s="501">
        <f t="shared" ca="1" si="76"/>
        <v>461.89999999999515</v>
      </c>
      <c r="V300" s="501">
        <f t="shared" ca="1" si="77"/>
        <v>9.3313131313130331</v>
      </c>
      <c r="W300" s="501">
        <f t="shared" si="78"/>
        <v>0</v>
      </c>
      <c r="X300" s="1">
        <f t="shared" si="79"/>
        <v>0</v>
      </c>
      <c r="Y300" s="1">
        <f t="shared" si="79"/>
        <v>0</v>
      </c>
    </row>
    <row r="301" spans="1:25" s="1" customFormat="1" x14ac:dyDescent="0.25">
      <c r="A301" s="7">
        <f t="shared" si="80"/>
        <v>293</v>
      </c>
      <c r="B301" s="11">
        <f t="shared" si="81"/>
        <v>11</v>
      </c>
      <c r="C301" s="502">
        <f t="shared" si="82"/>
        <v>46223</v>
      </c>
      <c r="D301" s="7">
        <f t="shared" si="83"/>
        <v>100</v>
      </c>
      <c r="E301" s="12">
        <f t="shared" si="84"/>
        <v>0.9</v>
      </c>
      <c r="F301" s="473">
        <f t="shared" si="85"/>
        <v>462.79999999999512</v>
      </c>
      <c r="G301" s="473"/>
      <c r="H301" s="504">
        <f t="shared" si="86"/>
        <v>7.0000000000000001E-3</v>
      </c>
      <c r="I301" s="14">
        <f t="shared" si="87"/>
        <v>7.0000000000000001E-3</v>
      </c>
      <c r="J301" s="498">
        <f t="shared" si="72"/>
        <v>323.95999999999663</v>
      </c>
      <c r="K301" s="15"/>
      <c r="L301" s="8">
        <f t="shared" si="88"/>
        <v>9.3494949494948507</v>
      </c>
      <c r="M301" s="8">
        <f t="shared" si="89"/>
        <v>9.0909090909090917</v>
      </c>
      <c r="N301" s="499" t="str">
        <f t="shared" si="73"/>
        <v/>
      </c>
      <c r="O301" s="4"/>
      <c r="P301" s="118"/>
      <c r="Q301" s="118"/>
      <c r="R301" s="4" t="str">
        <f t="shared" ca="1" si="74"/>
        <v>Ok</v>
      </c>
      <c r="S301" s="501">
        <f ca="1">IF(R301="Não","",COUNTIFS($R$9:R301,"Ok"))</f>
        <v>293</v>
      </c>
      <c r="T301" s="6">
        <f t="shared" ca="1" si="75"/>
        <v>46223</v>
      </c>
      <c r="U301" s="501">
        <f t="shared" ca="1" si="76"/>
        <v>462.79999999999512</v>
      </c>
      <c r="V301" s="501">
        <f t="shared" ca="1" si="77"/>
        <v>9.3494949494948507</v>
      </c>
      <c r="W301" s="501">
        <f t="shared" si="78"/>
        <v>0</v>
      </c>
      <c r="X301" s="1">
        <f t="shared" si="79"/>
        <v>0</v>
      </c>
      <c r="Y301" s="1">
        <f t="shared" si="79"/>
        <v>0</v>
      </c>
    </row>
    <row r="302" spans="1:25" s="1" customFormat="1" x14ac:dyDescent="0.25">
      <c r="A302" s="7">
        <f t="shared" si="80"/>
        <v>294</v>
      </c>
      <c r="B302" s="11">
        <f t="shared" si="81"/>
        <v>11</v>
      </c>
      <c r="C302" s="502">
        <f t="shared" si="82"/>
        <v>46224</v>
      </c>
      <c r="D302" s="7">
        <f t="shared" si="83"/>
        <v>100</v>
      </c>
      <c r="E302" s="12">
        <f t="shared" si="84"/>
        <v>0.9</v>
      </c>
      <c r="F302" s="473">
        <f t="shared" si="85"/>
        <v>463.6999999999951</v>
      </c>
      <c r="G302" s="473"/>
      <c r="H302" s="504">
        <f t="shared" si="86"/>
        <v>7.0000000000000001E-3</v>
      </c>
      <c r="I302" s="14">
        <f t="shared" si="87"/>
        <v>7.0000000000000001E-3</v>
      </c>
      <c r="J302" s="498">
        <f t="shared" si="72"/>
        <v>324.58999999999656</v>
      </c>
      <c r="K302" s="15"/>
      <c r="L302" s="8">
        <f t="shared" si="88"/>
        <v>9.3676767676766683</v>
      </c>
      <c r="M302" s="8">
        <f t="shared" si="89"/>
        <v>9.0909090909090917</v>
      </c>
      <c r="N302" s="499" t="str">
        <f t="shared" si="73"/>
        <v/>
      </c>
      <c r="O302" s="4"/>
      <c r="P302" s="118"/>
      <c r="Q302" s="118"/>
      <c r="R302" s="4" t="str">
        <f t="shared" ca="1" si="74"/>
        <v>Ok</v>
      </c>
      <c r="S302" s="501">
        <f ca="1">IF(R302="Não","",COUNTIFS($R$9:R302,"Ok"))</f>
        <v>294</v>
      </c>
      <c r="T302" s="6">
        <f t="shared" ca="1" si="75"/>
        <v>46224</v>
      </c>
      <c r="U302" s="501">
        <f t="shared" ca="1" si="76"/>
        <v>463.6999999999951</v>
      </c>
      <c r="V302" s="501">
        <f t="shared" ca="1" si="77"/>
        <v>9.3676767676766683</v>
      </c>
      <c r="W302" s="501">
        <f t="shared" si="78"/>
        <v>0</v>
      </c>
      <c r="X302" s="1">
        <f t="shared" si="79"/>
        <v>0</v>
      </c>
      <c r="Y302" s="1">
        <f t="shared" si="79"/>
        <v>0</v>
      </c>
    </row>
    <row r="303" spans="1:25" s="1" customFormat="1" x14ac:dyDescent="0.25">
      <c r="A303" s="7">
        <f t="shared" si="80"/>
        <v>295</v>
      </c>
      <c r="B303" s="11">
        <f t="shared" si="81"/>
        <v>11</v>
      </c>
      <c r="C303" s="502">
        <f t="shared" si="82"/>
        <v>46225</v>
      </c>
      <c r="D303" s="7">
        <f t="shared" si="83"/>
        <v>100</v>
      </c>
      <c r="E303" s="12">
        <f t="shared" si="84"/>
        <v>0.9</v>
      </c>
      <c r="F303" s="473">
        <f t="shared" si="85"/>
        <v>464.59999999999508</v>
      </c>
      <c r="G303" s="473"/>
      <c r="H303" s="504">
        <f t="shared" si="86"/>
        <v>7.0000000000000001E-3</v>
      </c>
      <c r="I303" s="14">
        <f t="shared" si="87"/>
        <v>7.0000000000000001E-3</v>
      </c>
      <c r="J303" s="498">
        <f t="shared" si="72"/>
        <v>325.21999999999656</v>
      </c>
      <c r="K303" s="15"/>
      <c r="L303" s="8">
        <f t="shared" si="88"/>
        <v>9.385858585858486</v>
      </c>
      <c r="M303" s="8">
        <f t="shared" si="89"/>
        <v>9.0909090909090917</v>
      </c>
      <c r="N303" s="499" t="str">
        <f t="shared" si="73"/>
        <v/>
      </c>
      <c r="O303" s="4"/>
      <c r="P303" s="118"/>
      <c r="Q303" s="118"/>
      <c r="R303" s="4" t="str">
        <f t="shared" ca="1" si="74"/>
        <v>Ok</v>
      </c>
      <c r="S303" s="501">
        <f ca="1">IF(R303="Não","",COUNTIFS($R$9:R303,"Ok"))</f>
        <v>295</v>
      </c>
      <c r="T303" s="6">
        <f t="shared" ca="1" si="75"/>
        <v>46225</v>
      </c>
      <c r="U303" s="501">
        <f t="shared" ca="1" si="76"/>
        <v>464.59999999999508</v>
      </c>
      <c r="V303" s="501">
        <f t="shared" ca="1" si="77"/>
        <v>9.385858585858486</v>
      </c>
      <c r="W303" s="501">
        <f t="shared" si="78"/>
        <v>0</v>
      </c>
      <c r="X303" s="1">
        <f t="shared" si="79"/>
        <v>0</v>
      </c>
      <c r="Y303" s="1">
        <f t="shared" si="79"/>
        <v>0</v>
      </c>
    </row>
    <row r="304" spans="1:25" s="1" customFormat="1" x14ac:dyDescent="0.25">
      <c r="A304" s="7">
        <f t="shared" si="80"/>
        <v>296</v>
      </c>
      <c r="B304" s="11">
        <f t="shared" si="81"/>
        <v>11</v>
      </c>
      <c r="C304" s="502">
        <f t="shared" si="82"/>
        <v>46226</v>
      </c>
      <c r="D304" s="7">
        <f t="shared" si="83"/>
        <v>100</v>
      </c>
      <c r="E304" s="12">
        <f t="shared" si="84"/>
        <v>0.9</v>
      </c>
      <c r="F304" s="473">
        <f t="shared" si="85"/>
        <v>465.49999999999505</v>
      </c>
      <c r="G304" s="473"/>
      <c r="H304" s="504">
        <f t="shared" si="86"/>
        <v>7.0000000000000001E-3</v>
      </c>
      <c r="I304" s="14">
        <f t="shared" si="87"/>
        <v>7.0000000000000001E-3</v>
      </c>
      <c r="J304" s="498">
        <f t="shared" si="72"/>
        <v>325.84999999999656</v>
      </c>
      <c r="K304" s="15"/>
      <c r="L304" s="8">
        <f t="shared" si="88"/>
        <v>9.4040404040403036</v>
      </c>
      <c r="M304" s="8">
        <f t="shared" si="89"/>
        <v>9.0909090909090917</v>
      </c>
      <c r="N304" s="499" t="str">
        <f t="shared" si="73"/>
        <v/>
      </c>
      <c r="O304" s="4"/>
      <c r="P304" s="118"/>
      <c r="Q304" s="118"/>
      <c r="R304" s="4" t="str">
        <f t="shared" ca="1" si="74"/>
        <v>Ok</v>
      </c>
      <c r="S304" s="501">
        <f ca="1">IF(R304="Não","",COUNTIFS($R$9:R304,"Ok"))</f>
        <v>296</v>
      </c>
      <c r="T304" s="6">
        <f t="shared" ca="1" si="75"/>
        <v>46226</v>
      </c>
      <c r="U304" s="501">
        <f t="shared" ca="1" si="76"/>
        <v>465.49999999999505</v>
      </c>
      <c r="V304" s="501">
        <f t="shared" ca="1" si="77"/>
        <v>9.4040404040403036</v>
      </c>
      <c r="W304" s="501">
        <f t="shared" si="78"/>
        <v>0</v>
      </c>
      <c r="X304" s="1">
        <f t="shared" si="79"/>
        <v>0</v>
      </c>
      <c r="Y304" s="1">
        <f t="shared" si="79"/>
        <v>0</v>
      </c>
    </row>
    <row r="305" spans="1:25" s="1" customFormat="1" x14ac:dyDescent="0.25">
      <c r="A305" s="7">
        <f t="shared" si="80"/>
        <v>297</v>
      </c>
      <c r="B305" s="11">
        <f t="shared" si="81"/>
        <v>11</v>
      </c>
      <c r="C305" s="502">
        <f t="shared" si="82"/>
        <v>46227</v>
      </c>
      <c r="D305" s="7">
        <f t="shared" si="83"/>
        <v>100</v>
      </c>
      <c r="E305" s="12">
        <f t="shared" si="84"/>
        <v>0.9</v>
      </c>
      <c r="F305" s="473">
        <f t="shared" si="85"/>
        <v>466.39999999999503</v>
      </c>
      <c r="G305" s="473"/>
      <c r="H305" s="504">
        <f t="shared" si="86"/>
        <v>7.0000000000000001E-3</v>
      </c>
      <c r="I305" s="14">
        <f t="shared" si="87"/>
        <v>7.0000000000000001E-3</v>
      </c>
      <c r="J305" s="498">
        <f t="shared" si="72"/>
        <v>326.47999999999655</v>
      </c>
      <c r="K305" s="15"/>
      <c r="L305" s="8">
        <f t="shared" si="88"/>
        <v>9.422222222222123</v>
      </c>
      <c r="M305" s="8">
        <f t="shared" si="89"/>
        <v>9.0909090909090917</v>
      </c>
      <c r="N305" s="499" t="str">
        <f t="shared" si="73"/>
        <v/>
      </c>
      <c r="O305" s="4"/>
      <c r="P305" s="118"/>
      <c r="Q305" s="118"/>
      <c r="R305" s="4" t="str">
        <f t="shared" ca="1" si="74"/>
        <v>Ok</v>
      </c>
      <c r="S305" s="501">
        <f ca="1">IF(R305="Não","",COUNTIFS($R$9:R305,"Ok"))</f>
        <v>297</v>
      </c>
      <c r="T305" s="6">
        <f t="shared" ca="1" si="75"/>
        <v>46227</v>
      </c>
      <c r="U305" s="501">
        <f t="shared" ca="1" si="76"/>
        <v>466.39999999999503</v>
      </c>
      <c r="V305" s="501">
        <f t="shared" ca="1" si="77"/>
        <v>9.422222222222123</v>
      </c>
      <c r="W305" s="501">
        <f t="shared" si="78"/>
        <v>0</v>
      </c>
      <c r="X305" s="1">
        <f t="shared" si="79"/>
        <v>0</v>
      </c>
      <c r="Y305" s="1">
        <f t="shared" si="79"/>
        <v>0</v>
      </c>
    </row>
    <row r="306" spans="1:25" s="1" customFormat="1" x14ac:dyDescent="0.25">
      <c r="A306" s="7">
        <f t="shared" si="80"/>
        <v>298</v>
      </c>
      <c r="B306" s="11">
        <f t="shared" si="81"/>
        <v>11</v>
      </c>
      <c r="C306" s="502">
        <f t="shared" si="82"/>
        <v>46228</v>
      </c>
      <c r="D306" s="7">
        <f t="shared" si="83"/>
        <v>100</v>
      </c>
      <c r="E306" s="12">
        <f t="shared" si="84"/>
        <v>0.9</v>
      </c>
      <c r="F306" s="473">
        <f t="shared" si="85"/>
        <v>467.29999999999501</v>
      </c>
      <c r="G306" s="473"/>
      <c r="H306" s="504">
        <f t="shared" si="86"/>
        <v>7.0000000000000001E-3</v>
      </c>
      <c r="I306" s="14">
        <f t="shared" si="87"/>
        <v>7.0000000000000001E-3</v>
      </c>
      <c r="J306" s="498">
        <f t="shared" si="72"/>
        <v>327.10999999999649</v>
      </c>
      <c r="K306" s="15"/>
      <c r="L306" s="8">
        <f t="shared" si="88"/>
        <v>9.4404040404039389</v>
      </c>
      <c r="M306" s="8">
        <f t="shared" si="89"/>
        <v>9.0909090909090917</v>
      </c>
      <c r="N306" s="499" t="str">
        <f t="shared" si="73"/>
        <v/>
      </c>
      <c r="O306" s="4"/>
      <c r="P306" s="118"/>
      <c r="Q306" s="118"/>
      <c r="R306" s="4" t="str">
        <f t="shared" ca="1" si="74"/>
        <v>Ok</v>
      </c>
      <c r="S306" s="501">
        <f ca="1">IF(R306="Não","",COUNTIFS($R$9:R306,"Ok"))</f>
        <v>298</v>
      </c>
      <c r="T306" s="6">
        <f t="shared" ca="1" si="75"/>
        <v>46228</v>
      </c>
      <c r="U306" s="501">
        <f t="shared" ca="1" si="76"/>
        <v>467.29999999999501</v>
      </c>
      <c r="V306" s="501">
        <f t="shared" ca="1" si="77"/>
        <v>9.4404040404039389</v>
      </c>
      <c r="W306" s="501">
        <f t="shared" si="78"/>
        <v>0</v>
      </c>
      <c r="X306" s="1">
        <f t="shared" si="79"/>
        <v>0</v>
      </c>
      <c r="Y306" s="1">
        <f t="shared" si="79"/>
        <v>0</v>
      </c>
    </row>
    <row r="307" spans="1:25" s="1" customFormat="1" x14ac:dyDescent="0.25">
      <c r="A307" s="7">
        <f t="shared" si="80"/>
        <v>299</v>
      </c>
      <c r="B307" s="11">
        <f t="shared" si="81"/>
        <v>11</v>
      </c>
      <c r="C307" s="502">
        <f t="shared" si="82"/>
        <v>46229</v>
      </c>
      <c r="D307" s="7">
        <f t="shared" si="83"/>
        <v>100</v>
      </c>
      <c r="E307" s="12">
        <f t="shared" si="84"/>
        <v>0.9</v>
      </c>
      <c r="F307" s="473">
        <f t="shared" si="85"/>
        <v>468.19999999999499</v>
      </c>
      <c r="G307" s="473"/>
      <c r="H307" s="504">
        <f t="shared" si="86"/>
        <v>7.0000000000000001E-3</v>
      </c>
      <c r="I307" s="14">
        <f t="shared" si="87"/>
        <v>7.0000000000000001E-3</v>
      </c>
      <c r="J307" s="498">
        <f t="shared" si="72"/>
        <v>327.73999999999648</v>
      </c>
      <c r="K307" s="15"/>
      <c r="L307" s="8">
        <f t="shared" si="88"/>
        <v>9.4585858585857565</v>
      </c>
      <c r="M307" s="8">
        <f t="shared" si="89"/>
        <v>9.0909090909090917</v>
      </c>
      <c r="N307" s="499" t="str">
        <f t="shared" si="73"/>
        <v/>
      </c>
      <c r="O307" s="4"/>
      <c r="P307" s="118"/>
      <c r="Q307" s="118"/>
      <c r="R307" s="4" t="str">
        <f t="shared" ca="1" si="74"/>
        <v>Ok</v>
      </c>
      <c r="S307" s="501">
        <f ca="1">IF(R307="Não","",COUNTIFS($R$9:R307,"Ok"))</f>
        <v>299</v>
      </c>
      <c r="T307" s="6">
        <f t="shared" ca="1" si="75"/>
        <v>46229</v>
      </c>
      <c r="U307" s="501">
        <f t="shared" ca="1" si="76"/>
        <v>468.19999999999499</v>
      </c>
      <c r="V307" s="501">
        <f t="shared" ca="1" si="77"/>
        <v>9.4585858585857565</v>
      </c>
      <c r="W307" s="501">
        <f t="shared" si="78"/>
        <v>0</v>
      </c>
      <c r="X307" s="1">
        <f t="shared" si="79"/>
        <v>0</v>
      </c>
      <c r="Y307" s="1">
        <f t="shared" si="79"/>
        <v>0</v>
      </c>
    </row>
    <row r="308" spans="1:25" s="1" customFormat="1" x14ac:dyDescent="0.25">
      <c r="A308" s="7">
        <f t="shared" si="80"/>
        <v>300</v>
      </c>
      <c r="B308" s="11">
        <f t="shared" si="81"/>
        <v>11</v>
      </c>
      <c r="C308" s="502">
        <f t="shared" si="82"/>
        <v>46230</v>
      </c>
      <c r="D308" s="7">
        <f t="shared" si="83"/>
        <v>100</v>
      </c>
      <c r="E308" s="12">
        <f t="shared" si="84"/>
        <v>0.9</v>
      </c>
      <c r="F308" s="473">
        <f t="shared" si="85"/>
        <v>469.09999999999496</v>
      </c>
      <c r="G308" s="473"/>
      <c r="H308" s="504">
        <f t="shared" si="86"/>
        <v>7.0000000000000001E-3</v>
      </c>
      <c r="I308" s="14">
        <f t="shared" si="87"/>
        <v>7.0000000000000001E-3</v>
      </c>
      <c r="J308" s="498">
        <f t="shared" si="72"/>
        <v>328.36999999999648</v>
      </c>
      <c r="K308" s="15"/>
      <c r="L308" s="8">
        <f t="shared" si="88"/>
        <v>9.4767676767675759</v>
      </c>
      <c r="M308" s="8">
        <f t="shared" si="89"/>
        <v>9.0909090909090917</v>
      </c>
      <c r="N308" s="499" t="str">
        <f t="shared" si="73"/>
        <v/>
      </c>
      <c r="O308" s="4"/>
      <c r="P308" s="118"/>
      <c r="Q308" s="118"/>
      <c r="R308" s="4" t="str">
        <f t="shared" ca="1" si="74"/>
        <v>Ok</v>
      </c>
      <c r="S308" s="501">
        <f ca="1">IF(R308="Não","",COUNTIFS($R$9:R308,"Ok"))</f>
        <v>300</v>
      </c>
      <c r="T308" s="6">
        <f t="shared" ca="1" si="75"/>
        <v>46230</v>
      </c>
      <c r="U308" s="501">
        <f t="shared" ca="1" si="76"/>
        <v>469.09999999999496</v>
      </c>
      <c r="V308" s="501">
        <f t="shared" ca="1" si="77"/>
        <v>9.4767676767675759</v>
      </c>
      <c r="W308" s="501">
        <f t="shared" si="78"/>
        <v>0</v>
      </c>
      <c r="X308" s="1">
        <f t="shared" si="79"/>
        <v>0</v>
      </c>
      <c r="Y308" s="1">
        <f t="shared" si="79"/>
        <v>0</v>
      </c>
    </row>
    <row r="309" spans="1:25" s="1" customFormat="1" x14ac:dyDescent="0.25">
      <c r="A309" s="7">
        <f t="shared" si="80"/>
        <v>301</v>
      </c>
      <c r="B309" s="11">
        <f t="shared" si="81"/>
        <v>11</v>
      </c>
      <c r="C309" s="502">
        <f t="shared" si="82"/>
        <v>46231</v>
      </c>
      <c r="D309" s="7">
        <f t="shared" si="83"/>
        <v>100</v>
      </c>
      <c r="E309" s="12">
        <f t="shared" si="84"/>
        <v>0.9</v>
      </c>
      <c r="F309" s="473">
        <f t="shared" si="85"/>
        <v>469.99999999999494</v>
      </c>
      <c r="G309" s="473"/>
      <c r="H309" s="504">
        <f t="shared" si="86"/>
        <v>7.0000000000000001E-3</v>
      </c>
      <c r="I309" s="14">
        <f t="shared" si="87"/>
        <v>7.0000000000000001E-3</v>
      </c>
      <c r="J309" s="498">
        <f t="shared" si="72"/>
        <v>328.99999999999648</v>
      </c>
      <c r="K309" s="15"/>
      <c r="L309" s="8">
        <f t="shared" si="88"/>
        <v>9.4949494949493918</v>
      </c>
      <c r="M309" s="8">
        <f t="shared" si="89"/>
        <v>9.0909090909090917</v>
      </c>
      <c r="N309" s="499" t="str">
        <f t="shared" si="73"/>
        <v/>
      </c>
      <c r="O309" s="4"/>
      <c r="P309" s="118"/>
      <c r="Q309" s="118"/>
      <c r="R309" s="4" t="str">
        <f t="shared" ca="1" si="74"/>
        <v>Ok</v>
      </c>
      <c r="S309" s="501">
        <f ca="1">IF(R309="Não","",COUNTIFS($R$9:R309,"Ok"))</f>
        <v>301</v>
      </c>
      <c r="T309" s="6">
        <f t="shared" ca="1" si="75"/>
        <v>46231</v>
      </c>
      <c r="U309" s="501">
        <f t="shared" ca="1" si="76"/>
        <v>469.99999999999494</v>
      </c>
      <c r="V309" s="501">
        <f t="shared" ca="1" si="77"/>
        <v>9.4949494949493918</v>
      </c>
      <c r="W309" s="501">
        <f t="shared" si="78"/>
        <v>0</v>
      </c>
      <c r="X309" s="1">
        <f t="shared" si="79"/>
        <v>0</v>
      </c>
      <c r="Y309" s="1">
        <f t="shared" si="79"/>
        <v>0</v>
      </c>
    </row>
    <row r="310" spans="1:25" s="1" customFormat="1" x14ac:dyDescent="0.25">
      <c r="A310" s="7">
        <f t="shared" si="80"/>
        <v>302</v>
      </c>
      <c r="B310" s="11">
        <f t="shared" si="81"/>
        <v>11</v>
      </c>
      <c r="C310" s="502">
        <f t="shared" si="82"/>
        <v>46232</v>
      </c>
      <c r="D310" s="7">
        <f t="shared" si="83"/>
        <v>100</v>
      </c>
      <c r="E310" s="12">
        <f t="shared" si="84"/>
        <v>0.9</v>
      </c>
      <c r="F310" s="473">
        <f t="shared" si="85"/>
        <v>470.89999999999492</v>
      </c>
      <c r="G310" s="473"/>
      <c r="H310" s="504">
        <f t="shared" si="86"/>
        <v>7.0000000000000001E-3</v>
      </c>
      <c r="I310" s="14">
        <f t="shared" si="87"/>
        <v>7.0000000000000001E-3</v>
      </c>
      <c r="J310" s="498">
        <f t="shared" si="72"/>
        <v>329.62999999999647</v>
      </c>
      <c r="K310" s="15"/>
      <c r="L310" s="8">
        <f t="shared" si="88"/>
        <v>9.5131313131312094</v>
      </c>
      <c r="M310" s="8">
        <f t="shared" si="89"/>
        <v>9.0909090909090917</v>
      </c>
      <c r="N310" s="499" t="str">
        <f t="shared" si="73"/>
        <v/>
      </c>
      <c r="O310" s="4"/>
      <c r="P310" s="118"/>
      <c r="Q310" s="118"/>
      <c r="R310" s="4" t="str">
        <f t="shared" ca="1" si="74"/>
        <v>Ok</v>
      </c>
      <c r="S310" s="501">
        <f ca="1">IF(R310="Não","",COUNTIFS($R$9:R310,"Ok"))</f>
        <v>302</v>
      </c>
      <c r="T310" s="6">
        <f t="shared" ca="1" si="75"/>
        <v>46232</v>
      </c>
      <c r="U310" s="501">
        <f t="shared" ca="1" si="76"/>
        <v>470.89999999999492</v>
      </c>
      <c r="V310" s="501">
        <f t="shared" ca="1" si="77"/>
        <v>9.5131313131312094</v>
      </c>
      <c r="W310" s="501">
        <f t="shared" si="78"/>
        <v>0</v>
      </c>
      <c r="X310" s="1">
        <f t="shared" si="79"/>
        <v>0</v>
      </c>
      <c r="Y310" s="1">
        <f t="shared" si="79"/>
        <v>0</v>
      </c>
    </row>
    <row r="311" spans="1:25" s="1" customFormat="1" x14ac:dyDescent="0.25">
      <c r="A311" s="7">
        <f t="shared" si="80"/>
        <v>303</v>
      </c>
      <c r="B311" s="11">
        <f t="shared" si="81"/>
        <v>11</v>
      </c>
      <c r="C311" s="502">
        <f t="shared" si="82"/>
        <v>46233</v>
      </c>
      <c r="D311" s="7">
        <f t="shared" si="83"/>
        <v>100</v>
      </c>
      <c r="E311" s="12">
        <f t="shared" si="84"/>
        <v>0.9</v>
      </c>
      <c r="F311" s="473">
        <f t="shared" si="85"/>
        <v>471.7999999999949</v>
      </c>
      <c r="G311" s="473"/>
      <c r="H311" s="504">
        <f t="shared" si="86"/>
        <v>7.0000000000000001E-3</v>
      </c>
      <c r="I311" s="14">
        <f t="shared" si="87"/>
        <v>7.0000000000000001E-3</v>
      </c>
      <c r="J311" s="498">
        <f t="shared" si="72"/>
        <v>330.25999999999647</v>
      </c>
      <c r="K311" s="15"/>
      <c r="L311" s="8">
        <f t="shared" si="88"/>
        <v>9.5313131313130288</v>
      </c>
      <c r="M311" s="8">
        <f t="shared" si="89"/>
        <v>9.0909090909090917</v>
      </c>
      <c r="N311" s="499" t="str">
        <f t="shared" si="73"/>
        <v/>
      </c>
      <c r="O311" s="4"/>
      <c r="P311" s="118"/>
      <c r="Q311" s="118"/>
      <c r="R311" s="4" t="str">
        <f t="shared" ca="1" si="74"/>
        <v>Ok</v>
      </c>
      <c r="S311" s="501">
        <f ca="1">IF(R311="Não","",COUNTIFS($R$9:R311,"Ok"))</f>
        <v>303</v>
      </c>
      <c r="T311" s="6">
        <f t="shared" ca="1" si="75"/>
        <v>46233</v>
      </c>
      <c r="U311" s="501">
        <f t="shared" ca="1" si="76"/>
        <v>471.7999999999949</v>
      </c>
      <c r="V311" s="501">
        <f t="shared" ca="1" si="77"/>
        <v>9.5313131313130288</v>
      </c>
      <c r="W311" s="501">
        <f t="shared" si="78"/>
        <v>0</v>
      </c>
      <c r="X311" s="1">
        <f t="shared" si="79"/>
        <v>0</v>
      </c>
      <c r="Y311" s="1">
        <f t="shared" si="79"/>
        <v>0</v>
      </c>
    </row>
    <row r="312" spans="1:25" s="1" customFormat="1" x14ac:dyDescent="0.25">
      <c r="A312" s="7">
        <f t="shared" si="80"/>
        <v>304</v>
      </c>
      <c r="B312" s="11">
        <f t="shared" si="81"/>
        <v>11</v>
      </c>
      <c r="C312" s="502">
        <f t="shared" si="82"/>
        <v>46234</v>
      </c>
      <c r="D312" s="7">
        <f t="shared" si="83"/>
        <v>100</v>
      </c>
      <c r="E312" s="12">
        <f t="shared" si="84"/>
        <v>0.9</v>
      </c>
      <c r="F312" s="473">
        <f t="shared" si="85"/>
        <v>472.69999999999487</v>
      </c>
      <c r="G312" s="473"/>
      <c r="H312" s="504">
        <f t="shared" si="86"/>
        <v>7.0000000000000001E-3</v>
      </c>
      <c r="I312" s="14">
        <f t="shared" si="87"/>
        <v>7.0000000000000001E-3</v>
      </c>
      <c r="J312" s="498">
        <f t="shared" si="72"/>
        <v>330.88999999999641</v>
      </c>
      <c r="K312" s="15"/>
      <c r="L312" s="8">
        <f t="shared" si="88"/>
        <v>9.5494949494948465</v>
      </c>
      <c r="M312" s="8">
        <f t="shared" si="89"/>
        <v>9.0909090909090917</v>
      </c>
      <c r="N312" s="499" t="str">
        <f t="shared" si="73"/>
        <v/>
      </c>
      <c r="O312" s="4"/>
      <c r="P312" s="118"/>
      <c r="Q312" s="118"/>
      <c r="R312" s="4" t="str">
        <f t="shared" ca="1" si="74"/>
        <v>Ok</v>
      </c>
      <c r="S312" s="501">
        <f ca="1">IF(R312="Não","",COUNTIFS($R$9:R312,"Ok"))</f>
        <v>304</v>
      </c>
      <c r="T312" s="6">
        <f t="shared" ca="1" si="75"/>
        <v>46234</v>
      </c>
      <c r="U312" s="501">
        <f t="shared" ca="1" si="76"/>
        <v>472.69999999999487</v>
      </c>
      <c r="V312" s="501">
        <f t="shared" ca="1" si="77"/>
        <v>9.5494949494948465</v>
      </c>
      <c r="W312" s="501">
        <f t="shared" si="78"/>
        <v>0</v>
      </c>
      <c r="X312" s="1">
        <f t="shared" si="79"/>
        <v>0</v>
      </c>
      <c r="Y312" s="1">
        <f t="shared" si="79"/>
        <v>0</v>
      </c>
    </row>
    <row r="313" spans="1:25" s="1" customFormat="1" x14ac:dyDescent="0.25">
      <c r="A313" s="7">
        <f t="shared" si="80"/>
        <v>305</v>
      </c>
      <c r="B313" s="11">
        <f t="shared" si="81"/>
        <v>11</v>
      </c>
      <c r="C313" s="502">
        <f t="shared" si="82"/>
        <v>46235</v>
      </c>
      <c r="D313" s="7">
        <f t="shared" si="83"/>
        <v>100</v>
      </c>
      <c r="E313" s="12">
        <f t="shared" si="84"/>
        <v>0.9</v>
      </c>
      <c r="F313" s="473">
        <f t="shared" si="85"/>
        <v>473.59999999999485</v>
      </c>
      <c r="G313" s="473"/>
      <c r="H313" s="504">
        <f t="shared" si="86"/>
        <v>7.0000000000000001E-3</v>
      </c>
      <c r="I313" s="14">
        <f t="shared" si="87"/>
        <v>7.0000000000000001E-3</v>
      </c>
      <c r="J313" s="498">
        <f t="shared" si="72"/>
        <v>331.5199999999964</v>
      </c>
      <c r="K313" s="15"/>
      <c r="L313" s="8">
        <f t="shared" si="88"/>
        <v>9.5676767676766641</v>
      </c>
      <c r="M313" s="8">
        <f t="shared" si="89"/>
        <v>9.0909090909090917</v>
      </c>
      <c r="N313" s="499" t="str">
        <f t="shared" si="73"/>
        <v/>
      </c>
      <c r="O313" s="4"/>
      <c r="P313" s="118"/>
      <c r="Q313" s="118"/>
      <c r="R313" s="4" t="str">
        <f t="shared" ca="1" si="74"/>
        <v>Ok</v>
      </c>
      <c r="S313" s="501">
        <f ca="1">IF(R313="Não","",COUNTIFS($R$9:R313,"Ok"))</f>
        <v>305</v>
      </c>
      <c r="T313" s="6">
        <f t="shared" ca="1" si="75"/>
        <v>46235</v>
      </c>
      <c r="U313" s="501">
        <f t="shared" ca="1" si="76"/>
        <v>473.59999999999485</v>
      </c>
      <c r="V313" s="501">
        <f t="shared" ca="1" si="77"/>
        <v>9.5676767676766641</v>
      </c>
      <c r="W313" s="501">
        <f t="shared" si="78"/>
        <v>0</v>
      </c>
      <c r="X313" s="1">
        <f t="shared" si="79"/>
        <v>0</v>
      </c>
      <c r="Y313" s="1">
        <f t="shared" si="79"/>
        <v>0</v>
      </c>
    </row>
    <row r="314" spans="1:25" s="1" customFormat="1" x14ac:dyDescent="0.25">
      <c r="A314" s="7">
        <f t="shared" si="80"/>
        <v>306</v>
      </c>
      <c r="B314" s="11">
        <f t="shared" si="81"/>
        <v>11</v>
      </c>
      <c r="C314" s="502">
        <f t="shared" si="82"/>
        <v>46236</v>
      </c>
      <c r="D314" s="7">
        <f t="shared" si="83"/>
        <v>100</v>
      </c>
      <c r="E314" s="12">
        <f t="shared" si="84"/>
        <v>0.9</v>
      </c>
      <c r="F314" s="473">
        <f t="shared" si="85"/>
        <v>474.49999999999483</v>
      </c>
      <c r="G314" s="473"/>
      <c r="H314" s="504">
        <f t="shared" si="86"/>
        <v>7.0000000000000001E-3</v>
      </c>
      <c r="I314" s="14">
        <f t="shared" si="87"/>
        <v>7.0000000000000001E-3</v>
      </c>
      <c r="J314" s="498">
        <f t="shared" si="72"/>
        <v>332.1499999999964</v>
      </c>
      <c r="K314" s="15"/>
      <c r="L314" s="8">
        <f t="shared" si="88"/>
        <v>9.5858585858584817</v>
      </c>
      <c r="M314" s="8">
        <f t="shared" si="89"/>
        <v>9.0909090909090917</v>
      </c>
      <c r="N314" s="499" t="str">
        <f t="shared" si="73"/>
        <v/>
      </c>
      <c r="O314" s="4"/>
      <c r="P314" s="118"/>
      <c r="Q314" s="118"/>
      <c r="R314" s="4" t="str">
        <f t="shared" ca="1" si="74"/>
        <v>Ok</v>
      </c>
      <c r="S314" s="501">
        <f ca="1">IF(R314="Não","",COUNTIFS($R$9:R314,"Ok"))</f>
        <v>306</v>
      </c>
      <c r="T314" s="6">
        <f t="shared" ca="1" si="75"/>
        <v>46236</v>
      </c>
      <c r="U314" s="501">
        <f t="shared" ca="1" si="76"/>
        <v>474.49999999999483</v>
      </c>
      <c r="V314" s="501">
        <f t="shared" ca="1" si="77"/>
        <v>9.5858585858584817</v>
      </c>
      <c r="W314" s="501">
        <f t="shared" si="78"/>
        <v>0</v>
      </c>
      <c r="X314" s="1">
        <f t="shared" si="79"/>
        <v>0</v>
      </c>
      <c r="Y314" s="1">
        <f t="shared" si="79"/>
        <v>0</v>
      </c>
    </row>
    <row r="315" spans="1:25" s="1" customFormat="1" x14ac:dyDescent="0.25">
      <c r="A315" s="7">
        <f t="shared" si="80"/>
        <v>307</v>
      </c>
      <c r="B315" s="11">
        <f t="shared" si="81"/>
        <v>11</v>
      </c>
      <c r="C315" s="502">
        <f t="shared" si="82"/>
        <v>46237</v>
      </c>
      <c r="D315" s="7">
        <f t="shared" si="83"/>
        <v>100</v>
      </c>
      <c r="E315" s="12">
        <f t="shared" si="84"/>
        <v>0.9</v>
      </c>
      <c r="F315" s="473">
        <f t="shared" si="85"/>
        <v>475.3999999999948</v>
      </c>
      <c r="G315" s="473"/>
      <c r="H315" s="504">
        <f t="shared" si="86"/>
        <v>7.0000000000000001E-3</v>
      </c>
      <c r="I315" s="14">
        <f t="shared" si="87"/>
        <v>7.0000000000000001E-3</v>
      </c>
      <c r="J315" s="498">
        <f t="shared" si="72"/>
        <v>332.77999999999639</v>
      </c>
      <c r="K315" s="15"/>
      <c r="L315" s="8">
        <f t="shared" si="88"/>
        <v>9.6040404040402994</v>
      </c>
      <c r="M315" s="8">
        <f t="shared" si="89"/>
        <v>9.0909090909090917</v>
      </c>
      <c r="N315" s="499" t="str">
        <f t="shared" si="73"/>
        <v/>
      </c>
      <c r="O315" s="4"/>
      <c r="P315" s="118"/>
      <c r="Q315" s="118"/>
      <c r="R315" s="4" t="str">
        <f t="shared" ca="1" si="74"/>
        <v>Ok</v>
      </c>
      <c r="S315" s="501">
        <f ca="1">IF(R315="Não","",COUNTIFS($R$9:R315,"Ok"))</f>
        <v>307</v>
      </c>
      <c r="T315" s="6">
        <f t="shared" ca="1" si="75"/>
        <v>46237</v>
      </c>
      <c r="U315" s="501">
        <f t="shared" ca="1" si="76"/>
        <v>475.3999999999948</v>
      </c>
      <c r="V315" s="501">
        <f t="shared" ca="1" si="77"/>
        <v>9.6040404040402994</v>
      </c>
      <c r="W315" s="501">
        <f t="shared" si="78"/>
        <v>0</v>
      </c>
      <c r="X315" s="1">
        <f t="shared" si="79"/>
        <v>0</v>
      </c>
      <c r="Y315" s="1">
        <f t="shared" si="79"/>
        <v>0</v>
      </c>
    </row>
    <row r="316" spans="1:25" s="1" customFormat="1" x14ac:dyDescent="0.25">
      <c r="A316" s="7">
        <f t="shared" si="80"/>
        <v>308</v>
      </c>
      <c r="B316" s="11">
        <f t="shared" si="81"/>
        <v>11</v>
      </c>
      <c r="C316" s="502">
        <f t="shared" si="82"/>
        <v>46238</v>
      </c>
      <c r="D316" s="7">
        <f t="shared" si="83"/>
        <v>100</v>
      </c>
      <c r="E316" s="12">
        <f t="shared" si="84"/>
        <v>0.9</v>
      </c>
      <c r="F316" s="473">
        <f t="shared" si="85"/>
        <v>476.29999999999478</v>
      </c>
      <c r="G316" s="473"/>
      <c r="H316" s="504">
        <f t="shared" si="86"/>
        <v>7.0000000000000001E-3</v>
      </c>
      <c r="I316" s="14">
        <f t="shared" si="87"/>
        <v>7.0000000000000001E-3</v>
      </c>
      <c r="J316" s="498">
        <f t="shared" si="72"/>
        <v>333.40999999999633</v>
      </c>
      <c r="K316" s="15"/>
      <c r="L316" s="8">
        <f t="shared" si="88"/>
        <v>9.622222222222117</v>
      </c>
      <c r="M316" s="8">
        <f t="shared" si="89"/>
        <v>9.0909090909090917</v>
      </c>
      <c r="N316" s="499" t="str">
        <f t="shared" si="73"/>
        <v/>
      </c>
      <c r="O316" s="4"/>
      <c r="P316" s="118"/>
      <c r="Q316" s="118"/>
      <c r="R316" s="4" t="str">
        <f t="shared" ca="1" si="74"/>
        <v>Ok</v>
      </c>
      <c r="S316" s="501">
        <f ca="1">IF(R316="Não","",COUNTIFS($R$9:R316,"Ok"))</f>
        <v>308</v>
      </c>
      <c r="T316" s="6">
        <f t="shared" ca="1" si="75"/>
        <v>46238</v>
      </c>
      <c r="U316" s="501">
        <f t="shared" ca="1" si="76"/>
        <v>476.29999999999478</v>
      </c>
      <c r="V316" s="501">
        <f t="shared" ca="1" si="77"/>
        <v>9.622222222222117</v>
      </c>
      <c r="W316" s="501">
        <f t="shared" si="78"/>
        <v>0</v>
      </c>
      <c r="X316" s="1">
        <f t="shared" si="79"/>
        <v>0</v>
      </c>
      <c r="Y316" s="1">
        <f t="shared" si="79"/>
        <v>0</v>
      </c>
    </row>
    <row r="317" spans="1:25" s="1" customFormat="1" x14ac:dyDescent="0.25">
      <c r="A317" s="7">
        <f t="shared" si="80"/>
        <v>309</v>
      </c>
      <c r="B317" s="11">
        <f t="shared" si="81"/>
        <v>11</v>
      </c>
      <c r="C317" s="502">
        <f t="shared" si="82"/>
        <v>46239</v>
      </c>
      <c r="D317" s="7">
        <f t="shared" si="83"/>
        <v>100</v>
      </c>
      <c r="E317" s="12">
        <f t="shared" si="84"/>
        <v>0.9</v>
      </c>
      <c r="F317" s="473">
        <f t="shared" si="85"/>
        <v>477.19999999999476</v>
      </c>
      <c r="G317" s="473"/>
      <c r="H317" s="504">
        <f t="shared" si="86"/>
        <v>7.0000000000000001E-3</v>
      </c>
      <c r="I317" s="14">
        <f t="shared" si="87"/>
        <v>7.0000000000000001E-3</v>
      </c>
      <c r="J317" s="498">
        <f t="shared" si="72"/>
        <v>334.03999999999633</v>
      </c>
      <c r="K317" s="15"/>
      <c r="L317" s="8">
        <f t="shared" si="88"/>
        <v>9.6404040404039346</v>
      </c>
      <c r="M317" s="8">
        <f t="shared" si="89"/>
        <v>9.0909090909090917</v>
      </c>
      <c r="N317" s="499" t="str">
        <f t="shared" si="73"/>
        <v/>
      </c>
      <c r="O317" s="4"/>
      <c r="P317" s="118"/>
      <c r="Q317" s="118"/>
      <c r="R317" s="4" t="str">
        <f t="shared" ca="1" si="74"/>
        <v>Ok</v>
      </c>
      <c r="S317" s="501">
        <f ca="1">IF(R317="Não","",COUNTIFS($R$9:R317,"Ok"))</f>
        <v>309</v>
      </c>
      <c r="T317" s="6">
        <f t="shared" ca="1" si="75"/>
        <v>46239</v>
      </c>
      <c r="U317" s="501">
        <f t="shared" ca="1" si="76"/>
        <v>477.19999999999476</v>
      </c>
      <c r="V317" s="501">
        <f t="shared" ca="1" si="77"/>
        <v>9.6404040404039346</v>
      </c>
      <c r="W317" s="501">
        <f t="shared" si="78"/>
        <v>0</v>
      </c>
      <c r="X317" s="1">
        <f t="shared" si="79"/>
        <v>0</v>
      </c>
      <c r="Y317" s="1">
        <f t="shared" si="79"/>
        <v>0</v>
      </c>
    </row>
    <row r="318" spans="1:25" s="1" customFormat="1" x14ac:dyDescent="0.25">
      <c r="A318" s="7">
        <f t="shared" si="80"/>
        <v>310</v>
      </c>
      <c r="B318" s="11">
        <f t="shared" si="81"/>
        <v>11</v>
      </c>
      <c r="C318" s="502">
        <f t="shared" si="82"/>
        <v>46240</v>
      </c>
      <c r="D318" s="7">
        <f t="shared" si="83"/>
        <v>100</v>
      </c>
      <c r="E318" s="12">
        <f t="shared" si="84"/>
        <v>0.9</v>
      </c>
      <c r="F318" s="473">
        <f t="shared" si="85"/>
        <v>478.09999999999474</v>
      </c>
      <c r="G318" s="473"/>
      <c r="H318" s="504">
        <f t="shared" si="86"/>
        <v>7.0000000000000001E-3</v>
      </c>
      <c r="I318" s="14">
        <f t="shared" si="87"/>
        <v>7.0000000000000001E-3</v>
      </c>
      <c r="J318" s="498">
        <f t="shared" si="72"/>
        <v>334.66999999999632</v>
      </c>
      <c r="K318" s="15"/>
      <c r="L318" s="8">
        <f t="shared" si="88"/>
        <v>9.6585858585857522</v>
      </c>
      <c r="M318" s="8">
        <f t="shared" si="89"/>
        <v>9.0909090909090917</v>
      </c>
      <c r="N318" s="499" t="str">
        <f t="shared" si="73"/>
        <v/>
      </c>
      <c r="O318" s="4"/>
      <c r="P318" s="118"/>
      <c r="Q318" s="118"/>
      <c r="R318" s="4" t="str">
        <f t="shared" ca="1" si="74"/>
        <v>Ok</v>
      </c>
      <c r="S318" s="501">
        <f ca="1">IF(R318="Não","",COUNTIFS($R$9:R318,"Ok"))</f>
        <v>310</v>
      </c>
      <c r="T318" s="6">
        <f t="shared" ca="1" si="75"/>
        <v>46240</v>
      </c>
      <c r="U318" s="501">
        <f t="shared" ca="1" si="76"/>
        <v>478.09999999999474</v>
      </c>
      <c r="V318" s="501">
        <f t="shared" ca="1" si="77"/>
        <v>9.6585858585857522</v>
      </c>
      <c r="W318" s="501">
        <f t="shared" si="78"/>
        <v>0</v>
      </c>
      <c r="X318" s="1">
        <f t="shared" si="79"/>
        <v>0</v>
      </c>
      <c r="Y318" s="1">
        <f t="shared" si="79"/>
        <v>0</v>
      </c>
    </row>
    <row r="319" spans="1:25" s="1" customFormat="1" x14ac:dyDescent="0.25">
      <c r="A319" s="7">
        <f t="shared" si="80"/>
        <v>311</v>
      </c>
      <c r="B319" s="11">
        <f t="shared" si="81"/>
        <v>11</v>
      </c>
      <c r="C319" s="502">
        <f t="shared" si="82"/>
        <v>46241</v>
      </c>
      <c r="D319" s="7">
        <f t="shared" si="83"/>
        <v>100</v>
      </c>
      <c r="E319" s="12">
        <f t="shared" si="84"/>
        <v>0.9</v>
      </c>
      <c r="F319" s="473">
        <f t="shared" si="85"/>
        <v>478.99999999999471</v>
      </c>
      <c r="G319" s="473"/>
      <c r="H319" s="504">
        <f t="shared" si="86"/>
        <v>7.0000000000000001E-3</v>
      </c>
      <c r="I319" s="14">
        <f t="shared" si="87"/>
        <v>7.0000000000000001E-3</v>
      </c>
      <c r="J319" s="498">
        <f t="shared" si="72"/>
        <v>335.29999999999632</v>
      </c>
      <c r="K319" s="15"/>
      <c r="L319" s="8">
        <f t="shared" si="88"/>
        <v>9.6767676767675699</v>
      </c>
      <c r="M319" s="8">
        <f t="shared" si="89"/>
        <v>9.0909090909090917</v>
      </c>
      <c r="N319" s="499" t="str">
        <f t="shared" si="73"/>
        <v/>
      </c>
      <c r="O319" s="4"/>
      <c r="P319" s="118"/>
      <c r="Q319" s="118"/>
      <c r="R319" s="4" t="str">
        <f t="shared" ca="1" si="74"/>
        <v>Ok</v>
      </c>
      <c r="S319" s="501">
        <f ca="1">IF(R319="Não","",COUNTIFS($R$9:R319,"Ok"))</f>
        <v>311</v>
      </c>
      <c r="T319" s="6">
        <f t="shared" ca="1" si="75"/>
        <v>46241</v>
      </c>
      <c r="U319" s="501">
        <f t="shared" ca="1" si="76"/>
        <v>478.99999999999471</v>
      </c>
      <c r="V319" s="501">
        <f t="shared" ca="1" si="77"/>
        <v>9.6767676767675699</v>
      </c>
      <c r="W319" s="501">
        <f t="shared" si="78"/>
        <v>0</v>
      </c>
      <c r="X319" s="1">
        <f t="shared" si="79"/>
        <v>0</v>
      </c>
      <c r="Y319" s="1">
        <f t="shared" si="79"/>
        <v>0</v>
      </c>
    </row>
    <row r="320" spans="1:25" s="1" customFormat="1" x14ac:dyDescent="0.25">
      <c r="A320" s="7">
        <f t="shared" si="80"/>
        <v>312</v>
      </c>
      <c r="B320" s="11">
        <f t="shared" si="81"/>
        <v>11</v>
      </c>
      <c r="C320" s="502">
        <f t="shared" si="82"/>
        <v>46242</v>
      </c>
      <c r="D320" s="7">
        <f t="shared" si="83"/>
        <v>100</v>
      </c>
      <c r="E320" s="12">
        <f t="shared" si="84"/>
        <v>0.9</v>
      </c>
      <c r="F320" s="473">
        <f t="shared" si="85"/>
        <v>479.89999999999469</v>
      </c>
      <c r="G320" s="473"/>
      <c r="H320" s="504">
        <f t="shared" si="86"/>
        <v>7.0000000000000001E-3</v>
      </c>
      <c r="I320" s="14">
        <f t="shared" si="87"/>
        <v>7.0000000000000001E-3</v>
      </c>
      <c r="J320" s="498">
        <f t="shared" si="72"/>
        <v>335.92999999999631</v>
      </c>
      <c r="K320" s="15"/>
      <c r="L320" s="8">
        <f t="shared" si="88"/>
        <v>9.6949494949493875</v>
      </c>
      <c r="M320" s="8">
        <f t="shared" si="89"/>
        <v>9.0909090909090917</v>
      </c>
      <c r="N320" s="499" t="str">
        <f t="shared" si="73"/>
        <v/>
      </c>
      <c r="O320" s="4"/>
      <c r="P320" s="118"/>
      <c r="Q320" s="118"/>
      <c r="R320" s="4" t="str">
        <f t="shared" ca="1" si="74"/>
        <v>Ok</v>
      </c>
      <c r="S320" s="501">
        <f ca="1">IF(R320="Não","",COUNTIFS($R$9:R320,"Ok"))</f>
        <v>312</v>
      </c>
      <c r="T320" s="6">
        <f t="shared" ca="1" si="75"/>
        <v>46242</v>
      </c>
      <c r="U320" s="501">
        <f t="shared" ca="1" si="76"/>
        <v>479.89999999999469</v>
      </c>
      <c r="V320" s="501">
        <f t="shared" ca="1" si="77"/>
        <v>9.6949494949493875</v>
      </c>
      <c r="W320" s="501">
        <f t="shared" si="78"/>
        <v>0</v>
      </c>
      <c r="X320" s="1">
        <f t="shared" si="79"/>
        <v>0</v>
      </c>
      <c r="Y320" s="1">
        <f t="shared" si="79"/>
        <v>0</v>
      </c>
    </row>
    <row r="321" spans="1:25" s="1" customFormat="1" x14ac:dyDescent="0.25">
      <c r="A321" s="7">
        <f t="shared" si="80"/>
        <v>313</v>
      </c>
      <c r="B321" s="11">
        <f t="shared" si="81"/>
        <v>11</v>
      </c>
      <c r="C321" s="502">
        <f t="shared" si="82"/>
        <v>46243</v>
      </c>
      <c r="D321" s="7">
        <f t="shared" si="83"/>
        <v>100</v>
      </c>
      <c r="E321" s="12">
        <f t="shared" si="84"/>
        <v>0.9</v>
      </c>
      <c r="F321" s="473">
        <f t="shared" si="85"/>
        <v>480.79999999999467</v>
      </c>
      <c r="G321" s="473"/>
      <c r="H321" s="504">
        <f t="shared" si="86"/>
        <v>7.0000000000000001E-3</v>
      </c>
      <c r="I321" s="14">
        <f t="shared" si="87"/>
        <v>7.0000000000000001E-3</v>
      </c>
      <c r="J321" s="498">
        <f t="shared" si="72"/>
        <v>336.55999999999631</v>
      </c>
      <c r="K321" s="15"/>
      <c r="L321" s="8">
        <f t="shared" si="88"/>
        <v>9.7131313131312069</v>
      </c>
      <c r="M321" s="8">
        <f t="shared" si="89"/>
        <v>9.0909090909090917</v>
      </c>
      <c r="N321" s="499" t="str">
        <f t="shared" si="73"/>
        <v/>
      </c>
      <c r="O321" s="4"/>
      <c r="P321" s="118"/>
      <c r="Q321" s="118"/>
      <c r="R321" s="4" t="str">
        <f t="shared" ca="1" si="74"/>
        <v>Ok</v>
      </c>
      <c r="S321" s="501">
        <f ca="1">IF(R321="Não","",COUNTIFS($R$9:R321,"Ok"))</f>
        <v>313</v>
      </c>
      <c r="T321" s="6">
        <f t="shared" ca="1" si="75"/>
        <v>46243</v>
      </c>
      <c r="U321" s="501">
        <f t="shared" ca="1" si="76"/>
        <v>480.79999999999467</v>
      </c>
      <c r="V321" s="501">
        <f t="shared" ca="1" si="77"/>
        <v>9.7131313131312069</v>
      </c>
      <c r="W321" s="501">
        <f t="shared" si="78"/>
        <v>0</v>
      </c>
      <c r="X321" s="1">
        <f t="shared" si="79"/>
        <v>0</v>
      </c>
      <c r="Y321" s="1">
        <f t="shared" si="79"/>
        <v>0</v>
      </c>
    </row>
    <row r="322" spans="1:25" s="1" customFormat="1" x14ac:dyDescent="0.25">
      <c r="A322" s="7">
        <f t="shared" si="80"/>
        <v>314</v>
      </c>
      <c r="B322" s="11">
        <f t="shared" si="81"/>
        <v>11</v>
      </c>
      <c r="C322" s="502">
        <f t="shared" si="82"/>
        <v>46244</v>
      </c>
      <c r="D322" s="7">
        <f t="shared" si="83"/>
        <v>100</v>
      </c>
      <c r="E322" s="12">
        <f t="shared" si="84"/>
        <v>0.9</v>
      </c>
      <c r="F322" s="473">
        <f t="shared" si="85"/>
        <v>481.69999999999465</v>
      </c>
      <c r="G322" s="473"/>
      <c r="H322" s="504">
        <f t="shared" si="86"/>
        <v>7.0000000000000001E-3</v>
      </c>
      <c r="I322" s="14">
        <f t="shared" si="87"/>
        <v>7.0000000000000001E-3</v>
      </c>
      <c r="J322" s="498">
        <f t="shared" si="72"/>
        <v>337.18999999999625</v>
      </c>
      <c r="K322" s="15"/>
      <c r="L322" s="8">
        <f t="shared" si="88"/>
        <v>9.7313131313130228</v>
      </c>
      <c r="M322" s="8">
        <f t="shared" si="89"/>
        <v>9.0909090909090917</v>
      </c>
      <c r="N322" s="499" t="str">
        <f t="shared" si="73"/>
        <v/>
      </c>
      <c r="O322" s="4"/>
      <c r="P322" s="118"/>
      <c r="Q322" s="118"/>
      <c r="R322" s="4" t="str">
        <f t="shared" ca="1" si="74"/>
        <v>Ok</v>
      </c>
      <c r="S322" s="501">
        <f ca="1">IF(R322="Não","",COUNTIFS($R$9:R322,"Ok"))</f>
        <v>314</v>
      </c>
      <c r="T322" s="6">
        <f t="shared" ca="1" si="75"/>
        <v>46244</v>
      </c>
      <c r="U322" s="501">
        <f t="shared" ca="1" si="76"/>
        <v>481.69999999999465</v>
      </c>
      <c r="V322" s="501">
        <f t="shared" ca="1" si="77"/>
        <v>9.7313131313130228</v>
      </c>
      <c r="W322" s="501">
        <f t="shared" si="78"/>
        <v>0</v>
      </c>
      <c r="X322" s="1">
        <f t="shared" si="79"/>
        <v>0</v>
      </c>
      <c r="Y322" s="1">
        <f t="shared" si="79"/>
        <v>0</v>
      </c>
    </row>
    <row r="323" spans="1:25" s="1" customFormat="1" x14ac:dyDescent="0.25">
      <c r="A323" s="7">
        <f t="shared" si="80"/>
        <v>315</v>
      </c>
      <c r="B323" s="11">
        <f t="shared" si="81"/>
        <v>11</v>
      </c>
      <c r="C323" s="502">
        <f t="shared" si="82"/>
        <v>46245</v>
      </c>
      <c r="D323" s="7">
        <f t="shared" si="83"/>
        <v>100</v>
      </c>
      <c r="E323" s="12">
        <f t="shared" si="84"/>
        <v>0.9</v>
      </c>
      <c r="F323" s="473">
        <f t="shared" si="85"/>
        <v>482.59999999999462</v>
      </c>
      <c r="G323" s="473"/>
      <c r="H323" s="504">
        <f t="shared" si="86"/>
        <v>7.0000000000000001E-3</v>
      </c>
      <c r="I323" s="14">
        <f t="shared" si="87"/>
        <v>7.0000000000000001E-3</v>
      </c>
      <c r="J323" s="498">
        <f t="shared" si="72"/>
        <v>337.81999999999624</v>
      </c>
      <c r="K323" s="15"/>
      <c r="L323" s="8">
        <f t="shared" si="88"/>
        <v>9.7494949494948404</v>
      </c>
      <c r="M323" s="8">
        <f t="shared" si="89"/>
        <v>9.0909090909090917</v>
      </c>
      <c r="N323" s="499" t="str">
        <f t="shared" si="73"/>
        <v/>
      </c>
      <c r="O323" s="4"/>
      <c r="P323" s="118"/>
      <c r="Q323" s="118"/>
      <c r="R323" s="4" t="str">
        <f t="shared" ca="1" si="74"/>
        <v>Ok</v>
      </c>
      <c r="S323" s="501">
        <f ca="1">IF(R323="Não","",COUNTIFS($R$9:R323,"Ok"))</f>
        <v>315</v>
      </c>
      <c r="T323" s="6">
        <f t="shared" ca="1" si="75"/>
        <v>46245</v>
      </c>
      <c r="U323" s="501">
        <f t="shared" ca="1" si="76"/>
        <v>482.59999999999462</v>
      </c>
      <c r="V323" s="501">
        <f t="shared" ca="1" si="77"/>
        <v>9.7494949494948404</v>
      </c>
      <c r="W323" s="501">
        <f t="shared" si="78"/>
        <v>0</v>
      </c>
      <c r="X323" s="1">
        <f t="shared" si="79"/>
        <v>0</v>
      </c>
      <c r="Y323" s="1">
        <f t="shared" si="79"/>
        <v>0</v>
      </c>
    </row>
    <row r="324" spans="1:25" s="1" customFormat="1" x14ac:dyDescent="0.25">
      <c r="A324" s="7">
        <f t="shared" si="80"/>
        <v>316</v>
      </c>
      <c r="B324" s="11">
        <f t="shared" si="81"/>
        <v>11</v>
      </c>
      <c r="C324" s="502">
        <f t="shared" si="82"/>
        <v>46246</v>
      </c>
      <c r="D324" s="7">
        <f t="shared" si="83"/>
        <v>100</v>
      </c>
      <c r="E324" s="12">
        <f t="shared" si="84"/>
        <v>0.9</v>
      </c>
      <c r="F324" s="473">
        <f t="shared" si="85"/>
        <v>483.4999999999946</v>
      </c>
      <c r="G324" s="473"/>
      <c r="H324" s="504">
        <f t="shared" si="86"/>
        <v>7.0000000000000001E-3</v>
      </c>
      <c r="I324" s="14">
        <f t="shared" si="87"/>
        <v>7.0000000000000001E-3</v>
      </c>
      <c r="J324" s="498">
        <f t="shared" si="72"/>
        <v>338.44999999999624</v>
      </c>
      <c r="K324" s="15"/>
      <c r="L324" s="8">
        <f t="shared" si="88"/>
        <v>9.7676767676766598</v>
      </c>
      <c r="M324" s="8">
        <f t="shared" si="89"/>
        <v>9.0909090909090917</v>
      </c>
      <c r="N324" s="499" t="str">
        <f t="shared" si="73"/>
        <v/>
      </c>
      <c r="O324" s="4"/>
      <c r="P324" s="118"/>
      <c r="Q324" s="118"/>
      <c r="R324" s="4" t="str">
        <f t="shared" ca="1" si="74"/>
        <v>Ok</v>
      </c>
      <c r="S324" s="501">
        <f ca="1">IF(R324="Não","",COUNTIFS($R$9:R324,"Ok"))</f>
        <v>316</v>
      </c>
      <c r="T324" s="6">
        <f t="shared" ca="1" si="75"/>
        <v>46246</v>
      </c>
      <c r="U324" s="501">
        <f t="shared" ca="1" si="76"/>
        <v>483.4999999999946</v>
      </c>
      <c r="V324" s="501">
        <f t="shared" ca="1" si="77"/>
        <v>9.7676767676766598</v>
      </c>
      <c r="W324" s="501">
        <f t="shared" si="78"/>
        <v>0</v>
      </c>
      <c r="X324" s="1">
        <f t="shared" si="79"/>
        <v>0</v>
      </c>
      <c r="Y324" s="1">
        <f t="shared" si="79"/>
        <v>0</v>
      </c>
    </row>
    <row r="325" spans="1:25" s="1" customFormat="1" x14ac:dyDescent="0.25">
      <c r="A325" s="7">
        <f t="shared" si="80"/>
        <v>317</v>
      </c>
      <c r="B325" s="11">
        <f t="shared" si="81"/>
        <v>11</v>
      </c>
      <c r="C325" s="502">
        <f t="shared" si="82"/>
        <v>46247</v>
      </c>
      <c r="D325" s="7">
        <f t="shared" si="83"/>
        <v>100</v>
      </c>
      <c r="E325" s="12">
        <f t="shared" si="84"/>
        <v>0.9</v>
      </c>
      <c r="F325" s="473">
        <f t="shared" si="85"/>
        <v>484.39999999999458</v>
      </c>
      <c r="G325" s="473"/>
      <c r="H325" s="504">
        <f t="shared" si="86"/>
        <v>7.0000000000000001E-3</v>
      </c>
      <c r="I325" s="14">
        <f t="shared" si="87"/>
        <v>7.0000000000000001E-3</v>
      </c>
      <c r="J325" s="498">
        <f t="shared" si="72"/>
        <v>339.07999999999623</v>
      </c>
      <c r="K325" s="15"/>
      <c r="L325" s="8">
        <f t="shared" si="88"/>
        <v>9.7858585858584757</v>
      </c>
      <c r="M325" s="8">
        <f t="shared" si="89"/>
        <v>9.0909090909090917</v>
      </c>
      <c r="N325" s="499" t="str">
        <f t="shared" si="73"/>
        <v/>
      </c>
      <c r="O325" s="4"/>
      <c r="P325" s="118"/>
      <c r="Q325" s="118"/>
      <c r="R325" s="4" t="str">
        <f t="shared" ca="1" si="74"/>
        <v>Ok</v>
      </c>
      <c r="S325" s="501">
        <f ca="1">IF(R325="Não","",COUNTIFS($R$9:R325,"Ok"))</f>
        <v>317</v>
      </c>
      <c r="T325" s="6">
        <f t="shared" ca="1" si="75"/>
        <v>46247</v>
      </c>
      <c r="U325" s="501">
        <f t="shared" ca="1" si="76"/>
        <v>484.39999999999458</v>
      </c>
      <c r="V325" s="501">
        <f t="shared" ca="1" si="77"/>
        <v>9.7858585858584757</v>
      </c>
      <c r="W325" s="501">
        <f t="shared" si="78"/>
        <v>0</v>
      </c>
      <c r="X325" s="1">
        <f t="shared" si="79"/>
        <v>0</v>
      </c>
      <c r="Y325" s="1">
        <f t="shared" si="79"/>
        <v>0</v>
      </c>
    </row>
    <row r="326" spans="1:25" s="1" customFormat="1" x14ac:dyDescent="0.25">
      <c r="A326" s="7">
        <f t="shared" si="80"/>
        <v>318</v>
      </c>
      <c r="B326" s="11">
        <f t="shared" si="81"/>
        <v>11</v>
      </c>
      <c r="C326" s="502">
        <f t="shared" si="82"/>
        <v>46248</v>
      </c>
      <c r="D326" s="7">
        <f t="shared" si="83"/>
        <v>100</v>
      </c>
      <c r="E326" s="12">
        <f t="shared" si="84"/>
        <v>0.9</v>
      </c>
      <c r="F326" s="473">
        <f t="shared" si="85"/>
        <v>485.29999999999455</v>
      </c>
      <c r="G326" s="473"/>
      <c r="H326" s="504">
        <f t="shared" si="86"/>
        <v>7.0000000000000001E-3</v>
      </c>
      <c r="I326" s="14">
        <f t="shared" si="87"/>
        <v>7.0000000000000001E-3</v>
      </c>
      <c r="J326" s="498">
        <f t="shared" si="72"/>
        <v>339.70999999999617</v>
      </c>
      <c r="K326" s="15"/>
      <c r="L326" s="8">
        <f t="shared" si="88"/>
        <v>9.8040404040402933</v>
      </c>
      <c r="M326" s="8">
        <f t="shared" si="89"/>
        <v>9.0909090909090917</v>
      </c>
      <c r="N326" s="499" t="str">
        <f t="shared" si="73"/>
        <v/>
      </c>
      <c r="O326" s="4"/>
      <c r="P326" s="118"/>
      <c r="Q326" s="118"/>
      <c r="R326" s="4" t="str">
        <f t="shared" ca="1" si="74"/>
        <v>Ok</v>
      </c>
      <c r="S326" s="501">
        <f ca="1">IF(R326="Não","",COUNTIFS($R$9:R326,"Ok"))</f>
        <v>318</v>
      </c>
      <c r="T326" s="6">
        <f t="shared" ca="1" si="75"/>
        <v>46248</v>
      </c>
      <c r="U326" s="501">
        <f t="shared" ca="1" si="76"/>
        <v>485.29999999999455</v>
      </c>
      <c r="V326" s="501">
        <f t="shared" ca="1" si="77"/>
        <v>9.8040404040402933</v>
      </c>
      <c r="W326" s="501">
        <f t="shared" si="78"/>
        <v>0</v>
      </c>
      <c r="X326" s="1">
        <f t="shared" si="79"/>
        <v>0</v>
      </c>
      <c r="Y326" s="1">
        <f t="shared" si="79"/>
        <v>0</v>
      </c>
    </row>
    <row r="327" spans="1:25" s="1" customFormat="1" x14ac:dyDescent="0.25">
      <c r="A327" s="7">
        <f t="shared" si="80"/>
        <v>319</v>
      </c>
      <c r="B327" s="11">
        <f t="shared" si="81"/>
        <v>11</v>
      </c>
      <c r="C327" s="502">
        <f t="shared" si="82"/>
        <v>46249</v>
      </c>
      <c r="D327" s="7">
        <f t="shared" si="83"/>
        <v>100</v>
      </c>
      <c r="E327" s="12">
        <f t="shared" si="84"/>
        <v>0.9</v>
      </c>
      <c r="F327" s="473">
        <f t="shared" si="85"/>
        <v>486.19999999999453</v>
      </c>
      <c r="G327" s="473"/>
      <c r="H327" s="504">
        <f t="shared" si="86"/>
        <v>7.0000000000000001E-3</v>
      </c>
      <c r="I327" s="14">
        <f t="shared" si="87"/>
        <v>7.0000000000000001E-3</v>
      </c>
      <c r="J327" s="498">
        <f t="shared" si="72"/>
        <v>340.33999999999617</v>
      </c>
      <c r="K327" s="15"/>
      <c r="L327" s="8">
        <f t="shared" si="88"/>
        <v>9.8222222222221109</v>
      </c>
      <c r="M327" s="8">
        <f t="shared" si="89"/>
        <v>9.0909090909090917</v>
      </c>
      <c r="N327" s="499" t="str">
        <f t="shared" si="73"/>
        <v/>
      </c>
      <c r="O327" s="4"/>
      <c r="P327" s="118"/>
      <c r="Q327" s="118"/>
      <c r="R327" s="4" t="str">
        <f t="shared" ca="1" si="74"/>
        <v>Ok</v>
      </c>
      <c r="S327" s="501">
        <f ca="1">IF(R327="Não","",COUNTIFS($R$9:R327,"Ok"))</f>
        <v>319</v>
      </c>
      <c r="T327" s="6">
        <f t="shared" ca="1" si="75"/>
        <v>46249</v>
      </c>
      <c r="U327" s="501">
        <f t="shared" ca="1" si="76"/>
        <v>486.19999999999453</v>
      </c>
      <c r="V327" s="501">
        <f t="shared" ca="1" si="77"/>
        <v>9.8222222222221109</v>
      </c>
      <c r="W327" s="501">
        <f t="shared" si="78"/>
        <v>0</v>
      </c>
      <c r="X327" s="1">
        <f t="shared" si="79"/>
        <v>0</v>
      </c>
      <c r="Y327" s="1">
        <f t="shared" si="79"/>
        <v>0</v>
      </c>
    </row>
    <row r="328" spans="1:25" s="1" customFormat="1" x14ac:dyDescent="0.25">
      <c r="A328" s="7">
        <f t="shared" si="80"/>
        <v>320</v>
      </c>
      <c r="B328" s="11">
        <f t="shared" si="81"/>
        <v>11</v>
      </c>
      <c r="C328" s="502">
        <f t="shared" si="82"/>
        <v>46250</v>
      </c>
      <c r="D328" s="7">
        <f t="shared" si="83"/>
        <v>100</v>
      </c>
      <c r="E328" s="12">
        <f t="shared" si="84"/>
        <v>0.9</v>
      </c>
      <c r="F328" s="473">
        <f t="shared" si="85"/>
        <v>487.09999999999451</v>
      </c>
      <c r="G328" s="473"/>
      <c r="H328" s="504">
        <f t="shared" si="86"/>
        <v>7.0000000000000001E-3</v>
      </c>
      <c r="I328" s="14">
        <f t="shared" si="87"/>
        <v>7.0000000000000001E-3</v>
      </c>
      <c r="J328" s="498">
        <f t="shared" si="72"/>
        <v>340.96999999999616</v>
      </c>
      <c r="K328" s="15"/>
      <c r="L328" s="8">
        <f t="shared" si="88"/>
        <v>9.8404040404039304</v>
      </c>
      <c r="M328" s="8">
        <f t="shared" si="89"/>
        <v>9.0909090909090917</v>
      </c>
      <c r="N328" s="499" t="str">
        <f t="shared" si="73"/>
        <v/>
      </c>
      <c r="O328" s="4"/>
      <c r="P328" s="118"/>
      <c r="Q328" s="118"/>
      <c r="R328" s="4" t="str">
        <f t="shared" ca="1" si="74"/>
        <v>Ok</v>
      </c>
      <c r="S328" s="501">
        <f ca="1">IF(R328="Não","",COUNTIFS($R$9:R328,"Ok"))</f>
        <v>320</v>
      </c>
      <c r="T328" s="6">
        <f t="shared" ca="1" si="75"/>
        <v>46250</v>
      </c>
      <c r="U328" s="501">
        <f t="shared" ca="1" si="76"/>
        <v>487.09999999999451</v>
      </c>
      <c r="V328" s="501">
        <f t="shared" ca="1" si="77"/>
        <v>9.8404040404039304</v>
      </c>
      <c r="W328" s="501">
        <f t="shared" si="78"/>
        <v>0</v>
      </c>
      <c r="X328" s="1">
        <f t="shared" si="79"/>
        <v>0</v>
      </c>
      <c r="Y328" s="1">
        <f t="shared" si="79"/>
        <v>0</v>
      </c>
    </row>
    <row r="329" spans="1:25" s="1" customFormat="1" x14ac:dyDescent="0.25">
      <c r="A329" s="7">
        <f t="shared" si="80"/>
        <v>321</v>
      </c>
      <c r="B329" s="11">
        <f t="shared" si="81"/>
        <v>11</v>
      </c>
      <c r="C329" s="502">
        <f t="shared" si="82"/>
        <v>46251</v>
      </c>
      <c r="D329" s="7">
        <f t="shared" si="83"/>
        <v>100</v>
      </c>
      <c r="E329" s="12">
        <f t="shared" si="84"/>
        <v>0.9</v>
      </c>
      <c r="F329" s="473">
        <f t="shared" si="85"/>
        <v>487.99999999999449</v>
      </c>
      <c r="G329" s="473"/>
      <c r="H329" s="504">
        <f t="shared" si="86"/>
        <v>7.0000000000000001E-3</v>
      </c>
      <c r="I329" s="14">
        <f t="shared" si="87"/>
        <v>7.0000000000000001E-3</v>
      </c>
      <c r="J329" s="498">
        <f t="shared" si="72"/>
        <v>341.59999999999616</v>
      </c>
      <c r="K329" s="15"/>
      <c r="L329" s="8">
        <f t="shared" si="88"/>
        <v>9.858585858585748</v>
      </c>
      <c r="M329" s="8">
        <f t="shared" si="89"/>
        <v>9.0909090909090917</v>
      </c>
      <c r="N329" s="499" t="str">
        <f t="shared" si="73"/>
        <v/>
      </c>
      <c r="O329" s="4"/>
      <c r="P329" s="118"/>
      <c r="Q329" s="118"/>
      <c r="R329" s="4" t="str">
        <f t="shared" ca="1" si="74"/>
        <v>Ok</v>
      </c>
      <c r="S329" s="501">
        <f ca="1">IF(R329="Não","",COUNTIFS($R$9:R329,"Ok"))</f>
        <v>321</v>
      </c>
      <c r="T329" s="6">
        <f t="shared" ca="1" si="75"/>
        <v>46251</v>
      </c>
      <c r="U329" s="501">
        <f t="shared" ca="1" si="76"/>
        <v>487.99999999999449</v>
      </c>
      <c r="V329" s="501">
        <f t="shared" ca="1" si="77"/>
        <v>9.858585858585748</v>
      </c>
      <c r="W329" s="501">
        <f t="shared" si="78"/>
        <v>0</v>
      </c>
      <c r="X329" s="1">
        <f t="shared" si="79"/>
        <v>0</v>
      </c>
      <c r="Y329" s="1">
        <f t="shared" si="79"/>
        <v>0</v>
      </c>
    </row>
    <row r="330" spans="1:25" s="1" customFormat="1" x14ac:dyDescent="0.25">
      <c r="A330" s="7">
        <f t="shared" si="80"/>
        <v>322</v>
      </c>
      <c r="B330" s="11">
        <f t="shared" si="81"/>
        <v>11</v>
      </c>
      <c r="C330" s="502">
        <f t="shared" si="82"/>
        <v>46252</v>
      </c>
      <c r="D330" s="7">
        <f t="shared" si="83"/>
        <v>100</v>
      </c>
      <c r="E330" s="12">
        <f t="shared" si="84"/>
        <v>0.9</v>
      </c>
      <c r="F330" s="473">
        <f t="shared" si="85"/>
        <v>488.89999999999446</v>
      </c>
      <c r="G330" s="473"/>
      <c r="H330" s="504">
        <f t="shared" si="86"/>
        <v>7.0000000000000001E-3</v>
      </c>
      <c r="I330" s="14">
        <f t="shared" si="87"/>
        <v>7.0000000000000001E-3</v>
      </c>
      <c r="J330" s="498">
        <f t="shared" ref="J330:J373" si="90">H330*F330*D330</f>
        <v>342.22999999999615</v>
      </c>
      <c r="K330" s="15"/>
      <c r="L330" s="8">
        <f t="shared" si="88"/>
        <v>9.8767676767675638</v>
      </c>
      <c r="M330" s="8">
        <f t="shared" si="89"/>
        <v>9.0909090909090917</v>
      </c>
      <c r="N330" s="499" t="str">
        <f t="shared" ref="N330:N373" si="91">IFERROR(IF(K330="","",K330/F330/D330),"")</f>
        <v/>
      </c>
      <c r="O330" s="4"/>
      <c r="P330" s="118"/>
      <c r="Q330" s="118"/>
      <c r="R330" s="4" t="str">
        <f t="shared" ref="R330:R373" ca="1" si="92">IF(C330&lt;=TODAY(),"Ok","Não")</f>
        <v>Ok</v>
      </c>
      <c r="S330" s="501">
        <f ca="1">IF(R330="Não","",COUNTIFS($R$9:R330,"Ok"))</f>
        <v>322</v>
      </c>
      <c r="T330" s="6">
        <f t="shared" ref="T330:T374" ca="1" si="93">IF(R330="Ok",C330,"")</f>
        <v>46252</v>
      </c>
      <c r="U330" s="501">
        <f t="shared" ref="U330:U374" ca="1" si="94">IF(R330="Ok",F330,"")</f>
        <v>488.89999999999446</v>
      </c>
      <c r="V330" s="501">
        <f t="shared" ref="V330:V374" ca="1" si="95">IF(R330="Ok", L330,"")</f>
        <v>9.8767676767675638</v>
      </c>
      <c r="W330" s="501">
        <f t="shared" ref="W330:W374" si="96">((-(P330*F330)+(Q330*F330))/30)*-1</f>
        <v>0</v>
      </c>
      <c r="X330" s="1">
        <f t="shared" ref="X330:Y374" si="97">IFERROR((P330*$F330)/30,"")</f>
        <v>0</v>
      </c>
      <c r="Y330" s="1">
        <f t="shared" si="97"/>
        <v>0</v>
      </c>
    </row>
    <row r="331" spans="1:25" s="1" customFormat="1" x14ac:dyDescent="0.25">
      <c r="A331" s="7">
        <f t="shared" ref="A331:A373" si="98">IF(OR(D331=0,D331=""),"",A330+1)</f>
        <v>323</v>
      </c>
      <c r="B331" s="11">
        <f t="shared" ref="B331:B373" si="99">IFERROR(IF(C331="","",B330),"")</f>
        <v>11</v>
      </c>
      <c r="C331" s="502">
        <f t="shared" ref="C331:C373" si="100">IF(OR(D331=0,D331=""),"",C330+1)</f>
        <v>46253</v>
      </c>
      <c r="D331" s="7">
        <f t="shared" ref="D331:D373" si="101">D330-P331+Q331</f>
        <v>100</v>
      </c>
      <c r="E331" s="12">
        <f t="shared" ref="E331:E373" si="102">IFERROR(IF(C331="","",E330),"")</f>
        <v>0.9</v>
      </c>
      <c r="F331" s="473">
        <f t="shared" ref="F331:F373" si="103">IFERROR(IF(D331="","",IF(C331="","",F330+E330)),"")</f>
        <v>489.79999999999444</v>
      </c>
      <c r="G331" s="473"/>
      <c r="H331" s="504">
        <f t="shared" ref="H331:H373" si="104">H330+G331</f>
        <v>7.0000000000000001E-3</v>
      </c>
      <c r="I331" s="14">
        <f t="shared" ref="I331:I373" si="105">IFERROR(IF(F331="","",IF(C331="","",I330)),"")</f>
        <v>7.0000000000000001E-3</v>
      </c>
      <c r="J331" s="498">
        <f t="shared" si="90"/>
        <v>342.85999999999615</v>
      </c>
      <c r="K331" s="15"/>
      <c r="L331" s="8">
        <f t="shared" ref="L331:L373" si="106">IFERROR(IF(D331="","",IF(C331="","",(D331*F331)/450/B331)),"")</f>
        <v>9.8949494949493833</v>
      </c>
      <c r="M331" s="8">
        <f t="shared" ref="M331:M373" si="107">IFERROR(IF(D331="","",IF(C331="","",D331/B331)),"")</f>
        <v>9.0909090909090917</v>
      </c>
      <c r="N331" s="499" t="str">
        <f t="shared" si="91"/>
        <v/>
      </c>
      <c r="O331" s="4"/>
      <c r="P331" s="118"/>
      <c r="Q331" s="118"/>
      <c r="R331" s="4" t="str">
        <f t="shared" ca="1" si="92"/>
        <v>Ok</v>
      </c>
      <c r="S331" s="501">
        <f ca="1">IF(R331="Não","",COUNTIFS($R$9:R331,"Ok"))</f>
        <v>323</v>
      </c>
      <c r="T331" s="6">
        <f t="shared" ca="1" si="93"/>
        <v>46253</v>
      </c>
      <c r="U331" s="501">
        <f t="shared" ca="1" si="94"/>
        <v>489.79999999999444</v>
      </c>
      <c r="V331" s="501">
        <f t="shared" ca="1" si="95"/>
        <v>9.8949494949493833</v>
      </c>
      <c r="W331" s="501">
        <f t="shared" si="96"/>
        <v>0</v>
      </c>
      <c r="X331" s="1">
        <f t="shared" si="97"/>
        <v>0</v>
      </c>
      <c r="Y331" s="1">
        <f t="shared" si="97"/>
        <v>0</v>
      </c>
    </row>
    <row r="332" spans="1:25" s="1" customFormat="1" x14ac:dyDescent="0.25">
      <c r="A332" s="7">
        <f t="shared" si="98"/>
        <v>324</v>
      </c>
      <c r="B332" s="11">
        <f t="shared" si="99"/>
        <v>11</v>
      </c>
      <c r="C332" s="502">
        <f t="shared" si="100"/>
        <v>46254</v>
      </c>
      <c r="D332" s="7">
        <f t="shared" si="101"/>
        <v>100</v>
      </c>
      <c r="E332" s="12">
        <f t="shared" si="102"/>
        <v>0.9</v>
      </c>
      <c r="F332" s="473">
        <f t="shared" si="103"/>
        <v>490.69999999999442</v>
      </c>
      <c r="G332" s="473"/>
      <c r="H332" s="504">
        <f t="shared" si="104"/>
        <v>7.0000000000000001E-3</v>
      </c>
      <c r="I332" s="14">
        <f t="shared" si="105"/>
        <v>7.0000000000000001E-3</v>
      </c>
      <c r="J332" s="498">
        <f t="shared" si="90"/>
        <v>343.48999999999614</v>
      </c>
      <c r="K332" s="15"/>
      <c r="L332" s="8">
        <f t="shared" si="106"/>
        <v>9.9131313131312009</v>
      </c>
      <c r="M332" s="8">
        <f t="shared" si="107"/>
        <v>9.0909090909090917</v>
      </c>
      <c r="N332" s="499" t="str">
        <f t="shared" si="91"/>
        <v/>
      </c>
      <c r="O332" s="4"/>
      <c r="P332" s="118"/>
      <c r="Q332" s="118"/>
      <c r="R332" s="4" t="str">
        <f t="shared" ca="1" si="92"/>
        <v>Ok</v>
      </c>
      <c r="S332" s="501">
        <f ca="1">IF(R332="Não","",COUNTIFS($R$9:R332,"Ok"))</f>
        <v>324</v>
      </c>
      <c r="T332" s="6">
        <f t="shared" ca="1" si="93"/>
        <v>46254</v>
      </c>
      <c r="U332" s="501">
        <f t="shared" ca="1" si="94"/>
        <v>490.69999999999442</v>
      </c>
      <c r="V332" s="501">
        <f t="shared" ca="1" si="95"/>
        <v>9.9131313131312009</v>
      </c>
      <c r="W332" s="501">
        <f t="shared" si="96"/>
        <v>0</v>
      </c>
      <c r="X332" s="1">
        <f t="shared" si="97"/>
        <v>0</v>
      </c>
      <c r="Y332" s="1">
        <f t="shared" si="97"/>
        <v>0</v>
      </c>
    </row>
    <row r="333" spans="1:25" s="1" customFormat="1" x14ac:dyDescent="0.25">
      <c r="A333" s="7">
        <f t="shared" si="98"/>
        <v>325</v>
      </c>
      <c r="B333" s="11">
        <f t="shared" si="99"/>
        <v>11</v>
      </c>
      <c r="C333" s="502">
        <f t="shared" si="100"/>
        <v>46255</v>
      </c>
      <c r="D333" s="7">
        <f t="shared" si="101"/>
        <v>100</v>
      </c>
      <c r="E333" s="12">
        <f t="shared" si="102"/>
        <v>0.9</v>
      </c>
      <c r="F333" s="473">
        <f t="shared" si="103"/>
        <v>491.5999999999944</v>
      </c>
      <c r="G333" s="473"/>
      <c r="H333" s="504">
        <f t="shared" si="104"/>
        <v>7.0000000000000001E-3</v>
      </c>
      <c r="I333" s="14">
        <f t="shared" si="105"/>
        <v>7.0000000000000001E-3</v>
      </c>
      <c r="J333" s="498">
        <f t="shared" si="90"/>
        <v>344.11999999999608</v>
      </c>
      <c r="K333" s="15"/>
      <c r="L333" s="8">
        <f t="shared" si="106"/>
        <v>9.9313131313130185</v>
      </c>
      <c r="M333" s="8">
        <f t="shared" si="107"/>
        <v>9.0909090909090917</v>
      </c>
      <c r="N333" s="499" t="str">
        <f t="shared" si="91"/>
        <v/>
      </c>
      <c r="O333" s="4"/>
      <c r="P333" s="118"/>
      <c r="Q333" s="118"/>
      <c r="R333" s="4" t="str">
        <f t="shared" ca="1" si="92"/>
        <v>Ok</v>
      </c>
      <c r="S333" s="501">
        <f ca="1">IF(R333="Não","",COUNTIFS($R$9:R333,"Ok"))</f>
        <v>325</v>
      </c>
      <c r="T333" s="6">
        <f t="shared" ca="1" si="93"/>
        <v>46255</v>
      </c>
      <c r="U333" s="501">
        <f t="shared" ca="1" si="94"/>
        <v>491.5999999999944</v>
      </c>
      <c r="V333" s="501">
        <f t="shared" ca="1" si="95"/>
        <v>9.9313131313130185</v>
      </c>
      <c r="W333" s="501">
        <f t="shared" si="96"/>
        <v>0</v>
      </c>
      <c r="X333" s="1">
        <f t="shared" si="97"/>
        <v>0</v>
      </c>
      <c r="Y333" s="1">
        <f t="shared" si="97"/>
        <v>0</v>
      </c>
    </row>
    <row r="334" spans="1:25" s="1" customFormat="1" x14ac:dyDescent="0.25">
      <c r="A334" s="7">
        <f t="shared" si="98"/>
        <v>326</v>
      </c>
      <c r="B334" s="11">
        <f t="shared" si="99"/>
        <v>11</v>
      </c>
      <c r="C334" s="502">
        <f t="shared" si="100"/>
        <v>46256</v>
      </c>
      <c r="D334" s="7">
        <f t="shared" si="101"/>
        <v>100</v>
      </c>
      <c r="E334" s="12">
        <f t="shared" si="102"/>
        <v>0.9</v>
      </c>
      <c r="F334" s="473">
        <f t="shared" si="103"/>
        <v>492.49999999999437</v>
      </c>
      <c r="G334" s="473"/>
      <c r="H334" s="504">
        <f t="shared" si="104"/>
        <v>7.0000000000000001E-3</v>
      </c>
      <c r="I334" s="14">
        <f t="shared" si="105"/>
        <v>7.0000000000000001E-3</v>
      </c>
      <c r="J334" s="498">
        <f t="shared" si="90"/>
        <v>344.74999999999608</v>
      </c>
      <c r="K334" s="15"/>
      <c r="L334" s="8">
        <f t="shared" si="106"/>
        <v>9.9494949494948361</v>
      </c>
      <c r="M334" s="8">
        <f t="shared" si="107"/>
        <v>9.0909090909090917</v>
      </c>
      <c r="N334" s="499" t="str">
        <f t="shared" si="91"/>
        <v/>
      </c>
      <c r="O334" s="4"/>
      <c r="P334" s="118"/>
      <c r="Q334" s="118"/>
      <c r="R334" s="4" t="str">
        <f t="shared" ca="1" si="92"/>
        <v>Ok</v>
      </c>
      <c r="S334" s="501">
        <f ca="1">IF(R334="Não","",COUNTIFS($R$9:R334,"Ok"))</f>
        <v>326</v>
      </c>
      <c r="T334" s="6">
        <f t="shared" ca="1" si="93"/>
        <v>46256</v>
      </c>
      <c r="U334" s="501">
        <f t="shared" ca="1" si="94"/>
        <v>492.49999999999437</v>
      </c>
      <c r="V334" s="501">
        <f t="shared" ca="1" si="95"/>
        <v>9.9494949494948361</v>
      </c>
      <c r="W334" s="501">
        <f t="shared" si="96"/>
        <v>0</v>
      </c>
      <c r="X334" s="1">
        <f t="shared" si="97"/>
        <v>0</v>
      </c>
      <c r="Y334" s="1">
        <f t="shared" si="97"/>
        <v>0</v>
      </c>
    </row>
    <row r="335" spans="1:25" s="1" customFormat="1" x14ac:dyDescent="0.25">
      <c r="A335" s="7">
        <f t="shared" si="98"/>
        <v>327</v>
      </c>
      <c r="B335" s="11">
        <f t="shared" si="99"/>
        <v>11</v>
      </c>
      <c r="C335" s="502">
        <f t="shared" si="100"/>
        <v>46257</v>
      </c>
      <c r="D335" s="7">
        <f t="shared" si="101"/>
        <v>100</v>
      </c>
      <c r="E335" s="12">
        <f t="shared" si="102"/>
        <v>0.9</v>
      </c>
      <c r="F335" s="473">
        <f t="shared" si="103"/>
        <v>493.39999999999435</v>
      </c>
      <c r="G335" s="473"/>
      <c r="H335" s="504">
        <f t="shared" si="104"/>
        <v>7.0000000000000001E-3</v>
      </c>
      <c r="I335" s="14">
        <f t="shared" si="105"/>
        <v>7.0000000000000001E-3</v>
      </c>
      <c r="J335" s="498">
        <f t="shared" si="90"/>
        <v>345.37999999999607</v>
      </c>
      <c r="K335" s="15"/>
      <c r="L335" s="8">
        <f t="shared" si="106"/>
        <v>9.967676767676652</v>
      </c>
      <c r="M335" s="8">
        <f t="shared" si="107"/>
        <v>9.0909090909090917</v>
      </c>
      <c r="N335" s="499" t="str">
        <f t="shared" si="91"/>
        <v/>
      </c>
      <c r="O335" s="4"/>
      <c r="P335" s="118"/>
      <c r="Q335" s="118"/>
      <c r="R335" s="4" t="str">
        <f t="shared" ca="1" si="92"/>
        <v>Ok</v>
      </c>
      <c r="S335" s="501">
        <f ca="1">IF(R335="Não","",COUNTIFS($R$9:R335,"Ok"))</f>
        <v>327</v>
      </c>
      <c r="T335" s="6">
        <f t="shared" ca="1" si="93"/>
        <v>46257</v>
      </c>
      <c r="U335" s="501">
        <f t="shared" ca="1" si="94"/>
        <v>493.39999999999435</v>
      </c>
      <c r="V335" s="501">
        <f t="shared" ca="1" si="95"/>
        <v>9.967676767676652</v>
      </c>
      <c r="W335" s="501">
        <f t="shared" si="96"/>
        <v>0</v>
      </c>
      <c r="X335" s="1">
        <f t="shared" si="97"/>
        <v>0</v>
      </c>
      <c r="Y335" s="1">
        <f t="shared" si="97"/>
        <v>0</v>
      </c>
    </row>
    <row r="336" spans="1:25" s="1" customFormat="1" x14ac:dyDescent="0.25">
      <c r="A336" s="7">
        <f t="shared" si="98"/>
        <v>328</v>
      </c>
      <c r="B336" s="11">
        <f t="shared" si="99"/>
        <v>11</v>
      </c>
      <c r="C336" s="502">
        <f t="shared" si="100"/>
        <v>46258</v>
      </c>
      <c r="D336" s="7">
        <f t="shared" si="101"/>
        <v>100</v>
      </c>
      <c r="E336" s="12">
        <f t="shared" si="102"/>
        <v>0.9</v>
      </c>
      <c r="F336" s="473">
        <f t="shared" si="103"/>
        <v>494.29999999999433</v>
      </c>
      <c r="G336" s="473"/>
      <c r="H336" s="504">
        <f t="shared" si="104"/>
        <v>7.0000000000000001E-3</v>
      </c>
      <c r="I336" s="14">
        <f t="shared" si="105"/>
        <v>7.0000000000000001E-3</v>
      </c>
      <c r="J336" s="498">
        <f t="shared" si="90"/>
        <v>346.00999999999601</v>
      </c>
      <c r="K336" s="15"/>
      <c r="L336" s="8">
        <f t="shared" si="106"/>
        <v>9.9858585858584714</v>
      </c>
      <c r="M336" s="8">
        <f t="shared" si="107"/>
        <v>9.0909090909090917</v>
      </c>
      <c r="N336" s="499" t="str">
        <f t="shared" si="91"/>
        <v/>
      </c>
      <c r="O336" s="4"/>
      <c r="P336" s="118"/>
      <c r="Q336" s="118"/>
      <c r="R336" s="4" t="str">
        <f t="shared" ca="1" si="92"/>
        <v>Ok</v>
      </c>
      <c r="S336" s="501">
        <f ca="1">IF(R336="Não","",COUNTIFS($R$9:R336,"Ok"))</f>
        <v>328</v>
      </c>
      <c r="T336" s="6">
        <f t="shared" ca="1" si="93"/>
        <v>46258</v>
      </c>
      <c r="U336" s="501">
        <f t="shared" ca="1" si="94"/>
        <v>494.29999999999433</v>
      </c>
      <c r="V336" s="501">
        <f t="shared" ca="1" si="95"/>
        <v>9.9858585858584714</v>
      </c>
      <c r="W336" s="501">
        <f t="shared" si="96"/>
        <v>0</v>
      </c>
      <c r="X336" s="1">
        <f t="shared" si="97"/>
        <v>0</v>
      </c>
      <c r="Y336" s="1">
        <f t="shared" si="97"/>
        <v>0</v>
      </c>
    </row>
    <row r="337" spans="1:25" s="1" customFormat="1" x14ac:dyDescent="0.25">
      <c r="A337" s="7">
        <f t="shared" si="98"/>
        <v>329</v>
      </c>
      <c r="B337" s="11">
        <f t="shared" si="99"/>
        <v>11</v>
      </c>
      <c r="C337" s="502">
        <f t="shared" si="100"/>
        <v>46259</v>
      </c>
      <c r="D337" s="7">
        <f t="shared" si="101"/>
        <v>100</v>
      </c>
      <c r="E337" s="12">
        <f t="shared" si="102"/>
        <v>0.9</v>
      </c>
      <c r="F337" s="473">
        <f t="shared" si="103"/>
        <v>495.1999999999943</v>
      </c>
      <c r="G337" s="473"/>
      <c r="H337" s="504">
        <f t="shared" si="104"/>
        <v>7.0000000000000001E-3</v>
      </c>
      <c r="I337" s="14">
        <f t="shared" si="105"/>
        <v>7.0000000000000001E-3</v>
      </c>
      <c r="J337" s="498">
        <f t="shared" si="90"/>
        <v>346.63999999999601</v>
      </c>
      <c r="K337" s="15"/>
      <c r="L337" s="8">
        <f t="shared" si="106"/>
        <v>10.004040404040289</v>
      </c>
      <c r="M337" s="8">
        <f t="shared" si="107"/>
        <v>9.0909090909090917</v>
      </c>
      <c r="N337" s="499" t="str">
        <f t="shared" si="91"/>
        <v/>
      </c>
      <c r="O337" s="4"/>
      <c r="P337" s="118"/>
      <c r="Q337" s="118"/>
      <c r="R337" s="4" t="str">
        <f t="shared" ca="1" si="92"/>
        <v>Ok</v>
      </c>
      <c r="S337" s="501">
        <f ca="1">IF(R337="Não","",COUNTIFS($R$9:R337,"Ok"))</f>
        <v>329</v>
      </c>
      <c r="T337" s="6">
        <f t="shared" ca="1" si="93"/>
        <v>46259</v>
      </c>
      <c r="U337" s="501">
        <f t="shared" ca="1" si="94"/>
        <v>495.1999999999943</v>
      </c>
      <c r="V337" s="501">
        <f t="shared" ca="1" si="95"/>
        <v>10.004040404040289</v>
      </c>
      <c r="W337" s="501">
        <f t="shared" si="96"/>
        <v>0</v>
      </c>
      <c r="X337" s="1">
        <f t="shared" si="97"/>
        <v>0</v>
      </c>
      <c r="Y337" s="1">
        <f t="shared" si="97"/>
        <v>0</v>
      </c>
    </row>
    <row r="338" spans="1:25" s="1" customFormat="1" x14ac:dyDescent="0.25">
      <c r="A338" s="7">
        <f t="shared" si="98"/>
        <v>330</v>
      </c>
      <c r="B338" s="11">
        <f t="shared" si="99"/>
        <v>11</v>
      </c>
      <c r="C338" s="502">
        <f t="shared" si="100"/>
        <v>46260</v>
      </c>
      <c r="D338" s="7">
        <f t="shared" si="101"/>
        <v>100</v>
      </c>
      <c r="E338" s="12">
        <f t="shared" si="102"/>
        <v>0.9</v>
      </c>
      <c r="F338" s="473">
        <f t="shared" si="103"/>
        <v>496.09999999999428</v>
      </c>
      <c r="G338" s="473"/>
      <c r="H338" s="504">
        <f t="shared" si="104"/>
        <v>7.0000000000000001E-3</v>
      </c>
      <c r="I338" s="14">
        <f t="shared" si="105"/>
        <v>7.0000000000000001E-3</v>
      </c>
      <c r="J338" s="498">
        <f t="shared" si="90"/>
        <v>347.269999999996</v>
      </c>
      <c r="K338" s="15"/>
      <c r="L338" s="8">
        <f t="shared" si="106"/>
        <v>10.022222222222105</v>
      </c>
      <c r="M338" s="8">
        <f t="shared" si="107"/>
        <v>9.0909090909090917</v>
      </c>
      <c r="N338" s="499" t="str">
        <f t="shared" si="91"/>
        <v/>
      </c>
      <c r="O338" s="4"/>
      <c r="P338" s="118"/>
      <c r="Q338" s="118"/>
      <c r="R338" s="4" t="str">
        <f t="shared" ca="1" si="92"/>
        <v>Ok</v>
      </c>
      <c r="S338" s="501">
        <f ca="1">IF(R338="Não","",COUNTIFS($R$9:R338,"Ok"))</f>
        <v>330</v>
      </c>
      <c r="T338" s="6">
        <f t="shared" ca="1" si="93"/>
        <v>46260</v>
      </c>
      <c r="U338" s="501">
        <f t="shared" ca="1" si="94"/>
        <v>496.09999999999428</v>
      </c>
      <c r="V338" s="501">
        <f t="shared" ca="1" si="95"/>
        <v>10.022222222222105</v>
      </c>
      <c r="W338" s="501">
        <f t="shared" si="96"/>
        <v>0</v>
      </c>
      <c r="X338" s="1">
        <f t="shared" si="97"/>
        <v>0</v>
      </c>
      <c r="Y338" s="1">
        <f t="shared" si="97"/>
        <v>0</v>
      </c>
    </row>
    <row r="339" spans="1:25" s="1" customFormat="1" x14ac:dyDescent="0.25">
      <c r="A339" s="7">
        <f t="shared" si="98"/>
        <v>331</v>
      </c>
      <c r="B339" s="11">
        <f t="shared" si="99"/>
        <v>11</v>
      </c>
      <c r="C339" s="502">
        <f t="shared" si="100"/>
        <v>46261</v>
      </c>
      <c r="D339" s="7">
        <f t="shared" si="101"/>
        <v>100</v>
      </c>
      <c r="E339" s="12">
        <f t="shared" si="102"/>
        <v>0.9</v>
      </c>
      <c r="F339" s="473">
        <f t="shared" si="103"/>
        <v>496.99999999999426</v>
      </c>
      <c r="G339" s="473"/>
      <c r="H339" s="504">
        <f t="shared" si="104"/>
        <v>7.0000000000000001E-3</v>
      </c>
      <c r="I339" s="14">
        <f t="shared" si="105"/>
        <v>7.0000000000000001E-3</v>
      </c>
      <c r="J339" s="498">
        <f t="shared" si="90"/>
        <v>347.89999999999594</v>
      </c>
      <c r="K339" s="15"/>
      <c r="L339" s="8">
        <f t="shared" si="106"/>
        <v>10.040404040403924</v>
      </c>
      <c r="M339" s="8">
        <f t="shared" si="107"/>
        <v>9.0909090909090917</v>
      </c>
      <c r="N339" s="499" t="str">
        <f t="shared" si="91"/>
        <v/>
      </c>
      <c r="O339" s="4"/>
      <c r="P339" s="118"/>
      <c r="Q339" s="118"/>
      <c r="R339" s="4" t="str">
        <f t="shared" ca="1" si="92"/>
        <v>Ok</v>
      </c>
      <c r="S339" s="501">
        <f ca="1">IF(R339="Não","",COUNTIFS($R$9:R339,"Ok"))</f>
        <v>331</v>
      </c>
      <c r="T339" s="6">
        <f t="shared" ca="1" si="93"/>
        <v>46261</v>
      </c>
      <c r="U339" s="501">
        <f t="shared" ca="1" si="94"/>
        <v>496.99999999999426</v>
      </c>
      <c r="V339" s="501">
        <f t="shared" ca="1" si="95"/>
        <v>10.040404040403924</v>
      </c>
      <c r="W339" s="501">
        <f t="shared" si="96"/>
        <v>0</v>
      </c>
      <c r="X339" s="1">
        <f t="shared" si="97"/>
        <v>0</v>
      </c>
      <c r="Y339" s="1">
        <f t="shared" si="97"/>
        <v>0</v>
      </c>
    </row>
    <row r="340" spans="1:25" s="1" customFormat="1" x14ac:dyDescent="0.25">
      <c r="A340" s="7">
        <f t="shared" si="98"/>
        <v>332</v>
      </c>
      <c r="B340" s="11">
        <f t="shared" si="99"/>
        <v>11</v>
      </c>
      <c r="C340" s="502">
        <f t="shared" si="100"/>
        <v>46262</v>
      </c>
      <c r="D340" s="7">
        <f t="shared" si="101"/>
        <v>100</v>
      </c>
      <c r="E340" s="12">
        <f t="shared" si="102"/>
        <v>0.9</v>
      </c>
      <c r="F340" s="473">
        <f t="shared" si="103"/>
        <v>497.89999999999424</v>
      </c>
      <c r="G340" s="473"/>
      <c r="H340" s="504">
        <f t="shared" si="104"/>
        <v>7.0000000000000001E-3</v>
      </c>
      <c r="I340" s="14">
        <f t="shared" si="105"/>
        <v>7.0000000000000001E-3</v>
      </c>
      <c r="J340" s="498">
        <f t="shared" si="90"/>
        <v>348.52999999999599</v>
      </c>
      <c r="K340" s="15"/>
      <c r="L340" s="8">
        <f t="shared" si="106"/>
        <v>10.058585858585742</v>
      </c>
      <c r="M340" s="8">
        <f t="shared" si="107"/>
        <v>9.0909090909090917</v>
      </c>
      <c r="N340" s="499" t="str">
        <f t="shared" si="91"/>
        <v/>
      </c>
      <c r="O340" s="4"/>
      <c r="P340" s="118"/>
      <c r="Q340" s="118"/>
      <c r="R340" s="4" t="str">
        <f t="shared" ca="1" si="92"/>
        <v>Ok</v>
      </c>
      <c r="S340" s="501">
        <f ca="1">IF(R340="Não","",COUNTIFS($R$9:R340,"Ok"))</f>
        <v>332</v>
      </c>
      <c r="T340" s="6">
        <f t="shared" ca="1" si="93"/>
        <v>46262</v>
      </c>
      <c r="U340" s="501">
        <f t="shared" ca="1" si="94"/>
        <v>497.89999999999424</v>
      </c>
      <c r="V340" s="501">
        <f t="shared" ca="1" si="95"/>
        <v>10.058585858585742</v>
      </c>
      <c r="W340" s="501">
        <f t="shared" si="96"/>
        <v>0</v>
      </c>
      <c r="X340" s="1">
        <f t="shared" si="97"/>
        <v>0</v>
      </c>
      <c r="Y340" s="1">
        <f t="shared" si="97"/>
        <v>0</v>
      </c>
    </row>
    <row r="341" spans="1:25" s="1" customFormat="1" x14ac:dyDescent="0.25">
      <c r="A341" s="7">
        <f t="shared" si="98"/>
        <v>333</v>
      </c>
      <c r="B341" s="11">
        <f t="shared" si="99"/>
        <v>11</v>
      </c>
      <c r="C341" s="502">
        <f t="shared" si="100"/>
        <v>46263</v>
      </c>
      <c r="D341" s="7">
        <f t="shared" si="101"/>
        <v>100</v>
      </c>
      <c r="E341" s="12">
        <f t="shared" si="102"/>
        <v>0.9</v>
      </c>
      <c r="F341" s="473">
        <f t="shared" si="103"/>
        <v>498.79999999999421</v>
      </c>
      <c r="G341" s="473"/>
      <c r="H341" s="504">
        <f t="shared" si="104"/>
        <v>7.0000000000000001E-3</v>
      </c>
      <c r="I341" s="14">
        <f t="shared" si="105"/>
        <v>7.0000000000000001E-3</v>
      </c>
      <c r="J341" s="498">
        <f t="shared" si="90"/>
        <v>349.15999999999599</v>
      </c>
      <c r="K341" s="15"/>
      <c r="L341" s="8">
        <f t="shared" si="106"/>
        <v>10.07676767676756</v>
      </c>
      <c r="M341" s="8">
        <f t="shared" si="107"/>
        <v>9.0909090909090917</v>
      </c>
      <c r="N341" s="499" t="str">
        <f t="shared" si="91"/>
        <v/>
      </c>
      <c r="O341" s="4"/>
      <c r="P341" s="118"/>
      <c r="Q341" s="118"/>
      <c r="R341" s="4" t="str">
        <f t="shared" ca="1" si="92"/>
        <v>Ok</v>
      </c>
      <c r="S341" s="501">
        <f ca="1">IF(R341="Não","",COUNTIFS($R$9:R341,"Ok"))</f>
        <v>333</v>
      </c>
      <c r="T341" s="6">
        <f t="shared" ca="1" si="93"/>
        <v>46263</v>
      </c>
      <c r="U341" s="501">
        <f t="shared" ca="1" si="94"/>
        <v>498.79999999999421</v>
      </c>
      <c r="V341" s="501">
        <f t="shared" ca="1" si="95"/>
        <v>10.07676767676756</v>
      </c>
      <c r="W341" s="501">
        <f t="shared" si="96"/>
        <v>0</v>
      </c>
      <c r="X341" s="1">
        <f t="shared" si="97"/>
        <v>0</v>
      </c>
      <c r="Y341" s="1">
        <f t="shared" si="97"/>
        <v>0</v>
      </c>
    </row>
    <row r="342" spans="1:25" s="1" customFormat="1" x14ac:dyDescent="0.25">
      <c r="A342" s="7">
        <f t="shared" si="98"/>
        <v>334</v>
      </c>
      <c r="B342" s="11">
        <f t="shared" si="99"/>
        <v>11</v>
      </c>
      <c r="C342" s="502">
        <f t="shared" si="100"/>
        <v>46264</v>
      </c>
      <c r="D342" s="7">
        <f t="shared" si="101"/>
        <v>100</v>
      </c>
      <c r="E342" s="12">
        <f t="shared" si="102"/>
        <v>0.9</v>
      </c>
      <c r="F342" s="473">
        <f t="shared" si="103"/>
        <v>499.69999999999419</v>
      </c>
      <c r="G342" s="473"/>
      <c r="H342" s="504">
        <f t="shared" si="104"/>
        <v>7.0000000000000001E-3</v>
      </c>
      <c r="I342" s="14">
        <f t="shared" si="105"/>
        <v>7.0000000000000001E-3</v>
      </c>
      <c r="J342" s="498">
        <f t="shared" si="90"/>
        <v>349.78999999999598</v>
      </c>
      <c r="K342" s="15"/>
      <c r="L342" s="8">
        <f t="shared" si="106"/>
        <v>10.094949494949377</v>
      </c>
      <c r="M342" s="8">
        <f t="shared" si="107"/>
        <v>9.0909090909090917</v>
      </c>
      <c r="N342" s="499" t="str">
        <f t="shared" si="91"/>
        <v/>
      </c>
      <c r="O342" s="4"/>
      <c r="P342" s="118"/>
      <c r="Q342" s="118"/>
      <c r="R342" s="4" t="str">
        <f t="shared" ca="1" si="92"/>
        <v>Ok</v>
      </c>
      <c r="S342" s="501">
        <f ca="1">IF(R342="Não","",COUNTIFS($R$9:R342,"Ok"))</f>
        <v>334</v>
      </c>
      <c r="T342" s="6">
        <f t="shared" ca="1" si="93"/>
        <v>46264</v>
      </c>
      <c r="U342" s="501">
        <f t="shared" ca="1" si="94"/>
        <v>499.69999999999419</v>
      </c>
      <c r="V342" s="501">
        <f t="shared" ca="1" si="95"/>
        <v>10.094949494949377</v>
      </c>
      <c r="W342" s="501">
        <f t="shared" si="96"/>
        <v>0</v>
      </c>
      <c r="X342" s="1">
        <f t="shared" si="97"/>
        <v>0</v>
      </c>
      <c r="Y342" s="1">
        <f t="shared" si="97"/>
        <v>0</v>
      </c>
    </row>
    <row r="343" spans="1:25" s="1" customFormat="1" x14ac:dyDescent="0.25">
      <c r="A343" s="7">
        <f t="shared" si="98"/>
        <v>335</v>
      </c>
      <c r="B343" s="11">
        <f t="shared" si="99"/>
        <v>11</v>
      </c>
      <c r="C343" s="502">
        <f t="shared" si="100"/>
        <v>46265</v>
      </c>
      <c r="D343" s="7">
        <f t="shared" si="101"/>
        <v>100</v>
      </c>
      <c r="E343" s="12">
        <f t="shared" si="102"/>
        <v>0.9</v>
      </c>
      <c r="F343" s="473">
        <f t="shared" si="103"/>
        <v>500.59999999999417</v>
      </c>
      <c r="G343" s="473"/>
      <c r="H343" s="504">
        <f t="shared" si="104"/>
        <v>7.0000000000000001E-3</v>
      </c>
      <c r="I343" s="14">
        <f t="shared" si="105"/>
        <v>7.0000000000000001E-3</v>
      </c>
      <c r="J343" s="498">
        <f t="shared" si="90"/>
        <v>350.41999999999592</v>
      </c>
      <c r="K343" s="15"/>
      <c r="L343" s="8">
        <f t="shared" si="106"/>
        <v>10.113131313131195</v>
      </c>
      <c r="M343" s="8">
        <f t="shared" si="107"/>
        <v>9.0909090909090917</v>
      </c>
      <c r="N343" s="499" t="str">
        <f t="shared" si="91"/>
        <v/>
      </c>
      <c r="O343" s="4"/>
      <c r="P343" s="118"/>
      <c r="Q343" s="118"/>
      <c r="R343" s="4" t="str">
        <f t="shared" ca="1" si="92"/>
        <v>Ok</v>
      </c>
      <c r="S343" s="501">
        <f ca="1">IF(R343="Não","",COUNTIFS($R$9:R343,"Ok"))</f>
        <v>335</v>
      </c>
      <c r="T343" s="6">
        <f t="shared" ca="1" si="93"/>
        <v>46265</v>
      </c>
      <c r="U343" s="501">
        <f t="shared" ca="1" si="94"/>
        <v>500.59999999999417</v>
      </c>
      <c r="V343" s="501">
        <f t="shared" ca="1" si="95"/>
        <v>10.113131313131195</v>
      </c>
      <c r="W343" s="501">
        <f t="shared" si="96"/>
        <v>0</v>
      </c>
      <c r="X343" s="1">
        <f t="shared" si="97"/>
        <v>0</v>
      </c>
      <c r="Y343" s="1">
        <f t="shared" si="97"/>
        <v>0</v>
      </c>
    </row>
    <row r="344" spans="1:25" s="1" customFormat="1" x14ac:dyDescent="0.25">
      <c r="A344" s="7">
        <f t="shared" si="98"/>
        <v>336</v>
      </c>
      <c r="B344" s="11">
        <f t="shared" si="99"/>
        <v>11</v>
      </c>
      <c r="C344" s="502">
        <f t="shared" si="100"/>
        <v>46266</v>
      </c>
      <c r="D344" s="7">
        <f t="shared" si="101"/>
        <v>100</v>
      </c>
      <c r="E344" s="12">
        <f t="shared" si="102"/>
        <v>0.9</v>
      </c>
      <c r="F344" s="473">
        <f t="shared" si="103"/>
        <v>501.49999999999415</v>
      </c>
      <c r="G344" s="473"/>
      <c r="H344" s="504">
        <f t="shared" si="104"/>
        <v>7.0000000000000001E-3</v>
      </c>
      <c r="I344" s="14">
        <f t="shared" si="105"/>
        <v>7.0000000000000001E-3</v>
      </c>
      <c r="J344" s="498">
        <f t="shared" si="90"/>
        <v>351.04999999999592</v>
      </c>
      <c r="K344" s="15"/>
      <c r="L344" s="8">
        <f t="shared" si="106"/>
        <v>10.131313131313014</v>
      </c>
      <c r="M344" s="8">
        <f t="shared" si="107"/>
        <v>9.0909090909090917</v>
      </c>
      <c r="N344" s="499" t="str">
        <f t="shared" si="91"/>
        <v/>
      </c>
      <c r="O344" s="4"/>
      <c r="P344" s="118"/>
      <c r="Q344" s="118"/>
      <c r="R344" s="4" t="str">
        <f t="shared" ca="1" si="92"/>
        <v>Ok</v>
      </c>
      <c r="S344" s="501">
        <f ca="1">IF(R344="Não","",COUNTIFS($R$9:R344,"Ok"))</f>
        <v>336</v>
      </c>
      <c r="T344" s="6">
        <f t="shared" ca="1" si="93"/>
        <v>46266</v>
      </c>
      <c r="U344" s="501">
        <f t="shared" ca="1" si="94"/>
        <v>501.49999999999415</v>
      </c>
      <c r="V344" s="501">
        <f t="shared" ca="1" si="95"/>
        <v>10.131313131313014</v>
      </c>
      <c r="W344" s="501">
        <f t="shared" si="96"/>
        <v>0</v>
      </c>
      <c r="X344" s="1">
        <f t="shared" si="97"/>
        <v>0</v>
      </c>
      <c r="Y344" s="1">
        <f t="shared" si="97"/>
        <v>0</v>
      </c>
    </row>
    <row r="345" spans="1:25" s="1" customFormat="1" x14ac:dyDescent="0.25">
      <c r="A345" s="7">
        <f t="shared" si="98"/>
        <v>337</v>
      </c>
      <c r="B345" s="11">
        <f t="shared" si="99"/>
        <v>11</v>
      </c>
      <c r="C345" s="502">
        <f t="shared" si="100"/>
        <v>46267</v>
      </c>
      <c r="D345" s="7">
        <f t="shared" si="101"/>
        <v>100</v>
      </c>
      <c r="E345" s="12">
        <f t="shared" si="102"/>
        <v>0.9</v>
      </c>
      <c r="F345" s="473">
        <f t="shared" si="103"/>
        <v>502.39999999999412</v>
      </c>
      <c r="G345" s="473"/>
      <c r="H345" s="504">
        <f t="shared" si="104"/>
        <v>7.0000000000000001E-3</v>
      </c>
      <c r="I345" s="14">
        <f t="shared" si="105"/>
        <v>7.0000000000000001E-3</v>
      </c>
      <c r="J345" s="498">
        <f t="shared" si="90"/>
        <v>351.67999999999591</v>
      </c>
      <c r="K345" s="15"/>
      <c r="L345" s="8">
        <f t="shared" si="106"/>
        <v>10.14949494949483</v>
      </c>
      <c r="M345" s="8">
        <f t="shared" si="107"/>
        <v>9.0909090909090917</v>
      </c>
      <c r="N345" s="499" t="str">
        <f t="shared" si="91"/>
        <v/>
      </c>
      <c r="O345" s="4"/>
      <c r="P345" s="118"/>
      <c r="Q345" s="118"/>
      <c r="R345" s="4" t="str">
        <f t="shared" ca="1" si="92"/>
        <v>Ok</v>
      </c>
      <c r="S345" s="501">
        <f ca="1">IF(R345="Não","",COUNTIFS($R$9:R345,"Ok"))</f>
        <v>337</v>
      </c>
      <c r="T345" s="6">
        <f t="shared" ca="1" si="93"/>
        <v>46267</v>
      </c>
      <c r="U345" s="501">
        <f t="shared" ca="1" si="94"/>
        <v>502.39999999999412</v>
      </c>
      <c r="V345" s="501">
        <f t="shared" ca="1" si="95"/>
        <v>10.14949494949483</v>
      </c>
      <c r="W345" s="501">
        <f t="shared" si="96"/>
        <v>0</v>
      </c>
      <c r="X345" s="1">
        <f t="shared" si="97"/>
        <v>0</v>
      </c>
      <c r="Y345" s="1">
        <f t="shared" si="97"/>
        <v>0</v>
      </c>
    </row>
    <row r="346" spans="1:25" s="1" customFormat="1" x14ac:dyDescent="0.25">
      <c r="A346" s="7">
        <f t="shared" si="98"/>
        <v>338</v>
      </c>
      <c r="B346" s="11">
        <f t="shared" si="99"/>
        <v>11</v>
      </c>
      <c r="C346" s="502">
        <f t="shared" si="100"/>
        <v>46268</v>
      </c>
      <c r="D346" s="7">
        <f t="shared" si="101"/>
        <v>100</v>
      </c>
      <c r="E346" s="12">
        <f t="shared" si="102"/>
        <v>0.9</v>
      </c>
      <c r="F346" s="473">
        <f t="shared" si="103"/>
        <v>503.2999999999941</v>
      </c>
      <c r="G346" s="473"/>
      <c r="H346" s="504">
        <f t="shared" si="104"/>
        <v>7.0000000000000001E-3</v>
      </c>
      <c r="I346" s="14">
        <f t="shared" si="105"/>
        <v>7.0000000000000001E-3</v>
      </c>
      <c r="J346" s="498">
        <f t="shared" si="90"/>
        <v>352.30999999999585</v>
      </c>
      <c r="K346" s="15"/>
      <c r="L346" s="8">
        <f t="shared" si="106"/>
        <v>10.16767676767665</v>
      </c>
      <c r="M346" s="8">
        <f t="shared" si="107"/>
        <v>9.0909090909090917</v>
      </c>
      <c r="N346" s="499" t="str">
        <f t="shared" si="91"/>
        <v/>
      </c>
      <c r="O346" s="4"/>
      <c r="P346" s="118"/>
      <c r="Q346" s="118"/>
      <c r="R346" s="4" t="str">
        <f t="shared" ca="1" si="92"/>
        <v>Ok</v>
      </c>
      <c r="S346" s="501">
        <f ca="1">IF(R346="Não","",COUNTIFS($R$9:R346,"Ok"))</f>
        <v>338</v>
      </c>
      <c r="T346" s="6">
        <f t="shared" ca="1" si="93"/>
        <v>46268</v>
      </c>
      <c r="U346" s="501">
        <f t="shared" ca="1" si="94"/>
        <v>503.2999999999941</v>
      </c>
      <c r="V346" s="501">
        <f t="shared" ca="1" si="95"/>
        <v>10.16767676767665</v>
      </c>
      <c r="W346" s="501">
        <f t="shared" si="96"/>
        <v>0</v>
      </c>
      <c r="X346" s="1">
        <f t="shared" si="97"/>
        <v>0</v>
      </c>
      <c r="Y346" s="1">
        <f t="shared" si="97"/>
        <v>0</v>
      </c>
    </row>
    <row r="347" spans="1:25" s="1" customFormat="1" x14ac:dyDescent="0.25">
      <c r="A347" s="7">
        <f t="shared" si="98"/>
        <v>339</v>
      </c>
      <c r="B347" s="11">
        <f t="shared" si="99"/>
        <v>11</v>
      </c>
      <c r="C347" s="502">
        <f t="shared" si="100"/>
        <v>46269</v>
      </c>
      <c r="D347" s="7">
        <f t="shared" si="101"/>
        <v>100</v>
      </c>
      <c r="E347" s="12">
        <f t="shared" si="102"/>
        <v>0.9</v>
      </c>
      <c r="F347" s="473">
        <f t="shared" si="103"/>
        <v>504.19999999999408</v>
      </c>
      <c r="G347" s="473"/>
      <c r="H347" s="504">
        <f t="shared" si="104"/>
        <v>7.0000000000000001E-3</v>
      </c>
      <c r="I347" s="14">
        <f t="shared" si="105"/>
        <v>7.0000000000000001E-3</v>
      </c>
      <c r="J347" s="498">
        <f t="shared" si="90"/>
        <v>352.93999999999585</v>
      </c>
      <c r="K347" s="15"/>
      <c r="L347" s="8">
        <f t="shared" si="106"/>
        <v>10.185858585858467</v>
      </c>
      <c r="M347" s="8">
        <f t="shared" si="107"/>
        <v>9.0909090909090917</v>
      </c>
      <c r="N347" s="499" t="str">
        <f t="shared" si="91"/>
        <v/>
      </c>
      <c r="O347" s="4"/>
      <c r="P347" s="118"/>
      <c r="Q347" s="118"/>
      <c r="R347" s="4" t="str">
        <f t="shared" ca="1" si="92"/>
        <v>Ok</v>
      </c>
      <c r="S347" s="501">
        <f ca="1">IF(R347="Não","",COUNTIFS($R$9:R347,"Ok"))</f>
        <v>339</v>
      </c>
      <c r="T347" s="6">
        <f t="shared" ca="1" si="93"/>
        <v>46269</v>
      </c>
      <c r="U347" s="501">
        <f t="shared" ca="1" si="94"/>
        <v>504.19999999999408</v>
      </c>
      <c r="V347" s="501">
        <f t="shared" ca="1" si="95"/>
        <v>10.185858585858467</v>
      </c>
      <c r="W347" s="501">
        <f t="shared" si="96"/>
        <v>0</v>
      </c>
      <c r="X347" s="1">
        <f t="shared" si="97"/>
        <v>0</v>
      </c>
      <c r="Y347" s="1">
        <f t="shared" si="97"/>
        <v>0</v>
      </c>
    </row>
    <row r="348" spans="1:25" s="1" customFormat="1" x14ac:dyDescent="0.25">
      <c r="A348" s="7">
        <f t="shared" si="98"/>
        <v>340</v>
      </c>
      <c r="B348" s="11">
        <f t="shared" si="99"/>
        <v>11</v>
      </c>
      <c r="C348" s="502">
        <f t="shared" si="100"/>
        <v>46270</v>
      </c>
      <c r="D348" s="7">
        <f t="shared" si="101"/>
        <v>100</v>
      </c>
      <c r="E348" s="12">
        <f t="shared" si="102"/>
        <v>0.9</v>
      </c>
      <c r="F348" s="473">
        <f t="shared" si="103"/>
        <v>505.09999999999405</v>
      </c>
      <c r="G348" s="473"/>
      <c r="H348" s="504">
        <f t="shared" si="104"/>
        <v>7.0000000000000001E-3</v>
      </c>
      <c r="I348" s="14">
        <f t="shared" si="105"/>
        <v>7.0000000000000001E-3</v>
      </c>
      <c r="J348" s="498">
        <f t="shared" si="90"/>
        <v>353.56999999999584</v>
      </c>
      <c r="K348" s="15"/>
      <c r="L348" s="8">
        <f t="shared" si="106"/>
        <v>10.204040404040283</v>
      </c>
      <c r="M348" s="8">
        <f t="shared" si="107"/>
        <v>9.0909090909090917</v>
      </c>
      <c r="N348" s="499" t="str">
        <f t="shared" si="91"/>
        <v/>
      </c>
      <c r="O348" s="4"/>
      <c r="P348" s="118"/>
      <c r="Q348" s="118"/>
      <c r="R348" s="4" t="str">
        <f t="shared" ca="1" si="92"/>
        <v>Ok</v>
      </c>
      <c r="S348" s="501">
        <f ca="1">IF(R348="Não","",COUNTIFS($R$9:R348,"Ok"))</f>
        <v>340</v>
      </c>
      <c r="T348" s="6">
        <f t="shared" ca="1" si="93"/>
        <v>46270</v>
      </c>
      <c r="U348" s="501">
        <f t="shared" ca="1" si="94"/>
        <v>505.09999999999405</v>
      </c>
      <c r="V348" s="501">
        <f t="shared" ca="1" si="95"/>
        <v>10.204040404040283</v>
      </c>
      <c r="W348" s="501">
        <f t="shared" si="96"/>
        <v>0</v>
      </c>
      <c r="X348" s="1">
        <f t="shared" si="97"/>
        <v>0</v>
      </c>
      <c r="Y348" s="1">
        <f t="shared" si="97"/>
        <v>0</v>
      </c>
    </row>
    <row r="349" spans="1:25" s="1" customFormat="1" x14ac:dyDescent="0.25">
      <c r="A349" s="7">
        <f t="shared" si="98"/>
        <v>341</v>
      </c>
      <c r="B349" s="11">
        <f t="shared" si="99"/>
        <v>11</v>
      </c>
      <c r="C349" s="502">
        <f t="shared" si="100"/>
        <v>46271</v>
      </c>
      <c r="D349" s="7">
        <f t="shared" si="101"/>
        <v>100</v>
      </c>
      <c r="E349" s="12">
        <f t="shared" si="102"/>
        <v>0.9</v>
      </c>
      <c r="F349" s="473">
        <f t="shared" si="103"/>
        <v>505.99999999999403</v>
      </c>
      <c r="G349" s="473"/>
      <c r="H349" s="504">
        <f t="shared" si="104"/>
        <v>7.0000000000000001E-3</v>
      </c>
      <c r="I349" s="14">
        <f t="shared" si="105"/>
        <v>7.0000000000000001E-3</v>
      </c>
      <c r="J349" s="498">
        <f t="shared" si="90"/>
        <v>354.19999999999584</v>
      </c>
      <c r="K349" s="15"/>
      <c r="L349" s="8">
        <f t="shared" si="106"/>
        <v>10.222222222222102</v>
      </c>
      <c r="M349" s="8">
        <f t="shared" si="107"/>
        <v>9.0909090909090917</v>
      </c>
      <c r="N349" s="499" t="str">
        <f t="shared" si="91"/>
        <v/>
      </c>
      <c r="O349" s="4"/>
      <c r="P349" s="118"/>
      <c r="Q349" s="118"/>
      <c r="R349" s="4" t="str">
        <f t="shared" ca="1" si="92"/>
        <v>Ok</v>
      </c>
      <c r="S349" s="501">
        <f ca="1">IF(R349="Não","",COUNTIFS($R$9:R349,"Ok"))</f>
        <v>341</v>
      </c>
      <c r="T349" s="6">
        <f t="shared" ca="1" si="93"/>
        <v>46271</v>
      </c>
      <c r="U349" s="501">
        <f t="shared" ca="1" si="94"/>
        <v>505.99999999999403</v>
      </c>
      <c r="V349" s="501">
        <f t="shared" ca="1" si="95"/>
        <v>10.222222222222102</v>
      </c>
      <c r="W349" s="501">
        <f t="shared" si="96"/>
        <v>0</v>
      </c>
      <c r="X349" s="1">
        <f t="shared" si="97"/>
        <v>0</v>
      </c>
      <c r="Y349" s="1">
        <f t="shared" si="97"/>
        <v>0</v>
      </c>
    </row>
    <row r="350" spans="1:25" s="1" customFormat="1" x14ac:dyDescent="0.25">
      <c r="A350" s="7">
        <f t="shared" si="98"/>
        <v>342</v>
      </c>
      <c r="B350" s="11">
        <f t="shared" si="99"/>
        <v>11</v>
      </c>
      <c r="C350" s="502">
        <f t="shared" si="100"/>
        <v>46272</v>
      </c>
      <c r="D350" s="7">
        <f t="shared" si="101"/>
        <v>100</v>
      </c>
      <c r="E350" s="12">
        <f t="shared" si="102"/>
        <v>0.9</v>
      </c>
      <c r="F350" s="473">
        <f t="shared" si="103"/>
        <v>506.89999999999401</v>
      </c>
      <c r="G350" s="473"/>
      <c r="H350" s="504">
        <f t="shared" si="104"/>
        <v>7.0000000000000001E-3</v>
      </c>
      <c r="I350" s="14">
        <f t="shared" si="105"/>
        <v>7.0000000000000001E-3</v>
      </c>
      <c r="J350" s="498">
        <f t="shared" si="90"/>
        <v>354.82999999999578</v>
      </c>
      <c r="K350" s="15"/>
      <c r="L350" s="8">
        <f t="shared" si="106"/>
        <v>10.24040404040392</v>
      </c>
      <c r="M350" s="8">
        <f t="shared" si="107"/>
        <v>9.0909090909090917</v>
      </c>
      <c r="N350" s="499" t="str">
        <f t="shared" si="91"/>
        <v/>
      </c>
      <c r="O350" s="4"/>
      <c r="P350" s="118"/>
      <c r="Q350" s="118"/>
      <c r="R350" s="4" t="str">
        <f t="shared" ca="1" si="92"/>
        <v>Ok</v>
      </c>
      <c r="S350" s="501">
        <f ca="1">IF(R350="Não","",COUNTIFS($R$9:R350,"Ok"))</f>
        <v>342</v>
      </c>
      <c r="T350" s="6">
        <f t="shared" ca="1" si="93"/>
        <v>46272</v>
      </c>
      <c r="U350" s="501">
        <f t="shared" ca="1" si="94"/>
        <v>506.89999999999401</v>
      </c>
      <c r="V350" s="501">
        <f t="shared" ca="1" si="95"/>
        <v>10.24040404040392</v>
      </c>
      <c r="W350" s="501">
        <f t="shared" si="96"/>
        <v>0</v>
      </c>
      <c r="X350" s="1">
        <f t="shared" si="97"/>
        <v>0</v>
      </c>
      <c r="Y350" s="1">
        <f t="shared" si="97"/>
        <v>0</v>
      </c>
    </row>
    <row r="351" spans="1:25" s="1" customFormat="1" x14ac:dyDescent="0.25">
      <c r="A351" s="7">
        <f t="shared" si="98"/>
        <v>343</v>
      </c>
      <c r="B351" s="11">
        <f t="shared" si="99"/>
        <v>11</v>
      </c>
      <c r="C351" s="502">
        <f t="shared" si="100"/>
        <v>46273</v>
      </c>
      <c r="D351" s="7">
        <f t="shared" si="101"/>
        <v>100</v>
      </c>
      <c r="E351" s="12">
        <f t="shared" si="102"/>
        <v>0.9</v>
      </c>
      <c r="F351" s="473">
        <f t="shared" si="103"/>
        <v>507.79999999999399</v>
      </c>
      <c r="G351" s="473"/>
      <c r="H351" s="504">
        <f t="shared" si="104"/>
        <v>7.0000000000000001E-3</v>
      </c>
      <c r="I351" s="14">
        <f t="shared" si="105"/>
        <v>7.0000000000000001E-3</v>
      </c>
      <c r="J351" s="498">
        <f t="shared" si="90"/>
        <v>355.45999999999583</v>
      </c>
      <c r="K351" s="15"/>
      <c r="L351" s="8">
        <f t="shared" si="106"/>
        <v>10.258585858585736</v>
      </c>
      <c r="M351" s="8">
        <f t="shared" si="107"/>
        <v>9.0909090909090917</v>
      </c>
      <c r="N351" s="499" t="str">
        <f t="shared" si="91"/>
        <v/>
      </c>
      <c r="O351" s="4"/>
      <c r="P351" s="118"/>
      <c r="Q351" s="118"/>
      <c r="R351" s="4" t="str">
        <f t="shared" ca="1" si="92"/>
        <v>Ok</v>
      </c>
      <c r="S351" s="501">
        <f ca="1">IF(R351="Não","",COUNTIFS($R$9:R351,"Ok"))</f>
        <v>343</v>
      </c>
      <c r="T351" s="6">
        <f t="shared" ca="1" si="93"/>
        <v>46273</v>
      </c>
      <c r="U351" s="501">
        <f t="shared" ca="1" si="94"/>
        <v>507.79999999999399</v>
      </c>
      <c r="V351" s="501">
        <f t="shared" ca="1" si="95"/>
        <v>10.258585858585736</v>
      </c>
      <c r="W351" s="501">
        <f t="shared" si="96"/>
        <v>0</v>
      </c>
      <c r="X351" s="1">
        <f t="shared" si="97"/>
        <v>0</v>
      </c>
      <c r="Y351" s="1">
        <f t="shared" si="97"/>
        <v>0</v>
      </c>
    </row>
    <row r="352" spans="1:25" s="1" customFormat="1" x14ac:dyDescent="0.25">
      <c r="A352" s="7">
        <f t="shared" si="98"/>
        <v>344</v>
      </c>
      <c r="B352" s="11">
        <f t="shared" si="99"/>
        <v>11</v>
      </c>
      <c r="C352" s="502">
        <f t="shared" si="100"/>
        <v>46274</v>
      </c>
      <c r="D352" s="7">
        <f t="shared" si="101"/>
        <v>100</v>
      </c>
      <c r="E352" s="12">
        <f t="shared" si="102"/>
        <v>0.9</v>
      </c>
      <c r="F352" s="473">
        <f t="shared" si="103"/>
        <v>508.69999999999396</v>
      </c>
      <c r="G352" s="473"/>
      <c r="H352" s="504">
        <f t="shared" si="104"/>
        <v>7.0000000000000001E-3</v>
      </c>
      <c r="I352" s="14">
        <f t="shared" si="105"/>
        <v>7.0000000000000001E-3</v>
      </c>
      <c r="J352" s="498">
        <f t="shared" si="90"/>
        <v>356.08999999999583</v>
      </c>
      <c r="K352" s="15"/>
      <c r="L352" s="8">
        <f t="shared" si="106"/>
        <v>10.276767676767555</v>
      </c>
      <c r="M352" s="8">
        <f t="shared" si="107"/>
        <v>9.0909090909090917</v>
      </c>
      <c r="N352" s="499" t="str">
        <f t="shared" si="91"/>
        <v/>
      </c>
      <c r="O352" s="4"/>
      <c r="P352" s="118"/>
      <c r="Q352" s="118"/>
      <c r="R352" s="4" t="str">
        <f t="shared" ca="1" si="92"/>
        <v>Ok</v>
      </c>
      <c r="S352" s="501">
        <f ca="1">IF(R352="Não","",COUNTIFS($R$9:R352,"Ok"))</f>
        <v>344</v>
      </c>
      <c r="T352" s="6">
        <f t="shared" ca="1" si="93"/>
        <v>46274</v>
      </c>
      <c r="U352" s="501">
        <f t="shared" ca="1" si="94"/>
        <v>508.69999999999396</v>
      </c>
      <c r="V352" s="501">
        <f t="shared" ca="1" si="95"/>
        <v>10.276767676767555</v>
      </c>
      <c r="W352" s="501">
        <f t="shared" si="96"/>
        <v>0</v>
      </c>
      <c r="X352" s="1">
        <f t="shared" si="97"/>
        <v>0</v>
      </c>
      <c r="Y352" s="1">
        <f t="shared" si="97"/>
        <v>0</v>
      </c>
    </row>
    <row r="353" spans="1:25" s="1" customFormat="1" x14ac:dyDescent="0.25">
      <c r="A353" s="7">
        <f t="shared" si="98"/>
        <v>345</v>
      </c>
      <c r="B353" s="11">
        <f t="shared" si="99"/>
        <v>11</v>
      </c>
      <c r="C353" s="502">
        <f t="shared" si="100"/>
        <v>46275</v>
      </c>
      <c r="D353" s="7">
        <f t="shared" si="101"/>
        <v>100</v>
      </c>
      <c r="E353" s="12">
        <f t="shared" si="102"/>
        <v>0.9</v>
      </c>
      <c r="F353" s="473">
        <f t="shared" si="103"/>
        <v>509.59999999999394</v>
      </c>
      <c r="G353" s="473"/>
      <c r="H353" s="504">
        <f t="shared" si="104"/>
        <v>7.0000000000000001E-3</v>
      </c>
      <c r="I353" s="14">
        <f t="shared" si="105"/>
        <v>7.0000000000000001E-3</v>
      </c>
      <c r="J353" s="498">
        <f t="shared" si="90"/>
        <v>356.71999999999576</v>
      </c>
      <c r="K353" s="15"/>
      <c r="L353" s="8">
        <f t="shared" si="106"/>
        <v>10.294949494949373</v>
      </c>
      <c r="M353" s="8">
        <f t="shared" si="107"/>
        <v>9.0909090909090917</v>
      </c>
      <c r="N353" s="499" t="str">
        <f t="shared" si="91"/>
        <v/>
      </c>
      <c r="O353" s="4"/>
      <c r="P353" s="118"/>
      <c r="Q353" s="118"/>
      <c r="R353" s="4" t="str">
        <f t="shared" ca="1" si="92"/>
        <v>Ok</v>
      </c>
      <c r="S353" s="501">
        <f ca="1">IF(R353="Não","",COUNTIFS($R$9:R353,"Ok"))</f>
        <v>345</v>
      </c>
      <c r="T353" s="6">
        <f t="shared" ca="1" si="93"/>
        <v>46275</v>
      </c>
      <c r="U353" s="501">
        <f t="shared" ca="1" si="94"/>
        <v>509.59999999999394</v>
      </c>
      <c r="V353" s="501">
        <f t="shared" ca="1" si="95"/>
        <v>10.294949494949373</v>
      </c>
      <c r="W353" s="501">
        <f t="shared" si="96"/>
        <v>0</v>
      </c>
      <c r="X353" s="1">
        <f t="shared" si="97"/>
        <v>0</v>
      </c>
      <c r="Y353" s="1">
        <f t="shared" si="97"/>
        <v>0</v>
      </c>
    </row>
    <row r="354" spans="1:25" s="1" customFormat="1" x14ac:dyDescent="0.25">
      <c r="A354" s="7">
        <f t="shared" si="98"/>
        <v>346</v>
      </c>
      <c r="B354" s="11">
        <f t="shared" si="99"/>
        <v>11</v>
      </c>
      <c r="C354" s="502">
        <f t="shared" si="100"/>
        <v>46276</v>
      </c>
      <c r="D354" s="7">
        <f t="shared" si="101"/>
        <v>100</v>
      </c>
      <c r="E354" s="12">
        <f t="shared" si="102"/>
        <v>0.9</v>
      </c>
      <c r="F354" s="473">
        <f t="shared" si="103"/>
        <v>510.49999999999392</v>
      </c>
      <c r="G354" s="473"/>
      <c r="H354" s="504">
        <f t="shared" si="104"/>
        <v>7.0000000000000001E-3</v>
      </c>
      <c r="I354" s="14">
        <f t="shared" si="105"/>
        <v>7.0000000000000001E-3</v>
      </c>
      <c r="J354" s="498">
        <f t="shared" si="90"/>
        <v>357.34999999999576</v>
      </c>
      <c r="K354" s="15"/>
      <c r="L354" s="8">
        <f t="shared" si="106"/>
        <v>10.313131313131191</v>
      </c>
      <c r="M354" s="8">
        <f t="shared" si="107"/>
        <v>9.0909090909090917</v>
      </c>
      <c r="N354" s="499" t="str">
        <f t="shared" si="91"/>
        <v/>
      </c>
      <c r="O354" s="4"/>
      <c r="P354" s="118"/>
      <c r="Q354" s="118"/>
      <c r="R354" s="4" t="str">
        <f t="shared" ca="1" si="92"/>
        <v>Ok</v>
      </c>
      <c r="S354" s="501">
        <f ca="1">IF(R354="Não","",COUNTIFS($R$9:R354,"Ok"))</f>
        <v>346</v>
      </c>
      <c r="T354" s="6">
        <f t="shared" ca="1" si="93"/>
        <v>46276</v>
      </c>
      <c r="U354" s="501">
        <f t="shared" ca="1" si="94"/>
        <v>510.49999999999392</v>
      </c>
      <c r="V354" s="501">
        <f t="shared" ca="1" si="95"/>
        <v>10.313131313131191</v>
      </c>
      <c r="W354" s="501">
        <f t="shared" si="96"/>
        <v>0</v>
      </c>
      <c r="X354" s="1">
        <f t="shared" si="97"/>
        <v>0</v>
      </c>
      <c r="Y354" s="1">
        <f t="shared" si="97"/>
        <v>0</v>
      </c>
    </row>
    <row r="355" spans="1:25" s="1" customFormat="1" x14ac:dyDescent="0.25">
      <c r="A355" s="7">
        <f t="shared" si="98"/>
        <v>347</v>
      </c>
      <c r="B355" s="11">
        <f t="shared" si="99"/>
        <v>11</v>
      </c>
      <c r="C355" s="502">
        <f t="shared" si="100"/>
        <v>46277</v>
      </c>
      <c r="D355" s="7">
        <f t="shared" si="101"/>
        <v>100</v>
      </c>
      <c r="E355" s="12">
        <f t="shared" si="102"/>
        <v>0.9</v>
      </c>
      <c r="F355" s="473">
        <f t="shared" si="103"/>
        <v>511.3999999999939</v>
      </c>
      <c r="G355" s="473"/>
      <c r="H355" s="504">
        <f t="shared" si="104"/>
        <v>7.0000000000000001E-3</v>
      </c>
      <c r="I355" s="14">
        <f t="shared" si="105"/>
        <v>7.0000000000000001E-3</v>
      </c>
      <c r="J355" s="498">
        <f t="shared" si="90"/>
        <v>357.97999999999575</v>
      </c>
      <c r="K355" s="15"/>
      <c r="L355" s="8">
        <f t="shared" si="106"/>
        <v>10.331313131313008</v>
      </c>
      <c r="M355" s="8">
        <f t="shared" si="107"/>
        <v>9.0909090909090917</v>
      </c>
      <c r="N355" s="499" t="str">
        <f t="shared" si="91"/>
        <v/>
      </c>
      <c r="O355" s="4"/>
      <c r="P355" s="118"/>
      <c r="Q355" s="118"/>
      <c r="R355" s="4" t="str">
        <f t="shared" ca="1" si="92"/>
        <v>Ok</v>
      </c>
      <c r="S355" s="501">
        <f ca="1">IF(R355="Não","",COUNTIFS($R$9:R355,"Ok"))</f>
        <v>347</v>
      </c>
      <c r="T355" s="6">
        <f t="shared" ca="1" si="93"/>
        <v>46277</v>
      </c>
      <c r="U355" s="501">
        <f t="shared" ca="1" si="94"/>
        <v>511.3999999999939</v>
      </c>
      <c r="V355" s="501">
        <f t="shared" ca="1" si="95"/>
        <v>10.331313131313008</v>
      </c>
      <c r="W355" s="501">
        <f t="shared" si="96"/>
        <v>0</v>
      </c>
      <c r="X355" s="1">
        <f t="shared" si="97"/>
        <v>0</v>
      </c>
      <c r="Y355" s="1">
        <f t="shared" si="97"/>
        <v>0</v>
      </c>
    </row>
    <row r="356" spans="1:25" s="1" customFormat="1" x14ac:dyDescent="0.25">
      <c r="A356" s="7">
        <f t="shared" si="98"/>
        <v>348</v>
      </c>
      <c r="B356" s="11">
        <f t="shared" si="99"/>
        <v>11</v>
      </c>
      <c r="C356" s="502">
        <f t="shared" si="100"/>
        <v>46278</v>
      </c>
      <c r="D356" s="7">
        <f t="shared" si="101"/>
        <v>100</v>
      </c>
      <c r="E356" s="12">
        <f t="shared" si="102"/>
        <v>0.9</v>
      </c>
      <c r="F356" s="473">
        <f t="shared" si="103"/>
        <v>512.29999999999393</v>
      </c>
      <c r="G356" s="473"/>
      <c r="H356" s="504">
        <f t="shared" si="104"/>
        <v>7.0000000000000001E-3</v>
      </c>
      <c r="I356" s="14">
        <f t="shared" si="105"/>
        <v>7.0000000000000001E-3</v>
      </c>
      <c r="J356" s="498">
        <f t="shared" si="90"/>
        <v>358.60999999999575</v>
      </c>
      <c r="K356" s="15"/>
      <c r="L356" s="8">
        <f t="shared" si="106"/>
        <v>10.349494949494828</v>
      </c>
      <c r="M356" s="8">
        <f t="shared" si="107"/>
        <v>9.0909090909090917</v>
      </c>
      <c r="N356" s="499" t="str">
        <f t="shared" si="91"/>
        <v/>
      </c>
      <c r="O356" s="4"/>
      <c r="P356" s="118"/>
      <c r="Q356" s="118"/>
      <c r="R356" s="4" t="str">
        <f t="shared" ca="1" si="92"/>
        <v>Ok</v>
      </c>
      <c r="S356" s="501">
        <f ca="1">IF(R356="Não","",COUNTIFS($R$9:R356,"Ok"))</f>
        <v>348</v>
      </c>
      <c r="T356" s="6">
        <f t="shared" ca="1" si="93"/>
        <v>46278</v>
      </c>
      <c r="U356" s="501">
        <f t="shared" ca="1" si="94"/>
        <v>512.29999999999393</v>
      </c>
      <c r="V356" s="501">
        <f t="shared" ca="1" si="95"/>
        <v>10.349494949494828</v>
      </c>
      <c r="W356" s="501">
        <f t="shared" si="96"/>
        <v>0</v>
      </c>
      <c r="X356" s="1">
        <f t="shared" si="97"/>
        <v>0</v>
      </c>
      <c r="Y356" s="1">
        <f t="shared" si="97"/>
        <v>0</v>
      </c>
    </row>
    <row r="357" spans="1:25" s="1" customFormat="1" x14ac:dyDescent="0.25">
      <c r="A357" s="7">
        <f t="shared" si="98"/>
        <v>349</v>
      </c>
      <c r="B357" s="11">
        <f t="shared" si="99"/>
        <v>11</v>
      </c>
      <c r="C357" s="502">
        <f t="shared" si="100"/>
        <v>46279</v>
      </c>
      <c r="D357" s="7">
        <f t="shared" si="101"/>
        <v>100</v>
      </c>
      <c r="E357" s="12">
        <f t="shared" si="102"/>
        <v>0.9</v>
      </c>
      <c r="F357" s="473">
        <f t="shared" si="103"/>
        <v>513.19999999999391</v>
      </c>
      <c r="G357" s="473"/>
      <c r="H357" s="504">
        <f t="shared" si="104"/>
        <v>7.0000000000000001E-3</v>
      </c>
      <c r="I357" s="14">
        <f t="shared" si="105"/>
        <v>7.0000000000000001E-3</v>
      </c>
      <c r="J357" s="498">
        <f t="shared" si="90"/>
        <v>359.23999999999575</v>
      </c>
      <c r="K357" s="15"/>
      <c r="L357" s="8">
        <f t="shared" si="106"/>
        <v>10.367676767676643</v>
      </c>
      <c r="M357" s="8">
        <f t="shared" si="107"/>
        <v>9.0909090909090917</v>
      </c>
      <c r="N357" s="499" t="str">
        <f t="shared" si="91"/>
        <v/>
      </c>
      <c r="O357" s="4"/>
      <c r="P357" s="118"/>
      <c r="Q357" s="118"/>
      <c r="R357" s="4" t="str">
        <f t="shared" ca="1" si="92"/>
        <v>Ok</v>
      </c>
      <c r="S357" s="501">
        <f ca="1">IF(R357="Não","",COUNTIFS($R$9:R357,"Ok"))</f>
        <v>349</v>
      </c>
      <c r="T357" s="6">
        <f t="shared" ca="1" si="93"/>
        <v>46279</v>
      </c>
      <c r="U357" s="501">
        <f t="shared" ca="1" si="94"/>
        <v>513.19999999999391</v>
      </c>
      <c r="V357" s="501">
        <f t="shared" ca="1" si="95"/>
        <v>10.367676767676643</v>
      </c>
      <c r="W357" s="501">
        <f t="shared" si="96"/>
        <v>0</v>
      </c>
      <c r="X357" s="1">
        <f t="shared" si="97"/>
        <v>0</v>
      </c>
      <c r="Y357" s="1">
        <f t="shared" si="97"/>
        <v>0</v>
      </c>
    </row>
    <row r="358" spans="1:25" s="1" customFormat="1" x14ac:dyDescent="0.25">
      <c r="A358" s="7">
        <f t="shared" si="98"/>
        <v>350</v>
      </c>
      <c r="B358" s="11">
        <f t="shared" si="99"/>
        <v>11</v>
      </c>
      <c r="C358" s="502">
        <f t="shared" si="100"/>
        <v>46280</v>
      </c>
      <c r="D358" s="7">
        <f t="shared" si="101"/>
        <v>100</v>
      </c>
      <c r="E358" s="12">
        <f t="shared" si="102"/>
        <v>0.9</v>
      </c>
      <c r="F358" s="473">
        <f t="shared" si="103"/>
        <v>514.09999999999388</v>
      </c>
      <c r="G358" s="473"/>
      <c r="H358" s="504">
        <f t="shared" si="104"/>
        <v>7.0000000000000001E-3</v>
      </c>
      <c r="I358" s="14">
        <f t="shared" si="105"/>
        <v>7.0000000000000001E-3</v>
      </c>
      <c r="J358" s="498">
        <f t="shared" si="90"/>
        <v>359.86999999999574</v>
      </c>
      <c r="K358" s="15"/>
      <c r="L358" s="8">
        <f t="shared" si="106"/>
        <v>10.385858585858463</v>
      </c>
      <c r="M358" s="8">
        <f t="shared" si="107"/>
        <v>9.0909090909090917</v>
      </c>
      <c r="N358" s="499" t="str">
        <f t="shared" si="91"/>
        <v/>
      </c>
      <c r="O358" s="4"/>
      <c r="P358" s="118"/>
      <c r="Q358" s="118"/>
      <c r="R358" s="4" t="str">
        <f t="shared" ca="1" si="92"/>
        <v>Ok</v>
      </c>
      <c r="S358" s="501">
        <f ca="1">IF(R358="Não","",COUNTIFS($R$9:R358,"Ok"))</f>
        <v>350</v>
      </c>
      <c r="T358" s="6">
        <f t="shared" ca="1" si="93"/>
        <v>46280</v>
      </c>
      <c r="U358" s="501">
        <f t="shared" ca="1" si="94"/>
        <v>514.09999999999388</v>
      </c>
      <c r="V358" s="501">
        <f t="shared" ca="1" si="95"/>
        <v>10.385858585858463</v>
      </c>
      <c r="W358" s="501">
        <f t="shared" si="96"/>
        <v>0</v>
      </c>
      <c r="X358" s="1">
        <f t="shared" si="97"/>
        <v>0</v>
      </c>
      <c r="Y358" s="1">
        <f t="shared" si="97"/>
        <v>0</v>
      </c>
    </row>
    <row r="359" spans="1:25" s="1" customFormat="1" x14ac:dyDescent="0.25">
      <c r="A359" s="7">
        <f t="shared" si="98"/>
        <v>351</v>
      </c>
      <c r="B359" s="11">
        <f t="shared" si="99"/>
        <v>11</v>
      </c>
      <c r="C359" s="502">
        <f t="shared" si="100"/>
        <v>46281</v>
      </c>
      <c r="D359" s="7">
        <f t="shared" si="101"/>
        <v>100</v>
      </c>
      <c r="E359" s="12">
        <f t="shared" si="102"/>
        <v>0.9</v>
      </c>
      <c r="F359" s="473">
        <f t="shared" si="103"/>
        <v>514.99999999999386</v>
      </c>
      <c r="G359" s="473"/>
      <c r="H359" s="504">
        <f t="shared" si="104"/>
        <v>7.0000000000000001E-3</v>
      </c>
      <c r="I359" s="14">
        <f t="shared" si="105"/>
        <v>7.0000000000000001E-3</v>
      </c>
      <c r="J359" s="498">
        <f t="shared" si="90"/>
        <v>360.49999999999568</v>
      </c>
      <c r="K359" s="15"/>
      <c r="L359" s="8">
        <f t="shared" si="106"/>
        <v>10.404040404040281</v>
      </c>
      <c r="M359" s="8">
        <f t="shared" si="107"/>
        <v>9.0909090909090917</v>
      </c>
      <c r="N359" s="499" t="str">
        <f t="shared" si="91"/>
        <v/>
      </c>
      <c r="O359" s="4"/>
      <c r="P359" s="118"/>
      <c r="Q359" s="118"/>
      <c r="R359" s="4" t="str">
        <f t="shared" ca="1" si="92"/>
        <v>Ok</v>
      </c>
      <c r="S359" s="501">
        <f ca="1">IF(R359="Não","",COUNTIFS($R$9:R359,"Ok"))</f>
        <v>351</v>
      </c>
      <c r="T359" s="6">
        <f t="shared" ca="1" si="93"/>
        <v>46281</v>
      </c>
      <c r="U359" s="501">
        <f t="shared" ca="1" si="94"/>
        <v>514.99999999999386</v>
      </c>
      <c r="V359" s="501">
        <f t="shared" ca="1" si="95"/>
        <v>10.404040404040281</v>
      </c>
      <c r="W359" s="501">
        <f t="shared" si="96"/>
        <v>0</v>
      </c>
      <c r="X359" s="1">
        <f t="shared" si="97"/>
        <v>0</v>
      </c>
      <c r="Y359" s="1">
        <f t="shared" si="97"/>
        <v>0</v>
      </c>
    </row>
    <row r="360" spans="1:25" s="1" customFormat="1" x14ac:dyDescent="0.25">
      <c r="A360" s="7">
        <f t="shared" si="98"/>
        <v>352</v>
      </c>
      <c r="B360" s="11">
        <f t="shared" si="99"/>
        <v>11</v>
      </c>
      <c r="C360" s="502">
        <f t="shared" si="100"/>
        <v>46282</v>
      </c>
      <c r="D360" s="7">
        <f t="shared" si="101"/>
        <v>100</v>
      </c>
      <c r="E360" s="12">
        <f t="shared" si="102"/>
        <v>0.9</v>
      </c>
      <c r="F360" s="473">
        <f t="shared" si="103"/>
        <v>515.89999999999384</v>
      </c>
      <c r="G360" s="473"/>
      <c r="H360" s="504">
        <f t="shared" si="104"/>
        <v>7.0000000000000001E-3</v>
      </c>
      <c r="I360" s="14">
        <f t="shared" si="105"/>
        <v>7.0000000000000001E-3</v>
      </c>
      <c r="J360" s="498">
        <f t="shared" si="90"/>
        <v>361.12999999999568</v>
      </c>
      <c r="K360" s="15"/>
      <c r="L360" s="8">
        <f t="shared" si="106"/>
        <v>10.422222222222096</v>
      </c>
      <c r="M360" s="8">
        <f t="shared" si="107"/>
        <v>9.0909090909090917</v>
      </c>
      <c r="N360" s="499" t="str">
        <f t="shared" si="91"/>
        <v/>
      </c>
      <c r="O360" s="4"/>
      <c r="P360" s="118"/>
      <c r="Q360" s="118"/>
      <c r="R360" s="4" t="str">
        <f t="shared" ca="1" si="92"/>
        <v>Ok</v>
      </c>
      <c r="S360" s="501">
        <f ca="1">IF(R360="Não","",COUNTIFS($R$9:R360,"Ok"))</f>
        <v>352</v>
      </c>
      <c r="T360" s="6">
        <f t="shared" ca="1" si="93"/>
        <v>46282</v>
      </c>
      <c r="U360" s="501">
        <f t="shared" ca="1" si="94"/>
        <v>515.89999999999384</v>
      </c>
      <c r="V360" s="501">
        <f t="shared" ca="1" si="95"/>
        <v>10.422222222222096</v>
      </c>
      <c r="W360" s="501">
        <f t="shared" si="96"/>
        <v>0</v>
      </c>
      <c r="X360" s="1">
        <f t="shared" si="97"/>
        <v>0</v>
      </c>
      <c r="Y360" s="1">
        <f t="shared" si="97"/>
        <v>0</v>
      </c>
    </row>
    <row r="361" spans="1:25" s="1" customFormat="1" x14ac:dyDescent="0.25">
      <c r="A361" s="7">
        <f t="shared" si="98"/>
        <v>353</v>
      </c>
      <c r="B361" s="11">
        <f t="shared" si="99"/>
        <v>11</v>
      </c>
      <c r="C361" s="502">
        <f t="shared" si="100"/>
        <v>46283</v>
      </c>
      <c r="D361" s="7">
        <f t="shared" si="101"/>
        <v>100</v>
      </c>
      <c r="E361" s="12">
        <f t="shared" si="102"/>
        <v>0.9</v>
      </c>
      <c r="F361" s="473">
        <f t="shared" si="103"/>
        <v>516.79999999999382</v>
      </c>
      <c r="G361" s="473"/>
      <c r="H361" s="504">
        <f t="shared" si="104"/>
        <v>7.0000000000000001E-3</v>
      </c>
      <c r="I361" s="14">
        <f t="shared" si="105"/>
        <v>7.0000000000000001E-3</v>
      </c>
      <c r="J361" s="498">
        <f t="shared" si="90"/>
        <v>361.75999999999567</v>
      </c>
      <c r="K361" s="15"/>
      <c r="L361" s="8">
        <f t="shared" si="106"/>
        <v>10.440404040403916</v>
      </c>
      <c r="M361" s="8">
        <f t="shared" si="107"/>
        <v>9.0909090909090917</v>
      </c>
      <c r="N361" s="499" t="str">
        <f t="shared" si="91"/>
        <v/>
      </c>
      <c r="O361" s="4"/>
      <c r="P361" s="118"/>
      <c r="Q361" s="118"/>
      <c r="R361" s="4" t="str">
        <f t="shared" ca="1" si="92"/>
        <v>Ok</v>
      </c>
      <c r="S361" s="501">
        <f ca="1">IF(R361="Não","",COUNTIFS($R$9:R361,"Ok"))</f>
        <v>353</v>
      </c>
      <c r="T361" s="6">
        <f t="shared" ca="1" si="93"/>
        <v>46283</v>
      </c>
      <c r="U361" s="501">
        <f t="shared" ca="1" si="94"/>
        <v>516.79999999999382</v>
      </c>
      <c r="V361" s="501">
        <f t="shared" ca="1" si="95"/>
        <v>10.440404040403916</v>
      </c>
      <c r="W361" s="501">
        <f t="shared" si="96"/>
        <v>0</v>
      </c>
      <c r="X361" s="1">
        <f t="shared" si="97"/>
        <v>0</v>
      </c>
      <c r="Y361" s="1">
        <f t="shared" si="97"/>
        <v>0</v>
      </c>
    </row>
    <row r="362" spans="1:25" s="1" customFormat="1" x14ac:dyDescent="0.25">
      <c r="A362" s="7">
        <f t="shared" si="98"/>
        <v>354</v>
      </c>
      <c r="B362" s="11">
        <f t="shared" si="99"/>
        <v>11</v>
      </c>
      <c r="C362" s="502">
        <f t="shared" si="100"/>
        <v>46284</v>
      </c>
      <c r="D362" s="7">
        <f t="shared" si="101"/>
        <v>100</v>
      </c>
      <c r="E362" s="12">
        <f t="shared" si="102"/>
        <v>0.9</v>
      </c>
      <c r="F362" s="473">
        <f t="shared" si="103"/>
        <v>517.69999999999379</v>
      </c>
      <c r="G362" s="473"/>
      <c r="H362" s="504">
        <f t="shared" si="104"/>
        <v>7.0000000000000001E-3</v>
      </c>
      <c r="I362" s="14">
        <f t="shared" si="105"/>
        <v>7.0000000000000001E-3</v>
      </c>
      <c r="J362" s="498">
        <f t="shared" si="90"/>
        <v>362.38999999999567</v>
      </c>
      <c r="K362" s="15"/>
      <c r="L362" s="8">
        <f t="shared" si="106"/>
        <v>10.458585858585733</v>
      </c>
      <c r="M362" s="8">
        <f t="shared" si="107"/>
        <v>9.0909090909090917</v>
      </c>
      <c r="N362" s="499" t="str">
        <f t="shared" si="91"/>
        <v/>
      </c>
      <c r="O362" s="4"/>
      <c r="P362" s="118"/>
      <c r="Q362" s="118"/>
      <c r="R362" s="4" t="str">
        <f t="shared" ca="1" si="92"/>
        <v>Ok</v>
      </c>
      <c r="S362" s="501">
        <f ca="1">IF(R362="Não","",COUNTIFS($R$9:R362,"Ok"))</f>
        <v>354</v>
      </c>
      <c r="T362" s="6">
        <f t="shared" ca="1" si="93"/>
        <v>46284</v>
      </c>
      <c r="U362" s="501">
        <f t="shared" ca="1" si="94"/>
        <v>517.69999999999379</v>
      </c>
      <c r="V362" s="501">
        <f t="shared" ca="1" si="95"/>
        <v>10.458585858585733</v>
      </c>
      <c r="W362" s="501">
        <f t="shared" si="96"/>
        <v>0</v>
      </c>
      <c r="X362" s="1">
        <f t="shared" si="97"/>
        <v>0</v>
      </c>
      <c r="Y362" s="1">
        <f t="shared" si="97"/>
        <v>0</v>
      </c>
    </row>
    <row r="363" spans="1:25" s="1" customFormat="1" x14ac:dyDescent="0.25">
      <c r="A363" s="7">
        <f t="shared" si="98"/>
        <v>355</v>
      </c>
      <c r="B363" s="11">
        <f t="shared" si="99"/>
        <v>11</v>
      </c>
      <c r="C363" s="502">
        <f t="shared" si="100"/>
        <v>46285</v>
      </c>
      <c r="D363" s="7">
        <f t="shared" si="101"/>
        <v>100</v>
      </c>
      <c r="E363" s="12">
        <f t="shared" si="102"/>
        <v>0.9</v>
      </c>
      <c r="F363" s="473">
        <f t="shared" si="103"/>
        <v>518.59999999999377</v>
      </c>
      <c r="G363" s="473"/>
      <c r="H363" s="504">
        <f t="shared" si="104"/>
        <v>7.0000000000000001E-3</v>
      </c>
      <c r="I363" s="14">
        <f t="shared" si="105"/>
        <v>7.0000000000000001E-3</v>
      </c>
      <c r="J363" s="498">
        <f t="shared" si="90"/>
        <v>363.01999999999566</v>
      </c>
      <c r="K363" s="15"/>
      <c r="L363" s="8">
        <f t="shared" si="106"/>
        <v>10.476767676767549</v>
      </c>
      <c r="M363" s="8">
        <f t="shared" si="107"/>
        <v>9.0909090909090917</v>
      </c>
      <c r="N363" s="499" t="str">
        <f t="shared" si="91"/>
        <v/>
      </c>
      <c r="O363" s="4"/>
      <c r="P363" s="118"/>
      <c r="Q363" s="118"/>
      <c r="R363" s="4" t="str">
        <f t="shared" ca="1" si="92"/>
        <v>Ok</v>
      </c>
      <c r="S363" s="501">
        <f ca="1">IF(R363="Não","",COUNTIFS($R$9:R363,"Ok"))</f>
        <v>355</v>
      </c>
      <c r="T363" s="6">
        <f t="shared" ca="1" si="93"/>
        <v>46285</v>
      </c>
      <c r="U363" s="501">
        <f t="shared" ca="1" si="94"/>
        <v>518.59999999999377</v>
      </c>
      <c r="V363" s="501">
        <f t="shared" ca="1" si="95"/>
        <v>10.476767676767549</v>
      </c>
      <c r="W363" s="501">
        <f t="shared" si="96"/>
        <v>0</v>
      </c>
      <c r="X363" s="1">
        <f t="shared" si="97"/>
        <v>0</v>
      </c>
      <c r="Y363" s="1">
        <f t="shared" si="97"/>
        <v>0</v>
      </c>
    </row>
    <row r="364" spans="1:25" s="1" customFormat="1" x14ac:dyDescent="0.25">
      <c r="A364" s="7">
        <f t="shared" si="98"/>
        <v>356</v>
      </c>
      <c r="B364" s="11">
        <f t="shared" si="99"/>
        <v>11</v>
      </c>
      <c r="C364" s="502">
        <f t="shared" si="100"/>
        <v>46286</v>
      </c>
      <c r="D364" s="7">
        <f t="shared" si="101"/>
        <v>100</v>
      </c>
      <c r="E364" s="12">
        <f t="shared" si="102"/>
        <v>0.9</v>
      </c>
      <c r="F364" s="473">
        <f t="shared" si="103"/>
        <v>519.49999999999375</v>
      </c>
      <c r="G364" s="473"/>
      <c r="H364" s="504">
        <f t="shared" si="104"/>
        <v>7.0000000000000001E-3</v>
      </c>
      <c r="I364" s="14">
        <f t="shared" si="105"/>
        <v>7.0000000000000001E-3</v>
      </c>
      <c r="J364" s="498">
        <f t="shared" si="90"/>
        <v>363.64999999999566</v>
      </c>
      <c r="K364" s="15"/>
      <c r="L364" s="8">
        <f t="shared" si="106"/>
        <v>10.494949494949369</v>
      </c>
      <c r="M364" s="8">
        <f t="shared" si="107"/>
        <v>9.0909090909090917</v>
      </c>
      <c r="N364" s="499" t="str">
        <f t="shared" si="91"/>
        <v/>
      </c>
      <c r="O364" s="4"/>
      <c r="P364" s="118"/>
      <c r="Q364" s="118"/>
      <c r="R364" s="4" t="str">
        <f t="shared" ca="1" si="92"/>
        <v>Ok</v>
      </c>
      <c r="S364" s="501">
        <f ca="1">IF(R364="Não","",COUNTIFS($R$9:R364,"Ok"))</f>
        <v>356</v>
      </c>
      <c r="T364" s="6">
        <f t="shared" ca="1" si="93"/>
        <v>46286</v>
      </c>
      <c r="U364" s="501">
        <f t="shared" ca="1" si="94"/>
        <v>519.49999999999375</v>
      </c>
      <c r="V364" s="501">
        <f t="shared" ca="1" si="95"/>
        <v>10.494949494949369</v>
      </c>
      <c r="W364" s="501">
        <f t="shared" si="96"/>
        <v>0</v>
      </c>
      <c r="X364" s="1">
        <f t="shared" si="97"/>
        <v>0</v>
      </c>
      <c r="Y364" s="1">
        <f t="shared" si="97"/>
        <v>0</v>
      </c>
    </row>
    <row r="365" spans="1:25" s="1" customFormat="1" x14ac:dyDescent="0.25">
      <c r="A365" s="7">
        <f t="shared" si="98"/>
        <v>357</v>
      </c>
      <c r="B365" s="11">
        <f t="shared" si="99"/>
        <v>11</v>
      </c>
      <c r="C365" s="502">
        <f t="shared" si="100"/>
        <v>46287</v>
      </c>
      <c r="D365" s="7">
        <f t="shared" si="101"/>
        <v>100</v>
      </c>
      <c r="E365" s="12">
        <f t="shared" si="102"/>
        <v>0.9</v>
      </c>
      <c r="F365" s="473">
        <f t="shared" si="103"/>
        <v>520.39999999999372</v>
      </c>
      <c r="G365" s="473"/>
      <c r="H365" s="504">
        <f t="shared" si="104"/>
        <v>7.0000000000000001E-3</v>
      </c>
      <c r="I365" s="14">
        <f t="shared" si="105"/>
        <v>7.0000000000000001E-3</v>
      </c>
      <c r="J365" s="498">
        <f t="shared" si="90"/>
        <v>364.27999999999565</v>
      </c>
      <c r="K365" s="15"/>
      <c r="L365" s="8">
        <f t="shared" si="106"/>
        <v>10.513131313131186</v>
      </c>
      <c r="M365" s="8">
        <f t="shared" si="107"/>
        <v>9.0909090909090917</v>
      </c>
      <c r="N365" s="499" t="str">
        <f t="shared" si="91"/>
        <v/>
      </c>
      <c r="O365" s="4"/>
      <c r="P365" s="118"/>
      <c r="Q365" s="118"/>
      <c r="R365" s="4" t="str">
        <f t="shared" ca="1" si="92"/>
        <v>Ok</v>
      </c>
      <c r="S365" s="501">
        <f ca="1">IF(R365="Não","",COUNTIFS($R$9:R365,"Ok"))</f>
        <v>357</v>
      </c>
      <c r="T365" s="6">
        <f t="shared" ca="1" si="93"/>
        <v>46287</v>
      </c>
      <c r="U365" s="501">
        <f t="shared" ca="1" si="94"/>
        <v>520.39999999999372</v>
      </c>
      <c r="V365" s="501">
        <f t="shared" ca="1" si="95"/>
        <v>10.513131313131186</v>
      </c>
      <c r="W365" s="501">
        <f t="shared" si="96"/>
        <v>0</v>
      </c>
      <c r="X365" s="1">
        <f t="shared" si="97"/>
        <v>0</v>
      </c>
      <c r="Y365" s="1">
        <f t="shared" si="97"/>
        <v>0</v>
      </c>
    </row>
    <row r="366" spans="1:25" s="1" customFormat="1" x14ac:dyDescent="0.25">
      <c r="A366" s="7">
        <f t="shared" si="98"/>
        <v>358</v>
      </c>
      <c r="B366" s="11">
        <f t="shared" si="99"/>
        <v>11</v>
      </c>
      <c r="C366" s="502">
        <f t="shared" si="100"/>
        <v>46288</v>
      </c>
      <c r="D366" s="7">
        <f t="shared" si="101"/>
        <v>100</v>
      </c>
      <c r="E366" s="12">
        <f t="shared" si="102"/>
        <v>0.9</v>
      </c>
      <c r="F366" s="473">
        <f t="shared" si="103"/>
        <v>521.2999999999937</v>
      </c>
      <c r="G366" s="473"/>
      <c r="H366" s="504">
        <f t="shared" si="104"/>
        <v>7.0000000000000001E-3</v>
      </c>
      <c r="I366" s="14">
        <f t="shared" si="105"/>
        <v>7.0000000000000001E-3</v>
      </c>
      <c r="J366" s="498">
        <f t="shared" si="90"/>
        <v>364.90999999999559</v>
      </c>
      <c r="K366" s="15"/>
      <c r="L366" s="8">
        <f t="shared" si="106"/>
        <v>10.531313131313004</v>
      </c>
      <c r="M366" s="8">
        <f t="shared" si="107"/>
        <v>9.0909090909090917</v>
      </c>
      <c r="N366" s="499" t="str">
        <f t="shared" si="91"/>
        <v/>
      </c>
      <c r="O366" s="4"/>
      <c r="P366" s="118"/>
      <c r="Q366" s="118"/>
      <c r="R366" s="4" t="str">
        <f t="shared" ca="1" si="92"/>
        <v>Ok</v>
      </c>
      <c r="S366" s="501">
        <f ca="1">IF(R366="Não","",COUNTIFS($R$9:R366,"Ok"))</f>
        <v>358</v>
      </c>
      <c r="T366" s="6">
        <f t="shared" ca="1" si="93"/>
        <v>46288</v>
      </c>
      <c r="U366" s="501">
        <f t="shared" ca="1" si="94"/>
        <v>521.2999999999937</v>
      </c>
      <c r="V366" s="501">
        <f t="shared" ca="1" si="95"/>
        <v>10.531313131313004</v>
      </c>
      <c r="W366" s="501">
        <f t="shared" si="96"/>
        <v>0</v>
      </c>
      <c r="X366" s="1">
        <f t="shared" si="97"/>
        <v>0</v>
      </c>
      <c r="Y366" s="1">
        <f t="shared" si="97"/>
        <v>0</v>
      </c>
    </row>
    <row r="367" spans="1:25" s="1" customFormat="1" x14ac:dyDescent="0.25">
      <c r="A367" s="7">
        <f t="shared" si="98"/>
        <v>359</v>
      </c>
      <c r="B367" s="11">
        <f t="shared" si="99"/>
        <v>11</v>
      </c>
      <c r="C367" s="502">
        <f t="shared" si="100"/>
        <v>46289</v>
      </c>
      <c r="D367" s="7">
        <f t="shared" si="101"/>
        <v>100</v>
      </c>
      <c r="E367" s="12">
        <f t="shared" si="102"/>
        <v>0.9</v>
      </c>
      <c r="F367" s="473">
        <f t="shared" si="103"/>
        <v>522.19999999999368</v>
      </c>
      <c r="G367" s="473"/>
      <c r="H367" s="504">
        <f t="shared" si="104"/>
        <v>7.0000000000000001E-3</v>
      </c>
      <c r="I367" s="14">
        <f t="shared" si="105"/>
        <v>7.0000000000000001E-3</v>
      </c>
      <c r="J367" s="498">
        <f t="shared" si="90"/>
        <v>365.53999999999559</v>
      </c>
      <c r="K367" s="15"/>
      <c r="L367" s="8">
        <f t="shared" si="106"/>
        <v>10.549494949494822</v>
      </c>
      <c r="M367" s="8">
        <f t="shared" si="107"/>
        <v>9.0909090909090917</v>
      </c>
      <c r="N367" s="499" t="str">
        <f t="shared" si="91"/>
        <v/>
      </c>
      <c r="O367" s="4"/>
      <c r="P367" s="118"/>
      <c r="Q367" s="118"/>
      <c r="R367" s="4" t="str">
        <f t="shared" ca="1" si="92"/>
        <v>Ok</v>
      </c>
      <c r="S367" s="501">
        <f ca="1">IF(R367="Não","",COUNTIFS($R$9:R367,"Ok"))</f>
        <v>359</v>
      </c>
      <c r="T367" s="6">
        <f t="shared" ca="1" si="93"/>
        <v>46289</v>
      </c>
      <c r="U367" s="501">
        <f t="shared" ca="1" si="94"/>
        <v>522.19999999999368</v>
      </c>
      <c r="V367" s="501">
        <f t="shared" ca="1" si="95"/>
        <v>10.549494949494822</v>
      </c>
      <c r="W367" s="501">
        <f t="shared" si="96"/>
        <v>0</v>
      </c>
      <c r="X367" s="1">
        <f t="shared" si="97"/>
        <v>0</v>
      </c>
      <c r="Y367" s="1">
        <f t="shared" si="97"/>
        <v>0</v>
      </c>
    </row>
    <row r="368" spans="1:25" s="1" customFormat="1" x14ac:dyDescent="0.25">
      <c r="A368" s="7">
        <f t="shared" si="98"/>
        <v>360</v>
      </c>
      <c r="B368" s="11">
        <f t="shared" si="99"/>
        <v>11</v>
      </c>
      <c r="C368" s="502">
        <f t="shared" si="100"/>
        <v>46290</v>
      </c>
      <c r="D368" s="7">
        <f t="shared" si="101"/>
        <v>100</v>
      </c>
      <c r="E368" s="12">
        <f t="shared" si="102"/>
        <v>0.9</v>
      </c>
      <c r="F368" s="473">
        <f t="shared" si="103"/>
        <v>523.09999999999366</v>
      </c>
      <c r="G368" s="473"/>
      <c r="H368" s="504">
        <f t="shared" si="104"/>
        <v>7.0000000000000001E-3</v>
      </c>
      <c r="I368" s="14">
        <f t="shared" si="105"/>
        <v>7.0000000000000001E-3</v>
      </c>
      <c r="J368" s="498">
        <f t="shared" si="90"/>
        <v>366.16999999999558</v>
      </c>
      <c r="K368" s="15"/>
      <c r="L368" s="8">
        <f t="shared" si="106"/>
        <v>10.567676767676639</v>
      </c>
      <c r="M368" s="8">
        <f t="shared" si="107"/>
        <v>9.0909090909090917</v>
      </c>
      <c r="N368" s="499" t="str">
        <f t="shared" si="91"/>
        <v/>
      </c>
      <c r="O368" s="4"/>
      <c r="P368" s="118"/>
      <c r="Q368" s="118"/>
      <c r="R368" s="4" t="str">
        <f t="shared" ca="1" si="92"/>
        <v>Ok</v>
      </c>
      <c r="S368" s="501">
        <f ca="1">IF(R368="Não","",COUNTIFS($R$9:R368,"Ok"))</f>
        <v>360</v>
      </c>
      <c r="T368" s="6">
        <f t="shared" ca="1" si="93"/>
        <v>46290</v>
      </c>
      <c r="U368" s="501">
        <f t="shared" ca="1" si="94"/>
        <v>523.09999999999366</v>
      </c>
      <c r="V368" s="501">
        <f t="shared" ca="1" si="95"/>
        <v>10.567676767676639</v>
      </c>
      <c r="W368" s="501">
        <f t="shared" si="96"/>
        <v>0</v>
      </c>
      <c r="X368" s="1">
        <f t="shared" si="97"/>
        <v>0</v>
      </c>
      <c r="Y368" s="1">
        <f t="shared" si="97"/>
        <v>0</v>
      </c>
    </row>
    <row r="369" spans="1:25" s="1" customFormat="1" x14ac:dyDescent="0.25">
      <c r="A369" s="7">
        <f t="shared" si="98"/>
        <v>361</v>
      </c>
      <c r="B369" s="11">
        <f t="shared" si="99"/>
        <v>11</v>
      </c>
      <c r="C369" s="502">
        <f t="shared" si="100"/>
        <v>46291</v>
      </c>
      <c r="D369" s="7">
        <f t="shared" si="101"/>
        <v>100</v>
      </c>
      <c r="E369" s="12">
        <f t="shared" si="102"/>
        <v>0.9</v>
      </c>
      <c r="F369" s="473">
        <f t="shared" si="103"/>
        <v>523.99999999999363</v>
      </c>
      <c r="G369" s="473"/>
      <c r="H369" s="504">
        <f t="shared" si="104"/>
        <v>7.0000000000000001E-3</v>
      </c>
      <c r="I369" s="14">
        <f t="shared" si="105"/>
        <v>7.0000000000000001E-3</v>
      </c>
      <c r="J369" s="498">
        <f t="shared" si="90"/>
        <v>366.79999999999552</v>
      </c>
      <c r="K369" s="15"/>
      <c r="L369" s="8">
        <f t="shared" si="106"/>
        <v>10.585858585858457</v>
      </c>
      <c r="M369" s="8">
        <f t="shared" si="107"/>
        <v>9.0909090909090917</v>
      </c>
      <c r="N369" s="499" t="str">
        <f t="shared" si="91"/>
        <v/>
      </c>
      <c r="O369" s="4"/>
      <c r="P369" s="118"/>
      <c r="Q369" s="118"/>
      <c r="R369" s="4" t="str">
        <f t="shared" ca="1" si="92"/>
        <v>Ok</v>
      </c>
      <c r="S369" s="501">
        <f ca="1">IF(R369="Não","",COUNTIFS($R$9:R369,"Ok"))</f>
        <v>361</v>
      </c>
      <c r="T369" s="6">
        <f t="shared" ca="1" si="93"/>
        <v>46291</v>
      </c>
      <c r="U369" s="501">
        <f t="shared" ca="1" si="94"/>
        <v>523.99999999999363</v>
      </c>
      <c r="V369" s="501">
        <f t="shared" ca="1" si="95"/>
        <v>10.585858585858457</v>
      </c>
      <c r="W369" s="501">
        <f t="shared" si="96"/>
        <v>0</v>
      </c>
      <c r="X369" s="1">
        <f t="shared" si="97"/>
        <v>0</v>
      </c>
      <c r="Y369" s="1">
        <f t="shared" si="97"/>
        <v>0</v>
      </c>
    </row>
    <row r="370" spans="1:25" s="1" customFormat="1" x14ac:dyDescent="0.25">
      <c r="A370" s="7">
        <f t="shared" si="98"/>
        <v>362</v>
      </c>
      <c r="B370" s="11">
        <f t="shared" si="99"/>
        <v>11</v>
      </c>
      <c r="C370" s="502">
        <f t="shared" si="100"/>
        <v>46292</v>
      </c>
      <c r="D370" s="7">
        <f t="shared" si="101"/>
        <v>100</v>
      </c>
      <c r="E370" s="12">
        <f t="shared" si="102"/>
        <v>0.9</v>
      </c>
      <c r="F370" s="473">
        <f t="shared" si="103"/>
        <v>524.89999999999361</v>
      </c>
      <c r="G370" s="473"/>
      <c r="H370" s="504">
        <f t="shared" si="104"/>
        <v>7.0000000000000001E-3</v>
      </c>
      <c r="I370" s="14">
        <f t="shared" si="105"/>
        <v>7.0000000000000001E-3</v>
      </c>
      <c r="J370" s="498">
        <f t="shared" si="90"/>
        <v>367.42999999999552</v>
      </c>
      <c r="K370" s="15"/>
      <c r="L370" s="8">
        <f t="shared" si="106"/>
        <v>10.604040404040274</v>
      </c>
      <c r="M370" s="8">
        <f t="shared" si="107"/>
        <v>9.0909090909090917</v>
      </c>
      <c r="N370" s="499" t="str">
        <f t="shared" si="91"/>
        <v/>
      </c>
      <c r="O370" s="4"/>
      <c r="P370" s="118"/>
      <c r="Q370" s="118"/>
      <c r="R370" s="4" t="str">
        <f t="shared" ca="1" si="92"/>
        <v>Ok</v>
      </c>
      <c r="S370" s="501">
        <f ca="1">IF(R370="Não","",COUNTIFS($R$9:R370,"Ok"))</f>
        <v>362</v>
      </c>
      <c r="T370" s="6">
        <f t="shared" ca="1" si="93"/>
        <v>46292</v>
      </c>
      <c r="U370" s="501">
        <f t="shared" ca="1" si="94"/>
        <v>524.89999999999361</v>
      </c>
      <c r="V370" s="501">
        <f t="shared" ca="1" si="95"/>
        <v>10.604040404040274</v>
      </c>
      <c r="W370" s="501">
        <f t="shared" si="96"/>
        <v>0</v>
      </c>
      <c r="X370" s="1">
        <f t="shared" si="97"/>
        <v>0</v>
      </c>
      <c r="Y370" s="1">
        <f t="shared" si="97"/>
        <v>0</v>
      </c>
    </row>
    <row r="371" spans="1:25" s="1" customFormat="1" x14ac:dyDescent="0.25">
      <c r="A371" s="7">
        <f t="shared" si="98"/>
        <v>363</v>
      </c>
      <c r="B371" s="11">
        <f t="shared" si="99"/>
        <v>11</v>
      </c>
      <c r="C371" s="502">
        <f t="shared" si="100"/>
        <v>46293</v>
      </c>
      <c r="D371" s="7">
        <f t="shared" si="101"/>
        <v>100</v>
      </c>
      <c r="E371" s="12">
        <f t="shared" si="102"/>
        <v>0.9</v>
      </c>
      <c r="F371" s="473">
        <f t="shared" si="103"/>
        <v>525.79999999999359</v>
      </c>
      <c r="G371" s="473"/>
      <c r="H371" s="504">
        <f t="shared" si="104"/>
        <v>7.0000000000000001E-3</v>
      </c>
      <c r="I371" s="14">
        <f t="shared" si="105"/>
        <v>7.0000000000000001E-3</v>
      </c>
      <c r="J371" s="498">
        <f t="shared" si="90"/>
        <v>368.05999999999551</v>
      </c>
      <c r="K371" s="15"/>
      <c r="L371" s="8">
        <f t="shared" si="106"/>
        <v>10.622222222222094</v>
      </c>
      <c r="M371" s="8">
        <f t="shared" si="107"/>
        <v>9.0909090909090917</v>
      </c>
      <c r="N371" s="499" t="str">
        <f t="shared" si="91"/>
        <v/>
      </c>
      <c r="O371" s="4"/>
      <c r="P371" s="118"/>
      <c r="Q371" s="118"/>
      <c r="R371" s="4" t="str">
        <f t="shared" ca="1" si="92"/>
        <v>Ok</v>
      </c>
      <c r="S371" s="501">
        <f ca="1">IF(R371="Não","",COUNTIFS($R$9:R371,"Ok"))</f>
        <v>363</v>
      </c>
      <c r="T371" s="6">
        <f t="shared" ca="1" si="93"/>
        <v>46293</v>
      </c>
      <c r="U371" s="501">
        <f t="shared" ca="1" si="94"/>
        <v>525.79999999999359</v>
      </c>
      <c r="V371" s="501">
        <f t="shared" ca="1" si="95"/>
        <v>10.622222222222094</v>
      </c>
      <c r="W371" s="501">
        <f t="shared" si="96"/>
        <v>0</v>
      </c>
      <c r="X371" s="1">
        <f t="shared" si="97"/>
        <v>0</v>
      </c>
      <c r="Y371" s="1">
        <f t="shared" si="97"/>
        <v>0</v>
      </c>
    </row>
    <row r="372" spans="1:25" s="1" customFormat="1" x14ac:dyDescent="0.25">
      <c r="A372" s="7">
        <f t="shared" si="98"/>
        <v>364</v>
      </c>
      <c r="B372" s="11">
        <f t="shared" si="99"/>
        <v>11</v>
      </c>
      <c r="C372" s="502">
        <f t="shared" si="100"/>
        <v>46294</v>
      </c>
      <c r="D372" s="7">
        <f t="shared" si="101"/>
        <v>100</v>
      </c>
      <c r="E372" s="12">
        <f t="shared" si="102"/>
        <v>0.9</v>
      </c>
      <c r="F372" s="473">
        <f t="shared" si="103"/>
        <v>526.69999999999357</v>
      </c>
      <c r="G372" s="473"/>
      <c r="H372" s="504">
        <f t="shared" si="104"/>
        <v>7.0000000000000001E-3</v>
      </c>
      <c r="I372" s="14">
        <f t="shared" si="105"/>
        <v>7.0000000000000001E-3</v>
      </c>
      <c r="J372" s="498">
        <f t="shared" si="90"/>
        <v>368.68999999999551</v>
      </c>
      <c r="K372" s="15"/>
      <c r="L372" s="8">
        <f t="shared" si="106"/>
        <v>10.64040404040391</v>
      </c>
      <c r="M372" s="8">
        <f t="shared" si="107"/>
        <v>9.0909090909090917</v>
      </c>
      <c r="N372" s="499" t="str">
        <f t="shared" si="91"/>
        <v/>
      </c>
      <c r="O372" s="4"/>
      <c r="P372" s="118"/>
      <c r="Q372" s="118"/>
      <c r="R372" s="4" t="str">
        <f t="shared" ca="1" si="92"/>
        <v>Ok</v>
      </c>
      <c r="S372" s="501">
        <f ca="1">IF(R372="Não","",COUNTIFS($R$9:R372,"Ok"))</f>
        <v>364</v>
      </c>
      <c r="T372" s="6">
        <f t="shared" ca="1" si="93"/>
        <v>46294</v>
      </c>
      <c r="U372" s="501">
        <f t="shared" ca="1" si="94"/>
        <v>526.69999999999357</v>
      </c>
      <c r="V372" s="501">
        <f t="shared" ca="1" si="95"/>
        <v>10.64040404040391</v>
      </c>
      <c r="W372" s="501">
        <f t="shared" si="96"/>
        <v>0</v>
      </c>
      <c r="X372" s="1">
        <f t="shared" si="97"/>
        <v>0</v>
      </c>
      <c r="Y372" s="1">
        <f t="shared" si="97"/>
        <v>0</v>
      </c>
    </row>
    <row r="373" spans="1:25" s="1" customFormat="1" x14ac:dyDescent="0.25">
      <c r="A373" s="7">
        <f t="shared" si="98"/>
        <v>365</v>
      </c>
      <c r="B373" s="11">
        <f t="shared" si="99"/>
        <v>11</v>
      </c>
      <c r="C373" s="502">
        <f t="shared" si="100"/>
        <v>46295</v>
      </c>
      <c r="D373" s="7">
        <f t="shared" si="101"/>
        <v>100</v>
      </c>
      <c r="E373" s="12">
        <f t="shared" si="102"/>
        <v>0.9</v>
      </c>
      <c r="F373" s="473">
        <f t="shared" si="103"/>
        <v>527.59999999999354</v>
      </c>
      <c r="G373" s="473"/>
      <c r="H373" s="504">
        <f t="shared" si="104"/>
        <v>7.0000000000000001E-3</v>
      </c>
      <c r="I373" s="14">
        <f t="shared" si="105"/>
        <v>7.0000000000000001E-3</v>
      </c>
      <c r="J373" s="498">
        <f t="shared" si="90"/>
        <v>369.3199999999955</v>
      </c>
      <c r="K373" s="15"/>
      <c r="L373" s="8">
        <f t="shared" si="106"/>
        <v>10.658585858585727</v>
      </c>
      <c r="M373" s="8">
        <f t="shared" si="107"/>
        <v>9.0909090909090917</v>
      </c>
      <c r="N373" s="499" t="str">
        <f t="shared" si="91"/>
        <v/>
      </c>
      <c r="O373" s="4"/>
      <c r="P373" s="118"/>
      <c r="Q373" s="118"/>
      <c r="R373" s="4" t="str">
        <f t="shared" ca="1" si="92"/>
        <v>Ok</v>
      </c>
      <c r="S373" s="501">
        <f ca="1">IF(R373="Não","",COUNTIFS($R$9:R373,"Ok"))</f>
        <v>365</v>
      </c>
      <c r="T373" s="6">
        <f t="shared" ca="1" si="93"/>
        <v>46295</v>
      </c>
      <c r="U373" s="501">
        <f t="shared" ca="1" si="94"/>
        <v>527.59999999999354</v>
      </c>
      <c r="V373" s="501">
        <f t="shared" ca="1" si="95"/>
        <v>10.658585858585727</v>
      </c>
      <c r="W373" s="501">
        <f t="shared" si="96"/>
        <v>0</v>
      </c>
      <c r="X373" s="1">
        <f t="shared" si="97"/>
        <v>0</v>
      </c>
      <c r="Y373" s="1">
        <f t="shared" si="97"/>
        <v>0</v>
      </c>
    </row>
    <row r="374" spans="1:25" s="1" customFormat="1" x14ac:dyDescent="0.25">
      <c r="A374" s="4"/>
      <c r="B374" s="4"/>
      <c r="C374" s="4"/>
      <c r="D374" s="4"/>
      <c r="E374" s="4"/>
      <c r="F374" s="4"/>
      <c r="G374" s="4"/>
      <c r="H374" s="4"/>
      <c r="I374" s="4"/>
      <c r="J374" s="4"/>
      <c r="K374" s="4"/>
      <c r="L374" s="4"/>
      <c r="M374" s="4"/>
      <c r="N374" s="4"/>
      <c r="O374" s="4"/>
      <c r="P374" s="500"/>
      <c r="Q374" s="500"/>
      <c r="R374" s="4"/>
      <c r="S374" s="501"/>
      <c r="T374" s="6" t="str">
        <f t="shared" si="93"/>
        <v/>
      </c>
      <c r="U374" s="501" t="str">
        <f t="shared" si="94"/>
        <v/>
      </c>
      <c r="V374" s="501" t="str">
        <f t="shared" si="95"/>
        <v/>
      </c>
      <c r="W374" s="501">
        <f t="shared" si="96"/>
        <v>0</v>
      </c>
      <c r="X374" s="1">
        <f t="shared" si="97"/>
        <v>0</v>
      </c>
      <c r="Y374" s="1">
        <f t="shared" si="97"/>
        <v>0</v>
      </c>
    </row>
  </sheetData>
  <sheetProtection algorithmName="SHA-512" hashValue="Av7vjLNsXw1lWCYfMJqMwO8JVhQiCS6UwfEt0NnUyZwPj9WDbPInK2h5N0W0oTEYFnkSXVCTbTjLwv8POUZgbA==" saltValue="iiyXgtm8Ega8tndRDpK+Jw==" spinCount="100000" sheet="1" objects="1" scenarios="1" selectLockedCells="1"/>
  <mergeCells count="9">
    <mergeCell ref="A7:N7"/>
    <mergeCell ref="P7:Q7"/>
    <mergeCell ref="X7:Y7"/>
    <mergeCell ref="B1:R1"/>
    <mergeCell ref="A3:C3"/>
    <mergeCell ref="D3:E3"/>
    <mergeCell ref="F3:J3"/>
    <mergeCell ref="K3:L3"/>
    <mergeCell ref="M3:N3"/>
  </mergeCells>
  <dataValidations count="1">
    <dataValidation type="list" allowBlank="1" showErrorMessage="1" sqref="G9:G16" xr:uid="{C2F7677A-EDD2-4662-809B-A18E690B6CA9}">
      <formula1>"-0,0005,-0,001,0,0,0005,0,001"</formula1>
    </dataValidation>
  </dataValidations>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CHUVAS</vt:lpstr>
      <vt:lpstr>Metas</vt:lpstr>
      <vt:lpstr>Adubação</vt:lpstr>
      <vt:lpstr>Dimensionamento de água</vt:lpstr>
      <vt:lpstr>Formulação de suplemento</vt:lpstr>
      <vt:lpstr>Relatório de suplementação</vt:lpstr>
      <vt:lpstr>Resumo suplementação</vt:lpstr>
      <vt:lpstr>Resumo materiais</vt:lpstr>
      <vt:lpstr>Vamos ver</vt:lpstr>
      <vt:lpstr>Fechamento</vt:lpstr>
      <vt:lpstr>Acompanhamento de lotação e sup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João Sauvesuk</dc:creator>
  <cp:lastModifiedBy>app</cp:lastModifiedBy>
  <cp:lastPrinted>2023-02-06T19:01:07Z</cp:lastPrinted>
  <dcterms:created xsi:type="dcterms:W3CDTF">2023-02-06T18:09:32Z</dcterms:created>
  <dcterms:modified xsi:type="dcterms:W3CDTF">2026-10-17T15:16:25Z</dcterms:modified>
</cp:coreProperties>
</file>