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bmsparq\BARRAMANSA_SP\COMERCIAL_SP\Tabela Barra Mansa Caixaria\2025\08_Agosto\29-08-2025\"/>
    </mc:Choice>
  </mc:AlternateContent>
  <bookViews>
    <workbookView xWindow="-120" yWindow="-120" windowWidth="29040" windowHeight="15720" tabRatio="667" activeTab="1"/>
  </bookViews>
  <sheets>
    <sheet name="Promoção" sheetId="15" r:id="rId1"/>
    <sheet name="Tabela Base" sheetId="1" r:id="rId2"/>
    <sheet name="Estoque Atual" sheetId="10" r:id="rId3"/>
    <sheet name="Cortes Traseiros" sheetId="28" r:id="rId4"/>
    <sheet name="Recebimentos do dia " sheetId="13" r:id="rId5"/>
    <sheet name="Negociação" sheetId="29" r:id="rId6"/>
    <sheet name="Tab Ant" sheetId="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2" hidden="1">'Estoque Atual'!$A$1:$I$40</definedName>
    <definedName name="_xlnm._FilterDatabase" localSheetId="4" hidden="1">'Recebimentos do dia '!$B$2:$I$2</definedName>
    <definedName name="_xlnm._FilterDatabase" localSheetId="1" hidden="1">'Tabela Base'!$B$9:$N$282</definedName>
    <definedName name="_xlnm.Print_Area" localSheetId="1">'Tabela Base'!$A$1:$H$238</definedName>
    <definedName name="_xlnm.Print_Titles" localSheetId="1">'Tabela Base'!$9:$9</definedName>
  </definedNames>
  <calcPr calcId="152511"/>
</workbook>
</file>

<file path=xl/calcChain.xml><?xml version="1.0" encoding="utf-8"?>
<calcChain xmlns="http://schemas.openxmlformats.org/spreadsheetml/2006/main">
  <c r="K17" i="1" l="1"/>
  <c r="K18" i="1"/>
  <c r="K19" i="1"/>
  <c r="G68" i="10"/>
  <c r="L66" i="10"/>
  <c r="M66" i="10" s="1"/>
  <c r="N66" i="10" s="1"/>
  <c r="K66" i="10"/>
  <c r="L65" i="10"/>
  <c r="K65" i="10"/>
  <c r="M65" i="10" s="1"/>
  <c r="N65" i="10" s="1"/>
  <c r="I65" i="10"/>
  <c r="L64" i="10"/>
  <c r="M64" i="10" s="1"/>
  <c r="N64" i="10" s="1"/>
  <c r="K64" i="10"/>
  <c r="I64" i="10"/>
  <c r="L63" i="10"/>
  <c r="K63" i="10"/>
  <c r="I63" i="10"/>
  <c r="L62" i="10"/>
  <c r="M62" i="10" s="1"/>
  <c r="N62" i="10" s="1"/>
  <c r="K62" i="10"/>
  <c r="I62" i="10"/>
  <c r="L61" i="10"/>
  <c r="M61" i="10" s="1"/>
  <c r="N61" i="10" s="1"/>
  <c r="K61" i="10"/>
  <c r="I61" i="10"/>
  <c r="L60" i="10"/>
  <c r="K60" i="10"/>
  <c r="M60" i="10" s="1"/>
  <c r="N60" i="10" s="1"/>
  <c r="I60" i="10"/>
  <c r="I66" i="10" s="1"/>
  <c r="L59" i="10"/>
  <c r="K59" i="10"/>
  <c r="L58" i="10"/>
  <c r="K58" i="10"/>
  <c r="L57" i="10"/>
  <c r="K57" i="10"/>
  <c r="I57" i="10"/>
  <c r="I58" i="10" s="1"/>
  <c r="L56" i="10"/>
  <c r="K56" i="10"/>
  <c r="M56" i="10" s="1"/>
  <c r="N56" i="10" s="1"/>
  <c r="L55" i="10"/>
  <c r="K55" i="10"/>
  <c r="M55" i="10" s="1"/>
  <c r="N55" i="10" s="1"/>
  <c r="L54" i="10"/>
  <c r="K54" i="10"/>
  <c r="I54" i="10"/>
  <c r="I55" i="10" s="1"/>
  <c r="L53" i="10"/>
  <c r="K53" i="10"/>
  <c r="M53" i="10" s="1"/>
  <c r="N53" i="10" s="1"/>
  <c r="I53" i="10"/>
  <c r="L52" i="10"/>
  <c r="M52" i="10" s="1"/>
  <c r="N52" i="10" s="1"/>
  <c r="K52" i="10"/>
  <c r="L51" i="10"/>
  <c r="K51" i="10"/>
  <c r="L50" i="10"/>
  <c r="K50" i="10"/>
  <c r="M50" i="10" s="1"/>
  <c r="N50" i="10" s="1"/>
  <c r="I50" i="10"/>
  <c r="L49" i="10"/>
  <c r="K49" i="10"/>
  <c r="I49" i="10"/>
  <c r="I51" i="10" s="1"/>
  <c r="L48" i="10"/>
  <c r="K48" i="10"/>
  <c r="M48" i="10" s="1"/>
  <c r="N48" i="10" s="1"/>
  <c r="L47" i="10"/>
  <c r="K47" i="10"/>
  <c r="L46" i="10"/>
  <c r="K46" i="10"/>
  <c r="I46" i="10"/>
  <c r="L45" i="10"/>
  <c r="K45" i="10"/>
  <c r="M45" i="10" s="1"/>
  <c r="N45" i="10" s="1"/>
  <c r="I45" i="10"/>
  <c r="L44" i="10"/>
  <c r="K44" i="10"/>
  <c r="M44" i="10" s="1"/>
  <c r="N44" i="10" s="1"/>
  <c r="I44" i="10"/>
  <c r="L43" i="10"/>
  <c r="K43" i="10"/>
  <c r="I43" i="10"/>
  <c r="L42" i="10"/>
  <c r="K42" i="10"/>
  <c r="I42" i="10"/>
  <c r="L41" i="10"/>
  <c r="M41" i="10" s="1"/>
  <c r="N41" i="10" s="1"/>
  <c r="K41" i="10"/>
  <c r="I41" i="10"/>
  <c r="L40" i="10"/>
  <c r="K40" i="10"/>
  <c r="M40" i="10" s="1"/>
  <c r="N40" i="10" s="1"/>
  <c r="I40" i="10"/>
  <c r="L39" i="10"/>
  <c r="K39" i="10"/>
  <c r="M39" i="10" s="1"/>
  <c r="N39" i="10" s="1"/>
  <c r="I39" i="10"/>
  <c r="L38" i="10"/>
  <c r="M38" i="10" s="1"/>
  <c r="N38" i="10" s="1"/>
  <c r="K38" i="10"/>
  <c r="I38" i="10"/>
  <c r="M37" i="10"/>
  <c r="N37" i="10" s="1"/>
  <c r="L37" i="10"/>
  <c r="K37" i="10"/>
  <c r="I37" i="10"/>
  <c r="L36" i="10"/>
  <c r="K36" i="10"/>
  <c r="I36" i="10"/>
  <c r="L35" i="10"/>
  <c r="K35" i="10"/>
  <c r="M35" i="10" s="1"/>
  <c r="N35" i="10" s="1"/>
  <c r="I35" i="10"/>
  <c r="L34" i="10"/>
  <c r="M34" i="10" s="1"/>
  <c r="N34" i="10" s="1"/>
  <c r="K34" i="10"/>
  <c r="I34" i="10"/>
  <c r="L33" i="10"/>
  <c r="K33" i="10"/>
  <c r="M33" i="10" s="1"/>
  <c r="N33" i="10" s="1"/>
  <c r="I33" i="10"/>
  <c r="L32" i="10"/>
  <c r="K32" i="10"/>
  <c r="I32" i="10"/>
  <c r="L31" i="10"/>
  <c r="K31" i="10"/>
  <c r="M31" i="10" s="1"/>
  <c r="N31" i="10" s="1"/>
  <c r="I31" i="10"/>
  <c r="L30" i="10"/>
  <c r="K30" i="10"/>
  <c r="I30" i="10"/>
  <c r="L29" i="10"/>
  <c r="K29" i="10"/>
  <c r="M29" i="10" s="1"/>
  <c r="N29" i="10" s="1"/>
  <c r="I29" i="10"/>
  <c r="L28" i="10"/>
  <c r="K28" i="10"/>
  <c r="M28" i="10" s="1"/>
  <c r="N28" i="10" s="1"/>
  <c r="I28" i="10"/>
  <c r="L27" i="10"/>
  <c r="K27" i="10"/>
  <c r="I27" i="10"/>
  <c r="L26" i="10"/>
  <c r="M26" i="10" s="1"/>
  <c r="N26" i="10" s="1"/>
  <c r="K26" i="10"/>
  <c r="I26" i="10"/>
  <c r="L25" i="10"/>
  <c r="M25" i="10" s="1"/>
  <c r="N25" i="10" s="1"/>
  <c r="K25" i="10"/>
  <c r="I25" i="10"/>
  <c r="L24" i="10"/>
  <c r="K24" i="10"/>
  <c r="M24" i="10" s="1"/>
  <c r="N24" i="10" s="1"/>
  <c r="I24" i="10"/>
  <c r="L23" i="10"/>
  <c r="K23" i="10"/>
  <c r="I23" i="10"/>
  <c r="I47" i="10" s="1"/>
  <c r="L22" i="10"/>
  <c r="K22" i="10"/>
  <c r="L21" i="10"/>
  <c r="K21" i="10"/>
  <c r="M20" i="10"/>
  <c r="N20" i="10" s="1"/>
  <c r="L20" i="10"/>
  <c r="K20" i="10"/>
  <c r="I20" i="10"/>
  <c r="L19" i="10"/>
  <c r="K19" i="10"/>
  <c r="I19" i="10"/>
  <c r="L18" i="10"/>
  <c r="K18" i="10"/>
  <c r="I18" i="10"/>
  <c r="L17" i="10"/>
  <c r="K17" i="10"/>
  <c r="I17" i="10"/>
  <c r="I21" i="10" s="1"/>
  <c r="L16" i="10"/>
  <c r="K16" i="10"/>
  <c r="M16" i="10" s="1"/>
  <c r="N16" i="10" s="1"/>
  <c r="M15" i="10"/>
  <c r="N15" i="10" s="1"/>
  <c r="L15" i="10"/>
  <c r="K15" i="10"/>
  <c r="L14" i="10"/>
  <c r="K14" i="10"/>
  <c r="I14" i="10"/>
  <c r="L13" i="10"/>
  <c r="K13" i="10"/>
  <c r="M13" i="10" s="1"/>
  <c r="N13" i="10" s="1"/>
  <c r="I13" i="10"/>
  <c r="L12" i="10"/>
  <c r="K12" i="10"/>
  <c r="I12" i="10"/>
  <c r="I15" i="10" s="1"/>
  <c r="M11" i="10"/>
  <c r="N11" i="10" s="1"/>
  <c r="L11" i="10"/>
  <c r="K11" i="10"/>
  <c r="M10" i="10"/>
  <c r="N10" i="10" s="1"/>
  <c r="L10" i="10"/>
  <c r="K10" i="10"/>
  <c r="L9" i="10"/>
  <c r="K9" i="10"/>
  <c r="M9" i="10" s="1"/>
  <c r="N9" i="10" s="1"/>
  <c r="I9" i="10"/>
  <c r="L8" i="10"/>
  <c r="K8" i="10"/>
  <c r="M8" i="10" s="1"/>
  <c r="N8" i="10" s="1"/>
  <c r="I8" i="10"/>
  <c r="I10" i="10" s="1"/>
  <c r="L7" i="10"/>
  <c r="M7" i="10" s="1"/>
  <c r="N7" i="10" s="1"/>
  <c r="K7" i="10"/>
  <c r="M63" i="10" l="1"/>
  <c r="N63" i="10" s="1"/>
  <c r="M42" i="10"/>
  <c r="N42" i="10" s="1"/>
  <c r="M46" i="10"/>
  <c r="N46" i="10" s="1"/>
  <c r="M12" i="10"/>
  <c r="N12" i="10" s="1"/>
  <c r="M32" i="10"/>
  <c r="N32" i="10" s="1"/>
  <c r="M43" i="10"/>
  <c r="N43" i="10" s="1"/>
  <c r="M47" i="10"/>
  <c r="N47" i="10" s="1"/>
  <c r="M51" i="10"/>
  <c r="N51" i="10" s="1"/>
  <c r="M36" i="10"/>
  <c r="N36" i="10" s="1"/>
  <c r="M17" i="10"/>
  <c r="N17" i="10" s="1"/>
  <c r="M21" i="10"/>
  <c r="N21" i="10" s="1"/>
  <c r="M14" i="10"/>
  <c r="N14" i="10" s="1"/>
  <c r="M18" i="10"/>
  <c r="N18" i="10" s="1"/>
  <c r="M22" i="10"/>
  <c r="N22" i="10" s="1"/>
  <c r="M49" i="10"/>
  <c r="N49" i="10" s="1"/>
  <c r="M57" i="10"/>
  <c r="N57" i="10" s="1"/>
  <c r="M58" i="10"/>
  <c r="N58" i="10" s="1"/>
  <c r="M23" i="10"/>
  <c r="N23" i="10" s="1"/>
  <c r="M30" i="10"/>
  <c r="N30" i="10" s="1"/>
  <c r="M54" i="10"/>
  <c r="N54" i="10" s="1"/>
  <c r="M19" i="10"/>
  <c r="N19" i="10" s="1"/>
  <c r="M27" i="10"/>
  <c r="N27" i="10" s="1"/>
  <c r="M59" i="10"/>
  <c r="N59" i="10" s="1"/>
  <c r="I68" i="10"/>
  <c r="G8" i="13" l="1"/>
  <c r="G7" i="13"/>
  <c r="G6" i="13"/>
  <c r="G5" i="13"/>
  <c r="G4" i="13"/>
  <c r="G3" i="13"/>
  <c r="M5" i="13" l="1"/>
  <c r="M4" i="13"/>
  <c r="M3" i="13"/>
  <c r="N5" i="13" l="1"/>
  <c r="M6" i="13" s="1"/>
  <c r="H16" i="13" l="1"/>
  <c r="D3" i="13" l="1"/>
  <c r="D4" i="13"/>
  <c r="D5" i="13"/>
  <c r="D6" i="13"/>
  <c r="D7" i="13"/>
  <c r="D8" i="13"/>
  <c r="D9" i="13"/>
  <c r="C14" i="28" l="1"/>
  <c r="F34" i="28" l="1"/>
  <c r="F33" i="28"/>
  <c r="J29" i="1" l="1"/>
  <c r="H29" i="1" s="1"/>
  <c r="D5" i="28"/>
  <c r="N15" i="1" l="1"/>
  <c r="N16" i="1"/>
  <c r="K243" i="1" l="1"/>
  <c r="D25" i="15"/>
  <c r="D22" i="15"/>
  <c r="D23" i="15"/>
  <c r="D24" i="15"/>
  <c r="D26" i="15"/>
  <c r="D27" i="15"/>
  <c r="D28" i="15"/>
  <c r="D21" i="15"/>
  <c r="D5" i="15"/>
  <c r="H30" i="15"/>
  <c r="K30" i="15" s="1"/>
  <c r="G30" i="15"/>
  <c r="D30" i="15"/>
  <c r="C30" i="15"/>
  <c r="B30" i="15"/>
  <c r="H29" i="15"/>
  <c r="K29" i="15" s="1"/>
  <c r="G29" i="15"/>
  <c r="D29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F19" i="15"/>
  <c r="D7" i="15"/>
  <c r="I30" i="15" l="1"/>
  <c r="I29" i="15"/>
  <c r="J29" i="15"/>
  <c r="J30" i="15"/>
  <c r="M124" i="1" l="1"/>
  <c r="H12" i="13" l="1"/>
  <c r="N226" i="1"/>
  <c r="K226" i="1"/>
  <c r="J226" i="1"/>
  <c r="H226" i="1" s="1"/>
  <c r="L226" i="1" l="1"/>
  <c r="M226" i="1"/>
  <c r="K239" i="1"/>
  <c r="L239" i="1" s="1"/>
  <c r="M239" i="1" s="1"/>
  <c r="J239" i="1"/>
  <c r="N239" i="1"/>
  <c r="D28" i="13" l="1"/>
  <c r="H28" i="13"/>
  <c r="I28" i="13" s="1"/>
  <c r="D29" i="13"/>
  <c r="H29" i="13"/>
  <c r="I29" i="13" s="1"/>
  <c r="D30" i="13"/>
  <c r="H30" i="13"/>
  <c r="I30" i="13" s="1"/>
  <c r="D31" i="13"/>
  <c r="H31" i="13"/>
  <c r="I31" i="13" s="1"/>
  <c r="D32" i="13"/>
  <c r="H32" i="13"/>
  <c r="I32" i="13" s="1"/>
  <c r="D33" i="13"/>
  <c r="H33" i="13"/>
  <c r="I33" i="13" s="1"/>
  <c r="J62" i="1"/>
  <c r="H62" i="1" s="1"/>
  <c r="J24" i="1"/>
  <c r="J61" i="1"/>
  <c r="H61" i="1" s="1"/>
  <c r="D34" i="13" l="1"/>
  <c r="H34" i="13"/>
  <c r="I34" i="13" s="1"/>
  <c r="N24" i="1"/>
  <c r="K238" i="1"/>
  <c r="M238" i="1" s="1"/>
  <c r="H239" i="1"/>
  <c r="K24" i="1" l="1"/>
  <c r="J124" i="1"/>
  <c r="H124" i="1" s="1"/>
  <c r="H27" i="13"/>
  <c r="I27" i="13" s="1"/>
  <c r="H26" i="13"/>
  <c r="D26" i="13"/>
  <c r="D27" i="13"/>
  <c r="J70" i="1"/>
  <c r="H70" i="1" s="1"/>
  <c r="L24" i="1" l="1"/>
  <c r="M24" i="1"/>
  <c r="I26" i="13"/>
  <c r="K62" i="1" s="1"/>
  <c r="N62" i="1"/>
  <c r="J158" i="1"/>
  <c r="H158" i="1" s="1"/>
  <c r="K158" i="1"/>
  <c r="N158" i="1"/>
  <c r="J84" i="1"/>
  <c r="H84" i="1" s="1"/>
  <c r="D10" i="13"/>
  <c r="N6" i="13"/>
  <c r="L158" i="1" l="1"/>
  <c r="M158" i="1"/>
  <c r="L62" i="1"/>
  <c r="M62" i="1"/>
  <c r="F3" i="15"/>
  <c r="N190" i="1" l="1"/>
  <c r="K190" i="1"/>
  <c r="J190" i="1"/>
  <c r="H190" i="1" s="1"/>
  <c r="L190" i="1" l="1"/>
  <c r="M190" i="1"/>
  <c r="K220" i="1"/>
  <c r="L220" i="1" l="1"/>
  <c r="M220" i="1"/>
  <c r="H11" i="13"/>
  <c r="H10" i="13"/>
  <c r="B5" i="15" l="1"/>
  <c r="J165" i="1" l="1"/>
  <c r="H165" i="1" s="1"/>
  <c r="D11" i="13" l="1"/>
  <c r="D12" i="13"/>
  <c r="D13" i="13"/>
  <c r="D14" i="13"/>
  <c r="D15" i="13"/>
  <c r="D16" i="13"/>
  <c r="D17" i="13"/>
  <c r="D18" i="13"/>
  <c r="D19" i="13"/>
  <c r="D20" i="13"/>
  <c r="D21" i="13"/>
  <c r="D22" i="13"/>
  <c r="D23" i="13"/>
  <c r="J32" i="1" l="1"/>
  <c r="H32" i="1" s="1"/>
  <c r="H9" i="13" l="1"/>
  <c r="N206" i="1" l="1"/>
  <c r="K206" i="1"/>
  <c r="J206" i="1"/>
  <c r="L206" i="1" l="1"/>
  <c r="M206" i="1"/>
  <c r="K229" i="1"/>
  <c r="N231" i="1"/>
  <c r="K231" i="1"/>
  <c r="J231" i="1"/>
  <c r="H231" i="1" s="1"/>
  <c r="N230" i="1"/>
  <c r="K230" i="1"/>
  <c r="J230" i="1"/>
  <c r="H230" i="1" s="1"/>
  <c r="N229" i="1"/>
  <c r="J229" i="1"/>
  <c r="H229" i="1" s="1"/>
  <c r="K237" i="1"/>
  <c r="M237" i="1" s="1"/>
  <c r="L230" i="1" l="1"/>
  <c r="M230" i="1"/>
  <c r="L231" i="1"/>
  <c r="M231" i="1"/>
  <c r="L229" i="1"/>
  <c r="M229" i="1"/>
  <c r="J13" i="1"/>
  <c r="G22" i="15" s="1"/>
  <c r="H3" i="13" l="1"/>
  <c r="H4" i="13" l="1"/>
  <c r="H5" i="13"/>
  <c r="H6" i="13"/>
  <c r="H7" i="13"/>
  <c r="N70" i="1" s="1"/>
  <c r="N238" i="1" l="1"/>
  <c r="L238" i="1"/>
  <c r="J238" i="1"/>
  <c r="H238" i="1" s="1"/>
  <c r="J157" i="1" l="1"/>
  <c r="H157" i="1" s="1"/>
  <c r="N157" i="1"/>
  <c r="K157" i="1"/>
  <c r="L157" i="1" l="1"/>
  <c r="M157" i="1"/>
  <c r="I11" i="13"/>
  <c r="K221" i="1"/>
  <c r="M221" i="1" s="1"/>
  <c r="K222" i="1"/>
  <c r="M222" i="1" s="1"/>
  <c r="N224" i="1" l="1"/>
  <c r="K224" i="1"/>
  <c r="M224" i="1" s="1"/>
  <c r="J224" i="1"/>
  <c r="N225" i="1"/>
  <c r="K225" i="1"/>
  <c r="M225" i="1" s="1"/>
  <c r="J225" i="1"/>
  <c r="H225" i="1" s="1"/>
  <c r="K217" i="1"/>
  <c r="M217" i="1" s="1"/>
  <c r="L224" i="1" l="1"/>
  <c r="L225" i="1"/>
  <c r="J50" i="1" l="1"/>
  <c r="H50" i="1" s="1"/>
  <c r="J81" i="1" l="1"/>
  <c r="H81" i="1" s="1"/>
  <c r="J30" i="1" l="1"/>
  <c r="H30" i="1" s="1"/>
  <c r="J67" i="1"/>
  <c r="H67" i="1" s="1"/>
  <c r="I3" i="13" l="1"/>
  <c r="I10" i="13" l="1"/>
  <c r="N282" i="1" l="1"/>
  <c r="K282" i="1"/>
  <c r="J282" i="1"/>
  <c r="H282" i="1" s="1"/>
  <c r="N281" i="1"/>
  <c r="K281" i="1"/>
  <c r="J281" i="1"/>
  <c r="H281" i="1" s="1"/>
  <c r="N280" i="1"/>
  <c r="K280" i="1"/>
  <c r="J280" i="1"/>
  <c r="H280" i="1" s="1"/>
  <c r="N279" i="1"/>
  <c r="K279" i="1"/>
  <c r="J279" i="1"/>
  <c r="H279" i="1" s="1"/>
  <c r="N278" i="1"/>
  <c r="K278" i="1"/>
  <c r="J278" i="1"/>
  <c r="H278" i="1" s="1"/>
  <c r="N277" i="1"/>
  <c r="K277" i="1"/>
  <c r="J277" i="1"/>
  <c r="H277" i="1" s="1"/>
  <c r="N276" i="1"/>
  <c r="K276" i="1"/>
  <c r="M276" i="1" s="1"/>
  <c r="J276" i="1"/>
  <c r="H276" i="1" s="1"/>
  <c r="N275" i="1"/>
  <c r="K275" i="1"/>
  <c r="J275" i="1"/>
  <c r="H275" i="1" s="1"/>
  <c r="J274" i="1"/>
  <c r="N272" i="1"/>
  <c r="K272" i="1"/>
  <c r="J272" i="1"/>
  <c r="H272" i="1" s="1"/>
  <c r="N271" i="1"/>
  <c r="K271" i="1"/>
  <c r="M271" i="1" s="1"/>
  <c r="J271" i="1"/>
  <c r="H271" i="1" s="1"/>
  <c r="N270" i="1"/>
  <c r="K270" i="1"/>
  <c r="J270" i="1"/>
  <c r="H270" i="1" s="1"/>
  <c r="N269" i="1"/>
  <c r="K269" i="1"/>
  <c r="M269" i="1" s="1"/>
  <c r="J269" i="1"/>
  <c r="H269" i="1" s="1"/>
  <c r="N268" i="1"/>
  <c r="K268" i="1"/>
  <c r="J268" i="1"/>
  <c r="H268" i="1" s="1"/>
  <c r="N267" i="1"/>
  <c r="K267" i="1"/>
  <c r="M267" i="1" s="1"/>
  <c r="J267" i="1"/>
  <c r="H267" i="1" s="1"/>
  <c r="N266" i="1"/>
  <c r="K266" i="1"/>
  <c r="J266" i="1"/>
  <c r="H266" i="1" s="1"/>
  <c r="N265" i="1"/>
  <c r="K265" i="1"/>
  <c r="J265" i="1"/>
  <c r="H265" i="1" s="1"/>
  <c r="N264" i="1"/>
  <c r="K264" i="1"/>
  <c r="J264" i="1"/>
  <c r="H264" i="1" s="1"/>
  <c r="N263" i="1"/>
  <c r="K263" i="1"/>
  <c r="M263" i="1" s="1"/>
  <c r="J263" i="1"/>
  <c r="H263" i="1" s="1"/>
  <c r="N262" i="1"/>
  <c r="K262" i="1"/>
  <c r="J262" i="1"/>
  <c r="H262" i="1" s="1"/>
  <c r="N261" i="1"/>
  <c r="K261" i="1"/>
  <c r="M261" i="1" s="1"/>
  <c r="J261" i="1"/>
  <c r="H261" i="1" s="1"/>
  <c r="N260" i="1"/>
  <c r="K260" i="1"/>
  <c r="J260" i="1"/>
  <c r="H260" i="1" s="1"/>
  <c r="N259" i="1"/>
  <c r="K259" i="1"/>
  <c r="M259" i="1" s="1"/>
  <c r="J259" i="1"/>
  <c r="H259" i="1" s="1"/>
  <c r="N258" i="1"/>
  <c r="K258" i="1"/>
  <c r="J258" i="1"/>
  <c r="H258" i="1" s="1"/>
  <c r="N257" i="1"/>
  <c r="K257" i="1"/>
  <c r="J257" i="1"/>
  <c r="H257" i="1" s="1"/>
  <c r="N256" i="1"/>
  <c r="K256" i="1"/>
  <c r="J256" i="1"/>
  <c r="H256" i="1" s="1"/>
  <c r="N255" i="1"/>
  <c r="K255" i="1"/>
  <c r="M255" i="1" s="1"/>
  <c r="J255" i="1"/>
  <c r="H255" i="1" s="1"/>
  <c r="N254" i="1"/>
  <c r="K254" i="1"/>
  <c r="J254" i="1"/>
  <c r="H254" i="1" s="1"/>
  <c r="N253" i="1"/>
  <c r="K253" i="1"/>
  <c r="J253" i="1"/>
  <c r="H253" i="1" s="1"/>
  <c r="N252" i="1"/>
  <c r="K252" i="1"/>
  <c r="J252" i="1"/>
  <c r="H252" i="1" s="1"/>
  <c r="N251" i="1"/>
  <c r="K251" i="1"/>
  <c r="M251" i="1" s="1"/>
  <c r="J251" i="1"/>
  <c r="H251" i="1" s="1"/>
  <c r="N250" i="1"/>
  <c r="K250" i="1"/>
  <c r="J250" i="1"/>
  <c r="H250" i="1" s="1"/>
  <c r="N249" i="1"/>
  <c r="K249" i="1"/>
  <c r="J249" i="1"/>
  <c r="H249" i="1" s="1"/>
  <c r="N248" i="1"/>
  <c r="K248" i="1"/>
  <c r="J248" i="1"/>
  <c r="H248" i="1" s="1"/>
  <c r="J154" i="1"/>
  <c r="H154" i="1" s="1"/>
  <c r="L260" i="1" l="1"/>
  <c r="M260" i="1"/>
  <c r="L268" i="1"/>
  <c r="M268" i="1"/>
  <c r="L275" i="1"/>
  <c r="M275" i="1"/>
  <c r="L249" i="1"/>
  <c r="M249" i="1"/>
  <c r="L278" i="1"/>
  <c r="M278" i="1"/>
  <c r="L252" i="1"/>
  <c r="M252" i="1"/>
  <c r="L258" i="1"/>
  <c r="M258" i="1"/>
  <c r="L281" i="1"/>
  <c r="M281" i="1"/>
  <c r="L250" i="1"/>
  <c r="M250" i="1"/>
  <c r="L266" i="1"/>
  <c r="M266" i="1"/>
  <c r="L280" i="1"/>
  <c r="M280" i="1"/>
  <c r="L253" i="1"/>
  <c r="M253" i="1"/>
  <c r="L248" i="1"/>
  <c r="M248" i="1"/>
  <c r="L256" i="1"/>
  <c r="M256" i="1"/>
  <c r="L264" i="1"/>
  <c r="M264" i="1"/>
  <c r="L272" i="1"/>
  <c r="M272" i="1"/>
  <c r="L279" i="1"/>
  <c r="M279" i="1"/>
  <c r="L265" i="1"/>
  <c r="M265" i="1"/>
  <c r="L282" i="1"/>
  <c r="M282" i="1"/>
  <c r="L257" i="1"/>
  <c r="M257" i="1"/>
  <c r="L254" i="1"/>
  <c r="M254" i="1"/>
  <c r="L262" i="1"/>
  <c r="M262" i="1"/>
  <c r="L270" i="1"/>
  <c r="M270" i="1"/>
  <c r="L277" i="1"/>
  <c r="M277" i="1"/>
  <c r="L261" i="1"/>
  <c r="L269" i="1"/>
  <c r="L276" i="1"/>
  <c r="L251" i="1"/>
  <c r="L255" i="1"/>
  <c r="L259" i="1"/>
  <c r="L263" i="1"/>
  <c r="L267" i="1"/>
  <c r="L271" i="1"/>
  <c r="J101" i="1"/>
  <c r="H101" i="1" s="1"/>
  <c r="J236" i="1" l="1"/>
  <c r="H236" i="1" s="1"/>
  <c r="J237" i="1"/>
  <c r="H237" i="1" s="1"/>
  <c r="J245" i="1" l="1"/>
  <c r="H245" i="1" s="1"/>
  <c r="N244" i="1"/>
  <c r="K244" i="1"/>
  <c r="J244" i="1"/>
  <c r="H244" i="1" s="1"/>
  <c r="J243" i="1"/>
  <c r="H243" i="1" s="1"/>
  <c r="N242" i="1"/>
  <c r="K242" i="1"/>
  <c r="J242" i="1"/>
  <c r="H242" i="1" s="1"/>
  <c r="L242" i="1" l="1"/>
  <c r="M242" i="1"/>
  <c r="L244" i="1"/>
  <c r="M244" i="1"/>
  <c r="N234" i="1"/>
  <c r="K234" i="1"/>
  <c r="M234" i="1" s="1"/>
  <c r="J234" i="1"/>
  <c r="H234" i="1" s="1"/>
  <c r="N233" i="1"/>
  <c r="K233" i="1"/>
  <c r="M233" i="1" s="1"/>
  <c r="J233" i="1"/>
  <c r="H233" i="1" s="1"/>
  <c r="L233" i="1" l="1"/>
  <c r="L234" i="1"/>
  <c r="J73" i="1" l="1"/>
  <c r="H73" i="1" s="1"/>
  <c r="J189" i="1" l="1"/>
  <c r="H189" i="1" s="1"/>
  <c r="B6" i="15" l="1"/>
  <c r="C6" i="15"/>
  <c r="D6" i="15"/>
  <c r="B7" i="15"/>
  <c r="C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C35" i="15"/>
  <c r="G36" i="15"/>
  <c r="H36" i="15"/>
  <c r="M36" i="15"/>
  <c r="G37" i="15"/>
  <c r="H37" i="15"/>
  <c r="M37" i="15"/>
  <c r="G38" i="15"/>
  <c r="H38" i="15"/>
  <c r="M38" i="15"/>
  <c r="G39" i="15"/>
  <c r="H39" i="15"/>
  <c r="M39" i="15"/>
  <c r="G40" i="15"/>
  <c r="H40" i="15"/>
  <c r="M40" i="15"/>
  <c r="G41" i="15"/>
  <c r="H41" i="15"/>
  <c r="M41" i="15"/>
  <c r="G42" i="15"/>
  <c r="H42" i="15"/>
  <c r="M42" i="15"/>
  <c r="G43" i="15"/>
  <c r="H43" i="15"/>
  <c r="M43" i="15"/>
  <c r="G44" i="15"/>
  <c r="H44" i="15"/>
  <c r="M44" i="15"/>
  <c r="G45" i="15"/>
  <c r="H45" i="15"/>
  <c r="M45" i="15"/>
  <c r="G46" i="15"/>
  <c r="H46" i="15"/>
  <c r="M46" i="15"/>
  <c r="G47" i="15"/>
  <c r="H47" i="15"/>
  <c r="M47" i="15"/>
  <c r="G48" i="15"/>
  <c r="H48" i="15"/>
  <c r="M48" i="15"/>
  <c r="G49" i="15"/>
  <c r="H49" i="15"/>
  <c r="M49" i="15"/>
  <c r="G50" i="15"/>
  <c r="H50" i="15"/>
  <c r="M50" i="15"/>
  <c r="G51" i="15"/>
  <c r="H51" i="15"/>
  <c r="M51" i="15"/>
  <c r="G52" i="15"/>
  <c r="H52" i="15"/>
  <c r="M52" i="15"/>
  <c r="G53" i="15"/>
  <c r="H53" i="15"/>
  <c r="M53" i="15"/>
  <c r="G54" i="15"/>
  <c r="H54" i="15"/>
  <c r="M54" i="15"/>
  <c r="G55" i="15"/>
  <c r="H55" i="15"/>
  <c r="M55" i="15"/>
  <c r="G56" i="15"/>
  <c r="H56" i="15"/>
  <c r="M56" i="15"/>
  <c r="G57" i="15"/>
  <c r="H57" i="15"/>
  <c r="M57" i="15"/>
  <c r="G58" i="15"/>
  <c r="H58" i="15"/>
  <c r="M58" i="15"/>
  <c r="C46" i="15"/>
  <c r="C47" i="15"/>
  <c r="C48" i="15"/>
  <c r="C49" i="15"/>
  <c r="C50" i="15"/>
  <c r="C51" i="15"/>
  <c r="C52" i="15"/>
  <c r="C53" i="15"/>
  <c r="D42" i="15"/>
  <c r="E42" i="15" s="1"/>
  <c r="F42" i="15" s="1"/>
  <c r="D43" i="15"/>
  <c r="E43" i="15" s="1"/>
  <c r="F43" i="15" s="1"/>
  <c r="D44" i="15"/>
  <c r="E44" i="15" s="1"/>
  <c r="D45" i="15"/>
  <c r="E45" i="15" s="1"/>
  <c r="F45" i="15" s="1"/>
  <c r="D46" i="15"/>
  <c r="E46" i="15" s="1"/>
  <c r="D47" i="15"/>
  <c r="E47" i="15" s="1"/>
  <c r="F47" i="15" s="1"/>
  <c r="D48" i="15"/>
  <c r="E48" i="15" s="1"/>
  <c r="D49" i="15"/>
  <c r="E49" i="15" s="1"/>
  <c r="F49" i="15" s="1"/>
  <c r="D50" i="15"/>
  <c r="E50" i="15" s="1"/>
  <c r="D51" i="15"/>
  <c r="E51" i="15" s="1"/>
  <c r="F51" i="15" s="1"/>
  <c r="D52" i="15"/>
  <c r="E52" i="15" s="1"/>
  <c r="D53" i="15"/>
  <c r="E53" i="15" s="1"/>
  <c r="F53" i="15" s="1"/>
  <c r="D54" i="15"/>
  <c r="E54" i="15" s="1"/>
  <c r="D55" i="15"/>
  <c r="E55" i="15" s="1"/>
  <c r="F55" i="15" s="1"/>
  <c r="D56" i="15"/>
  <c r="E56" i="15" s="1"/>
  <c r="F56" i="15" s="1"/>
  <c r="D57" i="15"/>
  <c r="E57" i="15" s="1"/>
  <c r="F57" i="15" s="1"/>
  <c r="D58" i="15"/>
  <c r="E58" i="15" s="1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C45" i="15"/>
  <c r="C44" i="15"/>
  <c r="C43" i="15"/>
  <c r="C42" i="15"/>
  <c r="C41" i="15"/>
  <c r="C40" i="15"/>
  <c r="C39" i="15"/>
  <c r="J52" i="15" l="1"/>
  <c r="I53" i="15"/>
  <c r="I45" i="15"/>
  <c r="J44" i="15"/>
  <c r="F58" i="15"/>
  <c r="K58" i="15" s="1"/>
  <c r="J58" i="15"/>
  <c r="F54" i="15"/>
  <c r="K54" i="15" s="1"/>
  <c r="J54" i="15"/>
  <c r="F50" i="15"/>
  <c r="K50" i="15" s="1"/>
  <c r="J50" i="15"/>
  <c r="F46" i="15"/>
  <c r="K46" i="15" s="1"/>
  <c r="J46" i="15"/>
  <c r="F48" i="15"/>
  <c r="K48" i="15" s="1"/>
  <c r="J48" i="15"/>
  <c r="J56" i="15"/>
  <c r="I55" i="15"/>
  <c r="I47" i="15"/>
  <c r="F52" i="15"/>
  <c r="K52" i="15" s="1"/>
  <c r="F44" i="15"/>
  <c r="K44" i="15" s="1"/>
  <c r="I57" i="15"/>
  <c r="K56" i="15"/>
  <c r="I49" i="15"/>
  <c r="J42" i="15"/>
  <c r="I51" i="15"/>
  <c r="I43" i="15"/>
  <c r="K42" i="15"/>
  <c r="I58" i="15"/>
  <c r="K57" i="15"/>
  <c r="I56" i="15"/>
  <c r="K55" i="15"/>
  <c r="I54" i="15"/>
  <c r="K53" i="15"/>
  <c r="I52" i="15"/>
  <c r="K51" i="15"/>
  <c r="I50" i="15"/>
  <c r="K49" i="15"/>
  <c r="I48" i="15"/>
  <c r="K47" i="15"/>
  <c r="I46" i="15"/>
  <c r="K45" i="15"/>
  <c r="I44" i="15"/>
  <c r="K43" i="15"/>
  <c r="I42" i="15"/>
  <c r="J57" i="15"/>
  <c r="J55" i="15"/>
  <c r="J53" i="15"/>
  <c r="J51" i="15"/>
  <c r="J49" i="15"/>
  <c r="J47" i="15"/>
  <c r="J45" i="15"/>
  <c r="J43" i="15"/>
  <c r="J37" i="1" l="1"/>
  <c r="H37" i="1" s="1"/>
  <c r="N220" i="1" l="1"/>
  <c r="N217" i="1"/>
  <c r="N216" i="1"/>
  <c r="N214" i="1"/>
  <c r="N213" i="1"/>
  <c r="N212" i="1"/>
  <c r="N215" i="1"/>
  <c r="N209" i="1"/>
  <c r="N208" i="1"/>
  <c r="N207" i="1"/>
  <c r="N205" i="1"/>
  <c r="N204" i="1"/>
  <c r="N203" i="1"/>
  <c r="N198" i="1"/>
  <c r="N197" i="1"/>
  <c r="N196" i="1"/>
  <c r="N195" i="1"/>
  <c r="N193" i="1"/>
  <c r="N188" i="1"/>
  <c r="N187" i="1"/>
  <c r="N186" i="1"/>
  <c r="N184" i="1"/>
  <c r="N183" i="1"/>
  <c r="N179" i="1"/>
  <c r="N178" i="1"/>
  <c r="N177" i="1"/>
  <c r="N175" i="1"/>
  <c r="N174" i="1"/>
  <c r="N173" i="1"/>
  <c r="N172" i="1"/>
  <c r="N171" i="1"/>
  <c r="N168" i="1"/>
  <c r="N162" i="1"/>
  <c r="N156" i="1"/>
  <c r="N153" i="1"/>
  <c r="N151" i="1"/>
  <c r="N144" i="1"/>
  <c r="N142" i="1"/>
  <c r="N141" i="1"/>
  <c r="N140" i="1"/>
  <c r="N139" i="1"/>
  <c r="N135" i="1"/>
  <c r="N127" i="1"/>
  <c r="N126" i="1"/>
  <c r="N125" i="1"/>
  <c r="N122" i="1"/>
  <c r="N120" i="1"/>
  <c r="N118" i="1"/>
  <c r="N115" i="1"/>
  <c r="N111" i="1"/>
  <c r="N110" i="1"/>
  <c r="N98" i="1"/>
  <c r="N97" i="1"/>
  <c r="N93" i="1"/>
  <c r="N92" i="1"/>
  <c r="N91" i="1"/>
  <c r="N87" i="1"/>
  <c r="N82" i="1"/>
  <c r="N80" i="1"/>
  <c r="N79" i="1"/>
  <c r="N72" i="1"/>
  <c r="N68" i="1"/>
  <c r="N65" i="1"/>
  <c r="N56" i="1"/>
  <c r="N54" i="1"/>
  <c r="N51" i="1"/>
  <c r="N42" i="1"/>
  <c r="N39" i="1"/>
  <c r="N31" i="1"/>
  <c r="N29" i="1"/>
  <c r="N25" i="1"/>
  <c r="N20" i="1"/>
  <c r="N19" i="1"/>
  <c r="N18" i="1"/>
  <c r="N17" i="1"/>
  <c r="L217" i="1"/>
  <c r="K216" i="1"/>
  <c r="K214" i="1"/>
  <c r="K213" i="1"/>
  <c r="K212" i="1"/>
  <c r="K215" i="1"/>
  <c r="K209" i="1"/>
  <c r="K208" i="1"/>
  <c r="K207" i="1"/>
  <c r="K205" i="1"/>
  <c r="K204" i="1"/>
  <c r="K203" i="1"/>
  <c r="K198" i="1"/>
  <c r="K197" i="1"/>
  <c r="K196" i="1"/>
  <c r="K195" i="1"/>
  <c r="K193" i="1"/>
  <c r="K188" i="1"/>
  <c r="K187" i="1"/>
  <c r="K186" i="1"/>
  <c r="K184" i="1"/>
  <c r="K183" i="1"/>
  <c r="K179" i="1"/>
  <c r="K178" i="1"/>
  <c r="K177" i="1"/>
  <c r="K175" i="1"/>
  <c r="K174" i="1"/>
  <c r="K173" i="1"/>
  <c r="K172" i="1"/>
  <c r="K171" i="1"/>
  <c r="K168" i="1"/>
  <c r="K162" i="1"/>
  <c r="K156" i="1"/>
  <c r="K153" i="1"/>
  <c r="K151" i="1"/>
  <c r="K144" i="1"/>
  <c r="K142" i="1"/>
  <c r="K141" i="1"/>
  <c r="K140" i="1"/>
  <c r="K139" i="1"/>
  <c r="K135" i="1"/>
  <c r="K127" i="1"/>
  <c r="K126" i="1"/>
  <c r="K125" i="1"/>
  <c r="K122" i="1"/>
  <c r="K120" i="1"/>
  <c r="K118" i="1"/>
  <c r="K115" i="1"/>
  <c r="K111" i="1"/>
  <c r="K110" i="1"/>
  <c r="M110" i="1" s="1"/>
  <c r="K98" i="1"/>
  <c r="M98" i="1" s="1"/>
  <c r="K97" i="1"/>
  <c r="M97" i="1" s="1"/>
  <c r="K93" i="1"/>
  <c r="M93" i="1" s="1"/>
  <c r="K92" i="1"/>
  <c r="K91" i="1"/>
  <c r="M91" i="1" s="1"/>
  <c r="K87" i="1"/>
  <c r="K82" i="1"/>
  <c r="M82" i="1" s="1"/>
  <c r="K80" i="1"/>
  <c r="M80" i="1" s="1"/>
  <c r="K79" i="1"/>
  <c r="M79" i="1" s="1"/>
  <c r="K72" i="1"/>
  <c r="K68" i="1"/>
  <c r="K65" i="1"/>
  <c r="K56" i="1"/>
  <c r="K54" i="1"/>
  <c r="K51" i="1"/>
  <c r="K42" i="1"/>
  <c r="K39" i="1"/>
  <c r="K31" i="1"/>
  <c r="K29" i="1"/>
  <c r="K25" i="1"/>
  <c r="H224" i="1"/>
  <c r="J222" i="1"/>
  <c r="H222" i="1" s="1"/>
  <c r="J221" i="1"/>
  <c r="H221" i="1" s="1"/>
  <c r="J220" i="1"/>
  <c r="H220" i="1" s="1"/>
  <c r="J217" i="1"/>
  <c r="H217" i="1" s="1"/>
  <c r="J216" i="1"/>
  <c r="H216" i="1" s="1"/>
  <c r="J214" i="1"/>
  <c r="H214" i="1" s="1"/>
  <c r="J202" i="1"/>
  <c r="H202" i="1" s="1"/>
  <c r="J213" i="1"/>
  <c r="H213" i="1" s="1"/>
  <c r="J212" i="1"/>
  <c r="H212" i="1" s="1"/>
  <c r="J211" i="1"/>
  <c r="H211" i="1" s="1"/>
  <c r="J215" i="1"/>
  <c r="H215" i="1" s="1"/>
  <c r="J209" i="1"/>
  <c r="H209" i="1" s="1"/>
  <c r="J208" i="1"/>
  <c r="H208" i="1" s="1"/>
  <c r="J207" i="1"/>
  <c r="H207" i="1" s="1"/>
  <c r="H206" i="1"/>
  <c r="J205" i="1"/>
  <c r="H205" i="1" s="1"/>
  <c r="J204" i="1"/>
  <c r="H204" i="1" s="1"/>
  <c r="J203" i="1"/>
  <c r="H203" i="1" s="1"/>
  <c r="J210" i="1"/>
  <c r="H210" i="1" s="1"/>
  <c r="J199" i="1"/>
  <c r="H199" i="1" s="1"/>
  <c r="J180" i="1"/>
  <c r="H180" i="1" s="1"/>
  <c r="J198" i="1"/>
  <c r="H198" i="1" s="1"/>
  <c r="J197" i="1"/>
  <c r="H197" i="1" s="1"/>
  <c r="J196" i="1"/>
  <c r="H196" i="1" s="1"/>
  <c r="J195" i="1"/>
  <c r="H195" i="1" s="1"/>
  <c r="J194" i="1"/>
  <c r="H194" i="1" s="1"/>
  <c r="J193" i="1"/>
  <c r="H193" i="1" s="1"/>
  <c r="J192" i="1"/>
  <c r="H192" i="1" s="1"/>
  <c r="J191" i="1"/>
  <c r="H191" i="1" s="1"/>
  <c r="J188" i="1"/>
  <c r="H188" i="1" s="1"/>
  <c r="J187" i="1"/>
  <c r="H187" i="1" s="1"/>
  <c r="J186" i="1"/>
  <c r="H186" i="1" s="1"/>
  <c r="J185" i="1"/>
  <c r="H185" i="1" s="1"/>
  <c r="J184" i="1"/>
  <c r="H184" i="1" s="1"/>
  <c r="J183" i="1"/>
  <c r="H183" i="1" s="1"/>
  <c r="J182" i="1"/>
  <c r="H182" i="1" s="1"/>
  <c r="J181" i="1"/>
  <c r="H181" i="1" s="1"/>
  <c r="J179" i="1"/>
  <c r="H179" i="1" s="1"/>
  <c r="J178" i="1"/>
  <c r="H178" i="1" s="1"/>
  <c r="J177" i="1"/>
  <c r="H177" i="1" s="1"/>
  <c r="J176" i="1"/>
  <c r="H176" i="1" s="1"/>
  <c r="J175" i="1"/>
  <c r="H175" i="1" s="1"/>
  <c r="J174" i="1"/>
  <c r="H174" i="1" s="1"/>
  <c r="J173" i="1"/>
  <c r="H173" i="1" s="1"/>
  <c r="J172" i="1"/>
  <c r="H172" i="1" s="1"/>
  <c r="J171" i="1"/>
  <c r="H171" i="1" s="1"/>
  <c r="J168" i="1"/>
  <c r="H168" i="1" s="1"/>
  <c r="J167" i="1"/>
  <c r="H167" i="1" s="1"/>
  <c r="J166" i="1"/>
  <c r="H166" i="1" s="1"/>
  <c r="J164" i="1"/>
  <c r="H164" i="1" s="1"/>
  <c r="J163" i="1"/>
  <c r="H163" i="1" s="1"/>
  <c r="J162" i="1"/>
  <c r="H162" i="1" s="1"/>
  <c r="J160" i="1"/>
  <c r="H160" i="1" s="1"/>
  <c r="J161" i="1"/>
  <c r="H161" i="1" s="1"/>
  <c r="J156" i="1"/>
  <c r="H156" i="1" s="1"/>
  <c r="J155" i="1"/>
  <c r="H155" i="1" s="1"/>
  <c r="J153" i="1"/>
  <c r="H153" i="1" s="1"/>
  <c r="J152" i="1"/>
  <c r="H152" i="1" s="1"/>
  <c r="J151" i="1"/>
  <c r="H151" i="1" s="1"/>
  <c r="J150" i="1"/>
  <c r="H150" i="1" s="1"/>
  <c r="J145" i="1"/>
  <c r="H145" i="1" s="1"/>
  <c r="J149" i="1"/>
  <c r="H149" i="1" s="1"/>
  <c r="J146" i="1"/>
  <c r="H146" i="1" s="1"/>
  <c r="J148" i="1"/>
  <c r="H148" i="1" s="1"/>
  <c r="J147" i="1"/>
  <c r="H147" i="1" s="1"/>
  <c r="J144" i="1"/>
  <c r="H144" i="1" s="1"/>
  <c r="J142" i="1"/>
  <c r="H142" i="1" s="1"/>
  <c r="J141" i="1"/>
  <c r="H141" i="1" s="1"/>
  <c r="J140" i="1"/>
  <c r="H140" i="1" s="1"/>
  <c r="J139" i="1"/>
  <c r="H139" i="1" s="1"/>
  <c r="J135" i="1"/>
  <c r="H135" i="1" s="1"/>
  <c r="J134" i="1"/>
  <c r="H134" i="1" s="1"/>
  <c r="J133" i="1"/>
  <c r="H133" i="1" s="1"/>
  <c r="J131" i="1"/>
  <c r="H131" i="1" s="1"/>
  <c r="J132" i="1"/>
  <c r="H132" i="1" s="1"/>
  <c r="J136" i="1"/>
  <c r="H136" i="1" s="1"/>
  <c r="J130" i="1"/>
  <c r="H130" i="1" s="1"/>
  <c r="J127" i="1"/>
  <c r="H127" i="1" s="1"/>
  <c r="J126" i="1"/>
  <c r="H126" i="1" s="1"/>
  <c r="J113" i="1"/>
  <c r="H113" i="1" s="1"/>
  <c r="J125" i="1"/>
  <c r="H125" i="1" s="1"/>
  <c r="J123" i="1"/>
  <c r="H123" i="1" s="1"/>
  <c r="J122" i="1"/>
  <c r="H122" i="1" s="1"/>
  <c r="J121" i="1"/>
  <c r="H121" i="1" s="1"/>
  <c r="J120" i="1"/>
  <c r="H120" i="1" s="1"/>
  <c r="J119" i="1"/>
  <c r="H119" i="1" s="1"/>
  <c r="J118" i="1"/>
  <c r="H118" i="1" s="1"/>
  <c r="J117" i="1"/>
  <c r="H117" i="1" s="1"/>
  <c r="J116" i="1"/>
  <c r="H116" i="1" s="1"/>
  <c r="J115" i="1"/>
  <c r="H115" i="1" s="1"/>
  <c r="J114" i="1"/>
  <c r="H114" i="1" s="1"/>
  <c r="J112" i="1"/>
  <c r="H112" i="1" s="1"/>
  <c r="J111" i="1"/>
  <c r="H111" i="1" s="1"/>
  <c r="J110" i="1"/>
  <c r="H110" i="1" s="1"/>
  <c r="J109" i="1"/>
  <c r="H109" i="1" s="1"/>
  <c r="J107" i="1"/>
  <c r="H107" i="1" s="1"/>
  <c r="J108" i="1"/>
  <c r="H108" i="1" s="1"/>
  <c r="J106" i="1"/>
  <c r="H106" i="1" s="1"/>
  <c r="J105" i="1"/>
  <c r="H105" i="1" s="1"/>
  <c r="J104" i="1"/>
  <c r="H104" i="1" s="1"/>
  <c r="J103" i="1"/>
  <c r="H103" i="1" s="1"/>
  <c r="J102" i="1"/>
  <c r="H102" i="1" s="1"/>
  <c r="J100" i="1"/>
  <c r="H100" i="1" s="1"/>
  <c r="J99" i="1"/>
  <c r="H99" i="1" s="1"/>
  <c r="J98" i="1"/>
  <c r="H98" i="1" s="1"/>
  <c r="J97" i="1"/>
  <c r="H97" i="1" s="1"/>
  <c r="J96" i="1"/>
  <c r="H96" i="1" s="1"/>
  <c r="J95" i="1"/>
  <c r="H95" i="1" s="1"/>
  <c r="J94" i="1"/>
  <c r="H94" i="1" s="1"/>
  <c r="J93" i="1"/>
  <c r="H93" i="1" s="1"/>
  <c r="J92" i="1"/>
  <c r="H92" i="1" s="1"/>
  <c r="J91" i="1"/>
  <c r="H91" i="1" s="1"/>
  <c r="J90" i="1"/>
  <c r="H90" i="1" s="1"/>
  <c r="J89" i="1"/>
  <c r="H89" i="1" s="1"/>
  <c r="J88" i="1"/>
  <c r="H88" i="1" s="1"/>
  <c r="J87" i="1"/>
  <c r="H87" i="1" s="1"/>
  <c r="J86" i="1"/>
  <c r="H86" i="1" s="1"/>
  <c r="J85" i="1"/>
  <c r="H85" i="1" s="1"/>
  <c r="J83" i="1"/>
  <c r="H83" i="1" s="1"/>
  <c r="J82" i="1"/>
  <c r="H82" i="1" s="1"/>
  <c r="J80" i="1"/>
  <c r="H80" i="1" s="1"/>
  <c r="J79" i="1"/>
  <c r="H79" i="1" s="1"/>
  <c r="J76" i="1"/>
  <c r="H76" i="1" s="1"/>
  <c r="J78" i="1"/>
  <c r="H78" i="1" s="1"/>
  <c r="J75" i="1"/>
  <c r="H75" i="1" s="1"/>
  <c r="J77" i="1"/>
  <c r="H77" i="1" s="1"/>
  <c r="J74" i="1"/>
  <c r="H74" i="1" s="1"/>
  <c r="J72" i="1"/>
  <c r="H72" i="1" s="1"/>
  <c r="J71" i="1"/>
  <c r="H71" i="1" s="1"/>
  <c r="J69" i="1"/>
  <c r="H69" i="1" s="1"/>
  <c r="J68" i="1"/>
  <c r="H68" i="1" s="1"/>
  <c r="J66" i="1"/>
  <c r="H66" i="1" s="1"/>
  <c r="J65" i="1"/>
  <c r="H65" i="1" s="1"/>
  <c r="H24" i="1"/>
  <c r="J60" i="1"/>
  <c r="H60" i="1" s="1"/>
  <c r="J59" i="1"/>
  <c r="H59" i="1" s="1"/>
  <c r="J58" i="1"/>
  <c r="H58" i="1" s="1"/>
  <c r="J57" i="1"/>
  <c r="H57" i="1" s="1"/>
  <c r="J56" i="1"/>
  <c r="H56" i="1" s="1"/>
  <c r="J55" i="1"/>
  <c r="H55" i="1" s="1"/>
  <c r="J54" i="1"/>
  <c r="H54" i="1" s="1"/>
  <c r="J53" i="1"/>
  <c r="H53" i="1" s="1"/>
  <c r="J159" i="1"/>
  <c r="H159" i="1" s="1"/>
  <c r="J52" i="1"/>
  <c r="H52" i="1" s="1"/>
  <c r="J51" i="1"/>
  <c r="H51" i="1" s="1"/>
  <c r="J34" i="1"/>
  <c r="H34" i="1" s="1"/>
  <c r="J49" i="1"/>
  <c r="H49" i="1" s="1"/>
  <c r="J48" i="1"/>
  <c r="H48" i="1" s="1"/>
  <c r="J47" i="1"/>
  <c r="H47" i="1" s="1"/>
  <c r="J46" i="1"/>
  <c r="H46" i="1" s="1"/>
  <c r="J45" i="1"/>
  <c r="H45" i="1" s="1"/>
  <c r="J44" i="1"/>
  <c r="H44" i="1" s="1"/>
  <c r="J43" i="1"/>
  <c r="H43" i="1" s="1"/>
  <c r="J42" i="1"/>
  <c r="H42" i="1" s="1"/>
  <c r="J41" i="1"/>
  <c r="H41" i="1" s="1"/>
  <c r="J40" i="1"/>
  <c r="H40" i="1" s="1"/>
  <c r="J39" i="1"/>
  <c r="H39" i="1" s="1"/>
  <c r="J38" i="1"/>
  <c r="H38" i="1" s="1"/>
  <c r="J36" i="1"/>
  <c r="H36" i="1" s="1"/>
  <c r="J35" i="1"/>
  <c r="H35" i="1" s="1"/>
  <c r="J33" i="1"/>
  <c r="H33" i="1" s="1"/>
  <c r="J31" i="1"/>
  <c r="H31" i="1" s="1"/>
  <c r="J28" i="1"/>
  <c r="H28" i="1" s="1"/>
  <c r="J27" i="1"/>
  <c r="H27" i="1" s="1"/>
  <c r="J26" i="1"/>
  <c r="H26" i="1" s="1"/>
  <c r="J25" i="1"/>
  <c r="H25" i="1" s="1"/>
  <c r="J23" i="1"/>
  <c r="H23" i="1" s="1"/>
  <c r="J20" i="1"/>
  <c r="G24" i="15" s="1"/>
  <c r="J19" i="1"/>
  <c r="G28" i="15" s="1"/>
  <c r="J18" i="1"/>
  <c r="G27" i="15" s="1"/>
  <c r="J17" i="1"/>
  <c r="G26" i="15" s="1"/>
  <c r="J16" i="1"/>
  <c r="J15" i="1"/>
  <c r="G25" i="15" s="1"/>
  <c r="J14" i="1"/>
  <c r="G23" i="15" s="1"/>
  <c r="J12" i="1"/>
  <c r="G21" i="15" s="1"/>
  <c r="L216" i="1" l="1"/>
  <c r="M216" i="1"/>
  <c r="L51" i="1"/>
  <c r="M51" i="1"/>
  <c r="L54" i="1"/>
  <c r="M54" i="1"/>
  <c r="L87" i="1"/>
  <c r="M87" i="1"/>
  <c r="L111" i="1"/>
  <c r="M111" i="1"/>
  <c r="L135" i="1"/>
  <c r="M135" i="1"/>
  <c r="L156" i="1"/>
  <c r="M156" i="1"/>
  <c r="L177" i="1"/>
  <c r="M177" i="1"/>
  <c r="L193" i="1"/>
  <c r="M193" i="1"/>
  <c r="L207" i="1"/>
  <c r="M207" i="1"/>
  <c r="L56" i="1"/>
  <c r="M56" i="1"/>
  <c r="L115" i="1"/>
  <c r="M115" i="1"/>
  <c r="L139" i="1"/>
  <c r="M139" i="1"/>
  <c r="L162" i="1"/>
  <c r="M162" i="1"/>
  <c r="L178" i="1"/>
  <c r="M178" i="1"/>
  <c r="L195" i="1"/>
  <c r="M195" i="1"/>
  <c r="L208" i="1"/>
  <c r="M208" i="1"/>
  <c r="L175" i="1"/>
  <c r="M175" i="1"/>
  <c r="L25" i="1"/>
  <c r="M25" i="1"/>
  <c r="L65" i="1"/>
  <c r="M65" i="1"/>
  <c r="L92" i="1"/>
  <c r="M92" i="1"/>
  <c r="L118" i="1"/>
  <c r="M118" i="1"/>
  <c r="L140" i="1"/>
  <c r="M140" i="1"/>
  <c r="L168" i="1"/>
  <c r="M168" i="1"/>
  <c r="L179" i="1"/>
  <c r="M179" i="1"/>
  <c r="L196" i="1"/>
  <c r="M196" i="1"/>
  <c r="L209" i="1"/>
  <c r="M209" i="1"/>
  <c r="L205" i="1"/>
  <c r="M205" i="1"/>
  <c r="L29" i="1"/>
  <c r="M29" i="1"/>
  <c r="L68" i="1"/>
  <c r="M68" i="1"/>
  <c r="L120" i="1"/>
  <c r="M120" i="1"/>
  <c r="L141" i="1"/>
  <c r="M141" i="1"/>
  <c r="L171" i="1"/>
  <c r="M171" i="1"/>
  <c r="L183" i="1"/>
  <c r="M183" i="1"/>
  <c r="L197" i="1"/>
  <c r="M197" i="1"/>
  <c r="L215" i="1"/>
  <c r="M215" i="1"/>
  <c r="L127" i="1"/>
  <c r="M127" i="1"/>
  <c r="L31" i="1"/>
  <c r="M31" i="1"/>
  <c r="L72" i="1"/>
  <c r="M72" i="1"/>
  <c r="L122" i="1"/>
  <c r="M122" i="1"/>
  <c r="L142" i="1"/>
  <c r="M142" i="1"/>
  <c r="L172" i="1"/>
  <c r="M172" i="1"/>
  <c r="L184" i="1"/>
  <c r="M184" i="1"/>
  <c r="L198" i="1"/>
  <c r="M198" i="1"/>
  <c r="L212" i="1"/>
  <c r="M212" i="1"/>
  <c r="L188" i="1"/>
  <c r="M188" i="1"/>
  <c r="L39" i="1"/>
  <c r="M39" i="1"/>
  <c r="L125" i="1"/>
  <c r="M125" i="1"/>
  <c r="L144" i="1"/>
  <c r="M144" i="1"/>
  <c r="L173" i="1"/>
  <c r="M173" i="1"/>
  <c r="L186" i="1"/>
  <c r="M186" i="1"/>
  <c r="L203" i="1"/>
  <c r="M203" i="1"/>
  <c r="L213" i="1"/>
  <c r="M213" i="1"/>
  <c r="L153" i="1"/>
  <c r="M153" i="1"/>
  <c r="L42" i="1"/>
  <c r="M42" i="1"/>
  <c r="L126" i="1"/>
  <c r="M126" i="1"/>
  <c r="L151" i="1"/>
  <c r="M151" i="1"/>
  <c r="L174" i="1"/>
  <c r="M174" i="1"/>
  <c r="L187" i="1"/>
  <c r="M187" i="1"/>
  <c r="L204" i="1"/>
  <c r="M204" i="1"/>
  <c r="L214" i="1"/>
  <c r="M214" i="1"/>
  <c r="L91" i="1"/>
  <c r="L82" i="1"/>
  <c r="L79" i="1"/>
  <c r="L93" i="1"/>
  <c r="L97" i="1"/>
  <c r="L110" i="1"/>
  <c r="L80" i="1"/>
  <c r="L98" i="1"/>
  <c r="J138" i="1" l="1"/>
  <c r="J7" i="28" l="1"/>
  <c r="J5" i="28"/>
  <c r="J8" i="28"/>
  <c r="J9" i="28"/>
  <c r="J6" i="28"/>
  <c r="C6" i="29" l="1"/>
  <c r="E4" i="29"/>
  <c r="E5" i="29"/>
  <c r="E7" i="29" l="1"/>
  <c r="E3" i="29"/>
  <c r="E6" i="29" l="1"/>
  <c r="C9" i="28" l="1"/>
  <c r="C8" i="28"/>
  <c r="C7" i="28"/>
  <c r="C6" i="28"/>
  <c r="C5" i="28"/>
  <c r="D48" i="28"/>
  <c r="D49" i="28"/>
  <c r="D7" i="28" s="1"/>
  <c r="D50" i="28"/>
  <c r="D8" i="28" s="1"/>
  <c r="D51" i="28"/>
  <c r="D47" i="28"/>
  <c r="C28" i="28" s="1"/>
  <c r="D33" i="28" s="1"/>
  <c r="E48" i="28"/>
  <c r="E49" i="28"/>
  <c r="E50" i="28"/>
  <c r="E51" i="28"/>
  <c r="E47" i="28"/>
  <c r="F48" i="28"/>
  <c r="F49" i="28"/>
  <c r="F50" i="28"/>
  <c r="F51" i="28"/>
  <c r="F47" i="28"/>
  <c r="C51" i="28"/>
  <c r="C50" i="28"/>
  <c r="C49" i="28"/>
  <c r="C48" i="28"/>
  <c r="C47" i="28"/>
  <c r="D6" i="28" l="1"/>
  <c r="D34" i="28"/>
  <c r="D9" i="28" s="1"/>
  <c r="C29" i="28"/>
  <c r="E52" i="28"/>
  <c r="D52" i="28"/>
  <c r="G49" i="28"/>
  <c r="H51" i="28"/>
  <c r="G48" i="28"/>
  <c r="H50" i="28"/>
  <c r="H49" i="28"/>
  <c r="H48" i="28"/>
  <c r="G51" i="28"/>
  <c r="G50" i="28"/>
  <c r="G47" i="28"/>
  <c r="H47" i="28"/>
  <c r="E34" i="28" l="1"/>
  <c r="E33" i="28"/>
  <c r="D10" i="28"/>
  <c r="D35" i="28"/>
  <c r="C30" i="28"/>
  <c r="D30" i="28" s="1"/>
  <c r="H52" i="28"/>
  <c r="N211" i="1"/>
  <c r="N237" i="1" l="1"/>
  <c r="N150" i="1"/>
  <c r="N236" i="1" l="1"/>
  <c r="H8" i="13"/>
  <c r="N160" i="1"/>
  <c r="N202" i="1" l="1"/>
  <c r="I6" i="13"/>
  <c r="N40" i="1"/>
  <c r="N189" i="1"/>
  <c r="N116" i="1"/>
  <c r="N37" i="1"/>
  <c r="N145" i="1"/>
  <c r="I9" i="13"/>
  <c r="I4" i="13"/>
  <c r="I8" i="13"/>
  <c r="I7" i="13"/>
  <c r="K70" i="1" s="1"/>
  <c r="K236" i="1"/>
  <c r="M236" i="1" s="1"/>
  <c r="I5" i="13"/>
  <c r="H25" i="13"/>
  <c r="N124" i="1" s="1"/>
  <c r="D25" i="13"/>
  <c r="H24" i="13"/>
  <c r="D24" i="13"/>
  <c r="H23" i="13"/>
  <c r="I23" i="13" s="1"/>
  <c r="H22" i="13"/>
  <c r="N55" i="1" s="1"/>
  <c r="H21" i="13"/>
  <c r="N149" i="1" s="1"/>
  <c r="H20" i="13"/>
  <c r="N83" i="1" s="1"/>
  <c r="H19" i="13"/>
  <c r="H18" i="13"/>
  <c r="H17" i="13"/>
  <c r="N77" i="1" s="1"/>
  <c r="N106" i="1"/>
  <c r="H15" i="13"/>
  <c r="H14" i="13"/>
  <c r="H13" i="13"/>
  <c r="N147" i="1" s="1"/>
  <c r="K211" i="1"/>
  <c r="M211" i="1" s="1"/>
  <c r="G5" i="15"/>
  <c r="D41" i="15"/>
  <c r="D40" i="15"/>
  <c r="D39" i="15"/>
  <c r="D38" i="15"/>
  <c r="C38" i="15"/>
  <c r="D37" i="15"/>
  <c r="C37" i="15"/>
  <c r="D36" i="15"/>
  <c r="C36" i="15"/>
  <c r="D35" i="15"/>
  <c r="E35" i="15" s="1"/>
  <c r="F35" i="15" s="1"/>
  <c r="H33" i="15"/>
  <c r="K33" i="15" s="1"/>
  <c r="G14" i="15"/>
  <c r="G13" i="15"/>
  <c r="G12" i="15"/>
  <c r="G11" i="15"/>
  <c r="O8" i="15"/>
  <c r="G10" i="15"/>
  <c r="O7" i="15"/>
  <c r="G9" i="15"/>
  <c r="O6" i="15"/>
  <c r="G8" i="15"/>
  <c r="G7" i="15"/>
  <c r="G6" i="15"/>
  <c r="O12" i="15"/>
  <c r="C5" i="15"/>
  <c r="O2" i="15"/>
  <c r="O1" i="15"/>
  <c r="N61" i="1" l="1"/>
  <c r="N104" i="1"/>
  <c r="N109" i="1"/>
  <c r="L70" i="1"/>
  <c r="M70" i="1"/>
  <c r="N75" i="1"/>
  <c r="N38" i="1"/>
  <c r="N59" i="1"/>
  <c r="N99" i="1"/>
  <c r="N66" i="1"/>
  <c r="N164" i="1"/>
  <c r="N84" i="1"/>
  <c r="N27" i="1"/>
  <c r="N26" i="1"/>
  <c r="N163" i="1"/>
  <c r="I13" i="13"/>
  <c r="K147" i="1" s="1"/>
  <c r="N181" i="1"/>
  <c r="N165" i="1"/>
  <c r="N35" i="1"/>
  <c r="N210" i="1"/>
  <c r="N58" i="1"/>
  <c r="N32" i="1"/>
  <c r="N43" i="1"/>
  <c r="N245" i="1"/>
  <c r="N45" i="1"/>
  <c r="N53" i="1"/>
  <c r="N86" i="1"/>
  <c r="N105" i="1"/>
  <c r="N192" i="1"/>
  <c r="N119" i="1"/>
  <c r="N176" i="1"/>
  <c r="N73" i="1"/>
  <c r="N167" i="1"/>
  <c r="N69" i="1"/>
  <c r="I12" i="13"/>
  <c r="N146" i="1"/>
  <c r="N96" i="1"/>
  <c r="N49" i="1"/>
  <c r="N117" i="1"/>
  <c r="N154" i="1"/>
  <c r="N50" i="1"/>
  <c r="K202" i="1"/>
  <c r="N222" i="1"/>
  <c r="N221" i="1"/>
  <c r="N57" i="1"/>
  <c r="N81" i="1"/>
  <c r="N89" i="1"/>
  <c r="N30" i="1"/>
  <c r="N34" i="1"/>
  <c r="N67" i="1"/>
  <c r="K40" i="1"/>
  <c r="M40" i="1" s="1"/>
  <c r="N41" i="1"/>
  <c r="N36" i="1"/>
  <c r="N23" i="1"/>
  <c r="I18" i="13"/>
  <c r="K104" i="1" s="1"/>
  <c r="N107" i="1"/>
  <c r="N113" i="1"/>
  <c r="N85" i="1"/>
  <c r="I21" i="13"/>
  <c r="K159" i="1" s="1"/>
  <c r="N243" i="1"/>
  <c r="N152" i="1"/>
  <c r="N101" i="1"/>
  <c r="I25" i="13"/>
  <c r="L124" i="1" s="1"/>
  <c r="N133" i="1"/>
  <c r="I19" i="13"/>
  <c r="N28" i="1"/>
  <c r="I24" i="13"/>
  <c r="N166" i="1"/>
  <c r="I20" i="13"/>
  <c r="N121" i="1"/>
  <c r="N44" i="1"/>
  <c r="L211" i="1"/>
  <c r="L236" i="1"/>
  <c r="N100" i="1"/>
  <c r="N88" i="1"/>
  <c r="N47" i="1"/>
  <c r="L237" i="1"/>
  <c r="N48" i="1"/>
  <c r="N180" i="1"/>
  <c r="N94" i="1"/>
  <c r="N134" i="1"/>
  <c r="N103" i="1"/>
  <c r="N71" i="1"/>
  <c r="N148" i="1"/>
  <c r="K189" i="1"/>
  <c r="M189" i="1" s="1"/>
  <c r="K163" i="1"/>
  <c r="M163" i="1" s="1"/>
  <c r="N159" i="1"/>
  <c r="N130" i="1"/>
  <c r="N182" i="1"/>
  <c r="N132" i="1"/>
  <c r="K150" i="1"/>
  <c r="K160" i="1"/>
  <c r="M160" i="1" s="1"/>
  <c r="K116" i="1"/>
  <c r="M116" i="1" s="1"/>
  <c r="K192" i="1"/>
  <c r="M192" i="1" s="1"/>
  <c r="N199" i="1"/>
  <c r="N123" i="1"/>
  <c r="N52" i="1"/>
  <c r="N60" i="1"/>
  <c r="N95" i="1"/>
  <c r="N78" i="1"/>
  <c r="N161" i="1"/>
  <c r="N155" i="1"/>
  <c r="E39" i="15"/>
  <c r="I39" i="15"/>
  <c r="E36" i="15"/>
  <c r="I36" i="15"/>
  <c r="E38" i="15"/>
  <c r="I38" i="15"/>
  <c r="E37" i="15"/>
  <c r="I37" i="15"/>
  <c r="E40" i="15"/>
  <c r="I40" i="15"/>
  <c r="E41" i="15"/>
  <c r="I41" i="15"/>
  <c r="N33" i="1"/>
  <c r="N136" i="1"/>
  <c r="N112" i="1"/>
  <c r="N76" i="1"/>
  <c r="N46" i="1"/>
  <c r="N108" i="1"/>
  <c r="N131" i="1"/>
  <c r="N102" i="1"/>
  <c r="K37" i="1"/>
  <c r="N13" i="1"/>
  <c r="N191" i="1"/>
  <c r="N90" i="1"/>
  <c r="N185" i="1"/>
  <c r="N74" i="1"/>
  <c r="K145" i="1"/>
  <c r="M145" i="1" s="1"/>
  <c r="N14" i="1"/>
  <c r="N194" i="1"/>
  <c r="N114" i="1"/>
  <c r="N12" i="1"/>
  <c r="C15" i="28" s="1"/>
  <c r="E40" i="28" s="1"/>
  <c r="I22" i="13"/>
  <c r="K55" i="1" s="1"/>
  <c r="H14" i="15"/>
  <c r="K14" i="15" s="1"/>
  <c r="G35" i="15"/>
  <c r="I15" i="13"/>
  <c r="I16" i="13"/>
  <c r="K23" i="1"/>
  <c r="M23" i="1" s="1"/>
  <c r="K81" i="1"/>
  <c r="M81" i="1" s="1"/>
  <c r="I14" i="13"/>
  <c r="I17" i="13"/>
  <c r="K99" i="1" s="1"/>
  <c r="P9" i="15"/>
  <c r="O3" i="15"/>
  <c r="P4" i="15" s="1"/>
  <c r="O11" i="15"/>
  <c r="M35" i="15"/>
  <c r="J33" i="15"/>
  <c r="E23" i="28" l="1"/>
  <c r="M104" i="1"/>
  <c r="L104" i="1"/>
  <c r="K77" i="1"/>
  <c r="L77" i="1" s="1"/>
  <c r="K84" i="1"/>
  <c r="L84" i="1" s="1"/>
  <c r="K38" i="1"/>
  <c r="M38" i="1" s="1"/>
  <c r="L99" i="1"/>
  <c r="M99" i="1"/>
  <c r="L202" i="1"/>
  <c r="M202" i="1"/>
  <c r="L147" i="1"/>
  <c r="M147" i="1"/>
  <c r="L55" i="1"/>
  <c r="M55" i="1"/>
  <c r="L37" i="1"/>
  <c r="M37" i="1"/>
  <c r="L150" i="1"/>
  <c r="M150" i="1"/>
  <c r="L159" i="1"/>
  <c r="M159" i="1"/>
  <c r="K75" i="1"/>
  <c r="K61" i="1"/>
  <c r="K12" i="1"/>
  <c r="K59" i="1"/>
  <c r="K14" i="1"/>
  <c r="H23" i="15" s="1"/>
  <c r="K105" i="1"/>
  <c r="K13" i="1"/>
  <c r="H22" i="15" s="1"/>
  <c r="K181" i="1"/>
  <c r="K66" i="1"/>
  <c r="K164" i="1"/>
  <c r="K73" i="1"/>
  <c r="K83" i="1"/>
  <c r="K35" i="1"/>
  <c r="K109" i="1"/>
  <c r="K149" i="1"/>
  <c r="K106" i="1"/>
  <c r="K210" i="1"/>
  <c r="K58" i="1"/>
  <c r="K154" i="1"/>
  <c r="K43" i="1"/>
  <c r="K146" i="1"/>
  <c r="K45" i="1"/>
  <c r="K86" i="1"/>
  <c r="K165" i="1"/>
  <c r="K50" i="1"/>
  <c r="K119" i="1"/>
  <c r="K176" i="1"/>
  <c r="K53" i="1"/>
  <c r="K167" i="1"/>
  <c r="K69" i="1"/>
  <c r="K30" i="1"/>
  <c r="K32" i="1"/>
  <c r="K67" i="1"/>
  <c r="K27" i="1"/>
  <c r="K49" i="1"/>
  <c r="K96" i="1"/>
  <c r="K28" i="1"/>
  <c r="L221" i="1"/>
  <c r="L222" i="1"/>
  <c r="L81" i="1"/>
  <c r="K34" i="1"/>
  <c r="L40" i="1"/>
  <c r="K57" i="1"/>
  <c r="M57" i="1" s="1"/>
  <c r="K47" i="1"/>
  <c r="K166" i="1"/>
  <c r="K41" i="1"/>
  <c r="K107" i="1"/>
  <c r="K52" i="1"/>
  <c r="M52" i="1" s="1"/>
  <c r="K113" i="1"/>
  <c r="K85" i="1"/>
  <c r="M85" i="1" s="1"/>
  <c r="K121" i="1"/>
  <c r="K245" i="1"/>
  <c r="K133" i="1"/>
  <c r="K152" i="1"/>
  <c r="K101" i="1"/>
  <c r="M101" i="1" s="1"/>
  <c r="L23" i="1"/>
  <c r="K89" i="1"/>
  <c r="K36" i="1"/>
  <c r="K48" i="1"/>
  <c r="M48" i="1" s="1"/>
  <c r="K180" i="1"/>
  <c r="M180" i="1" s="1"/>
  <c r="K94" i="1"/>
  <c r="K134" i="1"/>
  <c r="M134" i="1" s="1"/>
  <c r="K103" i="1"/>
  <c r="M103" i="1" s="1"/>
  <c r="L189" i="1"/>
  <c r="K130" i="1"/>
  <c r="K100" i="1"/>
  <c r="M100" i="1" s="1"/>
  <c r="K71" i="1"/>
  <c r="K148" i="1"/>
  <c r="M148" i="1" s="1"/>
  <c r="L163" i="1"/>
  <c r="K88" i="1"/>
  <c r="K117" i="1"/>
  <c r="K136" i="1"/>
  <c r="M136" i="1" s="1"/>
  <c r="K132" i="1"/>
  <c r="M132" i="1" s="1"/>
  <c r="L160" i="1"/>
  <c r="L116" i="1"/>
  <c r="K123" i="1"/>
  <c r="L192" i="1"/>
  <c r="K199" i="1"/>
  <c r="M199" i="1" s="1"/>
  <c r="K95" i="1"/>
  <c r="M95" i="1" s="1"/>
  <c r="K161" i="1"/>
  <c r="K26" i="1"/>
  <c r="M26" i="1" s="1"/>
  <c r="K60" i="1"/>
  <c r="K155" i="1"/>
  <c r="M155" i="1" s="1"/>
  <c r="F41" i="15"/>
  <c r="K41" i="15" s="1"/>
  <c r="J41" i="15"/>
  <c r="F37" i="15"/>
  <c r="K37" i="15" s="1"/>
  <c r="J37" i="15"/>
  <c r="J36" i="15"/>
  <c r="F36" i="15"/>
  <c r="K36" i="15" s="1"/>
  <c r="F40" i="15"/>
  <c r="K40" i="15" s="1"/>
  <c r="J40" i="15"/>
  <c r="F38" i="15"/>
  <c r="K38" i="15" s="1"/>
  <c r="J38" i="15"/>
  <c r="F39" i="15"/>
  <c r="K39" i="15" s="1"/>
  <c r="J39" i="15"/>
  <c r="K185" i="1"/>
  <c r="M185" i="1" s="1"/>
  <c r="K78" i="1"/>
  <c r="M78" i="1" s="1"/>
  <c r="K33" i="1"/>
  <c r="K44" i="1"/>
  <c r="M44" i="1" s="1"/>
  <c r="K182" i="1"/>
  <c r="K76" i="1"/>
  <c r="M76" i="1" s="1"/>
  <c r="K46" i="1"/>
  <c r="M46" i="1" s="1"/>
  <c r="K108" i="1"/>
  <c r="M108" i="1" s="1"/>
  <c r="K131" i="1"/>
  <c r="K112" i="1"/>
  <c r="K102" i="1"/>
  <c r="K191" i="1"/>
  <c r="K90" i="1"/>
  <c r="M90" i="1" s="1"/>
  <c r="K74" i="1"/>
  <c r="M74" i="1" s="1"/>
  <c r="L145" i="1"/>
  <c r="K194" i="1"/>
  <c r="M194" i="1" s="1"/>
  <c r="K114" i="1"/>
  <c r="M114" i="1" s="1"/>
  <c r="E21" i="28"/>
  <c r="G21" i="28" s="1"/>
  <c r="E19" i="28"/>
  <c r="E22" i="28"/>
  <c r="H22" i="28" s="1"/>
  <c r="H8" i="28" s="1"/>
  <c r="E20" i="28"/>
  <c r="H20" i="28" s="1"/>
  <c r="I14" i="15"/>
  <c r="J14" i="15"/>
  <c r="O13" i="15"/>
  <c r="P14" i="15" s="1"/>
  <c r="E35" i="28" l="1"/>
  <c r="E5" i="28"/>
  <c r="G5" i="28" s="1"/>
  <c r="E24" i="28"/>
  <c r="E6" i="28"/>
  <c r="G6" i="28" s="1"/>
  <c r="G34" i="28"/>
  <c r="E9" i="28"/>
  <c r="G9" i="28" s="1"/>
  <c r="H23" i="28"/>
  <c r="G23" i="28"/>
  <c r="H33" i="28"/>
  <c r="G33" i="28"/>
  <c r="M77" i="1"/>
  <c r="M84" i="1"/>
  <c r="L38" i="1"/>
  <c r="H21" i="15"/>
  <c r="H5" i="15"/>
  <c r="K23" i="15"/>
  <c r="I23" i="15"/>
  <c r="J23" i="15"/>
  <c r="K22" i="15"/>
  <c r="I22" i="15"/>
  <c r="J22" i="15"/>
  <c r="L182" i="1"/>
  <c r="M182" i="1"/>
  <c r="L123" i="1"/>
  <c r="M123" i="1"/>
  <c r="L94" i="1"/>
  <c r="M94" i="1"/>
  <c r="L133" i="1"/>
  <c r="M133" i="1"/>
  <c r="L166" i="1"/>
  <c r="M166" i="1"/>
  <c r="L28" i="1"/>
  <c r="M28" i="1"/>
  <c r="L167" i="1"/>
  <c r="M167" i="1"/>
  <c r="L146" i="1"/>
  <c r="M146" i="1"/>
  <c r="L109" i="1"/>
  <c r="M109" i="1"/>
  <c r="L105" i="1"/>
  <c r="M105" i="1"/>
  <c r="L191" i="1"/>
  <c r="M191" i="1"/>
  <c r="L245" i="1"/>
  <c r="M245" i="1"/>
  <c r="L47" i="1"/>
  <c r="M47" i="1"/>
  <c r="L96" i="1"/>
  <c r="M96" i="1"/>
  <c r="L53" i="1"/>
  <c r="M53" i="1"/>
  <c r="L243" i="1"/>
  <c r="M243" i="1"/>
  <c r="L35" i="1"/>
  <c r="M35" i="1"/>
  <c r="L14" i="1"/>
  <c r="M14" i="1"/>
  <c r="L102" i="1"/>
  <c r="M102" i="1"/>
  <c r="L33" i="1"/>
  <c r="M33" i="1"/>
  <c r="L60" i="1"/>
  <c r="M60" i="1"/>
  <c r="L71" i="1"/>
  <c r="M71" i="1"/>
  <c r="L121" i="1"/>
  <c r="M121" i="1"/>
  <c r="L49" i="1"/>
  <c r="M49" i="1"/>
  <c r="L176" i="1"/>
  <c r="M176" i="1"/>
  <c r="L43" i="1"/>
  <c r="M43" i="1"/>
  <c r="L83" i="1"/>
  <c r="M83" i="1"/>
  <c r="L59" i="1"/>
  <c r="M59" i="1"/>
  <c r="L112" i="1"/>
  <c r="M112" i="1"/>
  <c r="L36" i="1"/>
  <c r="M36" i="1"/>
  <c r="L27" i="1"/>
  <c r="M27" i="1"/>
  <c r="L119" i="1"/>
  <c r="M119" i="1"/>
  <c r="L154" i="1"/>
  <c r="M154" i="1"/>
  <c r="L73" i="1"/>
  <c r="M73" i="1"/>
  <c r="L12" i="1"/>
  <c r="M12" i="1"/>
  <c r="L130" i="1"/>
  <c r="M130" i="1"/>
  <c r="L89" i="1"/>
  <c r="M89" i="1"/>
  <c r="L113" i="1"/>
  <c r="M113" i="1"/>
  <c r="L34" i="1"/>
  <c r="M34" i="1"/>
  <c r="L67" i="1"/>
  <c r="M67" i="1"/>
  <c r="L50" i="1"/>
  <c r="M50" i="1"/>
  <c r="L58" i="1"/>
  <c r="M58" i="1"/>
  <c r="L164" i="1"/>
  <c r="M164" i="1"/>
  <c r="L61" i="1"/>
  <c r="M61" i="1"/>
  <c r="L131" i="1"/>
  <c r="M131" i="1"/>
  <c r="L161" i="1"/>
  <c r="M161" i="1"/>
  <c r="L117" i="1"/>
  <c r="M117" i="1"/>
  <c r="L32" i="1"/>
  <c r="M32" i="1"/>
  <c r="L165" i="1"/>
  <c r="M165" i="1"/>
  <c r="L210" i="1"/>
  <c r="M210" i="1"/>
  <c r="L66" i="1"/>
  <c r="M66" i="1"/>
  <c r="L75" i="1"/>
  <c r="M75" i="1"/>
  <c r="L88" i="1"/>
  <c r="M88" i="1"/>
  <c r="L107" i="1"/>
  <c r="M107" i="1"/>
  <c r="L30" i="1"/>
  <c r="M30" i="1"/>
  <c r="L86" i="1"/>
  <c r="M86" i="1"/>
  <c r="L106" i="1"/>
  <c r="M106" i="1"/>
  <c r="L181" i="1"/>
  <c r="M181" i="1"/>
  <c r="L152" i="1"/>
  <c r="M152" i="1"/>
  <c r="L41" i="1"/>
  <c r="M41" i="1"/>
  <c r="L69" i="1"/>
  <c r="M69" i="1"/>
  <c r="L45" i="1"/>
  <c r="M45" i="1"/>
  <c r="L149" i="1"/>
  <c r="M149" i="1"/>
  <c r="L13" i="1"/>
  <c r="M13" i="1"/>
  <c r="K20" i="1"/>
  <c r="H24" i="15" s="1"/>
  <c r="L57" i="1"/>
  <c r="L52" i="1"/>
  <c r="L85" i="1"/>
  <c r="L101" i="1"/>
  <c r="L48" i="1"/>
  <c r="L180" i="1"/>
  <c r="L134" i="1"/>
  <c r="L103" i="1"/>
  <c r="L100" i="1"/>
  <c r="L148" i="1"/>
  <c r="L136" i="1"/>
  <c r="L132" i="1"/>
  <c r="L199" i="1"/>
  <c r="L95" i="1"/>
  <c r="L26" i="1"/>
  <c r="L155" i="1"/>
  <c r="L185" i="1"/>
  <c r="L78" i="1"/>
  <c r="L44" i="1"/>
  <c r="L76" i="1"/>
  <c r="L46" i="1"/>
  <c r="L108" i="1"/>
  <c r="F4" i="29"/>
  <c r="I4" i="29" s="1"/>
  <c r="H35" i="15"/>
  <c r="J35" i="15" s="1"/>
  <c r="L90" i="1"/>
  <c r="L74" i="1"/>
  <c r="L194" i="1"/>
  <c r="L114" i="1"/>
  <c r="E7" i="28"/>
  <c r="G7" i="28" s="1"/>
  <c r="H21" i="28"/>
  <c r="H7" i="28" s="1"/>
  <c r="G19" i="28"/>
  <c r="H19" i="28"/>
  <c r="H34" i="28"/>
  <c r="G20" i="28"/>
  <c r="G22" i="28"/>
  <c r="E8" i="28"/>
  <c r="G8" i="28" s="1"/>
  <c r="F5" i="29"/>
  <c r="G5" i="29" s="1"/>
  <c r="F3" i="29"/>
  <c r="C16" i="28"/>
  <c r="I35" i="28" l="1"/>
  <c r="J35" i="28" s="1"/>
  <c r="H40" i="28"/>
  <c r="I24" i="28"/>
  <c r="K18" i="28" s="1"/>
  <c r="H9" i="28"/>
  <c r="F9" i="28" s="1"/>
  <c r="K9" i="28" s="1"/>
  <c r="H35" i="28"/>
  <c r="H24" i="28"/>
  <c r="H6" i="28"/>
  <c r="F6" i="28" s="1"/>
  <c r="D16" i="28"/>
  <c r="D24" i="28" s="1"/>
  <c r="E41" i="28"/>
  <c r="E42" i="28" s="1"/>
  <c r="H5" i="28"/>
  <c r="K16" i="1" s="1"/>
  <c r="K24" i="15"/>
  <c r="J24" i="15"/>
  <c r="I24" i="15"/>
  <c r="K21" i="15"/>
  <c r="J21" i="15"/>
  <c r="I21" i="15"/>
  <c r="L20" i="1"/>
  <c r="M20" i="1"/>
  <c r="H26" i="15"/>
  <c r="H4" i="29"/>
  <c r="G4" i="29"/>
  <c r="K35" i="15"/>
  <c r="I35" i="15"/>
  <c r="F7" i="28"/>
  <c r="E10" i="28"/>
  <c r="F8" i="28"/>
  <c r="I5" i="29"/>
  <c r="H5" i="29"/>
  <c r="F6" i="29"/>
  <c r="F7" i="29" s="1"/>
  <c r="H3" i="29"/>
  <c r="G3" i="29"/>
  <c r="I3" i="29"/>
  <c r="H28" i="15" l="1"/>
  <c r="K28" i="15" s="1"/>
  <c r="H41" i="28"/>
  <c r="K15" i="1"/>
  <c r="H25" i="15" s="1"/>
  <c r="J24" i="28"/>
  <c r="F5" i="28"/>
  <c r="K5" i="28" s="1"/>
  <c r="H10" i="28"/>
  <c r="M16" i="1"/>
  <c r="L16" i="1"/>
  <c r="M18" i="1"/>
  <c r="H27" i="15"/>
  <c r="K26" i="15"/>
  <c r="I26" i="15"/>
  <c r="J26" i="15"/>
  <c r="L17" i="1"/>
  <c r="M17" i="1"/>
  <c r="H10" i="15"/>
  <c r="J10" i="15" s="1"/>
  <c r="L18" i="1"/>
  <c r="K7" i="28"/>
  <c r="K8" i="28"/>
  <c r="K6" i="28"/>
  <c r="I6" i="29"/>
  <c r="G6" i="29"/>
  <c r="H6" i="29"/>
  <c r="H7" i="29"/>
  <c r="I7" i="29"/>
  <c r="G7" i="29"/>
  <c r="H11" i="15"/>
  <c r="J11" i="15" s="1"/>
  <c r="K5" i="15"/>
  <c r="H8" i="15"/>
  <c r="Q4" i="15"/>
  <c r="R4" i="15" s="1"/>
  <c r="Q9" i="15"/>
  <c r="R9" i="15" s="1"/>
  <c r="H7" i="15"/>
  <c r="H6" i="15"/>
  <c r="M19" i="1" l="1"/>
  <c r="L19" i="1"/>
  <c r="I28" i="15"/>
  <c r="J28" i="15"/>
  <c r="H42" i="28"/>
  <c r="K36" i="28"/>
  <c r="K10" i="28"/>
  <c r="L15" i="1"/>
  <c r="M15" i="1"/>
  <c r="J27" i="15"/>
  <c r="K27" i="15"/>
  <c r="I27" i="15"/>
  <c r="K25" i="15"/>
  <c r="I25" i="15"/>
  <c r="J25" i="15"/>
  <c r="K10" i="15"/>
  <c r="I10" i="15"/>
  <c r="H9" i="15"/>
  <c r="J9" i="15" s="1"/>
  <c r="I11" i="15"/>
  <c r="K11" i="15"/>
  <c r="I5" i="15"/>
  <c r="H13" i="15"/>
  <c r="J13" i="15" s="1"/>
  <c r="J5" i="15"/>
  <c r="J8" i="15"/>
  <c r="I8" i="15"/>
  <c r="K8" i="15"/>
  <c r="Q14" i="15"/>
  <c r="R14" i="15" s="1"/>
  <c r="I7" i="15"/>
  <c r="J7" i="15"/>
  <c r="K7" i="15"/>
  <c r="J6" i="15"/>
  <c r="I6" i="15"/>
  <c r="K6" i="15"/>
  <c r="I9" i="15" l="1"/>
  <c r="K9" i="15"/>
  <c r="K13" i="15"/>
  <c r="I13" i="15"/>
  <c r="H12" i="15" l="1"/>
  <c r="I12" i="15" s="1"/>
  <c r="J12" i="15" l="1"/>
  <c r="K12" i="15"/>
</calcChain>
</file>

<file path=xl/sharedStrings.xml><?xml version="1.0" encoding="utf-8"?>
<sst xmlns="http://schemas.openxmlformats.org/spreadsheetml/2006/main" count="1791" uniqueCount="472">
  <si>
    <t>CHARQUE</t>
  </si>
  <si>
    <t>TRASEIRO</t>
  </si>
  <si>
    <t>DIANTEIRO</t>
  </si>
  <si>
    <t>CARNE COM OSSO</t>
  </si>
  <si>
    <t>25 Kg</t>
  </si>
  <si>
    <t>14 Kg</t>
  </si>
  <si>
    <t>22 Kg</t>
  </si>
  <si>
    <t>19 Kg</t>
  </si>
  <si>
    <t>PRODUTO</t>
  </si>
  <si>
    <t xml:space="preserve">COSTELA SUINA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</si>
  <si>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CARRE                                                                                                                                                                                                                                                        </t>
  </si>
  <si>
    <t>12 Kg</t>
  </si>
  <si>
    <t>QTD</t>
  </si>
  <si>
    <t>Av. Eng. Heitor A. Eiras Garcia, N° 1705</t>
  </si>
  <si>
    <t>Fone: (11) 3735-0533</t>
  </si>
  <si>
    <t>Jardim Esmeralda - CEP 05588-001 São Paulo</t>
  </si>
  <si>
    <t>BARRA MANSA ALIMENTOS - SÃO PAULO</t>
  </si>
  <si>
    <t>CUSTO</t>
  </si>
  <si>
    <t>10 Kg</t>
  </si>
  <si>
    <t xml:space="preserve">ACÉM   </t>
  </si>
  <si>
    <t xml:space="preserve">FIGADO </t>
  </si>
  <si>
    <t xml:space="preserve">CARNE SALGADA CURADA DT 75X400   </t>
  </si>
  <si>
    <t xml:space="preserve">CARNE SALGADA CURADA TB 60X500      </t>
  </si>
  <si>
    <t>10kg</t>
  </si>
  <si>
    <t>30kg</t>
  </si>
  <si>
    <t>LOMBINHO</t>
  </si>
  <si>
    <t>FRALDINHA - DIAFRAGMA</t>
  </si>
  <si>
    <t>ESTOQUE</t>
  </si>
  <si>
    <t>VALOR</t>
  </si>
  <si>
    <t>RABADA</t>
  </si>
  <si>
    <t>MIUDOS CONGELADOS BOVINO</t>
  </si>
  <si>
    <t>CORAÇÃO</t>
  </si>
  <si>
    <t>CONTRA FILE ESPECIAL</t>
  </si>
  <si>
    <t>PACU - BIFE DO VAZIO</t>
  </si>
  <si>
    <t>COXÃO MOLE</t>
  </si>
  <si>
    <t>MÚSCULO</t>
  </si>
  <si>
    <t>PATINHO</t>
  </si>
  <si>
    <t>COXÃO DURO</t>
  </si>
  <si>
    <t>BUCHO</t>
  </si>
  <si>
    <t>JERKED BEEF 2 X 5 DIANTEIRO</t>
  </si>
  <si>
    <t xml:space="preserve">PONTA DE AGULHA </t>
  </si>
  <si>
    <t xml:space="preserve">COXÃO BOLA </t>
  </si>
  <si>
    <t xml:space="preserve">COXÃO COM ALCATRA </t>
  </si>
  <si>
    <t>ALCATRINHA</t>
  </si>
  <si>
    <t>CASADO</t>
  </si>
  <si>
    <t>38 kg</t>
  </si>
  <si>
    <t>20 kg</t>
  </si>
  <si>
    <t>FRISSURA</t>
  </si>
  <si>
    <t>CONTRA FILÉ COM NOIX</t>
  </si>
  <si>
    <t>13 kg</t>
  </si>
  <si>
    <t>22 kg</t>
  </si>
  <si>
    <t>23 kg</t>
  </si>
  <si>
    <t>20 Kg</t>
  </si>
  <si>
    <t>DESCRIÇÃO</t>
  </si>
  <si>
    <t>CÓDIGO</t>
  </si>
  <si>
    <t>PESO</t>
  </si>
  <si>
    <t>MARCA</t>
  </si>
  <si>
    <t>CARNE SALGADA DESSECADA - DT 2X5</t>
  </si>
  <si>
    <t>CONTRA FILE PORCIONADO</t>
  </si>
  <si>
    <t>LÍNGUA</t>
  </si>
  <si>
    <t>SANGRIA</t>
  </si>
  <si>
    <t>CARNE INDUSTRIAL</t>
  </si>
  <si>
    <t>ALCATRA + MAMINHA</t>
  </si>
  <si>
    <t>FRANGO CONGELADO</t>
  </si>
  <si>
    <t>FRANGO INTEIRO</t>
  </si>
  <si>
    <t>20Kg</t>
  </si>
  <si>
    <t>ASA</t>
  </si>
  <si>
    <t>18 Kg</t>
  </si>
  <si>
    <t>COXA E SOBRECOXA</t>
  </si>
  <si>
    <t>COXÃO DURO (SABOR)</t>
  </si>
  <si>
    <t xml:space="preserve">COXÃO MOLE (SABOR)                                                                                                                                                                                                                                                    </t>
  </si>
  <si>
    <t>ALCATRA COM MAMINHA (SABOR)</t>
  </si>
  <si>
    <t>MARGEM</t>
  </si>
  <si>
    <t>25 kg</t>
  </si>
  <si>
    <t>JERKED BEEF 25 X 0,400 TRASEIRO</t>
  </si>
  <si>
    <t>JERKED BEEF 25x 0,400 DIANTEIRO</t>
  </si>
  <si>
    <t>JERKED BEEF 2 X 5 TRASEIRO</t>
  </si>
  <si>
    <t>JERKED BEEF  2X5 - COXAO DURO</t>
  </si>
  <si>
    <t>MAMINHA DO ALCATRA</t>
  </si>
  <si>
    <t>MIOLO DO ALCATRA</t>
  </si>
  <si>
    <t>QUANTIDADE</t>
  </si>
  <si>
    <t>PESO TOTAL</t>
  </si>
  <si>
    <t>VALOR TOTAL</t>
  </si>
  <si>
    <t>PEITO (sem osso)</t>
  </si>
  <si>
    <t>GALINHA</t>
  </si>
  <si>
    <t>PEITO DE FRANGO COM OSSO</t>
  </si>
  <si>
    <t>ASA INTERFOLHADA</t>
  </si>
  <si>
    <t>ALCATRA COM MAMINHA</t>
  </si>
  <si>
    <t>LAGARTO</t>
  </si>
  <si>
    <t>PROMOÇÃO</t>
  </si>
  <si>
    <t>CÓD</t>
  </si>
  <si>
    <t>TAB</t>
  </si>
  <si>
    <t xml:space="preserve">FRALDINHA </t>
  </si>
  <si>
    <t>FILÉ DE PEITO C/ SASSAMI INDIVIDUAL</t>
  </si>
  <si>
    <t>23 Kg</t>
  </si>
  <si>
    <t xml:space="preserve">KG </t>
  </si>
  <si>
    <t>COXINHA DA ASA (Individual)</t>
  </si>
  <si>
    <t>COXA E SOBRECOXA (Individual)</t>
  </si>
  <si>
    <t>FILEZINHO SASSAMI (Interfolhado)</t>
  </si>
  <si>
    <t>PEITO SEM OSSO SEM PELE</t>
  </si>
  <si>
    <t>CARCAÇA DE FRANGO S/MIÚDOS 1300kg a 1400kg</t>
  </si>
  <si>
    <t>FRALDINHA</t>
  </si>
  <si>
    <t xml:space="preserve">COXÃO DURO                   </t>
  </si>
  <si>
    <t>FILÉ MIGNON C/CORDÃO</t>
  </si>
  <si>
    <t>MAMINHA DA ALCATRA</t>
  </si>
  <si>
    <t xml:space="preserve">FILEZINHO SASSAMI </t>
  </si>
  <si>
    <t>COXA DE FRANGO INDIVUDUAL</t>
  </si>
  <si>
    <t>FILÉ DE COXA E SOBRECOXA C/ PELE</t>
  </si>
  <si>
    <t>BISTECA</t>
  </si>
  <si>
    <t xml:space="preserve">BARRIGA COM PELE                                                                                                                                                                                                                                                </t>
  </si>
  <si>
    <t>PERNIL S/ PELE S/ OSSO</t>
  </si>
  <si>
    <t>PEITO COM OSSO</t>
  </si>
  <si>
    <t>CONTRA FILÉ GRILL</t>
  </si>
  <si>
    <t>CHORIZO</t>
  </si>
  <si>
    <t>CORTES DIANTEIRO</t>
  </si>
  <si>
    <t>PALETA SEM MÚSCULO RESFRIADO</t>
  </si>
  <si>
    <t>CORTES COSTELA CONGELADO</t>
  </si>
  <si>
    <t>COPA LOMBO S/OSSO</t>
  </si>
  <si>
    <t>COPA LOMBO C/OSSO</t>
  </si>
  <si>
    <t>15 Kg</t>
  </si>
  <si>
    <t>TOUCINHO MANTA B</t>
  </si>
  <si>
    <t>PICANHA B</t>
  </si>
  <si>
    <t>COXA DE FRANGO SOLTEIRA</t>
  </si>
  <si>
    <t>LOMBO</t>
  </si>
  <si>
    <t>COPA LOMBO COM OSSO</t>
  </si>
  <si>
    <t>MAMINHA</t>
  </si>
  <si>
    <t>CORTES EXPORTAÇÃO CONGELADOS</t>
  </si>
  <si>
    <t>FILÉ DE COSTELA EXPORTAÇÃO</t>
  </si>
  <si>
    <t>MAMINHA EXPORTAÇÃO</t>
  </si>
  <si>
    <t>CONTRA FILÉ s/ NOIX EXPORTAÇÃO</t>
  </si>
  <si>
    <t>MIOLO DE ALCATRA EXPORTAÇÃO</t>
  </si>
  <si>
    <t>FIGADO FATIADO</t>
  </si>
  <si>
    <t xml:space="preserve">COXÃO DURO </t>
  </si>
  <si>
    <t>15 kg</t>
  </si>
  <si>
    <t>MEIO DA ASA (interfolhado)</t>
  </si>
  <si>
    <t>CORAÇÃO (pct 1kg)</t>
  </si>
  <si>
    <t>FILÉ DE PEITO C/ SASSAMI (individual)</t>
  </si>
  <si>
    <t>COXINHA DA ASA (individual)</t>
  </si>
  <si>
    <t>PICANHA MAXXY GRILL</t>
  </si>
  <si>
    <t xml:space="preserve"> 14 Kg </t>
  </si>
  <si>
    <t xml:space="preserve"> 25 Kg </t>
  </si>
  <si>
    <t xml:space="preserve"> 20 kg </t>
  </si>
  <si>
    <t xml:space="preserve"> 12 Kg </t>
  </si>
  <si>
    <t xml:space="preserve"> 22 kg </t>
  </si>
  <si>
    <t>CORTES TRASEIRO CHURRASCO RESFRIADO</t>
  </si>
  <si>
    <t>FILÉ MIGNON S/ CORDÃO 4/5</t>
  </si>
  <si>
    <t>CORTES TRASEIRO RODA RESFRIADO</t>
  </si>
  <si>
    <t>PICANHA A</t>
  </si>
  <si>
    <t>FILÉ MIGNON S/ CORDÃO 3/4</t>
  </si>
  <si>
    <t xml:space="preserve">14 kg </t>
  </si>
  <si>
    <t xml:space="preserve">CAPA DE FILÉ </t>
  </si>
  <si>
    <t>PERNIL C/ PELE C/ OSSO</t>
  </si>
  <si>
    <t xml:space="preserve">COXÃO MOLE                                                                                                                                                                                                                                                 </t>
  </si>
  <si>
    <t>acima de 5 peças</t>
  </si>
  <si>
    <t>ARANHA</t>
  </si>
  <si>
    <t>BANANINHA</t>
  </si>
  <si>
    <t xml:space="preserve">LAGARTO </t>
  </si>
  <si>
    <t>FILE DE COSTELA</t>
  </si>
  <si>
    <t>FORNECEDOR</t>
  </si>
  <si>
    <t>GORDURA DE DESOSSA</t>
  </si>
  <si>
    <t>RECORTE DE DESOSSA</t>
  </si>
  <si>
    <t>30 kg</t>
  </si>
  <si>
    <t xml:space="preserve">PICANHA GRILL </t>
  </si>
  <si>
    <t xml:space="preserve">FILÉ MIGNON S/ CORDÃO 3/4 </t>
  </si>
  <si>
    <t xml:space="preserve">SUINOS CONGELADOS </t>
  </si>
  <si>
    <t>75 kg</t>
  </si>
  <si>
    <t>65 kg</t>
  </si>
  <si>
    <t>50 kg</t>
  </si>
  <si>
    <t>FILET COM ALCATRA (JACARÉ)</t>
  </si>
  <si>
    <t xml:space="preserve">FIGADO EXPORTAÇÃO </t>
  </si>
  <si>
    <t>PICANHA A "CONGELADA"</t>
  </si>
  <si>
    <t>PICANHA ESPECIAL "CONGELADA"</t>
  </si>
  <si>
    <t>FLAMBOIA</t>
  </si>
  <si>
    <t>CARNE INDUSTRIAL - NÃO COMESTIVEL</t>
  </si>
  <si>
    <t>BALBINOS</t>
  </si>
  <si>
    <t>ACÉM</t>
  </si>
  <si>
    <t>FILÉ MIGNON C/CORDÃO (CONGELADO)</t>
  </si>
  <si>
    <t>FRIBAL</t>
  </si>
  <si>
    <t>315 kg</t>
  </si>
  <si>
    <t>18 kg</t>
  </si>
  <si>
    <t>10 kg</t>
  </si>
  <si>
    <t>PROMOÇÃO CAIXARIA</t>
  </si>
  <si>
    <t>PICANHA BLACK</t>
  </si>
  <si>
    <t>COSTELA EM TIRAS</t>
  </si>
  <si>
    <t>COSTELA JANELA</t>
  </si>
  <si>
    <t>COSTELA MINGA</t>
  </si>
  <si>
    <t>acima de 2 peças</t>
  </si>
  <si>
    <t>PACU - BIFE DO VAZIO - CONGELADO</t>
  </si>
  <si>
    <t>CUPIM B  RESFRIADO</t>
  </si>
  <si>
    <t>12 kg</t>
  </si>
  <si>
    <t>32 kg</t>
  </si>
  <si>
    <t>16 Kg</t>
  </si>
  <si>
    <t>LINGUIÇA TOSCANA 4x4</t>
  </si>
  <si>
    <t>14 kg</t>
  </si>
  <si>
    <t>MÚSCULO TRASEIRO</t>
  </si>
  <si>
    <t>BUCHO FATIADO</t>
  </si>
  <si>
    <t>FRALDÃO</t>
  </si>
  <si>
    <t>ESTOQUE ON-LINE (SINTÉTICO)</t>
  </si>
  <si>
    <t>EMITENTE:</t>
  </si>
  <si>
    <t>BARRA MANSA COMÉRCIO DE CARNES E DERIVADOS LTDA</t>
  </si>
  <si>
    <t>Data:</t>
  </si>
  <si>
    <t>PERÍODO:</t>
  </si>
  <si>
    <t>Hora:</t>
  </si>
  <si>
    <t>UNID.</t>
  </si>
  <si>
    <t>QUANT</t>
  </si>
  <si>
    <t>PEÇAS</t>
  </si>
  <si>
    <t>UNIT.</t>
  </si>
  <si>
    <t>PICANHA ORIGEM</t>
  </si>
  <si>
    <t>FILÉ DE COSTELA/ANCHO</t>
  </si>
  <si>
    <t xml:space="preserve">FRALDINHA                                                                                                                                                                                                                                                    </t>
  </si>
  <si>
    <t>PESO POR CAIXA/PEÇA</t>
  </si>
  <si>
    <t>QTDE</t>
  </si>
  <si>
    <t>VLR UNIT. ESTOQUE</t>
  </si>
  <si>
    <t>QTDE TRASEIROS:</t>
  </si>
  <si>
    <t>VALOR UNIT.</t>
  </si>
  <si>
    <t>CUSTO TOTAL:</t>
  </si>
  <si>
    <t>PESO MÉDIO</t>
  </si>
  <si>
    <t>VALIDADE</t>
  </si>
  <si>
    <t>ESTOQUE + CORTES</t>
  </si>
  <si>
    <t>% RENDIMENTO</t>
  </si>
  <si>
    <t>BARRA MANSA</t>
  </si>
  <si>
    <t>RIBEIRO</t>
  </si>
  <si>
    <t>ALIMENTAR</t>
  </si>
  <si>
    <t>FRIVASA</t>
  </si>
  <si>
    <t>FRIELLA</t>
  </si>
  <si>
    <t>JAGUÁ</t>
  </si>
  <si>
    <t>GRANCORTE</t>
  </si>
  <si>
    <t>BAITA</t>
  </si>
  <si>
    <t>PAMPLONA</t>
  </si>
  <si>
    <t>ITABOM</t>
  </si>
  <si>
    <t>ADORO</t>
  </si>
  <si>
    <t>TONHO</t>
  </si>
  <si>
    <t>VILHETO</t>
  </si>
  <si>
    <t>QUALYMEAT</t>
  </si>
  <si>
    <t>JÁALIMENTOS</t>
  </si>
  <si>
    <t>BOACARNE</t>
  </si>
  <si>
    <t>VALEGRANDE(FRIALTO)</t>
  </si>
  <si>
    <t>BOIBRASIL</t>
  </si>
  <si>
    <t>MONTEVERDE</t>
  </si>
  <si>
    <t>BIGBOI</t>
  </si>
  <si>
    <t>IRMAOSDOVALE</t>
  </si>
  <si>
    <t>BEMBRASIL</t>
  </si>
  <si>
    <t>MISTERFRANGO</t>
  </si>
  <si>
    <t>P. AGULHA</t>
  </si>
  <si>
    <t>BOI</t>
  </si>
  <si>
    <t>NEGOCIAÇÃO</t>
  </si>
  <si>
    <t>ENTREGA</t>
  </si>
  <si>
    <t>TABELA</t>
  </si>
  <si>
    <t>PA</t>
  </si>
  <si>
    <t>MARGEM TABELA</t>
  </si>
  <si>
    <t>MARGEM NEGOCIAÇÃO</t>
  </si>
  <si>
    <t>MARGEM ENTREGA</t>
  </si>
  <si>
    <t>BOI CASADO</t>
  </si>
  <si>
    <t>senha: alberto</t>
  </si>
  <si>
    <t>BOA CARNE</t>
  </si>
  <si>
    <t>GOLD BEEF</t>
  </si>
  <si>
    <t xml:space="preserve"> </t>
  </si>
  <si>
    <t xml:space="preserve">FIGADO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</si>
  <si>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FILÉ COM NOIX </t>
  </si>
  <si>
    <t>CONTRA FILE SEM NOIX ESPECIAL</t>
  </si>
  <si>
    <t>CONTRA FILE SEM NOIX BARRA</t>
  </si>
  <si>
    <t>CONTRA SEM NOIX PORCIONADO (SABOR)</t>
  </si>
  <si>
    <t>CONTRA FILE SEM NOIX GRILL</t>
  </si>
  <si>
    <t>CONTRA FILÉ SEM NOIX OURO GRILL</t>
  </si>
  <si>
    <t>COXÃO DURO GORDO</t>
  </si>
  <si>
    <t>GRUPO:</t>
  </si>
  <si>
    <t>RESUMO DO ESTOQUE:</t>
  </si>
  <si>
    <t>FILET SIMPLES</t>
  </si>
  <si>
    <t xml:space="preserve">LKJ </t>
  </si>
  <si>
    <t>LKJ</t>
  </si>
  <si>
    <t>ACIMA de 05CXS Caixas</t>
  </si>
  <si>
    <t>ALCATRA COMPLETA GRILL</t>
  </si>
  <si>
    <t>FILÉ MIGNON ORIGEM 5UP ORIGEM</t>
  </si>
  <si>
    <t>MEDALHÃO DE PICANHA</t>
  </si>
  <si>
    <t>LINGUIÇA TOSCANA 4 X 2,500kgs - MINI</t>
  </si>
  <si>
    <t>VEGETAIS CONGELADO</t>
  </si>
  <si>
    <t>FRANGO EMPANADO</t>
  </si>
  <si>
    <t>EMBUTIDOS CONGELADO</t>
  </si>
  <si>
    <t>MY PORK</t>
  </si>
  <si>
    <t xml:space="preserve">BATATA PALITO CONGELADA 7 X 2 KG                                                                                                                                                                                                                             </t>
  </si>
  <si>
    <t xml:space="preserve">SELETA DE LEGUMES CONGELADO                                                                                                                                                                                                                                  </t>
  </si>
  <si>
    <t>ARRICO</t>
  </si>
  <si>
    <t>PESCADO CONGELADO</t>
  </si>
  <si>
    <t xml:space="preserve">DW152 IMPORTADO </t>
  </si>
  <si>
    <t>21 Kg</t>
  </si>
  <si>
    <t>PICANHA FATIADA</t>
  </si>
  <si>
    <t>CHICKEN</t>
  </si>
  <si>
    <t>CORTES ESPECIAIS LINHA ORANGES ORIGEM</t>
  </si>
  <si>
    <t>CORDÃO DO FILÉ</t>
  </si>
  <si>
    <t xml:space="preserve">FRALDÃO GRILL                                                                                                                                                                                                                                              </t>
  </si>
  <si>
    <t>HUMAITA</t>
  </si>
  <si>
    <t xml:space="preserve">LOMBINHO DO DIAFRAGMA                                                                                                                                                                                                                                        </t>
  </si>
  <si>
    <t>PALETA COM MÚSCULO CONGELADO</t>
  </si>
  <si>
    <t>22     CARNE CONGELADA DE BOVINO SEM OSSO</t>
  </si>
  <si>
    <t>11     CARNE RESFRIADA DE BOVINO COM OSSO</t>
  </si>
  <si>
    <t>12     CARNE RESFRIADA DE BOVINO SEM OSSO</t>
  </si>
  <si>
    <t>20     FRANGO E PEIXE</t>
  </si>
  <si>
    <t>52     MIUDO CONGELADO DE BOVINO (M.I) - SC</t>
  </si>
  <si>
    <t>32     MIUDO CONGELADO DE BOVINO - M.I</t>
  </si>
  <si>
    <t>VLR MOVIMENTO</t>
  </si>
  <si>
    <t>EST. MOVIMENTO</t>
  </si>
  <si>
    <t>CUSTO PONDERADO</t>
  </si>
  <si>
    <t>CHECK</t>
  </si>
  <si>
    <t>13 Kg</t>
  </si>
  <si>
    <t>35     CARNE DE SUINO CONGELADO</t>
  </si>
  <si>
    <t>CARNE MOÍDA CONGELADA</t>
  </si>
  <si>
    <t>CARNE MOIDA - PATINHO CONGELADO (2 PCT DE 5KG)</t>
  </si>
  <si>
    <t>CARNE MOIDA - TRASEIRO CONGELADO (2 PCT DE 5KG)</t>
  </si>
  <si>
    <t>CARNE MOIDA - ACEM CONGELADO (2 PCT DE 5KG)</t>
  </si>
  <si>
    <t>5 Kg</t>
  </si>
  <si>
    <t xml:space="preserve">FILÉ DE PANGASIUS PREMIUM IQF  CONGELADO                                                                                                                                                                                                                           </t>
  </si>
  <si>
    <t xml:space="preserve">FILÉ DE MERLUZA ARGENTINO INTERFOLHADO CONGELADO </t>
  </si>
  <si>
    <t>OPERGEL</t>
  </si>
  <si>
    <t xml:space="preserve">FILÉ DE SALMÃO COHO 1,500kg a 2,000kg CONGELADO  </t>
  </si>
  <si>
    <t>CUPIM A CONGELADO</t>
  </si>
  <si>
    <t xml:space="preserve"> 16 Kg </t>
  </si>
  <si>
    <t>CAPA DE FILÉ  CONGELADO</t>
  </si>
  <si>
    <t>COXÃO DURO CONGELADO</t>
  </si>
  <si>
    <t>COXÃO MOLE CONGELADO</t>
  </si>
  <si>
    <t>ALCATRA COM MAMINHA CONGELADO</t>
  </si>
  <si>
    <t>CONTRA FILÉ COM NOIX CONGELADO</t>
  </si>
  <si>
    <t>FILÉ MIGNON S/ CORDÃO 5UP</t>
  </si>
  <si>
    <t>CHORIZO ORIGEM</t>
  </si>
  <si>
    <t xml:space="preserve">FILÉ DE COSTELA ORIGEM </t>
  </si>
  <si>
    <t>MAMINHA ORIGEM</t>
  </si>
  <si>
    <t>MIOLO DE ALCATRA BLACK S/ ROLHA ORIGEM</t>
  </si>
  <si>
    <t>CUPIM A  CONGELADO</t>
  </si>
  <si>
    <t>CUPIM GRILL RESFRIADO (Peças de 5kgs acima)</t>
  </si>
  <si>
    <t>CUPIM B CONGELADO</t>
  </si>
  <si>
    <t>PEITO (Sem Osso)</t>
  </si>
  <si>
    <t>BARRIGA COM PELE (PANCETA)</t>
  </si>
  <si>
    <t xml:space="preserve">COUVE FLOR CONGELADA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</si>
  <si>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13 Kg </t>
  </si>
  <si>
    <t>24 kg</t>
  </si>
  <si>
    <t>26 kg</t>
  </si>
  <si>
    <t>CUPIM</t>
  </si>
  <si>
    <t>BEEF NOBRE</t>
  </si>
  <si>
    <t>PICANHA FATIADA (SABOR)</t>
  </si>
  <si>
    <t>BARRIGA SUINA (PANCETA)</t>
  </si>
  <si>
    <t>MÚSCULO DIANTEIRO</t>
  </si>
  <si>
    <t>24 Kg</t>
  </si>
  <si>
    <t>MOCOTÓ (Embalado individualmente)</t>
  </si>
  <si>
    <t xml:space="preserve">FILÉ DE SALMÃO COHO 2,000kg CONGELADO  </t>
  </si>
  <si>
    <t>RECORTE DE ALCATRA (ROLHA)</t>
  </si>
  <si>
    <t>8 Kg</t>
  </si>
  <si>
    <t xml:space="preserve">15 kg </t>
  </si>
  <si>
    <t>BANANINHA CONGELADO</t>
  </si>
  <si>
    <t>26 Kg</t>
  </si>
  <si>
    <t>BOI BRASIL</t>
  </si>
  <si>
    <t>28 kg</t>
  </si>
  <si>
    <t xml:space="preserve"> 24 Kg </t>
  </si>
  <si>
    <t>CONTRA FILÉ COM NOIX (SABOR)</t>
  </si>
  <si>
    <t xml:space="preserve"> 25 Kg</t>
  </si>
  <si>
    <t>PICANHA ESPECIAL A</t>
  </si>
  <si>
    <t xml:space="preserve">FORMADOS DE TILAPIA EMPANADO                                                                                                                                                                                                                                 </t>
  </si>
  <si>
    <t>9,8 Kg</t>
  </si>
  <si>
    <t>FILEZINHO EMPANADO (10 PCT DE 1KG)</t>
  </si>
  <si>
    <t>FORMADO DE TILÁPIA EMPANADO (14 PCT DE 0,7KG)</t>
  </si>
  <si>
    <r>
      <t xml:space="preserve">BANANINHA </t>
    </r>
    <r>
      <rPr>
        <b/>
        <i/>
        <sz val="12"/>
        <color rgb="FFFF0000"/>
        <rFont val="Aptos"/>
        <family val="2"/>
      </rPr>
      <t>CONGELADO</t>
    </r>
  </si>
  <si>
    <r>
      <t xml:space="preserve">CAPA DE FILÉ  </t>
    </r>
    <r>
      <rPr>
        <b/>
        <i/>
        <sz val="12"/>
        <color rgb="FFFF0000"/>
        <rFont val="Aptos"/>
        <family val="2"/>
      </rPr>
      <t>CONGELADO</t>
    </r>
  </si>
  <si>
    <r>
      <t xml:space="preserve">COXÃO DURO </t>
    </r>
    <r>
      <rPr>
        <b/>
        <i/>
        <sz val="12"/>
        <color rgb="FFFF0000"/>
        <rFont val="Aptos"/>
        <family val="2"/>
      </rPr>
      <t>CONGELADO</t>
    </r>
  </si>
  <si>
    <r>
      <t xml:space="preserve">COXÃO MOLE </t>
    </r>
    <r>
      <rPr>
        <b/>
        <i/>
        <sz val="12"/>
        <color rgb="FFFF0000"/>
        <rFont val="Aptos"/>
        <family val="2"/>
      </rPr>
      <t>CONGELADO</t>
    </r>
  </si>
  <si>
    <r>
      <t xml:space="preserve">ALCATRA COM MAMINHA </t>
    </r>
    <r>
      <rPr>
        <b/>
        <i/>
        <sz val="12"/>
        <color rgb="FFFF0000"/>
        <rFont val="Aptos"/>
        <family val="2"/>
      </rPr>
      <t>CONGELADO</t>
    </r>
  </si>
  <si>
    <r>
      <t xml:space="preserve">ALCATRA COM MAMINHA </t>
    </r>
    <r>
      <rPr>
        <b/>
        <sz val="12"/>
        <rFont val="Aptos"/>
        <family val="2"/>
      </rPr>
      <t>(SABOR)</t>
    </r>
  </si>
  <si>
    <r>
      <t xml:space="preserve">CONTRA FILÉ COM NOIX </t>
    </r>
    <r>
      <rPr>
        <b/>
        <sz val="12"/>
        <rFont val="Aptos"/>
        <family val="2"/>
      </rPr>
      <t>(SABOR)</t>
    </r>
  </si>
  <si>
    <r>
      <t xml:space="preserve">CONTRA FILÉ COM NOIX </t>
    </r>
    <r>
      <rPr>
        <b/>
        <i/>
        <sz val="12"/>
        <color rgb="FFFF0000"/>
        <rFont val="Aptos"/>
        <family val="2"/>
      </rPr>
      <t>CONGELADO</t>
    </r>
  </si>
  <si>
    <r>
      <t xml:space="preserve">FILÉ MIGNON S/ CORDÃO </t>
    </r>
    <r>
      <rPr>
        <b/>
        <sz val="12"/>
        <rFont val="Aptos"/>
        <family val="2"/>
      </rPr>
      <t>3/4</t>
    </r>
  </si>
  <si>
    <r>
      <t xml:space="preserve">FILÉ MIGNON S/ CORDÃO </t>
    </r>
    <r>
      <rPr>
        <b/>
        <sz val="12"/>
        <rFont val="Aptos"/>
        <family val="2"/>
      </rPr>
      <t>4/5</t>
    </r>
  </si>
  <si>
    <r>
      <t xml:space="preserve">FILÉ MIGNON S/ CORDÃO </t>
    </r>
    <r>
      <rPr>
        <b/>
        <sz val="12"/>
        <rFont val="Aptos"/>
        <family val="2"/>
      </rPr>
      <t>5UP</t>
    </r>
  </si>
  <si>
    <r>
      <t xml:space="preserve">PICANHA </t>
    </r>
    <r>
      <rPr>
        <b/>
        <sz val="12"/>
        <color rgb="FFFF0000"/>
        <rFont val="Aptos"/>
        <family val="2"/>
      </rPr>
      <t>B</t>
    </r>
  </si>
  <si>
    <r>
      <t xml:space="preserve">PICANHA ESPECIAL </t>
    </r>
    <r>
      <rPr>
        <b/>
        <sz val="12"/>
        <color rgb="FFFF0000"/>
        <rFont val="Aptos"/>
        <family val="2"/>
      </rPr>
      <t>A</t>
    </r>
  </si>
  <si>
    <r>
      <t xml:space="preserve">CHORIZO </t>
    </r>
    <r>
      <rPr>
        <b/>
        <sz val="12"/>
        <rFont val="Aptos"/>
        <family val="2"/>
      </rPr>
      <t>ORIGEM</t>
    </r>
  </si>
  <si>
    <r>
      <t xml:space="preserve">FILÉ MIGNON ORIGEM 5UP </t>
    </r>
    <r>
      <rPr>
        <b/>
        <sz val="12"/>
        <rFont val="Aptos"/>
        <family val="2"/>
      </rPr>
      <t>ORIGEM</t>
    </r>
  </si>
  <si>
    <r>
      <t xml:space="preserve">FILÉ DE COSTELA </t>
    </r>
    <r>
      <rPr>
        <b/>
        <sz val="12"/>
        <rFont val="Aptos"/>
        <family val="2"/>
      </rPr>
      <t xml:space="preserve">ORIGEM </t>
    </r>
  </si>
  <si>
    <r>
      <t xml:space="preserve">MAMINHA </t>
    </r>
    <r>
      <rPr>
        <b/>
        <sz val="12"/>
        <rFont val="Aptos"/>
        <family val="2"/>
      </rPr>
      <t>ORIGEM</t>
    </r>
  </si>
  <si>
    <r>
      <t xml:space="preserve">MIOLO DE ALCATRA BLACK S/ ROLHA </t>
    </r>
    <r>
      <rPr>
        <b/>
        <sz val="12"/>
        <rFont val="Aptos"/>
        <family val="2"/>
      </rPr>
      <t>ORIGEM</t>
    </r>
  </si>
  <si>
    <r>
      <t xml:space="preserve">PICANHA </t>
    </r>
    <r>
      <rPr>
        <b/>
        <sz val="12"/>
        <rFont val="Aptos"/>
        <family val="2"/>
      </rPr>
      <t>ORIGEM</t>
    </r>
  </si>
  <si>
    <r>
      <t>CUPIM A</t>
    </r>
    <r>
      <rPr>
        <b/>
        <sz val="12"/>
        <color rgb="FFFF0000"/>
        <rFont val="Aptos"/>
        <family val="2"/>
      </rPr>
      <t xml:space="preserve"> </t>
    </r>
    <r>
      <rPr>
        <b/>
        <i/>
        <sz val="12"/>
        <color rgb="FFFF0000"/>
        <rFont val="Aptos"/>
        <family val="2"/>
      </rPr>
      <t>CONGELADO</t>
    </r>
  </si>
  <si>
    <r>
      <t xml:space="preserve">CUPIM </t>
    </r>
    <r>
      <rPr>
        <b/>
        <i/>
        <sz val="12"/>
        <color rgb="FFFF0000"/>
        <rFont val="Aptos"/>
        <family val="2"/>
      </rPr>
      <t>A  CONGELADO</t>
    </r>
  </si>
  <si>
    <r>
      <t xml:space="preserve">CUPIM GRILL </t>
    </r>
    <r>
      <rPr>
        <b/>
        <sz val="12"/>
        <color rgb="FFFF0000"/>
        <rFont val="Aptos"/>
        <family val="2"/>
      </rPr>
      <t>RESFRIADO (Peças de 5kgs acima)</t>
    </r>
  </si>
  <si>
    <r>
      <t xml:space="preserve">CUPIM B </t>
    </r>
    <r>
      <rPr>
        <b/>
        <i/>
        <sz val="12"/>
        <color rgb="FFFF0000"/>
        <rFont val="Aptos"/>
        <family val="2"/>
      </rPr>
      <t>CONGELADO</t>
    </r>
  </si>
  <si>
    <r>
      <t xml:space="preserve">MÚSCULO </t>
    </r>
    <r>
      <rPr>
        <b/>
        <sz val="12"/>
        <rFont val="Aptos"/>
        <family val="2"/>
      </rPr>
      <t>DIANTEIRO</t>
    </r>
  </si>
  <si>
    <r>
      <t xml:space="preserve">PALETA </t>
    </r>
    <r>
      <rPr>
        <b/>
        <i/>
        <sz val="12"/>
        <color rgb="FFFF0000"/>
        <rFont val="Aptos"/>
        <family val="2"/>
      </rPr>
      <t>COM</t>
    </r>
    <r>
      <rPr>
        <sz val="12"/>
        <rFont val="Aptos"/>
        <family val="2"/>
      </rPr>
      <t xml:space="preserve"> MÚSCULO </t>
    </r>
    <r>
      <rPr>
        <b/>
        <i/>
        <sz val="12"/>
        <color rgb="FFFF0000"/>
        <rFont val="Aptos"/>
        <family val="2"/>
      </rPr>
      <t>CONGELADO</t>
    </r>
  </si>
  <si>
    <r>
      <t xml:space="preserve">PEITO </t>
    </r>
    <r>
      <rPr>
        <b/>
        <sz val="12"/>
        <color rgb="FFFF0000"/>
        <rFont val="Aptos"/>
        <family val="2"/>
      </rPr>
      <t>(Sem Osso)</t>
    </r>
  </si>
  <si>
    <r>
      <t xml:space="preserve">MOCOTÓ </t>
    </r>
    <r>
      <rPr>
        <b/>
        <sz val="12"/>
        <color rgb="FFFF0000"/>
        <rFont val="Aptos"/>
        <family val="2"/>
      </rPr>
      <t>(Embalado individualmente)</t>
    </r>
  </si>
  <si>
    <r>
      <t xml:space="preserve">BARRIGA COM PELE </t>
    </r>
    <r>
      <rPr>
        <b/>
        <sz val="12"/>
        <rFont val="Aptos"/>
        <family val="2"/>
      </rPr>
      <t>(PANCETA)</t>
    </r>
  </si>
  <si>
    <r>
      <t xml:space="preserve">CARNE MOIDA - PATINHO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(2 PCT DE 5KG)</t>
    </r>
  </si>
  <si>
    <r>
      <t xml:space="preserve">CARNE MOIDA - TRASEIRO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(2 PCT DE 5KG)</t>
    </r>
  </si>
  <si>
    <r>
      <t xml:space="preserve">CARNE MOIDA - ACEM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(2 PCT DE 5KG)</t>
    </r>
  </si>
  <si>
    <r>
      <t xml:space="preserve">BATATA PALITO </t>
    </r>
    <r>
      <rPr>
        <b/>
        <i/>
        <sz val="12"/>
        <color rgb="FFFF0000"/>
        <rFont val="Aptos"/>
        <family val="2"/>
      </rPr>
      <t>CONGELADA</t>
    </r>
    <r>
      <rPr>
        <sz val="12"/>
        <rFont val="Aptos"/>
        <family val="2"/>
      </rPr>
      <t xml:space="preserve"> 7 X 2 KG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</si>
  <si>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COUVE FLOR </t>
    </r>
    <r>
      <rPr>
        <b/>
        <i/>
        <sz val="12"/>
        <color rgb="FFFF0000"/>
        <rFont val="Aptos"/>
        <family val="2"/>
      </rPr>
      <t>CONGELADA</t>
    </r>
    <r>
      <rPr>
        <sz val="12"/>
        <rFont val="Aptos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</si>
  <si>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SELETA DE LEGUMES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</si>
  <si>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FILÉ DE MERLUZA ARGENTINO INTERFOLHADO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</t>
    </r>
  </si>
  <si>
    <r>
      <t xml:space="preserve">FILÉ DE PANGASIUS PREMIUM </t>
    </r>
    <r>
      <rPr>
        <b/>
        <sz val="12"/>
        <rFont val="Aptos"/>
        <family val="2"/>
      </rPr>
      <t>IQF</t>
    </r>
    <r>
      <rPr>
        <sz val="12"/>
        <rFont val="Aptos"/>
        <family val="2"/>
      </rPr>
      <t xml:space="preserve">  </t>
    </r>
    <r>
      <rPr>
        <b/>
        <i/>
        <sz val="12"/>
        <color rgb="FFFF0000"/>
        <rFont val="Aptos"/>
        <family val="2"/>
      </rPr>
      <t xml:space="preserve">CONGELADO </t>
    </r>
    <r>
      <rPr>
        <sz val="12"/>
        <rFont val="Aptos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</si>
  <si>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FILÉ DE SALMÃO COHO 1,500kg a 2,000kg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 </t>
    </r>
  </si>
  <si>
    <r>
      <t xml:space="preserve">FILÉ DE SALMÃO COHO 2,000kg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 </t>
    </r>
  </si>
  <si>
    <t>FRALDINHA GRILL</t>
  </si>
  <si>
    <r>
      <t xml:space="preserve">FILÉ MIGNON S/ CORDÃO </t>
    </r>
    <r>
      <rPr>
        <b/>
        <sz val="12"/>
        <rFont val="Aptos"/>
        <family val="2"/>
      </rPr>
      <t xml:space="preserve">3/4 </t>
    </r>
  </si>
  <si>
    <t>16 kg</t>
  </si>
  <si>
    <t xml:space="preserve">PICANHA                                                                                                                                                                                                                                                      </t>
  </si>
  <si>
    <t>Antes de utilzar a Pré Formatação salve o Estoque do dia em:</t>
  </si>
  <si>
    <t>\\srvbmsparq\BARRAMANSA_SP\CONTROLADORIA_SP\Arquivos temporários</t>
  </si>
  <si>
    <t xml:space="preserve">RABO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</si>
  <si>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MOCOTO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</si>
  <si>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MOCOTÓ</t>
    </r>
    <r>
      <rPr>
        <b/>
        <sz val="12"/>
        <color rgb="FFFF0000"/>
        <rFont val="Aptos"/>
        <family val="2"/>
      </rPr>
      <t xml:space="preserve"> (Embalado individualmente)</t>
    </r>
  </si>
  <si>
    <t>29     EMBUTIDOS</t>
  </si>
  <si>
    <t xml:space="preserve">FILÉ DE PANGASIUS PREMIUM                                                                                                                                                                                                                                    </t>
  </si>
  <si>
    <t xml:space="preserve">TOUCINHO                                                                                                                                                                                                                                                     </t>
  </si>
  <si>
    <t>BRAZ FRIG</t>
  </si>
  <si>
    <t>17 kg</t>
  </si>
  <si>
    <t xml:space="preserve"> 23 Kg </t>
  </si>
  <si>
    <t>Vale do Paraíba</t>
  </si>
  <si>
    <t xml:space="preserve">26 kg </t>
  </si>
  <si>
    <t>Time</t>
  </si>
  <si>
    <t>PROMOÇÃO - VALE</t>
  </si>
  <si>
    <t>VALÊNCIO</t>
  </si>
  <si>
    <t>CUPIM B RESFRIADO</t>
  </si>
  <si>
    <t>27 kg</t>
  </si>
  <si>
    <t>19 kg</t>
  </si>
  <si>
    <r>
      <rPr>
        <b/>
        <sz val="11"/>
        <color theme="3"/>
        <rFont val="Aptos"/>
        <family val="2"/>
      </rPr>
      <t>Fone:</t>
    </r>
    <r>
      <rPr>
        <sz val="11"/>
        <color theme="3"/>
        <rFont val="Aptos"/>
        <family val="2"/>
      </rPr>
      <t xml:space="preserve"> (11) 3735-0533</t>
    </r>
  </si>
  <si>
    <t>FRIGOESTRELA</t>
  </si>
  <si>
    <t xml:space="preserve">TRASEIRO DE BOI                                                                                                                                                                                                                                              </t>
  </si>
  <si>
    <t>QTDE COXÃO:</t>
  </si>
  <si>
    <t>PESO POR PEÇA</t>
  </si>
  <si>
    <t xml:space="preserve">DIANTEIRO DE BOI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</si>
  <si>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</si>
  <si>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PONTA DE AGULHA                                                                                                                                                                                                                                              </t>
  </si>
  <si>
    <t>27 Kg</t>
  </si>
  <si>
    <t xml:space="preserve"> 27 Kg </t>
  </si>
  <si>
    <t xml:space="preserve">COXÃO DURO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</si>
  <si>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FILE DE MERLUZA CONGELADO INTERFOLHADO                                                                                                                                                                                                                       </t>
  </si>
  <si>
    <t>COXÃO BOLA</t>
  </si>
  <si>
    <t>CORTES PROVENIENTES DO DESMEMBRAMENTO DO COXÃO COM OSSO QUE SOBROU NO ESTOQUE</t>
  </si>
  <si>
    <t>ENTRADA TOTAL NA DESOSSA</t>
  </si>
  <si>
    <t>SAÍDA TOTAL DA DESOSSA</t>
  </si>
  <si>
    <t>CORTES PROVENIENTES DOS TRASEIROS QUE ENTRARAM NA DESOSSA</t>
  </si>
  <si>
    <t>RESUMO DA DESOSSA</t>
  </si>
  <si>
    <t>ATENÇÃO</t>
  </si>
  <si>
    <t>Ajeitar primeiro as quantidades dos cortes que vieram do traseiro</t>
  </si>
  <si>
    <t>PREÇO/KG</t>
  </si>
  <si>
    <t>Os preços destes cortes são iguais aos preços dos cortes que vieram do traseiro</t>
  </si>
  <si>
    <t xml:space="preserve"> 22 Kg </t>
  </si>
  <si>
    <t xml:space="preserve">ACEM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</si>
  <si>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PATINHO - PÃO DE AÇÚCAR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</si>
  <si>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PALETA SEM MÚSCULO - PRAÇA                                                                                                                                                                                                                                   </t>
  </si>
  <si>
    <t xml:space="preserve">MIOLO DE ALCATRA - PRAÇA                                                                                                                                                                                                                                     </t>
  </si>
  <si>
    <t xml:space="preserve">MAMINHA DO ALCATRA - PRAÇA                                                                                                                                                                                                                                   </t>
  </si>
  <si>
    <t xml:space="preserve">CUPIM - PÃO DE AÇÚCAR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</si>
  <si>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FILÉ DE COSTELA - PRAÇA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</si>
  <si>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COXAO MOLE - CARREFOUR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</si>
  <si>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FILE S/ NOIX - MARCA SABOR                                                                                                                                                                                                                            </t>
  </si>
  <si>
    <t xml:space="preserve">CARNE INDUSTRIAL                                                                                                                                                                                                                                             </t>
  </si>
  <si>
    <t>21 kg</t>
  </si>
  <si>
    <t xml:space="preserve">FILEZINHO EMPANADO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</si>
  <si>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CUPIM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</si>
  <si>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PICANHA GRILL - PRAÇA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</si>
  <si>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BARRIGA C/ PELE (PANCETA)                                                                                                                                                                                                                                    </t>
  </si>
  <si>
    <t xml:space="preserve">LAGARTO - PÃO DE AÇÚCAR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</si>
  <si>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COXÃO DURO - PÃO DE AÇÚCAR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</si>
  <si>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FILÉ - PRAÇA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</si>
  <si>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FILÉ C/ NOIX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</si>
  <si>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PICANHA ESPECIAL - PÃO 10 KGS                                                                                                                                                                                                                                </t>
  </si>
  <si>
    <t xml:space="preserve">ALCATRA COM MAMINHA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</si>
  <si>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FILET COM OSSO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</si>
  <si>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MÚSCULO - PÃO DE AÇÚCAR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</si>
  <si>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FILE ESPECIAL - PRAÇA                                                                                                                                                                                                                                 </t>
  </si>
  <si>
    <t xml:space="preserve">FRALDINHA GRILL - PRAÇA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</si>
  <si>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FILE MIGNON S/CORDÃO                                                                                                                                                                                                                                         </t>
  </si>
  <si>
    <t>GOLDEN IMEX</t>
  </si>
  <si>
    <t>Posição de estoque em 28/08/2025 23:59:59. Resfriados Congelados Naturais Mat Cong Mat Resf Mercado Interno e Externo. Matérias-primas Semiacabados Acabados Ingredientes Insumos</t>
  </si>
  <si>
    <t xml:space="preserve">CUPIM A                                                                                                                                                                                                                                                      </t>
  </si>
  <si>
    <t>QUANTIDADE TOTAL: 2399          PESO TOTAL: 57940,302         VALOR DO ESTOQUE: R$ 1.584.404,57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</si>
</sst>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_-* #,##0.00_-;\-* #,##0.00_-;_-* \-??_-;_-@_-"/>
    <numFmt numFmtId="165" formatCode="d/m/yyyy"/>
    <numFmt numFmtId="166" formatCode="_-&quot;R$ &quot;* #,##0.00_-;&quot;-R$ &quot;* #,##0.00_-;_-&quot;R$ &quot;* \-??_-;_-@_-"/>
    <numFmt numFmtId="167" formatCode="#,##0;[Red]#,##0"/>
    <numFmt numFmtId="168" formatCode="#,##0.000_);[Red]\(#,##0.000\)"/>
    <numFmt numFmtId="169" formatCode="#,##0.00_ ;[Red]\-#,##0.00\ "/>
    <numFmt numFmtId="170" formatCode="_-* #,##0_-;\-* #,##0_-;_-* &quot;-&quot;??_-;_-@_-"/>
    <numFmt numFmtId="171" formatCode="[$-F800]dddd\,\ mmmm\ dd\,\ yyyy"/>
    <numFmt numFmtId="172" formatCode="_-* #,##0.000_-;\-* #,##0.000_-;_-* &quot;-&quot;??_-;_-@_-"/>
    <numFmt numFmtId="173" formatCode="0.0%"/>
    <numFmt numFmtId="174" formatCode="_-* #,##0.0000_-;\-* #,##0.0000_-;_-* &quot;-&quot;??_-;_-@_-"/>
    <numFmt numFmtId="175" formatCode="#,##0_ ;\-#,##0\ "/>
    <numFmt numFmtId="176" formatCode="0.000"/>
    <numFmt numFmtId="177" formatCode="#,##0_ ;[Red]\-#,##0\ "/>
    <numFmt numFmtId="178" formatCode="#,##0.000"/>
    <numFmt numFmtId="179" formatCode="&quot;R$&quot;\ #,##0.00"/>
  </numFmts>
  <fonts count="7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8"/>
      <color rgb="FFFFFFFF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color rgb="FFFF0000"/>
      <name val="Cambria"/>
      <family val="1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  <font>
      <b/>
      <sz val="12"/>
      <color rgb="FFFF0000"/>
      <name val="Aptos Narrow"/>
      <family val="2"/>
    </font>
    <font>
      <b/>
      <sz val="12"/>
      <color rgb="FF0070C0"/>
      <name val="Aptos Narrow"/>
      <family val="2"/>
    </font>
    <font>
      <sz val="12"/>
      <name val="Aptos Narrow"/>
      <family val="2"/>
    </font>
    <font>
      <b/>
      <sz val="12"/>
      <name val="Aptos Narrow"/>
      <family val="2"/>
    </font>
    <font>
      <b/>
      <u/>
      <sz val="16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u/>
      <sz val="10"/>
      <color indexed="8"/>
      <name val="Arial"/>
      <family val="2"/>
    </font>
    <font>
      <sz val="11"/>
      <color rgb="FF000000"/>
      <name val="Aptos"/>
      <family val="2"/>
    </font>
    <font>
      <b/>
      <sz val="11"/>
      <color rgb="FF000000"/>
      <name val="Aptos"/>
      <family val="2"/>
    </font>
    <font>
      <b/>
      <sz val="22"/>
      <color rgb="FF000000"/>
      <name val="Aptos Narrow"/>
      <family val="2"/>
    </font>
    <font>
      <b/>
      <sz val="18"/>
      <color rgb="FFFFFFFF"/>
      <name val="Aptos Display"/>
      <family val="2"/>
    </font>
    <font>
      <sz val="11"/>
      <color rgb="FF000000"/>
      <name val="Aptos Display"/>
      <family val="2"/>
    </font>
    <font>
      <b/>
      <sz val="11"/>
      <name val="Aptos Display"/>
      <family val="2"/>
    </font>
    <font>
      <b/>
      <sz val="11"/>
      <color rgb="FFFF0000"/>
      <name val="Aptos Display"/>
      <family val="2"/>
    </font>
    <font>
      <sz val="11"/>
      <name val="Aptos Display"/>
      <family val="2"/>
    </font>
    <font>
      <sz val="12"/>
      <color theme="1"/>
      <name val="Aptos Display"/>
      <family val="2"/>
    </font>
    <font>
      <sz val="12"/>
      <name val="Aptos Display"/>
      <family val="2"/>
    </font>
    <font>
      <b/>
      <sz val="11"/>
      <color rgb="FFFFFFFF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FF0000"/>
      <name val="Calibri"/>
      <family val="2"/>
    </font>
    <font>
      <b/>
      <sz val="12"/>
      <color rgb="FFFFFFFF"/>
      <name val="Cambria"/>
      <family val="1"/>
      <scheme val="major"/>
    </font>
    <font>
      <b/>
      <sz val="12"/>
      <color rgb="FFFFFFFF"/>
      <name val="Aptos"/>
      <family val="2"/>
    </font>
    <font>
      <b/>
      <sz val="12"/>
      <color theme="0"/>
      <name val="Aptos"/>
      <family val="2"/>
    </font>
    <font>
      <b/>
      <sz val="12"/>
      <color rgb="FF0070C0"/>
      <name val="Aptos"/>
      <family val="2"/>
    </font>
    <font>
      <sz val="12"/>
      <name val="Aptos"/>
      <family val="2"/>
    </font>
    <font>
      <sz val="12"/>
      <color rgb="FF000000"/>
      <name val="Aptos"/>
      <family val="2"/>
    </font>
    <font>
      <b/>
      <sz val="12"/>
      <color rgb="FFFF0000"/>
      <name val="Aptos"/>
      <family val="2"/>
    </font>
    <font>
      <b/>
      <sz val="12"/>
      <name val="Aptos"/>
      <family val="2"/>
    </font>
    <font>
      <sz val="18"/>
      <color rgb="FF000000"/>
      <name val="Aptos"/>
      <family val="2"/>
    </font>
    <font>
      <b/>
      <i/>
      <sz val="12"/>
      <color rgb="FFFF0000"/>
      <name val="Aptos"/>
      <family val="2"/>
    </font>
    <font>
      <sz val="11"/>
      <name val="Aptos"/>
      <family val="2"/>
    </font>
    <font>
      <sz val="12"/>
      <color theme="1"/>
      <name val="Aptos"/>
      <family val="2"/>
    </font>
    <font>
      <b/>
      <sz val="18"/>
      <color rgb="FF0070C0"/>
      <name val="Aptos"/>
      <family val="2"/>
    </font>
    <font>
      <sz val="11"/>
      <color rgb="FF0070C0"/>
      <name val="Aptos"/>
      <family val="2"/>
    </font>
    <font>
      <b/>
      <sz val="11"/>
      <name val="Aptos"/>
      <family val="2"/>
    </font>
    <font>
      <b/>
      <sz val="11"/>
      <color rgb="FF0070C0"/>
      <name val="Aptos"/>
      <family val="2"/>
    </font>
    <font>
      <b/>
      <sz val="12"/>
      <color rgb="FF000000"/>
      <name val="Aptos"/>
      <family val="2"/>
    </font>
    <font>
      <b/>
      <sz val="11"/>
      <color rgb="FFFF0000"/>
      <name val="Aptos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b/>
      <sz val="12"/>
      <color theme="1"/>
      <name val="Aptos"/>
      <family val="2"/>
    </font>
    <font>
      <sz val="11"/>
      <color theme="3"/>
      <name val="Aptos"/>
      <family val="2"/>
    </font>
    <font>
      <b/>
      <sz val="11"/>
      <color theme="3"/>
      <name val="Aptos"/>
      <family val="2"/>
    </font>
    <font>
      <b/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166" fontId="9" fillId="0" borderId="0" applyBorder="0" applyProtection="0"/>
    <xf numFmtId="0" fontId="11" fillId="0" borderId="0"/>
    <xf numFmtId="0" fontId="13" fillId="0" borderId="0"/>
    <xf numFmtId="0" fontId="13" fillId="0" borderId="0"/>
    <xf numFmtId="9" fontId="12" fillId="0" borderId="0" applyFill="0" applyBorder="0" applyAlignment="0" applyProtection="0"/>
    <xf numFmtId="43" fontId="12" fillId="0" borderId="0" applyFill="0" applyBorder="0" applyAlignment="0" applyProtection="0"/>
    <xf numFmtId="0" fontId="9" fillId="0" borderId="0"/>
    <xf numFmtId="164" fontId="9" fillId="0" borderId="0" applyBorder="0" applyProtection="0"/>
    <xf numFmtId="166" fontId="9" fillId="0" borderId="0" applyBorder="0" applyProtection="0"/>
    <xf numFmtId="9" fontId="9" fillId="0" borderId="0" applyBorder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9" fillId="0" borderId="0"/>
    <xf numFmtId="43" fontId="20" fillId="0" borderId="0" applyFill="0" applyBorder="0" applyAlignment="0" applyProtection="0"/>
    <xf numFmtId="0" fontId="9" fillId="0" borderId="0"/>
    <xf numFmtId="166" fontId="9" fillId="0" borderId="0" applyBorder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2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ill="0" applyBorder="0" applyAlignment="0" applyProtection="0"/>
    <xf numFmtId="9" fontId="11" fillId="0" borderId="0" applyFont="0" applyFill="0" applyBorder="0" applyAlignment="0" applyProtection="0"/>
    <xf numFmtId="43" fontId="12" fillId="0" borderId="0" applyFill="0" applyBorder="0" applyAlignment="0" applyProtection="0"/>
    <xf numFmtId="0" fontId="72" fillId="0" borderId="0" applyNumberFormat="0" applyFill="0" applyBorder="0" applyAlignment="0" applyProtection="0"/>
  </cellStyleXfs>
  <cellXfs count="536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/>
    <xf numFmtId="43" fontId="0" fillId="0" borderId="0" xfId="14" applyFont="1"/>
    <xf numFmtId="43" fontId="15" fillId="0" borderId="0" xfId="14" applyFont="1" applyFill="1" applyBorder="1" applyAlignment="1" applyProtection="1">
      <alignment horizontal="center" vertical="center"/>
    </xf>
    <xf numFmtId="167" fontId="14" fillId="0" borderId="0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horizontal="left" vertical="center"/>
    </xf>
    <xf numFmtId="43" fontId="18" fillId="0" borderId="0" xfId="14" applyFont="1"/>
    <xf numFmtId="0" fontId="0" fillId="0" borderId="5" xfId="0" applyBorder="1"/>
    <xf numFmtId="0" fontId="0" fillId="0" borderId="9" xfId="0" applyBorder="1"/>
    <xf numFmtId="166" fontId="14" fillId="0" borderId="0" xfId="1" applyFont="1" applyBorder="1" applyAlignment="1" applyProtection="1">
      <alignment horizontal="center" vertical="center"/>
    </xf>
    <xf numFmtId="0" fontId="0" fillId="0" borderId="16" xfId="0" applyBorder="1"/>
    <xf numFmtId="167" fontId="14" fillId="0" borderId="18" xfId="1" applyNumberFormat="1" applyFont="1" applyBorder="1" applyAlignment="1" applyProtection="1">
      <alignment horizontal="center" vertical="center"/>
    </xf>
    <xf numFmtId="166" fontId="14" fillId="0" borderId="18" xfId="1" applyFont="1" applyBorder="1" applyAlignment="1" applyProtection="1">
      <alignment horizontal="center" vertical="center"/>
    </xf>
    <xf numFmtId="43" fontId="0" fillId="0" borderId="15" xfId="0" applyNumberFormat="1" applyBorder="1"/>
    <xf numFmtId="0" fontId="0" fillId="0" borderId="7" xfId="0" applyBorder="1"/>
    <xf numFmtId="43" fontId="0" fillId="0" borderId="5" xfId="0" applyNumberFormat="1" applyBorder="1"/>
    <xf numFmtId="0" fontId="0" fillId="0" borderId="8" xfId="0" applyBorder="1"/>
    <xf numFmtId="43" fontId="0" fillId="0" borderId="10" xfId="0" applyNumberFormat="1" applyBorder="1"/>
    <xf numFmtId="43" fontId="0" fillId="5" borderId="8" xfId="0" applyNumberFormat="1" applyFill="1" applyBorder="1"/>
    <xf numFmtId="43" fontId="0" fillId="5" borderId="11" xfId="0" applyNumberFormat="1" applyFill="1" applyBorder="1"/>
    <xf numFmtId="43" fontId="21" fillId="0" borderId="18" xfId="14" applyFont="1" applyFill="1" applyBorder="1" applyAlignment="1" applyProtection="1">
      <alignment horizontal="center" vertical="center"/>
    </xf>
    <xf numFmtId="166" fontId="9" fillId="0" borderId="21" xfId="1" applyBorder="1"/>
    <xf numFmtId="167" fontId="22" fillId="6" borderId="2" xfId="1" applyNumberFormat="1" applyFont="1" applyFill="1" applyBorder="1" applyAlignment="1" applyProtection="1">
      <alignment horizontal="center" vertical="center"/>
    </xf>
    <xf numFmtId="0" fontId="22" fillId="6" borderId="2" xfId="0" applyFont="1" applyFill="1" applyBorder="1" applyAlignment="1">
      <alignment horizontal="left" vertical="center"/>
    </xf>
    <xf numFmtId="0" fontId="22" fillId="6" borderId="2" xfId="14" applyNumberFormat="1" applyFont="1" applyFill="1" applyBorder="1" applyAlignment="1" applyProtection="1">
      <alignment horizontal="center" vertical="center"/>
    </xf>
    <xf numFmtId="0" fontId="22" fillId="6" borderId="2" xfId="0" applyFont="1" applyFill="1" applyBorder="1" applyAlignment="1">
      <alignment horizontal="center"/>
    </xf>
    <xf numFmtId="0" fontId="23" fillId="0" borderId="0" xfId="0" applyFont="1"/>
    <xf numFmtId="170" fontId="23" fillId="0" borderId="0" xfId="14" applyNumberFormat="1" applyFont="1"/>
    <xf numFmtId="43" fontId="23" fillId="0" borderId="0" xfId="14" applyFont="1"/>
    <xf numFmtId="0" fontId="24" fillId="0" borderId="20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166" fontId="23" fillId="0" borderId="0" xfId="1" applyFont="1" applyBorder="1" applyAlignment="1">
      <alignment horizontal="center" vertical="center"/>
    </xf>
    <xf numFmtId="0" fontId="23" fillId="0" borderId="0" xfId="14" applyNumberFormat="1" applyFont="1" applyAlignment="1">
      <alignment horizontal="center"/>
    </xf>
    <xf numFmtId="0" fontId="23" fillId="0" borderId="0" xfId="0" applyFont="1" applyAlignment="1">
      <alignment horizontal="center"/>
    </xf>
    <xf numFmtId="170" fontId="23" fillId="0" borderId="0" xfId="14" applyNumberFormat="1" applyFont="1" applyBorder="1"/>
    <xf numFmtId="0" fontId="23" fillId="0" borderId="0" xfId="14" applyNumberFormat="1" applyFont="1" applyBorder="1" applyAlignment="1">
      <alignment horizontal="center"/>
    </xf>
    <xf numFmtId="43" fontId="22" fillId="6" borderId="2" xfId="14" applyFont="1" applyFill="1" applyBorder="1" applyAlignment="1">
      <alignment horizontal="center"/>
    </xf>
    <xf numFmtId="43" fontId="23" fillId="0" borderId="21" xfId="14" applyFont="1" applyBorder="1"/>
    <xf numFmtId="166" fontId="9" fillId="0" borderId="0" xfId="1"/>
    <xf numFmtId="0" fontId="5" fillId="0" borderId="21" xfId="0" applyFont="1" applyBorder="1" applyAlignment="1">
      <alignment horizontal="center" vertical="center" wrapText="1"/>
    </xf>
    <xf numFmtId="3" fontId="5" fillId="0" borderId="21" xfId="0" applyNumberFormat="1" applyFont="1" applyBorder="1" applyAlignment="1">
      <alignment horizontal="center" vertical="center" wrapText="1"/>
    </xf>
    <xf numFmtId="166" fontId="23" fillId="0" borderId="21" xfId="1" applyFont="1" applyBorder="1"/>
    <xf numFmtId="43" fontId="23" fillId="0" borderId="21" xfId="14" applyFont="1" applyFill="1" applyBorder="1"/>
    <xf numFmtId="0" fontId="23" fillId="0" borderId="21" xfId="0" applyFont="1" applyBorder="1" applyAlignment="1">
      <alignment horizontal="center" vertical="center"/>
    </xf>
    <xf numFmtId="167" fontId="22" fillId="8" borderId="2" xfId="1" applyNumberFormat="1" applyFont="1" applyFill="1" applyBorder="1" applyAlignment="1" applyProtection="1">
      <alignment horizontal="center" vertical="center"/>
    </xf>
    <xf numFmtId="0" fontId="22" fillId="8" borderId="2" xfId="0" applyFont="1" applyFill="1" applyBorder="1" applyAlignment="1">
      <alignment horizontal="left" vertical="center"/>
    </xf>
    <xf numFmtId="0" fontId="22" fillId="8" borderId="2" xfId="14" applyNumberFormat="1" applyFont="1" applyFill="1" applyBorder="1" applyAlignment="1" applyProtection="1">
      <alignment horizontal="center" vertical="center"/>
    </xf>
    <xf numFmtId="0" fontId="22" fillId="8" borderId="2" xfId="0" applyFont="1" applyFill="1" applyBorder="1" applyAlignment="1">
      <alignment horizontal="center"/>
    </xf>
    <xf numFmtId="43" fontId="22" fillId="8" borderId="2" xfId="14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 vertical="center" wrapText="1"/>
    </xf>
    <xf numFmtId="170" fontId="23" fillId="0" borderId="0" xfId="14" applyNumberFormat="1" applyFont="1" applyFill="1" applyBorder="1"/>
    <xf numFmtId="166" fontId="23" fillId="0" borderId="0" xfId="1" applyFont="1" applyBorder="1"/>
    <xf numFmtId="43" fontId="23" fillId="0" borderId="0" xfId="14" applyFont="1" applyFill="1" applyBorder="1"/>
    <xf numFmtId="166" fontId="9" fillId="0" borderId="0" xfId="1" applyBorder="1"/>
    <xf numFmtId="0" fontId="25" fillId="0" borderId="21" xfId="0" applyFont="1" applyBorder="1"/>
    <xf numFmtId="0" fontId="23" fillId="0" borderId="21" xfId="14" applyNumberFormat="1" applyFont="1" applyBorder="1" applyAlignment="1">
      <alignment horizontal="center"/>
    </xf>
    <xf numFmtId="172" fontId="25" fillId="0" borderId="0" xfId="14" applyNumberFormat="1" applyFont="1" applyFill="1" applyBorder="1" applyAlignment="1">
      <alignment horizontal="center"/>
    </xf>
    <xf numFmtId="173" fontId="24" fillId="0" borderId="20" xfId="15" applyNumberFormat="1" applyFont="1" applyBorder="1" applyAlignment="1">
      <alignment horizontal="center" vertical="center"/>
    </xf>
    <xf numFmtId="173" fontId="24" fillId="0" borderId="21" xfId="15" applyNumberFormat="1" applyFont="1" applyBorder="1" applyAlignment="1">
      <alignment horizontal="center" vertical="center"/>
    </xf>
    <xf numFmtId="0" fontId="22" fillId="6" borderId="2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9" fillId="0" borderId="0" xfId="1" applyBorder="1" applyAlignment="1">
      <alignment horizontal="center"/>
    </xf>
    <xf numFmtId="0" fontId="22" fillId="8" borderId="21" xfId="0" applyFont="1" applyFill="1" applyBorder="1" applyAlignment="1">
      <alignment horizontal="center" vertical="center"/>
    </xf>
    <xf numFmtId="43" fontId="22" fillId="6" borderId="21" xfId="14" applyFont="1" applyFill="1" applyBorder="1" applyAlignment="1">
      <alignment horizontal="center"/>
    </xf>
    <xf numFmtId="0" fontId="23" fillId="0" borderId="21" xfId="0" applyFont="1" applyBorder="1"/>
    <xf numFmtId="174" fontId="22" fillId="6" borderId="21" xfId="14" applyNumberFormat="1" applyFont="1" applyFill="1" applyBorder="1"/>
    <xf numFmtId="167" fontId="17" fillId="10" borderId="2" xfId="1" applyNumberFormat="1" applyFont="1" applyFill="1" applyBorder="1" applyAlignment="1" applyProtection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7" fillId="10" borderId="2" xfId="14" applyNumberFormat="1" applyFont="1" applyFill="1" applyBorder="1" applyAlignment="1" applyProtection="1">
      <alignment horizontal="center" vertical="center"/>
    </xf>
    <xf numFmtId="0" fontId="17" fillId="10" borderId="2" xfId="0" applyFont="1" applyFill="1" applyBorder="1" applyAlignment="1">
      <alignment horizontal="center"/>
    </xf>
    <xf numFmtId="43" fontId="17" fillId="10" borderId="2" xfId="14" applyFont="1" applyFill="1" applyBorder="1" applyAlignment="1">
      <alignment horizontal="center"/>
    </xf>
    <xf numFmtId="0" fontId="17" fillId="10" borderId="21" xfId="0" applyFont="1" applyFill="1" applyBorder="1" applyAlignment="1">
      <alignment horizontal="center" vertical="center"/>
    </xf>
    <xf numFmtId="173" fontId="24" fillId="0" borderId="0" xfId="15" applyNumberFormat="1" applyFont="1" applyBorder="1" applyAlignment="1">
      <alignment horizontal="center" vertical="center"/>
    </xf>
    <xf numFmtId="10" fontId="23" fillId="0" borderId="0" xfId="15" applyNumberFormat="1" applyFont="1" applyBorder="1" applyAlignment="1">
      <alignment horizontal="center"/>
    </xf>
    <xf numFmtId="0" fontId="0" fillId="11" borderId="21" xfId="0" applyFill="1" applyBorder="1"/>
    <xf numFmtId="0" fontId="17" fillId="11" borderId="21" xfId="0" applyFont="1" applyFill="1" applyBorder="1" applyAlignment="1">
      <alignment horizontal="center"/>
    </xf>
    <xf numFmtId="0" fontId="17" fillId="12" borderId="21" xfId="0" applyFont="1" applyFill="1" applyBorder="1" applyAlignment="1">
      <alignment horizontal="center"/>
    </xf>
    <xf numFmtId="0" fontId="0" fillId="0" borderId="21" xfId="0" applyBorder="1"/>
    <xf numFmtId="43" fontId="0" fillId="0" borderId="21" xfId="14" applyFont="1" applyBorder="1"/>
    <xf numFmtId="43" fontId="0" fillId="5" borderId="21" xfId="14" applyFont="1" applyFill="1" applyBorder="1"/>
    <xf numFmtId="43" fontId="18" fillId="0" borderId="21" xfId="14" applyFont="1" applyBorder="1"/>
    <xf numFmtId="43" fontId="0" fillId="0" borderId="21" xfId="0" applyNumberFormat="1" applyBorder="1"/>
    <xf numFmtId="0" fontId="17" fillId="0" borderId="21" xfId="0" applyFont="1" applyBorder="1"/>
    <xf numFmtId="43" fontId="17" fillId="0" borderId="21" xfId="14" applyFont="1" applyBorder="1"/>
    <xf numFmtId="43" fontId="17" fillId="5" borderId="21" xfId="14" applyFont="1" applyFill="1" applyBorder="1"/>
    <xf numFmtId="43" fontId="18" fillId="0" borderId="21" xfId="0" applyNumberFormat="1" applyFont="1" applyBorder="1"/>
    <xf numFmtId="43" fontId="0" fillId="0" borderId="21" xfId="14" applyFont="1" applyFill="1" applyBorder="1"/>
    <xf numFmtId="43" fontId="18" fillId="0" borderId="21" xfId="14" applyFont="1" applyFill="1" applyBorder="1"/>
    <xf numFmtId="43" fontId="4" fillId="0" borderId="21" xfId="14" applyFont="1" applyFill="1" applyBorder="1"/>
    <xf numFmtId="175" fontId="0" fillId="0" borderId="0" xfId="14" applyNumberFormat="1" applyFont="1" applyAlignment="1">
      <alignment horizontal="center"/>
    </xf>
    <xf numFmtId="3" fontId="5" fillId="5" borderId="21" xfId="0" applyNumberFormat="1" applyFont="1" applyFill="1" applyBorder="1" applyAlignment="1" applyProtection="1">
      <alignment horizontal="center" vertical="center" wrapText="1"/>
      <protection locked="0"/>
    </xf>
    <xf numFmtId="166" fontId="23" fillId="5" borderId="21" xfId="1" applyFont="1" applyFill="1" applyBorder="1" applyProtection="1">
      <protection locked="0"/>
    </xf>
    <xf numFmtId="0" fontId="28" fillId="0" borderId="0" xfId="0" applyFont="1"/>
    <xf numFmtId="165" fontId="30" fillId="2" borderId="0" xfId="0" applyNumberFormat="1" applyFont="1" applyFill="1" applyAlignment="1" applyProtection="1">
      <alignment vertical="center"/>
      <protection locked="0"/>
    </xf>
    <xf numFmtId="0" fontId="30" fillId="2" borderId="0" xfId="0" applyFont="1" applyFill="1" applyAlignment="1">
      <alignment horizontal="center" vertical="center"/>
    </xf>
    <xf numFmtId="165" fontId="31" fillId="2" borderId="0" xfId="0" applyNumberFormat="1" applyFont="1" applyFill="1" applyAlignment="1" applyProtection="1">
      <alignment vertical="center"/>
      <protection locked="0"/>
    </xf>
    <xf numFmtId="165" fontId="32" fillId="2" borderId="4" xfId="0" applyNumberFormat="1" applyFont="1" applyFill="1" applyBorder="1" applyAlignment="1" applyProtection="1">
      <alignment horizontal="center" vertical="center"/>
      <protection locked="0"/>
    </xf>
    <xf numFmtId="169" fontId="35" fillId="2" borderId="0" xfId="14" applyNumberFormat="1" applyFont="1" applyFill="1" applyBorder="1" applyAlignment="1">
      <alignment horizontal="center" vertical="center"/>
    </xf>
    <xf numFmtId="169" fontId="33" fillId="2" borderId="0" xfId="14" applyNumberFormat="1" applyFont="1" applyFill="1" applyBorder="1" applyAlignment="1">
      <alignment horizontal="center" vertical="center"/>
    </xf>
    <xf numFmtId="169" fontId="34" fillId="2" borderId="0" xfId="14" applyNumberFormat="1" applyFont="1" applyFill="1" applyBorder="1" applyAlignment="1">
      <alignment horizontal="left" vertical="center"/>
    </xf>
    <xf numFmtId="169" fontId="34" fillId="2" borderId="0" xfId="14" applyNumberFormat="1" applyFont="1" applyFill="1" applyBorder="1" applyAlignment="1">
      <alignment horizontal="center" vertical="center"/>
    </xf>
    <xf numFmtId="0" fontId="0" fillId="7" borderId="0" xfId="0" applyFill="1"/>
    <xf numFmtId="171" fontId="31" fillId="2" borderId="4" xfId="0" applyNumberFormat="1" applyFont="1" applyFill="1" applyBorder="1" applyAlignment="1" applyProtection="1">
      <alignment horizontal="center" vertical="center"/>
      <protection locked="0"/>
    </xf>
    <xf numFmtId="167" fontId="43" fillId="3" borderId="7" xfId="1" applyNumberFormat="1" applyFont="1" applyFill="1" applyBorder="1" applyAlignment="1" applyProtection="1">
      <alignment horizontal="center" vertical="center"/>
    </xf>
    <xf numFmtId="0" fontId="44" fillId="0" borderId="0" xfId="0" applyFont="1"/>
    <xf numFmtId="43" fontId="44" fillId="0" borderId="0" xfId="14" applyFont="1"/>
    <xf numFmtId="43" fontId="44" fillId="0" borderId="0" xfId="0" applyNumberFormat="1" applyFont="1"/>
    <xf numFmtId="167" fontId="45" fillId="0" borderId="18" xfId="1" applyNumberFormat="1" applyFont="1" applyBorder="1" applyAlignment="1" applyProtection="1">
      <alignment horizontal="center" vertical="center"/>
    </xf>
    <xf numFmtId="0" fontId="45" fillId="0" borderId="18" xfId="0" applyFont="1" applyBorder="1" applyAlignment="1">
      <alignment horizontal="left" vertical="center"/>
    </xf>
    <xf numFmtId="166" fontId="45" fillId="0" borderId="18" xfId="1" applyFont="1" applyBorder="1" applyAlignment="1" applyProtection="1">
      <alignment horizontal="center" vertical="center"/>
    </xf>
    <xf numFmtId="43" fontId="46" fillId="0" borderId="18" xfId="14" applyFont="1" applyFill="1" applyBorder="1" applyAlignment="1" applyProtection="1">
      <alignment horizontal="center" vertical="center"/>
    </xf>
    <xf numFmtId="43" fontId="46" fillId="0" borderId="18" xfId="14" applyFont="1" applyFill="1" applyBorder="1" applyAlignment="1" applyProtection="1">
      <alignment horizontal="center" vertical="center" wrapText="1"/>
    </xf>
    <xf numFmtId="167" fontId="47" fillId="7" borderId="13" xfId="1" applyNumberFormat="1" applyFont="1" applyFill="1" applyBorder="1" applyAlignment="1" applyProtection="1">
      <alignment horizontal="center" vertical="center"/>
    </xf>
    <xf numFmtId="0" fontId="47" fillId="0" borderId="18" xfId="0" applyFont="1" applyBorder="1" applyAlignment="1">
      <alignment horizontal="left" vertical="center"/>
    </xf>
    <xf numFmtId="167" fontId="47" fillId="0" borderId="13" xfId="1" applyNumberFormat="1" applyFont="1" applyBorder="1" applyAlignment="1" applyProtection="1">
      <alignment horizontal="center" vertical="center"/>
    </xf>
    <xf numFmtId="166" fontId="47" fillId="0" borderId="18" xfId="1" applyFont="1" applyBorder="1" applyAlignment="1" applyProtection="1">
      <alignment horizontal="center" vertical="center"/>
    </xf>
    <xf numFmtId="167" fontId="47" fillId="0" borderId="2" xfId="1" applyNumberFormat="1" applyFont="1" applyBorder="1" applyAlignment="1" applyProtection="1">
      <alignment horizontal="center" vertical="center"/>
    </xf>
    <xf numFmtId="167" fontId="47" fillId="0" borderId="1" xfId="1" applyNumberFormat="1" applyFont="1" applyBorder="1" applyAlignment="1" applyProtection="1">
      <alignment horizontal="center" vertical="center"/>
    </xf>
    <xf numFmtId="167" fontId="48" fillId="0" borderId="2" xfId="1" applyNumberFormat="1" applyFont="1" applyBorder="1" applyAlignment="1" applyProtection="1">
      <alignment horizontal="center" vertical="center"/>
    </xf>
    <xf numFmtId="167" fontId="49" fillId="0" borderId="2" xfId="1" applyNumberFormat="1" applyFont="1" applyBorder="1" applyAlignment="1" applyProtection="1">
      <alignment horizontal="center" vertical="center"/>
    </xf>
    <xf numFmtId="167" fontId="49" fillId="7" borderId="2" xfId="1" applyNumberFormat="1" applyFont="1" applyFill="1" applyBorder="1" applyAlignment="1" applyProtection="1">
      <alignment horizontal="center" vertical="center"/>
    </xf>
    <xf numFmtId="167" fontId="49" fillId="0" borderId="14" xfId="1" applyNumberFormat="1" applyFont="1" applyBorder="1" applyAlignment="1" applyProtection="1">
      <alignment horizontal="center" vertical="center"/>
    </xf>
    <xf numFmtId="167" fontId="49" fillId="7" borderId="13" xfId="1" applyNumberFormat="1" applyFont="1" applyFill="1" applyBorder="1" applyAlignment="1" applyProtection="1">
      <alignment horizontal="center" vertical="center"/>
    </xf>
    <xf numFmtId="167" fontId="49" fillId="0" borderId="1" xfId="1" applyNumberFormat="1" applyFont="1" applyBorder="1" applyAlignment="1" applyProtection="1">
      <alignment horizontal="center" vertical="center"/>
    </xf>
    <xf numFmtId="167" fontId="49" fillId="0" borderId="13" xfId="1" applyNumberFormat="1" applyFont="1" applyBorder="1" applyAlignment="1" applyProtection="1">
      <alignment horizontal="center" vertical="center"/>
    </xf>
    <xf numFmtId="166" fontId="49" fillId="0" borderId="2" xfId="1" applyFont="1" applyBorder="1" applyAlignment="1" applyProtection="1">
      <alignment horizontal="center" vertical="center"/>
    </xf>
    <xf numFmtId="166" fontId="49" fillId="0" borderId="13" xfId="1" applyFont="1" applyBorder="1" applyAlignment="1" applyProtection="1">
      <alignment horizontal="center" vertical="center"/>
    </xf>
    <xf numFmtId="172" fontId="22" fillId="6" borderId="21" xfId="14" applyNumberFormat="1" applyFont="1" applyFill="1" applyBorder="1"/>
    <xf numFmtId="43" fontId="0" fillId="0" borderId="0" xfId="35" applyFont="1"/>
    <xf numFmtId="168" fontId="37" fillId="0" borderId="0" xfId="4" applyNumberFormat="1" applyFont="1" applyAlignment="1">
      <alignment horizontal="center" vertical="center"/>
    </xf>
    <xf numFmtId="0" fontId="0" fillId="13" borderId="0" xfId="0" applyFill="1" applyAlignment="1">
      <alignment horizontal="center"/>
    </xf>
    <xf numFmtId="43" fontId="30" fillId="2" borderId="0" xfId="14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30" fillId="7" borderId="0" xfId="0" applyFont="1" applyFill="1" applyAlignment="1" applyProtection="1">
      <alignment vertical="center"/>
      <protection locked="0"/>
    </xf>
    <xf numFmtId="0" fontId="31" fillId="2" borderId="0" xfId="0" applyFont="1" applyFill="1" applyAlignment="1" applyProtection="1">
      <alignment vertical="center"/>
      <protection locked="0"/>
    </xf>
    <xf numFmtId="43" fontId="31" fillId="2" borderId="0" xfId="14" applyFont="1" applyFill="1" applyBorder="1" applyAlignment="1" applyProtection="1">
      <alignment horizontal="center" vertical="center"/>
      <protection locked="0"/>
    </xf>
    <xf numFmtId="43" fontId="30" fillId="0" borderId="0" xfId="14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30" fillId="2" borderId="0" xfId="0" applyFont="1" applyFill="1" applyAlignment="1" applyProtection="1">
      <alignment horizontal="center" vertical="center"/>
      <protection locked="0"/>
    </xf>
    <xf numFmtId="0" fontId="31" fillId="2" borderId="0" xfId="14" applyNumberFormat="1" applyFont="1" applyFill="1" applyBorder="1" applyAlignment="1">
      <alignment horizontal="center" vertical="center"/>
    </xf>
    <xf numFmtId="165" fontId="30" fillId="2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30" fillId="2" borderId="0" xfId="0" applyFont="1" applyFill="1" applyAlignment="1" applyProtection="1">
      <alignment horizontal="left" vertical="center"/>
      <protection locked="0"/>
    </xf>
    <xf numFmtId="165" fontId="0" fillId="0" borderId="0" xfId="0" applyNumberFormat="1"/>
    <xf numFmtId="165" fontId="18" fillId="0" borderId="0" xfId="14" applyNumberFormat="1" applyFont="1"/>
    <xf numFmtId="169" fontId="0" fillId="0" borderId="0" xfId="0" applyNumberFormat="1"/>
    <xf numFmtId="0" fontId="18" fillId="0" borderId="0" xfId="14" applyNumberFormat="1" applyFont="1"/>
    <xf numFmtId="171" fontId="0" fillId="0" borderId="0" xfId="0" applyNumberFormat="1"/>
    <xf numFmtId="167" fontId="0" fillId="0" borderId="0" xfId="0" applyNumberFormat="1"/>
    <xf numFmtId="166" fontId="18" fillId="0" borderId="0" xfId="14" applyNumberFormat="1" applyFont="1"/>
    <xf numFmtId="166" fontId="0" fillId="0" borderId="0" xfId="0" applyNumberFormat="1"/>
    <xf numFmtId="167" fontId="18" fillId="0" borderId="0" xfId="14" applyNumberFormat="1" applyFont="1"/>
    <xf numFmtId="49" fontId="0" fillId="0" borderId="0" xfId="0" applyNumberFormat="1"/>
    <xf numFmtId="170" fontId="0" fillId="0" borderId="0" xfId="0" applyNumberFormat="1"/>
    <xf numFmtId="170" fontId="18" fillId="0" borderId="0" xfId="14" applyNumberFormat="1" applyFont="1"/>
    <xf numFmtId="3" fontId="0" fillId="0" borderId="0" xfId="0" applyNumberFormat="1"/>
    <xf numFmtId="167" fontId="24" fillId="5" borderId="38" xfId="1" applyNumberFormat="1" applyFont="1" applyFill="1" applyBorder="1" applyAlignment="1" applyProtection="1">
      <alignment horizontal="center" vertical="center"/>
    </xf>
    <xf numFmtId="0" fontId="24" fillId="0" borderId="38" xfId="0" applyFont="1" applyBorder="1" applyAlignment="1">
      <alignment horizontal="left" vertical="center"/>
    </xf>
    <xf numFmtId="3" fontId="5" fillId="5" borderId="38" xfId="0" applyNumberFormat="1" applyFont="1" applyFill="1" applyBorder="1" applyAlignment="1">
      <alignment horizontal="center" vertical="center" wrapText="1"/>
    </xf>
    <xf numFmtId="166" fontId="23" fillId="5" borderId="38" xfId="1" applyFont="1" applyFill="1" applyBorder="1"/>
    <xf numFmtId="43" fontId="23" fillId="5" borderId="38" xfId="14" applyFont="1" applyFill="1" applyBorder="1"/>
    <xf numFmtId="170" fontId="23" fillId="0" borderId="38" xfId="14" applyNumberFormat="1" applyFont="1" applyBorder="1"/>
    <xf numFmtId="166" fontId="9" fillId="0" borderId="38" xfId="1" applyBorder="1"/>
    <xf numFmtId="0" fontId="23" fillId="5" borderId="3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43" fontId="21" fillId="0" borderId="37" xfId="14" applyFont="1" applyFill="1" applyBorder="1" applyAlignment="1" applyProtection="1">
      <alignment horizontal="center" vertical="center" wrapText="1"/>
    </xf>
    <xf numFmtId="167" fontId="51" fillId="0" borderId="18" xfId="1" applyNumberFormat="1" applyFont="1" applyBorder="1" applyAlignment="1" applyProtection="1">
      <alignment horizontal="center" vertical="center"/>
    </xf>
    <xf numFmtId="0" fontId="51" fillId="0" borderId="18" xfId="0" applyFont="1" applyBorder="1" applyAlignment="1">
      <alignment horizontal="center" vertical="center"/>
    </xf>
    <xf numFmtId="166" fontId="51" fillId="0" borderId="18" xfId="1" applyFont="1" applyBorder="1" applyAlignment="1" applyProtection="1">
      <alignment horizontal="center" vertical="center"/>
    </xf>
    <xf numFmtId="166" fontId="52" fillId="0" borderId="18" xfId="1" applyFont="1" applyBorder="1" applyProtection="1"/>
    <xf numFmtId="14" fontId="50" fillId="3" borderId="41" xfId="1" applyNumberFormat="1" applyFont="1" applyFill="1" applyBorder="1" applyAlignment="1" applyProtection="1">
      <alignment horizontal="center" vertical="center"/>
    </xf>
    <xf numFmtId="167" fontId="53" fillId="3" borderId="42" xfId="1" applyNumberFormat="1" applyFont="1" applyFill="1" applyBorder="1" applyAlignment="1" applyProtection="1">
      <alignment horizontal="center" vertical="center"/>
    </xf>
    <xf numFmtId="0" fontId="14" fillId="0" borderId="18" xfId="0" applyFont="1" applyBorder="1" applyAlignment="1">
      <alignment horizontal="left" vertical="center"/>
    </xf>
    <xf numFmtId="3" fontId="31" fillId="2" borderId="0" xfId="0" applyNumberFormat="1" applyFont="1" applyFill="1" applyAlignment="1" applyProtection="1">
      <alignment horizontal="center" vertical="center"/>
      <protection locked="0"/>
    </xf>
    <xf numFmtId="3" fontId="42" fillId="0" borderId="0" xfId="14" applyNumberFormat="1" applyFont="1" applyAlignment="1" applyProtection="1">
      <alignment horizontal="right" vertical="center"/>
      <protection locked="0"/>
    </xf>
    <xf numFmtId="3" fontId="31" fillId="0" borderId="0" xfId="0" applyNumberFormat="1" applyFont="1" applyAlignment="1" applyProtection="1">
      <alignment vertical="center"/>
      <protection locked="0"/>
    </xf>
    <xf numFmtId="3" fontId="31" fillId="2" borderId="0" xfId="14" applyNumberFormat="1" applyFont="1" applyFill="1" applyBorder="1" applyAlignment="1" applyProtection="1">
      <alignment horizontal="center" vertical="center"/>
      <protection locked="0"/>
    </xf>
    <xf numFmtId="4" fontId="23" fillId="0" borderId="0" xfId="14" applyNumberFormat="1" applyFont="1" applyAlignment="1">
      <alignment horizontal="center"/>
    </xf>
    <xf numFmtId="43" fontId="23" fillId="5" borderId="38" xfId="14" applyFont="1" applyFill="1" applyBorder="1" applyAlignment="1">
      <alignment horizontal="center" vertical="center"/>
    </xf>
    <xf numFmtId="43" fontId="23" fillId="0" borderId="38" xfId="14" applyFont="1" applyBorder="1" applyAlignment="1">
      <alignment horizontal="center" vertical="center"/>
    </xf>
    <xf numFmtId="166" fontId="9" fillId="0" borderId="38" xfId="1" applyBorder="1" applyAlignment="1">
      <alignment horizontal="center" vertical="center"/>
    </xf>
    <xf numFmtId="43" fontId="23" fillId="0" borderId="0" xfId="14" applyFont="1" applyBorder="1"/>
    <xf numFmtId="178" fontId="23" fillId="0" borderId="0" xfId="14" applyNumberFormat="1" applyFont="1" applyAlignment="1">
      <alignment horizontal="center"/>
    </xf>
    <xf numFmtId="172" fontId="23" fillId="0" borderId="38" xfId="14" applyNumberFormat="1" applyFont="1" applyBorder="1" applyAlignment="1">
      <alignment horizontal="center" vertical="center"/>
    </xf>
    <xf numFmtId="3" fontId="23" fillId="0" borderId="0" xfId="14" applyNumberFormat="1" applyFont="1" applyAlignment="1">
      <alignment horizontal="center"/>
    </xf>
    <xf numFmtId="167" fontId="24" fillId="5" borderId="45" xfId="1" applyNumberFormat="1" applyFont="1" applyFill="1" applyBorder="1" applyAlignment="1" applyProtection="1">
      <alignment horizontal="center" vertical="center"/>
    </xf>
    <xf numFmtId="0" fontId="23" fillId="5" borderId="45" xfId="0" applyFont="1" applyFill="1" applyBorder="1" applyAlignment="1">
      <alignment horizontal="center" vertical="center"/>
    </xf>
    <xf numFmtId="3" fontId="3" fillId="5" borderId="45" xfId="0" applyNumberFormat="1" applyFont="1" applyFill="1" applyBorder="1" applyAlignment="1">
      <alignment horizontal="center" vertical="center" wrapText="1"/>
    </xf>
    <xf numFmtId="166" fontId="23" fillId="5" borderId="45" xfId="1" applyFont="1" applyFill="1" applyBorder="1"/>
    <xf numFmtId="43" fontId="23" fillId="5" borderId="45" xfId="14" applyFont="1" applyFill="1" applyBorder="1" applyAlignment="1">
      <alignment horizontal="center" vertical="center"/>
    </xf>
    <xf numFmtId="3" fontId="2" fillId="5" borderId="45" xfId="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167" fontId="54" fillId="3" borderId="3" xfId="1" applyNumberFormat="1" applyFont="1" applyFill="1" applyBorder="1" applyAlignment="1" applyProtection="1">
      <alignment horizontal="center" vertical="center"/>
      <protection locked="0"/>
    </xf>
    <xf numFmtId="0" fontId="54" fillId="3" borderId="3" xfId="0" applyFont="1" applyFill="1" applyBorder="1" applyAlignment="1" applyProtection="1">
      <alignment horizontal="center" vertical="center"/>
      <protection locked="0"/>
    </xf>
    <xf numFmtId="166" fontId="54" fillId="3" borderId="3" xfId="1" applyFont="1" applyFill="1" applyBorder="1" applyAlignment="1" applyProtection="1">
      <alignment horizontal="center" vertical="center"/>
      <protection locked="0"/>
    </xf>
    <xf numFmtId="43" fontId="54" fillId="3" borderId="3" xfId="14" applyFont="1" applyFill="1" applyBorder="1" applyAlignment="1" applyProtection="1">
      <alignment horizontal="center" vertical="center"/>
      <protection locked="0"/>
    </xf>
    <xf numFmtId="3" fontId="54" fillId="3" borderId="3" xfId="1" applyNumberFormat="1" applyFont="1" applyFill="1" applyBorder="1" applyAlignment="1" applyProtection="1">
      <alignment horizontal="center" vertical="center"/>
      <protection locked="0"/>
    </xf>
    <xf numFmtId="0" fontId="40" fillId="0" borderId="0" xfId="0" applyFont="1" applyAlignment="1">
      <alignment horizontal="center" vertical="center"/>
    </xf>
    <xf numFmtId="0" fontId="54" fillId="3" borderId="3" xfId="1" applyNumberFormat="1" applyFont="1" applyFill="1" applyBorder="1" applyAlignment="1" applyProtection="1">
      <alignment horizontal="center" vertical="center"/>
    </xf>
    <xf numFmtId="169" fontId="55" fillId="3" borderId="3" xfId="14" applyNumberFormat="1" applyFont="1" applyFill="1" applyBorder="1" applyAlignment="1" applyProtection="1">
      <alignment horizontal="center" vertical="center"/>
    </xf>
    <xf numFmtId="169" fontId="56" fillId="3" borderId="3" xfId="14" applyNumberFormat="1" applyFont="1" applyFill="1" applyBorder="1" applyAlignment="1" applyProtection="1">
      <alignment horizontal="center" vertical="center"/>
    </xf>
    <xf numFmtId="167" fontId="57" fillId="0" borderId="0" xfId="1" applyNumberFormat="1" applyFont="1" applyBorder="1" applyAlignment="1" applyProtection="1">
      <alignment horizontal="center" vertical="center"/>
      <protection locked="0"/>
    </xf>
    <xf numFmtId="0" fontId="58" fillId="0" borderId="0" xfId="0" applyFont="1" applyAlignment="1" applyProtection="1">
      <alignment vertical="center"/>
      <protection locked="0"/>
    </xf>
    <xf numFmtId="166" fontId="57" fillId="0" borderId="0" xfId="1" applyFont="1" applyBorder="1" applyAlignment="1" applyProtection="1">
      <alignment horizontal="center" vertical="center"/>
      <protection locked="0"/>
    </xf>
    <xf numFmtId="43" fontId="59" fillId="0" borderId="0" xfId="14" applyFont="1" applyFill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left" vertical="center"/>
      <protection locked="0"/>
    </xf>
    <xf numFmtId="3" fontId="60" fillId="0" borderId="0" xfId="1" applyNumberFormat="1" applyFont="1" applyBorder="1" applyAlignment="1" applyProtection="1">
      <alignment horizontal="center" vertical="center"/>
      <protection locked="0"/>
    </xf>
    <xf numFmtId="0" fontId="57" fillId="0" borderId="0" xfId="1" applyNumberFormat="1" applyFont="1" applyBorder="1" applyAlignment="1" applyProtection="1">
      <alignment horizontal="center" vertical="center"/>
    </xf>
    <xf numFmtId="43" fontId="60" fillId="0" borderId="0" xfId="14" applyFont="1" applyFill="1" applyBorder="1" applyAlignment="1" applyProtection="1">
      <alignment horizontal="center" vertical="center"/>
    </xf>
    <xf numFmtId="43" fontId="56" fillId="0" borderId="0" xfId="14" applyFont="1" applyFill="1" applyBorder="1" applyAlignment="1" applyProtection="1">
      <alignment horizontal="center" vertical="center"/>
    </xf>
    <xf numFmtId="0" fontId="61" fillId="2" borderId="0" xfId="0" applyFont="1" applyFill="1" applyAlignment="1">
      <alignment vertical="center"/>
    </xf>
    <xf numFmtId="167" fontId="54" fillId="3" borderId="2" xfId="1" applyNumberFormat="1" applyFont="1" applyFill="1" applyBorder="1" applyAlignment="1" applyProtection="1">
      <alignment vertical="center"/>
      <protection locked="0"/>
    </xf>
    <xf numFmtId="167" fontId="54" fillId="3" borderId="2" xfId="1" applyNumberFormat="1" applyFont="1" applyFill="1" applyBorder="1" applyAlignment="1" applyProtection="1">
      <alignment horizontal="center" vertical="center"/>
      <protection locked="0"/>
    </xf>
    <xf numFmtId="167" fontId="54" fillId="3" borderId="21" xfId="1" applyNumberFormat="1" applyFont="1" applyFill="1" applyBorder="1" applyAlignment="1" applyProtection="1">
      <alignment horizontal="center" vertical="center"/>
      <protection locked="0"/>
    </xf>
    <xf numFmtId="167" fontId="54" fillId="3" borderId="2" xfId="1" applyNumberFormat="1" applyFont="1" applyFill="1" applyBorder="1" applyAlignment="1" applyProtection="1">
      <alignment horizontal="left" vertical="center"/>
      <protection locked="0"/>
    </xf>
    <xf numFmtId="3" fontId="54" fillId="3" borderId="2" xfId="1" applyNumberFormat="1" applyFont="1" applyFill="1" applyBorder="1" applyAlignment="1" applyProtection="1">
      <alignment vertical="center"/>
      <protection locked="0"/>
    </xf>
    <xf numFmtId="0" fontId="61" fillId="0" borderId="0" xfId="0" applyFont="1" applyAlignment="1">
      <alignment vertical="center"/>
    </xf>
    <xf numFmtId="167" fontId="54" fillId="3" borderId="2" xfId="1" applyNumberFormat="1" applyFont="1" applyFill="1" applyBorder="1" applyAlignment="1" applyProtection="1">
      <alignment vertical="center"/>
    </xf>
    <xf numFmtId="43" fontId="60" fillId="4" borderId="0" xfId="14" applyFont="1" applyFill="1" applyBorder="1" applyAlignment="1">
      <alignment vertical="center"/>
    </xf>
    <xf numFmtId="43" fontId="56" fillId="4" borderId="0" xfId="14" applyFont="1" applyFill="1" applyBorder="1" applyAlignment="1">
      <alignment vertical="center"/>
    </xf>
    <xf numFmtId="167" fontId="57" fillId="7" borderId="21" xfId="1" applyNumberFormat="1" applyFont="1" applyFill="1" applyBorder="1" applyAlignment="1" applyProtection="1">
      <alignment horizontal="center" vertical="center"/>
      <protection locked="0"/>
    </xf>
    <xf numFmtId="0" fontId="57" fillId="7" borderId="21" xfId="0" applyFont="1" applyFill="1" applyBorder="1" applyAlignment="1" applyProtection="1">
      <alignment horizontal="left" vertical="center"/>
      <protection locked="0"/>
    </xf>
    <xf numFmtId="166" fontId="57" fillId="7" borderId="21" xfId="1" applyFont="1" applyFill="1" applyBorder="1" applyAlignment="1" applyProtection="1">
      <alignment horizontal="center" vertical="center"/>
      <protection locked="0"/>
    </xf>
    <xf numFmtId="166" fontId="59" fillId="0" borderId="21" xfId="1" applyFont="1" applyBorder="1" applyAlignment="1" applyProtection="1">
      <alignment horizontal="center" vertical="center"/>
    </xf>
    <xf numFmtId="166" fontId="57" fillId="0" borderId="21" xfId="1" applyFont="1" applyBorder="1" applyAlignment="1" applyProtection="1">
      <alignment horizontal="left" vertical="center"/>
      <protection locked="0"/>
    </xf>
    <xf numFmtId="3" fontId="60" fillId="0" borderId="1" xfId="1" applyNumberFormat="1" applyFont="1" applyBorder="1" applyAlignment="1" applyProtection="1">
      <alignment horizontal="center" vertical="center"/>
    </xf>
    <xf numFmtId="170" fontId="40" fillId="0" borderId="0" xfId="0" applyNumberFormat="1" applyFont="1" applyAlignment="1">
      <alignment vertical="center"/>
    </xf>
    <xf numFmtId="49" fontId="57" fillId="0" borderId="21" xfId="1" applyNumberFormat="1" applyFont="1" applyBorder="1" applyAlignment="1" applyProtection="1">
      <alignment horizontal="center" vertical="center"/>
    </xf>
    <xf numFmtId="169" fontId="60" fillId="0" borderId="2" xfId="14" applyNumberFormat="1" applyFont="1" applyFill="1" applyBorder="1" applyAlignment="1" applyProtection="1">
      <alignment horizontal="center" vertical="center"/>
    </xf>
    <xf numFmtId="169" fontId="56" fillId="0" borderId="2" xfId="14" applyNumberFormat="1" applyFont="1" applyFill="1" applyBorder="1" applyAlignment="1" applyProtection="1">
      <alignment horizontal="center" vertical="center"/>
    </xf>
    <xf numFmtId="169" fontId="40" fillId="0" borderId="0" xfId="0" applyNumberFormat="1" applyFont="1" applyAlignment="1">
      <alignment vertical="center"/>
    </xf>
    <xf numFmtId="167" fontId="57" fillId="0" borderId="21" xfId="1" applyNumberFormat="1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left" vertical="center"/>
      <protection locked="0"/>
    </xf>
    <xf numFmtId="166" fontId="57" fillId="0" borderId="21" xfId="1" applyFont="1" applyBorder="1" applyAlignment="1" applyProtection="1">
      <alignment horizontal="center" vertical="center"/>
      <protection locked="0"/>
    </xf>
    <xf numFmtId="43" fontId="40" fillId="0" borderId="0" xfId="0" applyNumberFormat="1" applyFont="1" applyAlignment="1">
      <alignment vertical="center"/>
    </xf>
    <xf numFmtId="166" fontId="57" fillId="0" borderId="0" xfId="1" applyFont="1" applyBorder="1" applyAlignment="1" applyProtection="1">
      <alignment horizontal="left" vertical="center"/>
      <protection locked="0"/>
    </xf>
    <xf numFmtId="3" fontId="60" fillId="0" borderId="0" xfId="1" applyNumberFormat="1" applyFont="1" applyBorder="1" applyAlignment="1" applyProtection="1">
      <alignment horizontal="left" vertical="center"/>
      <protection locked="0"/>
    </xf>
    <xf numFmtId="166" fontId="57" fillId="0" borderId="0" xfId="1" applyFont="1" applyBorder="1" applyAlignment="1" applyProtection="1">
      <alignment horizontal="left" vertical="center"/>
    </xf>
    <xf numFmtId="0" fontId="40" fillId="0" borderId="0" xfId="0" applyFont="1"/>
    <xf numFmtId="167" fontId="57" fillId="0" borderId="2" xfId="1" applyNumberFormat="1" applyFont="1" applyBorder="1" applyAlignment="1" applyProtection="1">
      <alignment horizontal="center" vertical="center"/>
    </xf>
    <xf numFmtId="0" fontId="57" fillId="0" borderId="2" xfId="0" applyFont="1" applyBorder="1" applyAlignment="1">
      <alignment horizontal="left" vertical="center"/>
    </xf>
    <xf numFmtId="166" fontId="57" fillId="0" borderId="2" xfId="1" applyFont="1" applyBorder="1" applyAlignment="1" applyProtection="1">
      <alignment horizontal="center" vertical="center"/>
    </xf>
    <xf numFmtId="166" fontId="57" fillId="0" borderId="2" xfId="1" applyFont="1" applyBorder="1" applyAlignment="1" applyProtection="1">
      <alignment horizontal="left" vertical="center"/>
    </xf>
    <xf numFmtId="49" fontId="60" fillId="0" borderId="1" xfId="1" applyNumberFormat="1" applyFont="1" applyBorder="1" applyAlignment="1" applyProtection="1">
      <alignment horizontal="center" vertical="center"/>
    </xf>
    <xf numFmtId="43" fontId="40" fillId="0" borderId="0" xfId="0" applyNumberFormat="1" applyFont="1"/>
    <xf numFmtId="167" fontId="57" fillId="7" borderId="2" xfId="1" applyNumberFormat="1" applyFont="1" applyFill="1" applyBorder="1" applyAlignment="1" applyProtection="1">
      <alignment horizontal="center" vertical="center"/>
      <protection locked="0"/>
    </xf>
    <xf numFmtId="0" fontId="57" fillId="7" borderId="2" xfId="0" applyFont="1" applyFill="1" applyBorder="1" applyAlignment="1" applyProtection="1">
      <alignment horizontal="left" vertical="center"/>
      <protection locked="0"/>
    </xf>
    <xf numFmtId="166" fontId="57" fillId="7" borderId="2" xfId="1" applyFont="1" applyFill="1" applyBorder="1" applyAlignment="1" applyProtection="1">
      <alignment horizontal="center" vertical="center"/>
      <protection locked="0"/>
    </xf>
    <xf numFmtId="166" fontId="57" fillId="0" borderId="2" xfId="1" applyFont="1" applyBorder="1" applyAlignment="1" applyProtection="1">
      <alignment horizontal="left" vertical="center"/>
      <protection locked="0"/>
    </xf>
    <xf numFmtId="167" fontId="63" fillId="0" borderId="0" xfId="1" applyNumberFormat="1" applyFont="1" applyBorder="1" applyAlignment="1" applyProtection="1">
      <alignment horizontal="center" vertical="center"/>
    </xf>
    <xf numFmtId="0" fontId="60" fillId="0" borderId="1" xfId="1" applyNumberFormat="1" applyFont="1" applyBorder="1" applyAlignment="1" applyProtection="1">
      <alignment horizontal="center" vertical="center"/>
    </xf>
    <xf numFmtId="167" fontId="57" fillId="0" borderId="36" xfId="1" applyNumberFormat="1" applyFont="1" applyBorder="1" applyAlignment="1" applyProtection="1">
      <alignment horizontal="center" vertical="center"/>
    </xf>
    <xf numFmtId="167" fontId="57" fillId="0" borderId="2" xfId="1" applyNumberFormat="1" applyFont="1" applyBorder="1" applyAlignment="1" applyProtection="1">
      <alignment horizontal="center" vertical="center"/>
      <protection locked="0"/>
    </xf>
    <xf numFmtId="0" fontId="57" fillId="0" borderId="2" xfId="0" applyFont="1" applyBorder="1" applyAlignment="1" applyProtection="1">
      <alignment horizontal="left" vertical="center"/>
      <protection locked="0"/>
    </xf>
    <xf numFmtId="169" fontId="40" fillId="0" borderId="0" xfId="0" applyNumberFormat="1" applyFont="1"/>
    <xf numFmtId="167" fontId="57" fillId="0" borderId="35" xfId="1" applyNumberFormat="1" applyFont="1" applyBorder="1" applyAlignment="1" applyProtection="1">
      <alignment horizontal="center" vertical="center"/>
    </xf>
    <xf numFmtId="166" fontId="57" fillId="0" borderId="13" xfId="1" applyFont="1" applyBorder="1" applyAlignment="1" applyProtection="1">
      <alignment horizontal="left" vertical="center"/>
    </xf>
    <xf numFmtId="167" fontId="64" fillId="0" borderId="2" xfId="1" applyNumberFormat="1" applyFont="1" applyBorder="1" applyAlignment="1" applyProtection="1">
      <alignment horizontal="center" vertical="center"/>
    </xf>
    <xf numFmtId="0" fontId="64" fillId="0" borderId="2" xfId="0" applyFont="1" applyBorder="1" applyAlignment="1">
      <alignment horizontal="left" vertical="center"/>
    </xf>
    <xf numFmtId="166" fontId="64" fillId="0" borderId="2" xfId="1" applyFont="1" applyBorder="1" applyAlignment="1" applyProtection="1">
      <alignment horizontal="center" vertical="center"/>
    </xf>
    <xf numFmtId="166" fontId="64" fillId="0" borderId="13" xfId="1" applyFont="1" applyBorder="1" applyAlignment="1" applyProtection="1">
      <alignment horizontal="left" vertical="center"/>
    </xf>
    <xf numFmtId="167" fontId="64" fillId="0" borderId="21" xfId="1" applyNumberFormat="1" applyFont="1" applyBorder="1" applyAlignment="1" applyProtection="1">
      <alignment horizontal="center" vertical="center"/>
    </xf>
    <xf numFmtId="0" fontId="57" fillId="0" borderId="1" xfId="0" applyFont="1" applyBorder="1" applyAlignment="1">
      <alignment horizontal="left" vertical="center"/>
    </xf>
    <xf numFmtId="167" fontId="57" fillId="7" borderId="18" xfId="1" applyNumberFormat="1" applyFont="1" applyFill="1" applyBorder="1" applyAlignment="1" applyProtection="1">
      <alignment horizontal="center" vertical="center"/>
      <protection locked="0"/>
    </xf>
    <xf numFmtId="0" fontId="57" fillId="7" borderId="18" xfId="0" applyFont="1" applyFill="1" applyBorder="1" applyAlignment="1" applyProtection="1">
      <alignment horizontal="left" vertical="center"/>
      <protection locked="0"/>
    </xf>
    <xf numFmtId="166" fontId="57" fillId="7" borderId="18" xfId="1" applyFont="1" applyFill="1" applyBorder="1" applyAlignment="1" applyProtection="1">
      <alignment horizontal="center" vertical="center"/>
      <protection locked="0"/>
    </xf>
    <xf numFmtId="167" fontId="57" fillId="0" borderId="18" xfId="1" applyNumberFormat="1" applyFont="1" applyBorder="1" applyAlignment="1" applyProtection="1">
      <alignment horizontal="center" vertical="center"/>
      <protection locked="0"/>
    </xf>
    <xf numFmtId="0" fontId="57" fillId="0" borderId="18" xfId="0" applyFont="1" applyBorder="1" applyAlignment="1" applyProtection="1">
      <alignment horizontal="left" vertical="center"/>
      <protection locked="0"/>
    </xf>
    <xf numFmtId="166" fontId="57" fillId="0" borderId="18" xfId="1" applyFont="1" applyBorder="1" applyAlignment="1" applyProtection="1">
      <alignment horizontal="center" vertical="center"/>
      <protection locked="0"/>
    </xf>
    <xf numFmtId="167" fontId="57" fillId="0" borderId="1" xfId="1" applyNumberFormat="1" applyFont="1" applyBorder="1" applyAlignment="1" applyProtection="1">
      <alignment horizontal="center" vertical="center"/>
    </xf>
    <xf numFmtId="0" fontId="57" fillId="0" borderId="36" xfId="0" applyFont="1" applyBorder="1" applyAlignment="1">
      <alignment horizontal="left" vertical="center"/>
    </xf>
    <xf numFmtId="167" fontId="57" fillId="0" borderId="13" xfId="1" applyNumberFormat="1" applyFont="1" applyBorder="1" applyAlignment="1" applyProtection="1">
      <alignment horizontal="center" vertical="center"/>
    </xf>
    <xf numFmtId="0" fontId="57" fillId="0" borderId="13" xfId="0" applyFont="1" applyBorder="1" applyAlignment="1">
      <alignment horizontal="left" vertical="center"/>
    </xf>
    <xf numFmtId="167" fontId="57" fillId="0" borderId="21" xfId="1" applyNumberFormat="1" applyFont="1" applyBorder="1" applyAlignment="1" applyProtection="1">
      <alignment horizontal="center" vertical="center"/>
    </xf>
    <xf numFmtId="0" fontId="57" fillId="0" borderId="21" xfId="0" applyFont="1" applyBorder="1" applyAlignment="1">
      <alignment horizontal="left" vertical="center"/>
    </xf>
    <xf numFmtId="166" fontId="57" fillId="0" borderId="21" xfId="1" applyFont="1" applyBorder="1" applyAlignment="1" applyProtection="1">
      <alignment horizontal="center" vertical="center"/>
    </xf>
    <xf numFmtId="166" fontId="57" fillId="0" borderId="21" xfId="1" applyFont="1" applyBorder="1" applyAlignment="1" applyProtection="1">
      <alignment horizontal="left" vertical="center"/>
    </xf>
    <xf numFmtId="166" fontId="57" fillId="0" borderId="2" xfId="1" applyFont="1" applyBorder="1" applyAlignment="1" applyProtection="1">
      <alignment horizontal="center" vertical="center"/>
      <protection locked="0"/>
    </xf>
    <xf numFmtId="166" fontId="59" fillId="0" borderId="21" xfId="1" applyFont="1" applyBorder="1" applyProtection="1"/>
    <xf numFmtId="166" fontId="57" fillId="0" borderId="13" xfId="1" applyFont="1" applyBorder="1" applyAlignment="1" applyProtection="1">
      <alignment horizontal="center" vertical="center"/>
    </xf>
    <xf numFmtId="166" fontId="57" fillId="0" borderId="36" xfId="1" applyFont="1" applyBorder="1" applyAlignment="1" applyProtection="1">
      <alignment horizontal="center" vertical="center"/>
    </xf>
    <xf numFmtId="167" fontId="57" fillId="7" borderId="21" xfId="1" applyNumberFormat="1" applyFont="1" applyFill="1" applyBorder="1" applyAlignment="1" applyProtection="1">
      <alignment horizontal="center" vertical="center"/>
    </xf>
    <xf numFmtId="0" fontId="57" fillId="7" borderId="13" xfId="0" applyFont="1" applyFill="1" applyBorder="1" applyAlignment="1">
      <alignment horizontal="left" vertical="center"/>
    </xf>
    <xf numFmtId="166" fontId="57" fillId="7" borderId="13" xfId="1" applyFont="1" applyFill="1" applyBorder="1" applyAlignment="1" applyProtection="1">
      <alignment horizontal="center" vertical="center"/>
    </xf>
    <xf numFmtId="166" fontId="57" fillId="7" borderId="21" xfId="1" applyFont="1" applyFill="1" applyBorder="1" applyAlignment="1" applyProtection="1">
      <alignment horizontal="left" vertical="center"/>
    </xf>
    <xf numFmtId="167" fontId="57" fillId="7" borderId="13" xfId="1" applyNumberFormat="1" applyFont="1" applyFill="1" applyBorder="1" applyAlignment="1" applyProtection="1">
      <alignment horizontal="center" vertical="center"/>
      <protection locked="0"/>
    </xf>
    <xf numFmtId="0" fontId="57" fillId="7" borderId="13" xfId="0" applyFont="1" applyFill="1" applyBorder="1" applyAlignment="1" applyProtection="1">
      <alignment horizontal="left" vertical="center"/>
      <protection locked="0"/>
    </xf>
    <xf numFmtId="166" fontId="57" fillId="7" borderId="13" xfId="1" applyFont="1" applyFill="1" applyBorder="1" applyAlignment="1" applyProtection="1">
      <alignment horizontal="center" vertical="center"/>
      <protection locked="0"/>
    </xf>
    <xf numFmtId="166" fontId="57" fillId="7" borderId="2" xfId="1" applyFont="1" applyFill="1" applyBorder="1" applyAlignment="1" applyProtection="1">
      <alignment horizontal="left" vertical="center"/>
    </xf>
    <xf numFmtId="167" fontId="57" fillId="7" borderId="45" xfId="1" applyNumberFormat="1" applyFont="1" applyFill="1" applyBorder="1" applyAlignment="1" applyProtection="1">
      <alignment horizontal="center" vertical="center"/>
      <protection locked="0"/>
    </xf>
    <xf numFmtId="0" fontId="57" fillId="7" borderId="45" xfId="0" applyFont="1" applyFill="1" applyBorder="1" applyAlignment="1" applyProtection="1">
      <alignment horizontal="left" vertical="center"/>
      <protection locked="0"/>
    </xf>
    <xf numFmtId="166" fontId="57" fillId="7" borderId="45" xfId="1" applyFont="1" applyFill="1" applyBorder="1" applyAlignment="1" applyProtection="1">
      <alignment horizontal="left" vertical="center"/>
    </xf>
    <xf numFmtId="167" fontId="57" fillId="0" borderId="13" xfId="1" applyNumberFormat="1" applyFont="1" applyBorder="1" applyAlignment="1" applyProtection="1">
      <alignment horizontal="center" vertical="center"/>
      <protection locked="0"/>
    </xf>
    <xf numFmtId="0" fontId="57" fillId="0" borderId="13" xfId="0" applyFont="1" applyBorder="1" applyAlignment="1" applyProtection="1">
      <alignment horizontal="left" vertical="center"/>
      <protection locked="0"/>
    </xf>
    <xf numFmtId="166" fontId="57" fillId="0" borderId="13" xfId="1" applyFont="1" applyBorder="1" applyAlignment="1" applyProtection="1">
      <alignment horizontal="center" vertical="center"/>
      <protection locked="0"/>
    </xf>
    <xf numFmtId="167" fontId="57" fillId="7" borderId="13" xfId="1" applyNumberFormat="1" applyFont="1" applyFill="1" applyBorder="1" applyAlignment="1" applyProtection="1">
      <alignment horizontal="center" vertical="center"/>
    </xf>
    <xf numFmtId="166" fontId="57" fillId="7" borderId="13" xfId="1" applyFont="1" applyFill="1" applyBorder="1" applyAlignment="1" applyProtection="1">
      <alignment horizontal="left" vertical="center"/>
    </xf>
    <xf numFmtId="166" fontId="57" fillId="7" borderId="13" xfId="1" applyFont="1" applyFill="1" applyBorder="1" applyAlignment="1" applyProtection="1">
      <alignment horizontal="left" vertical="center"/>
      <protection locked="0"/>
    </xf>
    <xf numFmtId="166" fontId="57" fillId="7" borderId="2" xfId="1" applyFont="1" applyFill="1" applyBorder="1" applyAlignment="1" applyProtection="1">
      <alignment horizontal="left" vertical="center"/>
      <protection locked="0"/>
    </xf>
    <xf numFmtId="167" fontId="57" fillId="7" borderId="35" xfId="1" applyNumberFormat="1" applyFont="1" applyFill="1" applyBorder="1" applyAlignment="1" applyProtection="1">
      <alignment horizontal="center" vertical="center"/>
      <protection locked="0"/>
    </xf>
    <xf numFmtId="167" fontId="57" fillId="7" borderId="38" xfId="1" applyNumberFormat="1" applyFont="1" applyFill="1" applyBorder="1" applyAlignment="1" applyProtection="1">
      <alignment horizontal="center" vertical="center"/>
      <protection locked="0"/>
    </xf>
    <xf numFmtId="0" fontId="57" fillId="7" borderId="38" xfId="0" applyFont="1" applyFill="1" applyBorder="1" applyAlignment="1" applyProtection="1">
      <alignment horizontal="left" vertical="center"/>
      <protection locked="0"/>
    </xf>
    <xf numFmtId="167" fontId="57" fillId="7" borderId="14" xfId="1" applyNumberFormat="1" applyFont="1" applyFill="1" applyBorder="1" applyAlignment="1" applyProtection="1">
      <alignment horizontal="center" vertical="center"/>
    </xf>
    <xf numFmtId="166" fontId="57" fillId="7" borderId="14" xfId="1" applyFont="1" applyFill="1" applyBorder="1" applyAlignment="1" applyProtection="1">
      <alignment horizontal="left" vertical="center"/>
    </xf>
    <xf numFmtId="167" fontId="57" fillId="7" borderId="36" xfId="1" applyNumberFormat="1" applyFont="1" applyFill="1" applyBorder="1" applyAlignment="1" applyProtection="1">
      <alignment horizontal="center" vertical="center"/>
    </xf>
    <xf numFmtId="166" fontId="57" fillId="7" borderId="36" xfId="1" applyFont="1" applyFill="1" applyBorder="1" applyAlignment="1" applyProtection="1">
      <alignment horizontal="center" vertical="center"/>
    </xf>
    <xf numFmtId="167" fontId="57" fillId="7" borderId="18" xfId="1" applyNumberFormat="1" applyFont="1" applyFill="1" applyBorder="1" applyAlignment="1" applyProtection="1">
      <alignment horizontal="center" vertical="center"/>
    </xf>
    <xf numFmtId="0" fontId="57" fillId="7" borderId="18" xfId="0" applyFont="1" applyFill="1" applyBorder="1" applyAlignment="1">
      <alignment horizontal="left" vertical="center"/>
    </xf>
    <xf numFmtId="167" fontId="57" fillId="7" borderId="14" xfId="1" applyNumberFormat="1" applyFont="1" applyFill="1" applyBorder="1" applyAlignment="1" applyProtection="1">
      <alignment horizontal="center" vertical="center"/>
      <protection locked="0"/>
    </xf>
    <xf numFmtId="166" fontId="57" fillId="7" borderId="18" xfId="1" applyFont="1" applyFill="1" applyBorder="1" applyAlignment="1" applyProtection="1">
      <alignment horizontal="center" vertical="center"/>
    </xf>
    <xf numFmtId="166" fontId="57" fillId="7" borderId="18" xfId="1" applyFont="1" applyFill="1" applyBorder="1" applyAlignment="1" applyProtection="1">
      <alignment horizontal="left" vertical="center"/>
    </xf>
    <xf numFmtId="166" fontId="57" fillId="7" borderId="18" xfId="1" applyFont="1" applyFill="1" applyBorder="1" applyAlignment="1" applyProtection="1">
      <alignment horizontal="left" vertical="center"/>
      <protection locked="0"/>
    </xf>
    <xf numFmtId="0" fontId="57" fillId="7" borderId="14" xfId="0" applyFont="1" applyFill="1" applyBorder="1" applyAlignment="1">
      <alignment horizontal="left" vertical="center"/>
    </xf>
    <xf numFmtId="0" fontId="57" fillId="7" borderId="36" xfId="0" applyFont="1" applyFill="1" applyBorder="1" applyAlignment="1">
      <alignment horizontal="left" vertical="center"/>
    </xf>
    <xf numFmtId="166" fontId="57" fillId="7" borderId="36" xfId="1" applyFont="1" applyFill="1" applyBorder="1" applyAlignment="1" applyProtection="1">
      <alignment horizontal="center" vertical="center"/>
      <protection locked="0"/>
    </xf>
    <xf numFmtId="166" fontId="57" fillId="0" borderId="36" xfId="1" applyFont="1" applyBorder="1" applyAlignment="1" applyProtection="1">
      <alignment horizontal="left" vertical="center"/>
    </xf>
    <xf numFmtId="0" fontId="57" fillId="7" borderId="14" xfId="0" applyFont="1" applyFill="1" applyBorder="1" applyAlignment="1" applyProtection="1">
      <alignment horizontal="left" vertical="center"/>
      <protection locked="0"/>
    </xf>
    <xf numFmtId="166" fontId="57" fillId="7" borderId="14" xfId="1" applyFont="1" applyFill="1" applyBorder="1" applyAlignment="1" applyProtection="1">
      <alignment horizontal="left" vertical="center"/>
      <protection locked="0"/>
    </xf>
    <xf numFmtId="166" fontId="57" fillId="7" borderId="2" xfId="1" applyFont="1" applyFill="1" applyBorder="1" applyAlignment="1" applyProtection="1">
      <alignment horizontal="center" vertical="center"/>
    </xf>
    <xf numFmtId="167" fontId="57" fillId="7" borderId="35" xfId="1" applyNumberFormat="1" applyFont="1" applyFill="1" applyBorder="1" applyAlignment="1" applyProtection="1">
      <alignment horizontal="center" vertical="center"/>
    </xf>
    <xf numFmtId="167" fontId="57" fillId="7" borderId="0" xfId="1" applyNumberFormat="1" applyFont="1" applyFill="1" applyBorder="1" applyAlignment="1" applyProtection="1">
      <alignment horizontal="center" vertical="center"/>
      <protection locked="0"/>
    </xf>
    <xf numFmtId="0" fontId="57" fillId="7" borderId="0" xfId="0" applyFont="1" applyFill="1" applyAlignment="1" applyProtection="1">
      <alignment horizontal="left" vertical="center"/>
      <protection locked="0"/>
    </xf>
    <xf numFmtId="166" fontId="57" fillId="7" borderId="0" xfId="1" applyFont="1" applyFill="1" applyBorder="1" applyAlignment="1" applyProtection="1">
      <alignment horizontal="center" vertical="center"/>
      <protection locked="0"/>
    </xf>
    <xf numFmtId="43" fontId="59" fillId="7" borderId="0" xfId="14" applyFont="1" applyFill="1" applyBorder="1" applyAlignment="1" applyProtection="1">
      <alignment horizontal="center" vertical="center"/>
      <protection locked="0"/>
    </xf>
    <xf numFmtId="166" fontId="57" fillId="7" borderId="0" xfId="1" applyFont="1" applyFill="1" applyBorder="1" applyAlignment="1" applyProtection="1">
      <alignment horizontal="left" vertical="center"/>
      <protection locked="0"/>
    </xf>
    <xf numFmtId="3" fontId="60" fillId="7" borderId="0" xfId="1" applyNumberFormat="1" applyFont="1" applyFill="1" applyBorder="1" applyAlignment="1" applyProtection="1">
      <alignment horizontal="center" vertical="center"/>
      <protection locked="0"/>
    </xf>
    <xf numFmtId="169" fontId="60" fillId="0" borderId="0" xfId="14" applyNumberFormat="1" applyFont="1" applyFill="1" applyBorder="1" applyAlignment="1" applyProtection="1">
      <alignment horizontal="center" vertical="center"/>
    </xf>
    <xf numFmtId="169" fontId="56" fillId="0" borderId="0" xfId="14" applyNumberFormat="1" applyFont="1" applyFill="1" applyBorder="1" applyAlignment="1" applyProtection="1">
      <alignment horizontal="center" vertical="center"/>
    </xf>
    <xf numFmtId="167" fontId="54" fillId="3" borderId="2" xfId="1" applyNumberFormat="1" applyFont="1" applyFill="1" applyBorder="1" applyAlignment="1" applyProtection="1">
      <alignment horizontal="center" vertical="center"/>
    </xf>
    <xf numFmtId="167" fontId="54" fillId="3" borderId="21" xfId="1" applyNumberFormat="1" applyFont="1" applyFill="1" applyBorder="1" applyAlignment="1" applyProtection="1">
      <alignment horizontal="center" vertical="center"/>
    </xf>
    <xf numFmtId="167" fontId="54" fillId="3" borderId="2" xfId="1" applyNumberFormat="1" applyFont="1" applyFill="1" applyBorder="1" applyAlignment="1" applyProtection="1">
      <alignment horizontal="left" vertical="center"/>
    </xf>
    <xf numFmtId="3" fontId="54" fillId="3" borderId="2" xfId="1" applyNumberFormat="1" applyFont="1" applyFill="1" applyBorder="1" applyAlignment="1" applyProtection="1">
      <alignment vertical="center"/>
    </xf>
    <xf numFmtId="43" fontId="65" fillId="4" borderId="0" xfId="14" applyFont="1" applyFill="1" applyBorder="1" applyAlignment="1">
      <alignment vertical="center"/>
    </xf>
    <xf numFmtId="166" fontId="57" fillId="0" borderId="18" xfId="1" applyFont="1" applyBorder="1" applyAlignment="1" applyProtection="1">
      <alignment horizontal="center" vertical="center"/>
    </xf>
    <xf numFmtId="166" fontId="57" fillId="0" borderId="12" xfId="1" applyFont="1" applyBorder="1" applyAlignment="1" applyProtection="1">
      <alignment horizontal="left" vertical="center"/>
    </xf>
    <xf numFmtId="167" fontId="57" fillId="0" borderId="0" xfId="1" applyNumberFormat="1" applyFont="1" applyBorder="1" applyAlignment="1" applyProtection="1">
      <alignment horizontal="center" vertical="center"/>
    </xf>
    <xf numFmtId="0" fontId="57" fillId="0" borderId="0" xfId="0" applyFont="1" applyAlignment="1">
      <alignment horizontal="left" vertical="center"/>
    </xf>
    <xf numFmtId="166" fontId="57" fillId="0" borderId="0" xfId="1" applyFont="1" applyBorder="1" applyAlignment="1" applyProtection="1">
      <alignment horizontal="center" vertical="center"/>
    </xf>
    <xf numFmtId="43" fontId="59" fillId="0" borderId="0" xfId="14" applyFont="1" applyFill="1" applyBorder="1" applyAlignment="1" applyProtection="1">
      <alignment horizontal="center" vertical="center"/>
    </xf>
    <xf numFmtId="3" fontId="60" fillId="0" borderId="0" xfId="1" applyNumberFormat="1" applyFont="1" applyBorder="1" applyAlignment="1" applyProtection="1">
      <alignment horizontal="center" vertical="center"/>
    </xf>
    <xf numFmtId="169" fontId="66" fillId="0" borderId="0" xfId="14" applyNumberFormat="1" applyFont="1" applyFill="1" applyBorder="1" applyAlignment="1" applyProtection="1">
      <alignment horizontal="center" vertical="center"/>
    </xf>
    <xf numFmtId="167" fontId="54" fillId="3" borderId="21" xfId="1" applyNumberFormat="1" applyFont="1" applyFill="1" applyBorder="1" applyAlignment="1" applyProtection="1">
      <alignment vertical="center"/>
    </xf>
    <xf numFmtId="167" fontId="57" fillId="0" borderId="12" xfId="1" applyNumberFormat="1" applyFont="1" applyBorder="1" applyAlignment="1" applyProtection="1">
      <alignment horizontal="center" vertical="center"/>
    </xf>
    <xf numFmtId="167" fontId="57" fillId="0" borderId="12" xfId="1" applyNumberFormat="1" applyFont="1" applyBorder="1" applyAlignment="1" applyProtection="1">
      <alignment vertical="center"/>
    </xf>
    <xf numFmtId="43" fontId="40" fillId="0" borderId="0" xfId="14" applyFont="1" applyFill="1" applyBorder="1"/>
    <xf numFmtId="167" fontId="57" fillId="7" borderId="2" xfId="1" applyNumberFormat="1" applyFont="1" applyFill="1" applyBorder="1" applyAlignment="1" applyProtection="1">
      <alignment horizontal="center" vertical="center"/>
    </xf>
    <xf numFmtId="0" fontId="57" fillId="7" borderId="2" xfId="0" applyFont="1" applyFill="1" applyBorder="1" applyAlignment="1">
      <alignment horizontal="left" vertical="center"/>
    </xf>
    <xf numFmtId="167" fontId="57" fillId="0" borderId="1" xfId="1" applyNumberFormat="1" applyFont="1" applyBorder="1" applyAlignment="1" applyProtection="1">
      <alignment horizontal="center" vertical="center"/>
      <protection locked="0"/>
    </xf>
    <xf numFmtId="166" fontId="57" fillId="0" borderId="13" xfId="1" applyFont="1" applyBorder="1" applyAlignment="1" applyProtection="1">
      <alignment horizontal="left" vertical="center"/>
      <protection locked="0"/>
    </xf>
    <xf numFmtId="167" fontId="57" fillId="7" borderId="1" xfId="1" applyNumberFormat="1" applyFont="1" applyFill="1" applyBorder="1" applyAlignment="1" applyProtection="1">
      <alignment horizontal="center" vertical="center"/>
      <protection locked="0"/>
    </xf>
    <xf numFmtId="167" fontId="57" fillId="0" borderId="45" xfId="1" applyNumberFormat="1" applyFont="1" applyBorder="1" applyAlignment="1" applyProtection="1">
      <alignment horizontal="center" vertical="center"/>
    </xf>
    <xf numFmtId="0" fontId="57" fillId="0" borderId="45" xfId="0" applyFont="1" applyBorder="1" applyAlignment="1">
      <alignment horizontal="left" vertical="center"/>
    </xf>
    <xf numFmtId="166" fontId="57" fillId="0" borderId="45" xfId="1" applyFont="1" applyBorder="1" applyAlignment="1" applyProtection="1">
      <alignment horizontal="center" vertical="center"/>
    </xf>
    <xf numFmtId="166" fontId="57" fillId="0" borderId="45" xfId="1" applyFont="1" applyBorder="1" applyAlignment="1" applyProtection="1">
      <alignment horizontal="left" vertical="center"/>
      <protection locked="0"/>
    </xf>
    <xf numFmtId="167" fontId="57" fillId="0" borderId="18" xfId="1" applyNumberFormat="1" applyFont="1" applyBorder="1" applyAlignment="1" applyProtection="1">
      <alignment horizontal="center" vertical="center"/>
    </xf>
    <xf numFmtId="0" fontId="57" fillId="0" borderId="18" xfId="0" applyFont="1" applyBorder="1" applyAlignment="1">
      <alignment horizontal="left" vertical="center"/>
    </xf>
    <xf numFmtId="167" fontId="57" fillId="7" borderId="1" xfId="1" applyNumberFormat="1" applyFont="1" applyFill="1" applyBorder="1" applyAlignment="1" applyProtection="1">
      <alignment horizontal="center" vertical="center"/>
    </xf>
    <xf numFmtId="166" fontId="57" fillId="7" borderId="21" xfId="1" applyFont="1" applyFill="1" applyBorder="1" applyAlignment="1" applyProtection="1">
      <alignment horizontal="left" vertical="center"/>
      <protection locked="0"/>
    </xf>
    <xf numFmtId="167" fontId="57" fillId="7" borderId="36" xfId="1" applyNumberFormat="1" applyFont="1" applyFill="1" applyBorder="1" applyAlignment="1" applyProtection="1">
      <alignment horizontal="center" vertical="center"/>
      <protection locked="0"/>
    </xf>
    <xf numFmtId="170" fontId="63" fillId="0" borderId="0" xfId="14" applyNumberFormat="1" applyFont="1" applyFill="1" applyBorder="1" applyAlignment="1" applyProtection="1">
      <alignment horizontal="center" vertical="center"/>
    </xf>
    <xf numFmtId="170" fontId="63" fillId="0" borderId="0" xfId="14" applyNumberFormat="1" applyFont="1" applyFill="1" applyBorder="1" applyAlignment="1" applyProtection="1">
      <alignment horizontal="center" vertical="center"/>
      <protection locked="0"/>
    </xf>
    <xf numFmtId="170" fontId="63" fillId="0" borderId="0" xfId="14" applyNumberFormat="1" applyFont="1" applyFill="1" applyBorder="1" applyAlignment="1" applyProtection="1">
      <alignment horizontal="left" vertical="center"/>
      <protection locked="0"/>
    </xf>
    <xf numFmtId="3" fontId="67" fillId="0" borderId="0" xfId="14" applyNumberFormat="1" applyFont="1" applyFill="1" applyBorder="1" applyAlignment="1" applyProtection="1">
      <alignment horizontal="center" vertical="center"/>
      <protection locked="0"/>
    </xf>
    <xf numFmtId="170" fontId="57" fillId="0" borderId="0" xfId="14" applyNumberFormat="1" applyFont="1" applyFill="1" applyBorder="1" applyAlignment="1" applyProtection="1">
      <alignment horizontal="center" vertical="center"/>
    </xf>
    <xf numFmtId="0" fontId="57" fillId="7" borderId="1" xfId="0" applyFont="1" applyFill="1" applyBorder="1" applyAlignment="1" applyProtection="1">
      <alignment horizontal="left" vertical="center"/>
      <protection locked="0"/>
    </xf>
    <xf numFmtId="167" fontId="57" fillId="7" borderId="29" xfId="1" applyNumberFormat="1" applyFont="1" applyFill="1" applyBorder="1" applyAlignment="1" applyProtection="1">
      <alignment horizontal="center" vertical="center"/>
      <protection locked="0"/>
    </xf>
    <xf numFmtId="166" fontId="57" fillId="7" borderId="1" xfId="1" applyFont="1" applyFill="1" applyBorder="1" applyAlignment="1" applyProtection="1">
      <alignment horizontal="center" vertical="center"/>
      <protection locked="0"/>
    </xf>
    <xf numFmtId="0" fontId="57" fillId="0" borderId="1" xfId="0" applyFont="1" applyBorder="1" applyAlignment="1" applyProtection="1">
      <alignment horizontal="left" vertical="center"/>
      <protection locked="0"/>
    </xf>
    <xf numFmtId="166" fontId="57" fillId="0" borderId="1" xfId="1" applyFont="1" applyBorder="1" applyAlignment="1" applyProtection="1">
      <alignment horizontal="center" vertical="center"/>
      <protection locked="0"/>
    </xf>
    <xf numFmtId="43" fontId="40" fillId="0" borderId="0" xfId="14" applyFont="1" applyFill="1" applyBorder="1" applyAlignment="1">
      <alignment vertical="center"/>
    </xf>
    <xf numFmtId="0" fontId="58" fillId="0" borderId="0" xfId="0" applyFont="1" applyAlignment="1">
      <alignment vertical="center"/>
    </xf>
    <xf numFmtId="43" fontId="68" fillId="0" borderId="0" xfId="14" applyFont="1" applyFill="1" applyBorder="1" applyAlignment="1" applyProtection="1">
      <alignment horizontal="center" vertical="center"/>
    </xf>
    <xf numFmtId="43" fontId="60" fillId="4" borderId="0" xfId="14" applyFont="1" applyFill="1" applyAlignment="1">
      <alignment vertical="center"/>
    </xf>
    <xf numFmtId="43" fontId="65" fillId="4" borderId="0" xfId="14" applyFont="1" applyFill="1" applyAlignment="1">
      <alignment vertical="center"/>
    </xf>
    <xf numFmtId="3" fontId="60" fillId="0" borderId="36" xfId="1" applyNumberFormat="1" applyFont="1" applyBorder="1" applyAlignment="1" applyProtection="1">
      <alignment horizontal="center" vertical="center"/>
    </xf>
    <xf numFmtId="3" fontId="54" fillId="3" borderId="37" xfId="1" applyNumberFormat="1" applyFont="1" applyFill="1" applyBorder="1" applyAlignment="1" applyProtection="1">
      <alignment vertical="center"/>
      <protection locked="0"/>
    </xf>
    <xf numFmtId="167" fontId="57" fillId="0" borderId="38" xfId="1" applyNumberFormat="1" applyFont="1" applyBorder="1" applyAlignment="1" applyProtection="1">
      <alignment horizontal="center" vertical="center"/>
      <protection locked="0"/>
    </xf>
    <xf numFmtId="0" fontId="57" fillId="0" borderId="38" xfId="0" applyFont="1" applyBorder="1" applyAlignment="1" applyProtection="1">
      <alignment horizontal="left" vertical="center"/>
      <protection locked="0"/>
    </xf>
    <xf numFmtId="166" fontId="57" fillId="0" borderId="38" xfId="1" applyFont="1" applyBorder="1" applyAlignment="1" applyProtection="1">
      <alignment horizontal="center" vertical="center"/>
      <protection locked="0"/>
    </xf>
    <xf numFmtId="166" fontId="59" fillId="0" borderId="38" xfId="1" applyFont="1" applyBorder="1" applyAlignment="1" applyProtection="1">
      <alignment horizontal="center" vertical="center"/>
    </xf>
    <xf numFmtId="166" fontId="57" fillId="0" borderId="38" xfId="1" applyFont="1" applyBorder="1" applyAlignment="1" applyProtection="1">
      <alignment horizontal="left" vertical="center"/>
      <protection locked="0"/>
    </xf>
    <xf numFmtId="3" fontId="60" fillId="0" borderId="38" xfId="1" applyNumberFormat="1" applyFont="1" applyBorder="1" applyAlignment="1" applyProtection="1">
      <alignment horizontal="center" vertical="center"/>
    </xf>
    <xf numFmtId="166" fontId="59" fillId="0" borderId="0" xfId="1" applyFont="1" applyBorder="1" applyAlignment="1" applyProtection="1">
      <alignment horizontal="center" vertical="center"/>
    </xf>
    <xf numFmtId="0" fontId="58" fillId="2" borderId="0" xfId="0" applyFont="1" applyFill="1" applyAlignment="1">
      <alignment vertical="center"/>
    </xf>
    <xf numFmtId="167" fontId="54" fillId="3" borderId="37" xfId="1" applyNumberFormat="1" applyFont="1" applyFill="1" applyBorder="1" applyAlignment="1" applyProtection="1">
      <alignment horizontal="center" vertical="center"/>
      <protection locked="0"/>
    </xf>
    <xf numFmtId="167" fontId="54" fillId="3" borderId="37" xfId="1" applyNumberFormat="1" applyFont="1" applyFill="1" applyBorder="1" applyAlignment="1" applyProtection="1">
      <alignment horizontal="left" vertical="center"/>
      <protection locked="0"/>
    </xf>
    <xf numFmtId="3" fontId="60" fillId="7" borderId="36" xfId="1" applyNumberFormat="1" applyFont="1" applyFill="1" applyBorder="1" applyAlignment="1" applyProtection="1">
      <alignment horizontal="center" vertical="center"/>
    </xf>
    <xf numFmtId="0" fontId="58" fillId="2" borderId="0" xfId="0" applyFont="1" applyFill="1"/>
    <xf numFmtId="0" fontId="60" fillId="0" borderId="36" xfId="1" applyNumberFormat="1" applyFont="1" applyBorder="1" applyAlignment="1" applyProtection="1">
      <alignment horizontal="center" vertical="center"/>
    </xf>
    <xf numFmtId="167" fontId="54" fillId="3" borderId="21" xfId="1" applyNumberFormat="1" applyFont="1" applyFill="1" applyBorder="1" applyAlignment="1" applyProtection="1">
      <alignment vertical="center"/>
      <protection locked="0"/>
    </xf>
    <xf numFmtId="0" fontId="60" fillId="7" borderId="1" xfId="1" applyNumberFormat="1" applyFont="1" applyFill="1" applyBorder="1" applyAlignment="1" applyProtection="1">
      <alignment horizontal="center" vertical="center"/>
    </xf>
    <xf numFmtId="166" fontId="57" fillId="0" borderId="18" xfId="1" applyFont="1" applyBorder="1" applyAlignment="1" applyProtection="1">
      <alignment horizontal="left" vertical="center"/>
    </xf>
    <xf numFmtId="0" fontId="58" fillId="2" borderId="0" xfId="0" applyFont="1" applyFill="1" applyAlignment="1" applyProtection="1">
      <alignment vertical="center"/>
      <protection locked="0"/>
    </xf>
    <xf numFmtId="0" fontId="69" fillId="2" borderId="0" xfId="0" applyFont="1" applyFill="1" applyAlignment="1" applyProtection="1">
      <alignment vertical="center"/>
      <protection locked="0"/>
    </xf>
    <xf numFmtId="0" fontId="58" fillId="2" borderId="0" xfId="0" applyFont="1" applyFill="1" applyAlignment="1" applyProtection="1">
      <alignment horizontal="left" vertical="center"/>
      <protection locked="0"/>
    </xf>
    <xf numFmtId="3" fontId="41" fillId="0" borderId="0" xfId="0" applyNumberFormat="1" applyFont="1" applyAlignment="1" applyProtection="1">
      <alignment vertical="center"/>
      <protection locked="0"/>
    </xf>
    <xf numFmtId="169" fontId="60" fillId="0" borderId="0" xfId="14" applyNumberFormat="1" applyFont="1" applyAlignment="1">
      <alignment vertical="center"/>
    </xf>
    <xf numFmtId="169" fontId="56" fillId="0" borderId="0" xfId="14" applyNumberFormat="1" applyFont="1" applyAlignment="1">
      <alignment vertical="center"/>
    </xf>
    <xf numFmtId="167" fontId="54" fillId="3" borderId="37" xfId="1" applyNumberFormat="1" applyFont="1" applyFill="1" applyBorder="1" applyAlignment="1" applyProtection="1">
      <alignment horizontal="center" vertical="center"/>
    </xf>
    <xf numFmtId="167" fontId="54" fillId="3" borderId="37" xfId="1" applyNumberFormat="1" applyFont="1" applyFill="1" applyBorder="1" applyAlignment="1" applyProtection="1">
      <alignment horizontal="left" vertical="center"/>
    </xf>
    <xf numFmtId="0" fontId="60" fillId="4" borderId="1" xfId="1" applyNumberFormat="1" applyFont="1" applyFill="1" applyBorder="1" applyAlignment="1" applyProtection="1">
      <alignment horizontal="center" vertical="center"/>
    </xf>
    <xf numFmtId="166" fontId="57" fillId="0" borderId="1" xfId="1" applyFont="1" applyBorder="1" applyAlignment="1" applyProtection="1">
      <alignment horizontal="center" vertical="center"/>
    </xf>
    <xf numFmtId="166" fontId="57" fillId="0" borderId="1" xfId="1" applyFont="1" applyBorder="1" applyAlignment="1" applyProtection="1">
      <alignment horizontal="left" vertical="center"/>
    </xf>
    <xf numFmtId="166" fontId="63" fillId="0" borderId="0" xfId="1" applyFont="1" applyBorder="1" applyAlignment="1" applyProtection="1">
      <alignment horizontal="center" vertical="center"/>
    </xf>
    <xf numFmtId="43" fontId="70" fillId="0" borderId="0" xfId="14" applyFont="1" applyFill="1" applyBorder="1" applyAlignment="1" applyProtection="1">
      <alignment horizontal="center" vertical="center"/>
    </xf>
    <xf numFmtId="166" fontId="63" fillId="0" borderId="0" xfId="1" applyFont="1" applyBorder="1" applyAlignment="1" applyProtection="1">
      <alignment horizontal="left" vertical="center"/>
    </xf>
    <xf numFmtId="3" fontId="67" fillId="0" borderId="0" xfId="1" applyNumberFormat="1" applyFont="1" applyBorder="1" applyAlignment="1" applyProtection="1">
      <alignment horizontal="center" vertical="center"/>
    </xf>
    <xf numFmtId="0" fontId="63" fillId="0" borderId="0" xfId="1" applyNumberFormat="1" applyFont="1" applyBorder="1" applyAlignment="1" applyProtection="1">
      <alignment horizontal="center" vertical="center"/>
    </xf>
    <xf numFmtId="43" fontId="67" fillId="0" borderId="0" xfId="14" applyFont="1" applyFill="1" applyBorder="1" applyAlignment="1" applyProtection="1">
      <alignment horizontal="center" vertical="center"/>
    </xf>
    <xf numFmtId="43" fontId="69" fillId="2" borderId="0" xfId="14" applyFont="1" applyFill="1" applyBorder="1" applyAlignment="1" applyProtection="1">
      <alignment horizontal="center" vertical="center"/>
      <protection locked="0"/>
    </xf>
    <xf numFmtId="3" fontId="1" fillId="5" borderId="45" xfId="0" applyNumberFormat="1" applyFont="1" applyFill="1" applyBorder="1" applyAlignment="1">
      <alignment horizontal="center" vertical="center" wrapText="1"/>
    </xf>
    <xf numFmtId="0" fontId="72" fillId="0" borderId="0" xfId="41"/>
    <xf numFmtId="2" fontId="23" fillId="0" borderId="0" xfId="0" applyNumberFormat="1" applyFont="1" applyAlignment="1">
      <alignment horizontal="center" vertical="center"/>
    </xf>
    <xf numFmtId="166" fontId="59" fillId="7" borderId="21" xfId="1" applyFont="1" applyFill="1" applyBorder="1" applyAlignment="1" applyProtection="1">
      <alignment horizontal="center" vertical="center"/>
    </xf>
    <xf numFmtId="43" fontId="32" fillId="2" borderId="0" xfId="14" applyFont="1" applyFill="1" applyBorder="1" applyAlignment="1" applyProtection="1">
      <alignment horizontal="center" vertical="center"/>
      <protection locked="0"/>
    </xf>
    <xf numFmtId="166" fontId="52" fillId="0" borderId="0" xfId="1" applyFont="1" applyBorder="1" applyProtection="1"/>
    <xf numFmtId="49" fontId="57" fillId="0" borderId="21" xfId="1" applyNumberFormat="1" applyFont="1" applyBorder="1" applyAlignment="1" applyProtection="1">
      <alignment horizontal="left" vertical="center"/>
      <protection locked="0"/>
    </xf>
    <xf numFmtId="3" fontId="74" fillId="0" borderId="0" xfId="14" applyNumberFormat="1" applyFont="1" applyAlignment="1" applyProtection="1">
      <alignment horizontal="right" vertical="center"/>
      <protection locked="0"/>
    </xf>
    <xf numFmtId="166" fontId="64" fillId="0" borderId="2" xfId="1" applyFont="1" applyBorder="1" applyAlignment="1" applyProtection="1">
      <alignment horizontal="left" vertical="center"/>
    </xf>
    <xf numFmtId="0" fontId="73" fillId="0" borderId="1" xfId="1" applyNumberFormat="1" applyFont="1" applyBorder="1" applyAlignment="1" applyProtection="1">
      <alignment horizontal="center" vertical="center"/>
    </xf>
    <xf numFmtId="3" fontId="40" fillId="0" borderId="0" xfId="0" applyNumberFormat="1" applyFont="1"/>
    <xf numFmtId="166" fontId="9" fillId="0" borderId="45" xfId="1" applyBorder="1"/>
    <xf numFmtId="0" fontId="25" fillId="0" borderId="45" xfId="0" applyFont="1" applyBorder="1"/>
    <xf numFmtId="172" fontId="23" fillId="0" borderId="45" xfId="14" applyNumberFormat="1" applyFont="1" applyFill="1" applyBorder="1" applyAlignment="1">
      <alignment horizontal="center"/>
    </xf>
    <xf numFmtId="172" fontId="23" fillId="0" borderId="21" xfId="14" applyNumberFormat="1" applyFont="1" applyFill="1" applyBorder="1" applyAlignment="1">
      <alignment horizontal="center"/>
    </xf>
    <xf numFmtId="3" fontId="23" fillId="0" borderId="21" xfId="0" applyNumberFormat="1" applyFont="1" applyBorder="1" applyAlignment="1">
      <alignment horizontal="center"/>
    </xf>
    <xf numFmtId="3" fontId="25" fillId="0" borderId="21" xfId="14" applyNumberFormat="1" applyFont="1" applyBorder="1" applyAlignment="1">
      <alignment horizontal="center"/>
    </xf>
    <xf numFmtId="43" fontId="25" fillId="0" borderId="21" xfId="14" applyFont="1" applyBorder="1"/>
    <xf numFmtId="0" fontId="25" fillId="0" borderId="0" xfId="0" applyFont="1" applyAlignment="1">
      <alignment horizontal="center"/>
    </xf>
    <xf numFmtId="43" fontId="25" fillId="0" borderId="0" xfId="14" applyFont="1"/>
    <xf numFmtId="166" fontId="18" fillId="0" borderId="21" xfId="1" applyFont="1" applyBorder="1"/>
    <xf numFmtId="10" fontId="25" fillId="0" borderId="21" xfId="15" applyNumberFormat="1" applyFont="1" applyBorder="1" applyAlignment="1">
      <alignment horizontal="center"/>
    </xf>
    <xf numFmtId="3" fontId="25" fillId="0" borderId="0" xfId="14" applyNumberFormat="1" applyFont="1" applyBorder="1" applyAlignment="1">
      <alignment horizontal="center"/>
    </xf>
    <xf numFmtId="43" fontId="25" fillId="0" borderId="0" xfId="14" applyFont="1" applyBorder="1"/>
    <xf numFmtId="166" fontId="18" fillId="0" borderId="0" xfId="1" applyFont="1" applyBorder="1"/>
    <xf numFmtId="166" fontId="71" fillId="0" borderId="0" xfId="1" applyFont="1" applyBorder="1"/>
    <xf numFmtId="3" fontId="23" fillId="0" borderId="47" xfId="14" applyNumberFormat="1" applyFont="1" applyBorder="1" applyAlignment="1">
      <alignment horizontal="center"/>
    </xf>
    <xf numFmtId="43" fontId="23" fillId="0" borderId="47" xfId="14" applyFont="1" applyBorder="1"/>
    <xf numFmtId="166" fontId="71" fillId="0" borderId="47" xfId="1" applyFont="1" applyBorder="1"/>
    <xf numFmtId="10" fontId="23" fillId="0" borderId="47" xfId="15" applyNumberFormat="1" applyFont="1" applyBorder="1" applyAlignment="1">
      <alignment horizontal="center"/>
    </xf>
    <xf numFmtId="10" fontId="25" fillId="0" borderId="48" xfId="15" applyNumberFormat="1" applyFont="1" applyBorder="1" applyAlignment="1">
      <alignment horizontal="center"/>
    </xf>
    <xf numFmtId="0" fontId="25" fillId="0" borderId="0" xfId="0" applyFont="1"/>
    <xf numFmtId="172" fontId="23" fillId="0" borderId="0" xfId="14" applyNumberFormat="1" applyFont="1" applyFill="1" applyBorder="1" applyAlignment="1">
      <alignment horizontal="center"/>
    </xf>
    <xf numFmtId="3" fontId="23" fillId="0" borderId="45" xfId="0" applyNumberFormat="1" applyFont="1" applyBorder="1" applyAlignment="1">
      <alignment horizontal="center"/>
    </xf>
    <xf numFmtId="3" fontId="23" fillId="0" borderId="0" xfId="14" applyNumberFormat="1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173" fontId="0" fillId="0" borderId="0" xfId="0" applyNumberFormat="1"/>
    <xf numFmtId="166" fontId="23" fillId="0" borderId="21" xfId="1" applyFont="1" applyBorder="1" applyProtection="1"/>
    <xf numFmtId="0" fontId="11" fillId="0" borderId="0" xfId="0" applyFont="1"/>
    <xf numFmtId="167" fontId="57" fillId="5" borderId="36" xfId="1" applyNumberFormat="1" applyFont="1" applyFill="1" applyBorder="1" applyAlignment="1" applyProtection="1">
      <alignment horizontal="center" vertical="center"/>
      <protection locked="0"/>
    </xf>
    <xf numFmtId="0" fontId="57" fillId="5" borderId="2" xfId="0" applyFont="1" applyFill="1" applyBorder="1" applyAlignment="1" applyProtection="1">
      <alignment horizontal="left" vertical="center"/>
      <protection locked="0"/>
    </xf>
    <xf numFmtId="166" fontId="57" fillId="5" borderId="2" xfId="1" applyFont="1" applyFill="1" applyBorder="1" applyAlignment="1" applyProtection="1">
      <alignment horizontal="center" vertical="center"/>
      <protection locked="0"/>
    </xf>
    <xf numFmtId="166" fontId="59" fillId="5" borderId="21" xfId="1" applyFont="1" applyFill="1" applyBorder="1" applyAlignment="1" applyProtection="1">
      <alignment horizontal="center" vertical="center"/>
    </xf>
    <xf numFmtId="166" fontId="57" fillId="5" borderId="2" xfId="1" applyFont="1" applyFill="1" applyBorder="1" applyAlignment="1" applyProtection="1">
      <alignment horizontal="left" vertical="center"/>
    </xf>
    <xf numFmtId="3" fontId="60" fillId="5" borderId="1" xfId="1" applyNumberFormat="1" applyFont="1" applyFill="1" applyBorder="1" applyAlignment="1" applyProtection="1">
      <alignment horizontal="center" vertical="center"/>
    </xf>
    <xf numFmtId="167" fontId="57" fillId="5" borderId="2" xfId="1" applyNumberFormat="1" applyFont="1" applyFill="1" applyBorder="1" applyAlignment="1" applyProtection="1">
      <alignment horizontal="center" vertical="center"/>
    </xf>
    <xf numFmtId="0" fontId="57" fillId="5" borderId="2" xfId="0" applyFont="1" applyFill="1" applyBorder="1" applyAlignment="1">
      <alignment horizontal="left" vertical="center"/>
    </xf>
    <xf numFmtId="166" fontId="57" fillId="5" borderId="2" xfId="1" applyFont="1" applyFill="1" applyBorder="1" applyAlignment="1" applyProtection="1">
      <alignment horizontal="center" vertical="center"/>
    </xf>
    <xf numFmtId="0" fontId="60" fillId="5" borderId="1" xfId="1" applyNumberFormat="1" applyFont="1" applyFill="1" applyBorder="1" applyAlignment="1" applyProtection="1">
      <alignment horizontal="center" vertical="center"/>
    </xf>
    <xf numFmtId="0" fontId="76" fillId="0" borderId="0" xfId="0" applyFont="1"/>
    <xf numFmtId="168" fontId="76" fillId="0" borderId="0" xfId="0" applyNumberFormat="1" applyFont="1"/>
    <xf numFmtId="179" fontId="76" fillId="0" borderId="0" xfId="0" applyNumberFormat="1" applyFont="1"/>
    <xf numFmtId="49" fontId="36" fillId="0" borderId="43" xfId="3" applyNumberFormat="1" applyFont="1" applyBorder="1" applyAlignment="1">
      <alignment vertical="center"/>
    </xf>
    <xf numFmtId="49" fontId="37" fillId="0" borderId="30" xfId="3" applyNumberFormat="1" applyFont="1" applyBorder="1" applyAlignment="1">
      <alignment vertical="center"/>
    </xf>
    <xf numFmtId="0" fontId="13" fillId="0" borderId="0" xfId="3" applyAlignment="1">
      <alignment vertical="center" shrinkToFit="1"/>
    </xf>
    <xf numFmtId="38" fontId="38" fillId="0" borderId="0" xfId="3" applyNumberFormat="1" applyFont="1" applyAlignment="1">
      <alignment horizontal="right" vertical="center"/>
    </xf>
    <xf numFmtId="14" fontId="38" fillId="0" borderId="31" xfId="3" applyNumberFormat="1" applyFont="1" applyBorder="1" applyAlignment="1">
      <alignment horizontal="left" vertical="center"/>
    </xf>
    <xf numFmtId="0" fontId="13" fillId="0" borderId="32" xfId="3" applyBorder="1" applyAlignment="1">
      <alignment vertical="top" wrapText="1"/>
    </xf>
    <xf numFmtId="21" fontId="38" fillId="0" borderId="31" xfId="3" applyNumberFormat="1" applyFont="1" applyBorder="1" applyAlignment="1">
      <alignment horizontal="left" vertical="center"/>
    </xf>
    <xf numFmtId="49" fontId="37" fillId="0" borderId="33" xfId="3" applyNumberFormat="1" applyFont="1" applyBorder="1" applyAlignment="1">
      <alignment vertical="center"/>
    </xf>
    <xf numFmtId="21" fontId="38" fillId="0" borderId="34" xfId="3" applyNumberFormat="1" applyFont="1" applyBorder="1" applyAlignment="1">
      <alignment horizontal="left" vertical="center"/>
    </xf>
    <xf numFmtId="38" fontId="37" fillId="0" borderId="32" xfId="4" applyNumberFormat="1" applyFont="1" applyBorder="1" applyAlignment="1">
      <alignment vertical="center"/>
    </xf>
    <xf numFmtId="168" fontId="37" fillId="0" borderId="32" xfId="4" applyNumberFormat="1" applyFont="1" applyBorder="1" applyAlignment="1">
      <alignment horizontal="center" vertical="center"/>
    </xf>
    <xf numFmtId="38" fontId="37" fillId="0" borderId="32" xfId="4" applyNumberFormat="1" applyFont="1" applyBorder="1" applyAlignment="1">
      <alignment horizontal="center" vertical="center"/>
    </xf>
    <xf numFmtId="168" fontId="37" fillId="0" borderId="0" xfId="4" applyNumberFormat="1" applyFont="1" applyAlignment="1">
      <alignment vertical="center"/>
    </xf>
    <xf numFmtId="49" fontId="39" fillId="0" borderId="0" xfId="4" applyNumberFormat="1" applyFont="1" applyAlignment="1">
      <alignment horizontal="left" vertical="center"/>
    </xf>
    <xf numFmtId="49" fontId="39" fillId="0" borderId="0" xfId="4" applyNumberFormat="1" applyFont="1" applyAlignment="1">
      <alignment vertical="center"/>
    </xf>
    <xf numFmtId="0" fontId="0" fillId="0" borderId="0" xfId="0" applyAlignment="1">
      <alignment horizontal="left"/>
    </xf>
    <xf numFmtId="168" fontId="0" fillId="0" borderId="0" xfId="0" applyNumberFormat="1"/>
    <xf numFmtId="176" fontId="0" fillId="0" borderId="0" xfId="0" applyNumberFormat="1"/>
    <xf numFmtId="38" fontId="37" fillId="0" borderId="0" xfId="4" applyNumberFormat="1" applyFont="1" applyAlignment="1">
      <alignment vertical="center"/>
    </xf>
    <xf numFmtId="177" fontId="37" fillId="0" borderId="0" xfId="4" applyNumberFormat="1" applyFont="1" applyAlignment="1">
      <alignment vertical="center"/>
    </xf>
    <xf numFmtId="167" fontId="37" fillId="0" borderId="0" xfId="4" applyNumberFormat="1" applyFont="1" applyAlignment="1">
      <alignment vertical="center"/>
    </xf>
    <xf numFmtId="176" fontId="37" fillId="0" borderId="0" xfId="4" applyNumberFormat="1" applyFont="1" applyAlignment="1">
      <alignment vertical="center"/>
    </xf>
    <xf numFmtId="176" fontId="0" fillId="5" borderId="0" xfId="0" applyNumberFormat="1" applyFill="1"/>
    <xf numFmtId="168" fontId="37" fillId="0" borderId="44" xfId="4" applyNumberFormat="1" applyFont="1" applyBorder="1" applyAlignment="1">
      <alignment vertical="center"/>
    </xf>
    <xf numFmtId="38" fontId="37" fillId="0" borderId="44" xfId="4" applyNumberFormat="1" applyFont="1" applyBorder="1" applyAlignment="1">
      <alignment vertical="center"/>
    </xf>
    <xf numFmtId="40" fontId="37" fillId="0" borderId="44" xfId="4" applyNumberFormat="1" applyFont="1" applyBorder="1" applyAlignment="1">
      <alignment vertical="center"/>
    </xf>
    <xf numFmtId="167" fontId="43" fillId="3" borderId="19" xfId="1" applyNumberFormat="1" applyFont="1" applyFill="1" applyBorder="1" applyAlignment="1" applyProtection="1">
      <alignment horizontal="center" vertical="center"/>
    </xf>
    <xf numFmtId="167" fontId="43" fillId="3" borderId="17" xfId="1" applyNumberFormat="1" applyFont="1" applyFill="1" applyBorder="1" applyAlignment="1" applyProtection="1">
      <alignment horizontal="center" vertical="center"/>
    </xf>
    <xf numFmtId="167" fontId="16" fillId="3" borderId="5" xfId="1" applyNumberFormat="1" applyFont="1" applyFill="1" applyBorder="1" applyAlignment="1" applyProtection="1">
      <alignment horizontal="center" vertical="center"/>
    </xf>
    <xf numFmtId="167" fontId="16" fillId="3" borderId="0" xfId="1" applyNumberFormat="1" applyFont="1" applyFill="1" applyBorder="1" applyAlignment="1" applyProtection="1">
      <alignment horizontal="center" vertical="center"/>
    </xf>
    <xf numFmtId="167" fontId="16" fillId="3" borderId="39" xfId="1" applyNumberFormat="1" applyFont="1" applyFill="1" applyBorder="1" applyAlignment="1" applyProtection="1">
      <alignment horizontal="center" vertical="center"/>
    </xf>
    <xf numFmtId="167" fontId="16" fillId="3" borderId="40" xfId="1" applyNumberFormat="1" applyFont="1" applyFill="1" applyBorder="1" applyAlignment="1" applyProtection="1">
      <alignment horizontal="center" vertical="center"/>
    </xf>
    <xf numFmtId="0" fontId="22" fillId="6" borderId="22" xfId="0" applyFont="1" applyFill="1" applyBorder="1" applyAlignment="1">
      <alignment horizontal="center"/>
    </xf>
    <xf numFmtId="0" fontId="22" fillId="6" borderId="17" xfId="0" applyFont="1" applyFill="1" applyBorder="1" applyAlignment="1">
      <alignment horizontal="center"/>
    </xf>
    <xf numFmtId="0" fontId="22" fillId="6" borderId="6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17" fillId="10" borderId="6" xfId="0" applyFont="1" applyFill="1" applyBorder="1" applyAlignment="1">
      <alignment horizontal="center"/>
    </xf>
    <xf numFmtId="166" fontId="18" fillId="0" borderId="0" xfId="1" applyFont="1" applyBorder="1" applyAlignment="1">
      <alignment horizontal="center"/>
    </xf>
    <xf numFmtId="166" fontId="18" fillId="0" borderId="45" xfId="1" applyFont="1" applyBorder="1" applyAlignment="1">
      <alignment horizontal="center" wrapText="1"/>
    </xf>
    <xf numFmtId="166" fontId="18" fillId="0" borderId="45" xfId="1" applyFont="1" applyBorder="1" applyAlignment="1">
      <alignment horizontal="center"/>
    </xf>
    <xf numFmtId="0" fontId="22" fillId="8" borderId="5" xfId="0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5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18" fillId="0" borderId="23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26" fillId="9" borderId="54" xfId="0" applyFont="1" applyFill="1" applyBorder="1" applyAlignment="1">
      <alignment horizontal="center" vertical="center" wrapText="1"/>
    </xf>
    <xf numFmtId="0" fontId="26" fillId="9" borderId="55" xfId="0" applyFont="1" applyFill="1" applyBorder="1" applyAlignment="1">
      <alignment horizontal="center" vertical="center" wrapText="1"/>
    </xf>
    <xf numFmtId="0" fontId="26" fillId="9" borderId="56" xfId="0" applyFont="1" applyFill="1" applyBorder="1" applyAlignment="1">
      <alignment horizontal="center" vertical="center" wrapText="1"/>
    </xf>
    <xf numFmtId="0" fontId="26" fillId="9" borderId="53" xfId="0" applyFont="1" applyFill="1" applyBorder="1" applyAlignment="1">
      <alignment horizontal="center" vertical="center" wrapText="1"/>
    </xf>
    <xf numFmtId="0" fontId="26" fillId="9" borderId="0" xfId="0" applyFont="1" applyFill="1" applyAlignment="1">
      <alignment horizontal="center" vertical="center" wrapText="1"/>
    </xf>
    <xf numFmtId="0" fontId="26" fillId="9" borderId="57" xfId="0" applyFont="1" applyFill="1" applyBorder="1" applyAlignment="1">
      <alignment horizontal="center" vertical="center" wrapText="1"/>
    </xf>
    <xf numFmtId="0" fontId="26" fillId="9" borderId="58" xfId="0" applyFont="1" applyFill="1" applyBorder="1" applyAlignment="1">
      <alignment horizontal="center" vertical="center" wrapText="1"/>
    </xf>
    <xf numFmtId="0" fontId="26" fillId="9" borderId="59" xfId="0" applyFont="1" applyFill="1" applyBorder="1" applyAlignment="1">
      <alignment horizontal="center" vertical="center" wrapText="1"/>
    </xf>
    <xf numFmtId="0" fontId="26" fillId="9" borderId="60" xfId="0" applyFont="1" applyFill="1" applyBorder="1" applyAlignment="1">
      <alignment horizontal="center" vertical="center" wrapText="1"/>
    </xf>
    <xf numFmtId="0" fontId="27" fillId="9" borderId="23" xfId="0" applyFont="1" applyFill="1" applyBorder="1" applyAlignment="1">
      <alignment horizontal="center" vertical="center" wrapText="1"/>
    </xf>
    <xf numFmtId="0" fontId="27" fillId="9" borderId="24" xfId="0" applyFont="1" applyFill="1" applyBorder="1" applyAlignment="1">
      <alignment horizontal="center" vertical="center" wrapText="1"/>
    </xf>
    <xf numFmtId="0" fontId="27" fillId="9" borderId="25" xfId="0" applyFont="1" applyFill="1" applyBorder="1" applyAlignment="1">
      <alignment horizontal="center" vertical="center" wrapText="1"/>
    </xf>
    <xf numFmtId="0" fontId="27" fillId="9" borderId="26" xfId="0" applyFont="1" applyFill="1" applyBorder="1" applyAlignment="1">
      <alignment horizontal="center" vertical="center" wrapText="1"/>
    </xf>
    <xf numFmtId="0" fontId="27" fillId="9" borderId="27" xfId="0" applyFont="1" applyFill="1" applyBorder="1" applyAlignment="1">
      <alignment horizontal="center" vertical="center" wrapText="1"/>
    </xf>
    <xf numFmtId="0" fontId="27" fillId="9" borderId="28" xfId="0" applyFont="1" applyFill="1" applyBorder="1" applyAlignment="1">
      <alignment horizontal="center" vertical="center" wrapText="1"/>
    </xf>
  </cellXfs>
  <cellStyles count="42">
    <cellStyle name="Hiperlink" xfId="41" builtinId="8"/>
    <cellStyle name="Moeda" xfId="1" builtinId="4"/>
    <cellStyle name="Moeda 2" xfId="9"/>
    <cellStyle name="Moeda 3" xfId="19"/>
    <cellStyle name="Normal" xfId="0" builtinId="0"/>
    <cellStyle name="Normal 2" xfId="3"/>
    <cellStyle name="Normal 3" xfId="4"/>
    <cellStyle name="Normal 4" xfId="7"/>
    <cellStyle name="Normal 4 2" xfId="28"/>
    <cellStyle name="Normal 5" xfId="11"/>
    <cellStyle name="Normal 5 2" xfId="20"/>
    <cellStyle name="Normal 5 2 2" xfId="33"/>
    <cellStyle name="Normal 5 3" xfId="26"/>
    <cellStyle name="Normal 6" xfId="2"/>
    <cellStyle name="Normal 7" xfId="16"/>
    <cellStyle name="Normal 8" xfId="18"/>
    <cellStyle name="Porcentagem" xfId="15" builtinId="5"/>
    <cellStyle name="Porcentagem 2" xfId="10"/>
    <cellStyle name="Porcentagem 3" xfId="13"/>
    <cellStyle name="Porcentagem 3 2" xfId="22"/>
    <cellStyle name="Porcentagem 4" xfId="5"/>
    <cellStyle name="Porcentagem 5" xfId="24"/>
    <cellStyle name="Porcentagem 6" xfId="39"/>
    <cellStyle name="Vírgula" xfId="14" builtinId="3"/>
    <cellStyle name="Vírgula 2" xfId="8"/>
    <cellStyle name="Vírgula 2 2" xfId="35"/>
    <cellStyle name="Vírgula 2 3" xfId="29"/>
    <cellStyle name="Vírgula 3" xfId="12"/>
    <cellStyle name="Vírgula 3 2" xfId="21"/>
    <cellStyle name="Vírgula 3 2 2" xfId="36"/>
    <cellStyle name="Vírgula 3 3" xfId="30"/>
    <cellStyle name="Vírgula 4" xfId="6"/>
    <cellStyle name="Vírgula 4 2" xfId="34"/>
    <cellStyle name="Vírgula 4 3" xfId="27"/>
    <cellStyle name="Vírgula 5" xfId="17"/>
    <cellStyle name="Vírgula 5 2" xfId="25"/>
    <cellStyle name="Vírgula 5 2 2" xfId="38"/>
    <cellStyle name="Vírgula 5 3" xfId="32"/>
    <cellStyle name="Vírgula 6" xfId="23"/>
    <cellStyle name="Vírgula 6 2" xfId="37"/>
    <cellStyle name="Vírgula 7" xfId="31"/>
    <cellStyle name="Vírgula 9" xfId="40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17297</xdr:colOff>
      <xdr:row>1</xdr:row>
      <xdr:rowOff>315486</xdr:rowOff>
    </xdr:from>
    <xdr:to>
      <xdr:col>1</xdr:col>
      <xdr:colOff>819249</xdr:colOff>
      <xdr:row>5</xdr:row>
      <xdr:rowOff>182044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0479" y="514645"/>
          <a:ext cx="801952" cy="82771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206875</xdr:colOff>
      <xdr:row>2</xdr:row>
      <xdr:rowOff>54514</xdr:rowOff>
    </xdr:from>
    <xdr:to>
      <xdr:col>2</xdr:col>
      <xdr:colOff>1153791</xdr:colOff>
      <xdr:row>5</xdr:row>
      <xdr:rowOff>187226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xmlns="" id="{24CF523A-D9F7-5EDC-B22D-57DEAA3C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851" y="602651"/>
          <a:ext cx="941201" cy="725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xmlns="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xmlns="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xmlns="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xmlns="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xmlns="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xmlns="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xmlns="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xmlns="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xmlns="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xmlns="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xmlns="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xmlns="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xmlns="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xmlns="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xmlns="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xmlns="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xmlns="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xmlns="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xmlns="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xmlns="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xmlns="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8-08-2025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6-08-2025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7-08-202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ola.silva\AppData\Local\Microsoft\Windows\INetCache\Content.Outlook\IZ8JMS5V\Estoque%20Ponderado%2010-07-202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ciano.garcia\AppData\Local\Microsoft\Windows\INetCache\Content.Outlook\R0J9BWQ5\Estoque%20Ponderado%2013-08-2025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18-08-2025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19-08-202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0-08-202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1-08-2025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3-08-2025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5-08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8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  <row r="2">
          <cell r="A2" t="str">
            <v>EMITENTE:</v>
          </cell>
          <cell r="I2">
            <v>45897</v>
          </cell>
        </row>
        <row r="3">
          <cell r="A3" t="str">
            <v>PERÍODO:</v>
          </cell>
          <cell r="I3">
            <v>0.34827546296296297</v>
          </cell>
        </row>
        <row r="6">
          <cell r="A6" t="str">
            <v>PRODUTO</v>
          </cell>
          <cell r="E6" t="str">
            <v>QUANT</v>
          </cell>
          <cell r="G6" t="str">
            <v>ESTOQUE</v>
          </cell>
          <cell r="I6" t="str">
            <v>VALOR</v>
          </cell>
        </row>
        <row r="7">
          <cell r="A7" t="str">
            <v>GRUPO:</v>
          </cell>
        </row>
        <row r="8">
          <cell r="A8">
            <v>22021</v>
          </cell>
          <cell r="E8">
            <v>9</v>
          </cell>
          <cell r="G8">
            <v>97.698999999999998</v>
          </cell>
          <cell r="I8">
            <v>2637.873</v>
          </cell>
        </row>
        <row r="9">
          <cell r="E9">
            <v>9</v>
          </cell>
          <cell r="G9">
            <v>97.698999999999998</v>
          </cell>
          <cell r="I9">
            <v>2637.873</v>
          </cell>
        </row>
        <row r="10">
          <cell r="A10" t="str">
            <v>GRUPO:</v>
          </cell>
        </row>
        <row r="11">
          <cell r="A11">
            <v>35002</v>
          </cell>
          <cell r="E11">
            <v>12</v>
          </cell>
          <cell r="G11">
            <v>224.27</v>
          </cell>
          <cell r="I11">
            <v>2579.105</v>
          </cell>
        </row>
        <row r="12">
          <cell r="A12">
            <v>35012</v>
          </cell>
          <cell r="E12">
            <v>29</v>
          </cell>
          <cell r="G12">
            <v>634.74900000000002</v>
          </cell>
          <cell r="I12">
            <v>11425.482</v>
          </cell>
        </row>
        <row r="13">
          <cell r="A13">
            <v>35038</v>
          </cell>
          <cell r="E13">
            <v>28</v>
          </cell>
          <cell r="G13">
            <v>423.8</v>
          </cell>
          <cell r="I13">
            <v>7797.9199999999992</v>
          </cell>
        </row>
        <row r="14">
          <cell r="E14">
            <v>69</v>
          </cell>
          <cell r="G14">
            <v>1282.819</v>
          </cell>
          <cell r="I14">
            <v>21802.506999999998</v>
          </cell>
        </row>
        <row r="15">
          <cell r="A15" t="str">
            <v>GRUPO:</v>
          </cell>
        </row>
        <row r="16">
          <cell r="A16">
            <v>11000</v>
          </cell>
          <cell r="E16">
            <v>59</v>
          </cell>
          <cell r="G16">
            <v>4309.7</v>
          </cell>
          <cell r="I16">
            <v>100459.10699999999</v>
          </cell>
        </row>
        <row r="17">
          <cell r="A17">
            <v>11001</v>
          </cell>
          <cell r="E17">
            <v>198</v>
          </cell>
          <cell r="G17">
            <v>12695.9</v>
          </cell>
          <cell r="I17">
            <v>229922.74899999998</v>
          </cell>
        </row>
        <row r="18">
          <cell r="A18">
            <v>11004</v>
          </cell>
          <cell r="E18">
            <v>145</v>
          </cell>
          <cell r="G18">
            <v>3524.8</v>
          </cell>
          <cell r="I18">
            <v>60943.792000000001</v>
          </cell>
        </row>
        <row r="19">
          <cell r="A19">
            <v>11007</v>
          </cell>
          <cell r="E19">
            <v>1</v>
          </cell>
          <cell r="G19">
            <v>22</v>
          </cell>
          <cell r="I19">
            <v>593.56000000000006</v>
          </cell>
        </row>
        <row r="20">
          <cell r="E20">
            <v>403</v>
          </cell>
          <cell r="G20">
            <v>20552.399999999998</v>
          </cell>
          <cell r="I20">
            <v>391919.20799999998</v>
          </cell>
        </row>
        <row r="21">
          <cell r="A21" t="str">
            <v>GRUPO:</v>
          </cell>
        </row>
        <row r="22">
          <cell r="A22">
            <v>12001</v>
          </cell>
          <cell r="E22">
            <v>18</v>
          </cell>
          <cell r="G22">
            <v>433.03</v>
          </cell>
          <cell r="I22">
            <v>20785.439999999999</v>
          </cell>
        </row>
        <row r="23">
          <cell r="A23">
            <v>12007</v>
          </cell>
          <cell r="E23">
            <v>35</v>
          </cell>
          <cell r="G23">
            <v>658.56899999999996</v>
          </cell>
          <cell r="I23">
            <v>19757.07</v>
          </cell>
        </row>
        <row r="24">
          <cell r="A24">
            <v>12009</v>
          </cell>
          <cell r="E24">
            <v>54</v>
          </cell>
          <cell r="G24">
            <v>1247.472</v>
          </cell>
          <cell r="I24">
            <v>42813.23904</v>
          </cell>
        </row>
        <row r="25">
          <cell r="A25">
            <v>12010</v>
          </cell>
          <cell r="E25">
            <v>19</v>
          </cell>
          <cell r="G25">
            <v>445.87</v>
          </cell>
          <cell r="I25">
            <v>11815.555</v>
          </cell>
        </row>
        <row r="26">
          <cell r="A26">
            <v>12012</v>
          </cell>
          <cell r="E26">
            <v>48</v>
          </cell>
          <cell r="G26">
            <v>1199.5030000000002</v>
          </cell>
          <cell r="I26">
            <v>34317.780830000003</v>
          </cell>
        </row>
        <row r="27">
          <cell r="A27">
            <v>12017</v>
          </cell>
          <cell r="E27">
            <v>67</v>
          </cell>
          <cell r="G27">
            <v>1656.165</v>
          </cell>
          <cell r="I27">
            <v>46306.373399999997</v>
          </cell>
        </row>
        <row r="28">
          <cell r="A28">
            <v>12018</v>
          </cell>
          <cell r="E28">
            <v>233</v>
          </cell>
          <cell r="G28">
            <v>5735.66</v>
          </cell>
          <cell r="I28">
            <v>189162.06679999997</v>
          </cell>
        </row>
        <row r="29">
          <cell r="A29">
            <v>12020</v>
          </cell>
          <cell r="E29">
            <v>28</v>
          </cell>
          <cell r="G29">
            <v>626.50900000000001</v>
          </cell>
          <cell r="I29">
            <v>20323.951959999999</v>
          </cell>
        </row>
        <row r="30">
          <cell r="A30">
            <v>12029</v>
          </cell>
          <cell r="E30">
            <v>13</v>
          </cell>
          <cell r="G30">
            <v>286.45999999999998</v>
          </cell>
          <cell r="I30">
            <v>8072.4427999999989</v>
          </cell>
        </row>
        <row r="31">
          <cell r="A31">
            <v>12039</v>
          </cell>
          <cell r="E31">
            <v>87</v>
          </cell>
          <cell r="G31">
            <v>2029.154</v>
          </cell>
          <cell r="I31">
            <v>77107.851999999999</v>
          </cell>
        </row>
        <row r="32">
          <cell r="A32">
            <v>12043</v>
          </cell>
          <cell r="E32">
            <v>16</v>
          </cell>
          <cell r="G32">
            <v>322.685</v>
          </cell>
          <cell r="I32">
            <v>10325.92</v>
          </cell>
        </row>
        <row r="33">
          <cell r="A33">
            <v>12044</v>
          </cell>
          <cell r="E33">
            <v>40</v>
          </cell>
          <cell r="G33">
            <v>638.74</v>
          </cell>
          <cell r="I33">
            <v>24272.12</v>
          </cell>
        </row>
        <row r="34">
          <cell r="A34">
            <v>12053</v>
          </cell>
          <cell r="E34">
            <v>166</v>
          </cell>
          <cell r="G34">
            <v>4004.9290000000001</v>
          </cell>
          <cell r="I34">
            <v>128157.728</v>
          </cell>
        </row>
        <row r="35">
          <cell r="A35">
            <v>12064</v>
          </cell>
          <cell r="E35">
            <v>1</v>
          </cell>
          <cell r="G35">
            <v>28.477</v>
          </cell>
          <cell r="I35">
            <v>825.83299999999997</v>
          </cell>
        </row>
        <row r="36">
          <cell r="A36">
            <v>12072</v>
          </cell>
          <cell r="E36">
            <v>4</v>
          </cell>
          <cell r="G36">
            <v>66.8</v>
          </cell>
          <cell r="I36">
            <v>3941.2</v>
          </cell>
        </row>
        <row r="37">
          <cell r="A37">
            <v>12095</v>
          </cell>
          <cell r="E37">
            <v>207</v>
          </cell>
          <cell r="G37">
            <v>4530.6939999999995</v>
          </cell>
          <cell r="I37">
            <v>142309.09853999998</v>
          </cell>
        </row>
        <row r="38">
          <cell r="A38">
            <v>12116</v>
          </cell>
          <cell r="E38">
            <v>55</v>
          </cell>
          <cell r="G38">
            <v>681.05399999999997</v>
          </cell>
          <cell r="I38">
            <v>29285.322</v>
          </cell>
        </row>
        <row r="39">
          <cell r="A39">
            <v>12128</v>
          </cell>
          <cell r="E39">
            <v>31</v>
          </cell>
          <cell r="G39">
            <v>802.61</v>
          </cell>
          <cell r="I39">
            <v>22874.385000000002</v>
          </cell>
        </row>
        <row r="40">
          <cell r="A40">
            <v>12136</v>
          </cell>
          <cell r="E40">
            <v>13</v>
          </cell>
          <cell r="G40">
            <v>202.90100000000001</v>
          </cell>
          <cell r="I40">
            <v>12376.961000000001</v>
          </cell>
        </row>
        <row r="41">
          <cell r="A41">
            <v>12137</v>
          </cell>
          <cell r="E41">
            <v>19</v>
          </cell>
          <cell r="G41">
            <v>221.26</v>
          </cell>
          <cell r="I41">
            <v>13275.599999999999</v>
          </cell>
        </row>
        <row r="42">
          <cell r="A42">
            <v>12143</v>
          </cell>
          <cell r="E42">
            <v>13</v>
          </cell>
          <cell r="G42">
            <v>347.43599999999998</v>
          </cell>
          <cell r="I42">
            <v>8338.4639999999999</v>
          </cell>
        </row>
        <row r="43">
          <cell r="A43">
            <v>12163</v>
          </cell>
          <cell r="E43">
            <v>124</v>
          </cell>
          <cell r="G43">
            <v>2750.6440000000002</v>
          </cell>
          <cell r="I43">
            <v>104524.47200000001</v>
          </cell>
        </row>
        <row r="44">
          <cell r="A44">
            <v>12182</v>
          </cell>
          <cell r="E44">
            <v>66</v>
          </cell>
          <cell r="G44">
            <v>956.49199999999996</v>
          </cell>
          <cell r="I44">
            <v>36346.695999999996</v>
          </cell>
        </row>
        <row r="45">
          <cell r="A45">
            <v>12282</v>
          </cell>
          <cell r="E45">
            <v>60</v>
          </cell>
          <cell r="G45">
            <v>1354.596</v>
          </cell>
          <cell r="I45">
            <v>43347.072</v>
          </cell>
        </row>
        <row r="46">
          <cell r="A46">
            <v>12306</v>
          </cell>
          <cell r="E46">
            <v>1</v>
          </cell>
          <cell r="G46">
            <v>13.413</v>
          </cell>
          <cell r="I46">
            <v>603.58500000000004</v>
          </cell>
        </row>
        <row r="47">
          <cell r="A47">
            <v>12308</v>
          </cell>
          <cell r="E47">
            <v>59</v>
          </cell>
          <cell r="G47">
            <v>649.10699999999997</v>
          </cell>
          <cell r="I47">
            <v>42198.446069999998</v>
          </cell>
        </row>
        <row r="48">
          <cell r="A48">
            <v>12310</v>
          </cell>
          <cell r="E48">
            <v>10</v>
          </cell>
          <cell r="G48">
            <v>143.05600000000001</v>
          </cell>
          <cell r="I48">
            <v>8869.4720000000016</v>
          </cell>
        </row>
        <row r="49">
          <cell r="A49">
            <v>12315</v>
          </cell>
          <cell r="E49">
            <v>70</v>
          </cell>
          <cell r="G49">
            <v>1701.204</v>
          </cell>
          <cell r="I49">
            <v>64305.511199999994</v>
          </cell>
        </row>
        <row r="50">
          <cell r="A50">
            <v>12318</v>
          </cell>
          <cell r="E50">
            <v>85</v>
          </cell>
          <cell r="G50">
            <v>1812.788</v>
          </cell>
          <cell r="I50">
            <v>49706.646960000005</v>
          </cell>
        </row>
        <row r="51">
          <cell r="E51">
            <v>1642</v>
          </cell>
          <cell r="G51">
            <v>35547.277999999998</v>
          </cell>
          <cell r="I51">
            <v>1216346.3046000001</v>
          </cell>
        </row>
        <row r="52">
          <cell r="A52" t="str">
            <v>GRUPO:</v>
          </cell>
        </row>
        <row r="53">
          <cell r="A53">
            <v>29000</v>
          </cell>
          <cell r="E53">
            <v>84</v>
          </cell>
          <cell r="G53">
            <v>840</v>
          </cell>
          <cell r="I53">
            <v>15481.199999999999</v>
          </cell>
        </row>
        <row r="54">
          <cell r="A54">
            <v>29010</v>
          </cell>
          <cell r="E54">
            <v>12</v>
          </cell>
          <cell r="G54">
            <v>117.6</v>
          </cell>
          <cell r="I54">
            <v>1328.88</v>
          </cell>
        </row>
        <row r="55">
          <cell r="E55">
            <v>96</v>
          </cell>
          <cell r="G55">
            <v>957.6</v>
          </cell>
          <cell r="I55">
            <v>16810.079999999998</v>
          </cell>
        </row>
        <row r="56">
          <cell r="A56" t="str">
            <v>GRUPO:</v>
          </cell>
        </row>
        <row r="57">
          <cell r="A57">
            <v>20203</v>
          </cell>
          <cell r="E57">
            <v>5</v>
          </cell>
          <cell r="G57">
            <v>75</v>
          </cell>
          <cell r="I57">
            <v>1627.5</v>
          </cell>
        </row>
        <row r="58">
          <cell r="A58">
            <v>20208</v>
          </cell>
          <cell r="E58">
            <v>19</v>
          </cell>
          <cell r="G58">
            <v>399</v>
          </cell>
          <cell r="I58">
            <v>8578.5</v>
          </cell>
        </row>
        <row r="59">
          <cell r="E59">
            <v>24</v>
          </cell>
          <cell r="G59">
            <v>474</v>
          </cell>
          <cell r="I59">
            <v>10206</v>
          </cell>
        </row>
        <row r="60">
          <cell r="A60" t="str">
            <v>GRUPO:</v>
          </cell>
        </row>
        <row r="61">
          <cell r="A61">
            <v>52036</v>
          </cell>
          <cell r="E61">
            <v>23</v>
          </cell>
          <cell r="G61">
            <v>427.286</v>
          </cell>
          <cell r="I61">
            <v>6490.4743399999998</v>
          </cell>
        </row>
        <row r="62">
          <cell r="E62">
            <v>23</v>
          </cell>
          <cell r="G62">
            <v>427.286</v>
          </cell>
          <cell r="I62">
            <v>6490.4743399999998</v>
          </cell>
        </row>
        <row r="63">
          <cell r="A63" t="str">
            <v>GRUPO:</v>
          </cell>
        </row>
        <row r="64">
          <cell r="A64">
            <v>32001</v>
          </cell>
          <cell r="E64">
            <v>106</v>
          </cell>
          <cell r="G64">
            <v>2565.7720000000004</v>
          </cell>
          <cell r="I64">
            <v>16677.518000000004</v>
          </cell>
        </row>
        <row r="65">
          <cell r="A65">
            <v>32002</v>
          </cell>
          <cell r="E65">
            <v>82</v>
          </cell>
          <cell r="G65">
            <v>1803.0900000000001</v>
          </cell>
          <cell r="I65">
            <v>34384.926300000006</v>
          </cell>
        </row>
        <row r="66">
          <cell r="A66">
            <v>32017</v>
          </cell>
          <cell r="E66">
            <v>20</v>
          </cell>
          <cell r="G66">
            <v>407.74299999999999</v>
          </cell>
          <cell r="I66">
            <v>3669.6869999999999</v>
          </cell>
        </row>
        <row r="67">
          <cell r="A67">
            <v>32040</v>
          </cell>
          <cell r="E67">
            <v>74</v>
          </cell>
          <cell r="G67">
            <v>1322.44</v>
          </cell>
          <cell r="I67">
            <v>11240.74</v>
          </cell>
        </row>
        <row r="68">
          <cell r="A68">
            <v>32043</v>
          </cell>
          <cell r="E68">
            <v>41</v>
          </cell>
          <cell r="G68">
            <v>1052.317</v>
          </cell>
          <cell r="I68">
            <v>20793.783920000002</v>
          </cell>
        </row>
        <row r="69">
          <cell r="A69">
            <v>32044</v>
          </cell>
          <cell r="E69">
            <v>89</v>
          </cell>
          <cell r="G69">
            <v>2240.6429999999996</v>
          </cell>
          <cell r="I69">
            <v>44656.014989999989</v>
          </cell>
        </row>
        <row r="70">
          <cell r="E70">
            <v>412</v>
          </cell>
          <cell r="G70">
            <v>9392.005000000001</v>
          </cell>
          <cell r="I70">
            <v>131422.67021000001</v>
          </cell>
        </row>
        <row r="71">
          <cell r="A71" t="str">
            <v>RESUMO DO ESTOQUE:</v>
          </cell>
        </row>
        <row r="72">
          <cell r="A72" t="str">
            <v>QUANTIDADE TOTAL: 2678          PESO TOTAL: 68731,087         VALOR DO ESTOQUE: R$ 1.797.635,12</v>
          </cell>
          <cell r="G72">
            <v>68731.087</v>
          </cell>
          <cell r="I72">
            <v>1797635.1171499998</v>
          </cell>
        </row>
      </sheetData>
      <sheetData sheetId="3">
        <row r="7">
          <cell r="A7" t="str">
            <v>GRUPO:</v>
          </cell>
        </row>
        <row r="8">
          <cell r="A8">
            <v>22021</v>
          </cell>
        </row>
        <row r="9">
          <cell r="A9">
            <v>22042</v>
          </cell>
        </row>
        <row r="11">
          <cell r="A11" t="str">
            <v>GRUPO:</v>
          </cell>
        </row>
        <row r="12">
          <cell r="A12">
            <v>35002</v>
          </cell>
        </row>
        <row r="13">
          <cell r="A13">
            <v>35012</v>
          </cell>
        </row>
        <row r="14">
          <cell r="A14">
            <v>35038</v>
          </cell>
        </row>
        <row r="16">
          <cell r="A16" t="str">
            <v>GRUPO:</v>
          </cell>
        </row>
        <row r="17">
          <cell r="A17">
            <v>11000</v>
          </cell>
        </row>
        <row r="18">
          <cell r="A18">
            <v>11001</v>
          </cell>
        </row>
        <row r="19">
          <cell r="A19">
            <v>11004</v>
          </cell>
        </row>
        <row r="20">
          <cell r="A20">
            <v>11007</v>
          </cell>
        </row>
        <row r="22">
          <cell r="A22" t="str">
            <v>GRUPO:</v>
          </cell>
        </row>
        <row r="23">
          <cell r="A23">
            <v>12001</v>
          </cell>
        </row>
        <row r="24">
          <cell r="A24">
            <v>12007</v>
          </cell>
        </row>
        <row r="25">
          <cell r="A25">
            <v>12009</v>
          </cell>
        </row>
        <row r="26">
          <cell r="A26">
            <v>12010</v>
          </cell>
        </row>
        <row r="27">
          <cell r="A27">
            <v>12012</v>
          </cell>
        </row>
        <row r="28">
          <cell r="A28">
            <v>12017</v>
          </cell>
        </row>
        <row r="29">
          <cell r="A29">
            <v>12018</v>
          </cell>
        </row>
        <row r="30">
          <cell r="A30">
            <v>12020</v>
          </cell>
        </row>
        <row r="31">
          <cell r="A31">
            <v>12029</v>
          </cell>
        </row>
        <row r="32">
          <cell r="A32">
            <v>12039</v>
          </cell>
        </row>
        <row r="33">
          <cell r="A33">
            <v>12043</v>
          </cell>
        </row>
        <row r="34">
          <cell r="A34">
            <v>12044</v>
          </cell>
        </row>
        <row r="35">
          <cell r="A35">
            <v>12053</v>
          </cell>
        </row>
        <row r="36">
          <cell r="A36">
            <v>12072</v>
          </cell>
        </row>
        <row r="37">
          <cell r="A37">
            <v>12095</v>
          </cell>
        </row>
        <row r="38">
          <cell r="A38">
            <v>12116</v>
          </cell>
        </row>
        <row r="39">
          <cell r="A39">
            <v>12128</v>
          </cell>
        </row>
        <row r="40">
          <cell r="A40">
            <v>12137</v>
          </cell>
        </row>
        <row r="41">
          <cell r="A41">
            <v>12163</v>
          </cell>
        </row>
        <row r="42">
          <cell r="A42">
            <v>12182</v>
          </cell>
        </row>
        <row r="43">
          <cell r="A43">
            <v>12282</v>
          </cell>
        </row>
        <row r="44">
          <cell r="A44">
            <v>12308</v>
          </cell>
        </row>
        <row r="45">
          <cell r="A45">
            <v>12315</v>
          </cell>
        </row>
        <row r="46">
          <cell r="A46">
            <v>12318</v>
          </cell>
        </row>
        <row r="48">
          <cell r="A48" t="str">
            <v>GRUPO:</v>
          </cell>
        </row>
        <row r="49">
          <cell r="A49">
            <v>29000</v>
          </cell>
        </row>
        <row r="50">
          <cell r="A50">
            <v>29010</v>
          </cell>
        </row>
        <row r="52">
          <cell r="A52" t="str">
            <v>GRUPO:</v>
          </cell>
        </row>
        <row r="53">
          <cell r="A53">
            <v>20203</v>
          </cell>
        </row>
        <row r="54">
          <cell r="A54">
            <v>20208</v>
          </cell>
        </row>
        <row r="56">
          <cell r="A56" t="str">
            <v>GRUPO:</v>
          </cell>
        </row>
        <row r="57">
          <cell r="A57">
            <v>52036</v>
          </cell>
        </row>
        <row r="59">
          <cell r="A59" t="str">
            <v>GRUPO:</v>
          </cell>
        </row>
        <row r="60">
          <cell r="A60">
            <v>32001</v>
          </cell>
        </row>
        <row r="61">
          <cell r="A61">
            <v>32002</v>
          </cell>
        </row>
        <row r="62">
          <cell r="A62">
            <v>32017</v>
          </cell>
        </row>
        <row r="63">
          <cell r="A63">
            <v>32040</v>
          </cell>
        </row>
        <row r="64">
          <cell r="A64">
            <v>32043</v>
          </cell>
        </row>
        <row r="65">
          <cell r="A65">
            <v>32044</v>
          </cell>
        </row>
      </sheetData>
      <sheetData sheetId="4">
        <row r="2">
          <cell r="E2" t="str">
            <v>CÓDIGO</v>
          </cell>
          <cell r="F2" t="str">
            <v>QUANTIDADE</v>
          </cell>
          <cell r="G2" t="str">
            <v>PESO TOTAL</v>
          </cell>
          <cell r="N2" t="str">
            <v>VALOR CORRIGIDO</v>
          </cell>
        </row>
        <row r="3">
          <cell r="E3">
            <v>22042</v>
          </cell>
          <cell r="F3">
            <v>84</v>
          </cell>
          <cell r="G3">
            <v>2021.91</v>
          </cell>
          <cell r="N3">
            <v>58635.39</v>
          </cell>
        </row>
        <row r="4">
          <cell r="E4">
            <v>12039</v>
          </cell>
          <cell r="F4">
            <v>40</v>
          </cell>
          <cell r="G4">
            <v>989.97799999999995</v>
          </cell>
          <cell r="N4">
            <v>37619.163999999997</v>
          </cell>
        </row>
        <row r="5">
          <cell r="E5">
            <v>12315</v>
          </cell>
          <cell r="F5">
            <v>200</v>
          </cell>
          <cell r="G5">
            <v>4481.652</v>
          </cell>
          <cell r="N5">
            <v>170302.77600000001</v>
          </cell>
        </row>
        <row r="6">
          <cell r="E6">
            <v>12007</v>
          </cell>
          <cell r="F6">
            <v>40</v>
          </cell>
          <cell r="G6">
            <v>809.92100000000005</v>
          </cell>
          <cell r="N6">
            <v>24297.63</v>
          </cell>
        </row>
        <row r="7">
          <cell r="E7">
            <v>12310</v>
          </cell>
          <cell r="F7">
            <v>35</v>
          </cell>
          <cell r="G7">
            <v>488.75099999999998</v>
          </cell>
          <cell r="N7">
            <v>29813.810999999998</v>
          </cell>
        </row>
        <row r="8">
          <cell r="E8">
            <v>12136</v>
          </cell>
          <cell r="F8">
            <v>20</v>
          </cell>
          <cell r="G8">
            <v>306.238</v>
          </cell>
          <cell r="N8">
            <v>18680.518</v>
          </cell>
        </row>
        <row r="9">
          <cell r="E9">
            <v>12020</v>
          </cell>
          <cell r="F9">
            <v>40</v>
          </cell>
          <cell r="G9">
            <v>926.93700000000001</v>
          </cell>
          <cell r="N9">
            <v>30125.452499999999</v>
          </cell>
        </row>
        <row r="10">
          <cell r="E10">
            <v>12018</v>
          </cell>
          <cell r="F10">
            <v>80</v>
          </cell>
          <cell r="G10">
            <v>1957.998</v>
          </cell>
          <cell r="N10">
            <v>64613.934000000001</v>
          </cell>
        </row>
        <row r="11">
          <cell r="E11">
            <v>12017</v>
          </cell>
          <cell r="F11">
            <v>40</v>
          </cell>
          <cell r="G11">
            <v>1032.114</v>
          </cell>
          <cell r="N11">
            <v>28899.192000000003</v>
          </cell>
        </row>
        <row r="12">
          <cell r="E12">
            <v>12009</v>
          </cell>
          <cell r="F12">
            <v>80</v>
          </cell>
          <cell r="G12">
            <v>1871.366</v>
          </cell>
          <cell r="N12">
            <v>64374.990399999995</v>
          </cell>
        </row>
        <row r="13">
          <cell r="E13">
            <v>11004</v>
          </cell>
          <cell r="F13">
            <v>1</v>
          </cell>
          <cell r="G13">
            <v>32</v>
          </cell>
          <cell r="N13">
            <v>553.28</v>
          </cell>
        </row>
        <row r="14">
          <cell r="E14">
            <v>11005</v>
          </cell>
          <cell r="F14">
            <v>21</v>
          </cell>
          <cell r="G14">
            <v>927.1</v>
          </cell>
          <cell r="N14">
            <v>19218.782999999999</v>
          </cell>
        </row>
        <row r="15">
          <cell r="E15">
            <v>11006</v>
          </cell>
          <cell r="F15">
            <v>4</v>
          </cell>
          <cell r="G15">
            <v>131.9</v>
          </cell>
          <cell r="N15">
            <v>3581.085</v>
          </cell>
        </row>
        <row r="16">
          <cell r="E16">
            <v>11007</v>
          </cell>
          <cell r="F16">
            <v>17</v>
          </cell>
          <cell r="G16">
            <v>373.2</v>
          </cell>
          <cell r="N16">
            <v>10132.379999999999</v>
          </cell>
        </row>
        <row r="17">
          <cell r="E17">
            <v>11008</v>
          </cell>
          <cell r="F17">
            <v>17</v>
          </cell>
          <cell r="G17">
            <v>186.9</v>
          </cell>
          <cell r="N17">
            <v>4943.5050000000001</v>
          </cell>
        </row>
        <row r="18">
          <cell r="E18">
            <v>12308</v>
          </cell>
          <cell r="F18">
            <v>1</v>
          </cell>
          <cell r="G18">
            <v>10.694000000000001</v>
          </cell>
          <cell r="N18">
            <v>695.21694000000014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49">
          <cell r="N49">
            <v>0</v>
          </cell>
        </row>
        <row r="50">
          <cell r="N50">
            <v>0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59">
          <cell r="N59">
            <v>0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</row>
        <row r="63">
          <cell r="N63">
            <v>0</v>
          </cell>
        </row>
        <row r="64">
          <cell r="N64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6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1">
          <cell r="E1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7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10-07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1">
          <cell r="E1">
            <v>304474.99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13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18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19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0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1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3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5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3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../../../Arquivos%20tempor&#225;rios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showGridLines="0" zoomScale="90" zoomScaleNormal="90" workbookViewId="0">
      <selection activeCell="D27" sqref="D27"/>
    </sheetView>
  </sheetViews>
  <sheetFormatPr defaultRowHeight="15"/>
  <cols>
    <col min="1" max="1" width="10.7109375" bestFit="1" customWidth="1"/>
    <col min="2" max="2" width="34.85546875" customWidth="1"/>
    <col min="3" max="3" width="8.42578125" bestFit="1" customWidth="1"/>
    <col min="4" max="4" width="12.42578125" style="1" customWidth="1"/>
    <col min="5" max="5" width="12.5703125" style="1" customWidth="1"/>
    <col min="6" max="6" width="14" style="1" customWidth="1"/>
    <col min="8" max="9" width="9.140625" style="3"/>
    <col min="13" max="13" width="14.85546875" bestFit="1" customWidth="1"/>
    <col min="14" max="14" width="13.28515625" bestFit="1" customWidth="1"/>
  </cols>
  <sheetData>
    <row r="1" spans="1:18" ht="22.5">
      <c r="A1" s="498" t="s">
        <v>89</v>
      </c>
      <c r="B1" s="499"/>
      <c r="C1" s="499"/>
      <c r="D1" s="499"/>
      <c r="E1" s="499"/>
      <c r="F1" s="499"/>
      <c r="O1" s="14">
        <f>E5</f>
        <v>23.79</v>
      </c>
      <c r="P1" s="11">
        <v>7</v>
      </c>
      <c r="Q1" s="11"/>
      <c r="R1" s="15"/>
    </row>
    <row r="2" spans="1:18">
      <c r="A2" s="170"/>
      <c r="B2" s="171"/>
      <c r="C2" s="171"/>
      <c r="D2" s="171"/>
      <c r="E2" s="171"/>
      <c r="F2" s="172"/>
      <c r="O2" s="16">
        <f>E6</f>
        <v>20.39</v>
      </c>
      <c r="P2">
        <v>6</v>
      </c>
      <c r="R2" s="17"/>
    </row>
    <row r="3" spans="1:18" ht="22.5">
      <c r="A3" s="500" t="s">
        <v>3</v>
      </c>
      <c r="B3" s="501"/>
      <c r="C3" s="501"/>
      <c r="D3" s="501"/>
      <c r="E3" s="179" t="s">
        <v>217</v>
      </c>
      <c r="F3" s="178">
        <f ca="1">TODAY()</f>
        <v>45898</v>
      </c>
      <c r="H3" s="3" t="s">
        <v>17</v>
      </c>
      <c r="J3" t="s">
        <v>72</v>
      </c>
      <c r="K3" t="s">
        <v>12</v>
      </c>
      <c r="O3" s="16">
        <f>E7</f>
        <v>19.09</v>
      </c>
      <c r="P3">
        <v>2</v>
      </c>
      <c r="R3" s="17"/>
    </row>
    <row r="4" spans="1:18" ht="54">
      <c r="A4" s="174" t="s">
        <v>90</v>
      </c>
      <c r="B4" s="175" t="s">
        <v>8</v>
      </c>
      <c r="C4" s="176" t="s">
        <v>55</v>
      </c>
      <c r="D4" s="21" t="s">
        <v>91</v>
      </c>
      <c r="E4" s="173" t="s">
        <v>186</v>
      </c>
      <c r="F4" s="173" t="s">
        <v>153</v>
      </c>
      <c r="O4" s="8"/>
      <c r="P4" s="2">
        <f>SUMPRODUCT(O1:O3,P1:P3)/15</f>
        <v>21.803333333333335</v>
      </c>
      <c r="Q4" s="2" t="e">
        <f>#REF!</f>
        <v>#REF!</v>
      </c>
      <c r="R4" s="19" t="e">
        <f>P4-Q4</f>
        <v>#REF!</v>
      </c>
    </row>
    <row r="5" spans="1:18">
      <c r="A5" s="12">
        <v>11000</v>
      </c>
      <c r="B5" s="180" t="str">
        <f>VLOOKUP(A5,'Tabela Base'!B:C,2,0)</f>
        <v>TRASEIRO</v>
      </c>
      <c r="C5" s="13" t="str">
        <f>VLOOKUP(A5,'Tabela Base'!B:D,3,0)</f>
        <v>75 kg</v>
      </c>
      <c r="D5" s="177">
        <f>SUMIFS('Tabela Base'!E:E,'Tabela Base'!B:B,Promoção!A5)</f>
        <v>25.59</v>
      </c>
      <c r="E5" s="177">
        <v>23.79</v>
      </c>
      <c r="F5" s="177">
        <v>23.59</v>
      </c>
      <c r="G5">
        <f>SUMIFS('Tabela Base'!J:J,'Tabela Base'!B:B,Promoção!A5)</f>
        <v>17</v>
      </c>
      <c r="H5" s="3">
        <f>SUMIFS('Tabela Base'!K:K,'Tabela Base'!B:B,Promoção!A5)</f>
        <v>23.31</v>
      </c>
      <c r="I5" s="3">
        <f t="shared" ref="I5:I14" si="0">D5-H5</f>
        <v>2.2800000000000011</v>
      </c>
      <c r="J5" s="2">
        <f t="shared" ref="J5:J14" si="1">E5-H5</f>
        <v>0.48000000000000043</v>
      </c>
      <c r="K5" s="2">
        <f>F5-H5</f>
        <v>0.28000000000000114</v>
      </c>
      <c r="O5" s="8"/>
      <c r="R5" s="17"/>
    </row>
    <row r="6" spans="1:18">
      <c r="A6" s="12">
        <v>11001</v>
      </c>
      <c r="B6" s="180" t="str">
        <f>VLOOKUP(A6,'Tabela Base'!B:C,2,0)</f>
        <v>DIANTEIRO</v>
      </c>
      <c r="C6" s="13" t="str">
        <f>VLOOKUP(A6,'Tabela Base'!B:D,3,0)</f>
        <v>65 kg</v>
      </c>
      <c r="D6" s="177">
        <f>SUMIFS('Tabela Base'!E:E,'Tabela Base'!B:B,Promoção!A6)</f>
        <v>19.989999999999998</v>
      </c>
      <c r="E6" s="177">
        <v>20.39</v>
      </c>
      <c r="F6" s="177">
        <v>20.190000000000001</v>
      </c>
      <c r="G6">
        <f>SUMIFS('Tabela Base'!J:J,'Tabela Base'!B:B,Promoção!A6)</f>
        <v>130</v>
      </c>
      <c r="H6" s="3">
        <f>SUMIFS('Tabela Base'!K:K,'Tabela Base'!B:B,Promoção!A6)</f>
        <v>18.11</v>
      </c>
      <c r="I6" s="3">
        <f t="shared" si="0"/>
        <v>1.879999999999999</v>
      </c>
      <c r="J6" s="2">
        <f t="shared" si="1"/>
        <v>2.2800000000000011</v>
      </c>
      <c r="K6" s="2">
        <f t="shared" ref="K6:K14" si="2">F6-H6</f>
        <v>2.0800000000000018</v>
      </c>
      <c r="O6" s="16">
        <f>F5</f>
        <v>23.59</v>
      </c>
      <c r="P6">
        <v>7</v>
      </c>
      <c r="R6" s="17"/>
    </row>
    <row r="7" spans="1:18">
      <c r="A7" s="12">
        <v>11004</v>
      </c>
      <c r="B7" s="180" t="str">
        <f>VLOOKUP(A7,'Tabela Base'!B:C,2,0)</f>
        <v xml:space="preserve">PONTA DE AGULHA </v>
      </c>
      <c r="C7" s="13" t="str">
        <f>VLOOKUP(A7,'Tabela Base'!B:D,3,0)</f>
        <v>18 kg</v>
      </c>
      <c r="D7" s="177">
        <f>SUMIFS('Tabela Base'!E:E,'Tabela Base'!B:B,Promoção!A7)</f>
        <v>19.29</v>
      </c>
      <c r="E7" s="177">
        <v>19.09</v>
      </c>
      <c r="F7" s="177">
        <v>18.89</v>
      </c>
      <c r="G7">
        <f>SUMIFS('Tabela Base'!J:J,'Tabela Base'!B:B,Promoção!A7)</f>
        <v>86</v>
      </c>
      <c r="H7" s="3">
        <f>SUMIFS('Tabela Base'!K:K,'Tabela Base'!B:B,Promoção!A7)</f>
        <v>17.29</v>
      </c>
      <c r="I7" s="3">
        <f t="shared" si="0"/>
        <v>2</v>
      </c>
      <c r="J7" s="2">
        <f>E7-H7</f>
        <v>1.8000000000000007</v>
      </c>
      <c r="K7" s="2">
        <f>F7-H7</f>
        <v>1.6000000000000014</v>
      </c>
      <c r="O7" s="16">
        <f>F6</f>
        <v>20.190000000000001</v>
      </c>
      <c r="P7">
        <v>6</v>
      </c>
      <c r="R7" s="17"/>
    </row>
    <row r="8" spans="1:18">
      <c r="A8" s="12">
        <v>11009</v>
      </c>
      <c r="B8" s="180" t="str">
        <f>VLOOKUP(A8,'Tabela Base'!B:C,2,0)</f>
        <v>CASADO</v>
      </c>
      <c r="C8" s="13" t="str">
        <f>VLOOKUP(A8,'Tabela Base'!B:D,3,0)</f>
        <v>315 kg</v>
      </c>
      <c r="D8" s="177">
        <f>SUMIFS('Tabela Base'!E:E,'Tabela Base'!B:B,Promoção!A8)</f>
        <v>22.59</v>
      </c>
      <c r="E8" s="177">
        <v>21.79</v>
      </c>
      <c r="F8" s="177">
        <v>21.59</v>
      </c>
      <c r="G8">
        <f>SUMIFS('Tabela Base'!J:J,'Tabela Base'!B:B,Promoção!A8)</f>
        <v>0</v>
      </c>
      <c r="H8" s="3">
        <f>SUMIFS('Tabela Base'!K:K,'Tabela Base'!B:B,Promoção!A8)</f>
        <v>20.42733333333333</v>
      </c>
      <c r="I8" s="3">
        <f t="shared" si="0"/>
        <v>2.1626666666666701</v>
      </c>
      <c r="J8" s="2">
        <f t="shared" si="1"/>
        <v>1.3626666666666694</v>
      </c>
      <c r="K8" s="2">
        <f t="shared" si="2"/>
        <v>1.1626666666666701</v>
      </c>
      <c r="O8" s="16">
        <f>F7</f>
        <v>18.89</v>
      </c>
      <c r="P8">
        <v>2</v>
      </c>
      <c r="R8" s="17"/>
    </row>
    <row r="9" spans="1:18">
      <c r="A9" s="12">
        <v>11005</v>
      </c>
      <c r="B9" s="180" t="str">
        <f>VLOOKUP(A9,'Tabela Base'!B:C,2,0)</f>
        <v xml:space="preserve">COXÃO BOLA </v>
      </c>
      <c r="C9" s="13" t="str">
        <f>VLOOKUP(A9,'Tabela Base'!B:D,3,0)</f>
        <v>38 kg</v>
      </c>
      <c r="D9" s="177">
        <f>SUMIFS('Tabela Base'!E:E,'Tabela Base'!B:B,Promoção!A9)</f>
        <v>22.69</v>
      </c>
      <c r="E9" s="177">
        <v>22.49</v>
      </c>
      <c r="F9" s="177">
        <v>22.29</v>
      </c>
      <c r="G9">
        <f>SUMIFS('Tabela Base'!J:J,'Tabela Base'!B:B,Promoção!A9)</f>
        <v>0</v>
      </c>
      <c r="H9" s="3">
        <f>SUMIFS('Tabela Base'!K:K,'Tabela Base'!B:B,Promoção!A9)</f>
        <v>20.23</v>
      </c>
      <c r="I9" s="3">
        <f t="shared" si="0"/>
        <v>2.4600000000000009</v>
      </c>
      <c r="J9" s="2">
        <f t="shared" si="1"/>
        <v>2.259999999999998</v>
      </c>
      <c r="K9" s="2">
        <f t="shared" si="2"/>
        <v>2.0599999999999987</v>
      </c>
      <c r="O9" s="8"/>
      <c r="P9" s="2">
        <f>SUMPRODUCT(O6:O8,P6:P8)/15</f>
        <v>21.603333333333332</v>
      </c>
      <c r="Q9" s="2" t="e">
        <f>#REF!</f>
        <v>#REF!</v>
      </c>
      <c r="R9" s="19" t="e">
        <f>P9-Q9</f>
        <v>#REF!</v>
      </c>
    </row>
    <row r="10" spans="1:18">
      <c r="A10" s="12">
        <v>11006</v>
      </c>
      <c r="B10" s="180" t="str">
        <f>VLOOKUP(A10,'Tabela Base'!B:C,2,0)</f>
        <v>FILET COM ALCATRA (JACARÉ)</v>
      </c>
      <c r="C10" s="13" t="str">
        <f>VLOOKUP(A10,'Tabela Base'!B:D,3,0)</f>
        <v>32 kg</v>
      </c>
      <c r="D10" s="177">
        <f>SUMIFS('Tabela Base'!E:E,'Tabela Base'!B:B,Promoção!A10)</f>
        <v>29.59</v>
      </c>
      <c r="E10" s="177">
        <v>26.59</v>
      </c>
      <c r="F10" s="177">
        <v>26.39</v>
      </c>
      <c r="G10">
        <f>SUMIFS('Tabela Base'!J:J,'Tabela Base'!B:B,Promoção!A10)</f>
        <v>0</v>
      </c>
      <c r="H10" s="3">
        <f>SUMIFS('Tabela Base'!K:K,'Tabela Base'!B:B,Promoção!A10)</f>
        <v>26.650000000000002</v>
      </c>
      <c r="I10" s="3">
        <f t="shared" si="0"/>
        <v>2.9399999999999977</v>
      </c>
      <c r="J10" s="2">
        <f t="shared" si="1"/>
        <v>-6.0000000000002274E-2</v>
      </c>
      <c r="K10" s="2">
        <f t="shared" si="2"/>
        <v>-0.26000000000000156</v>
      </c>
      <c r="O10" s="8"/>
      <c r="R10" s="17"/>
    </row>
    <row r="11" spans="1:18">
      <c r="A11" s="12">
        <v>11007</v>
      </c>
      <c r="B11" s="180" t="str">
        <f>VLOOKUP(A11,'Tabela Base'!B:C,2,0)</f>
        <v>FILET SIMPLES</v>
      </c>
      <c r="C11" s="13" t="str">
        <f>VLOOKUP(A11,'Tabela Base'!B:D,3,0)</f>
        <v>22 kg</v>
      </c>
      <c r="D11" s="177">
        <f>SUMIFS('Tabela Base'!E:E,'Tabela Base'!B:B,Promoção!A11)</f>
        <v>29.59</v>
      </c>
      <c r="E11" s="177">
        <v>26.59</v>
      </c>
      <c r="F11" s="177">
        <v>26.39</v>
      </c>
      <c r="G11">
        <f>SUMIFS('Tabela Base'!J:J,'Tabela Base'!B:B,Promoção!A11)</f>
        <v>11</v>
      </c>
      <c r="H11" s="3">
        <f>SUMIFS('Tabela Base'!K:K,'Tabela Base'!B:B,Promoção!A11)</f>
        <v>26.99618547114434</v>
      </c>
      <c r="I11" s="3">
        <f t="shared" si="0"/>
        <v>2.5938145288556598</v>
      </c>
      <c r="J11" s="2">
        <f t="shared" si="1"/>
        <v>-0.40618547114434023</v>
      </c>
      <c r="K11" s="2">
        <f t="shared" si="2"/>
        <v>-0.60618547114433952</v>
      </c>
      <c r="O11" s="16">
        <f>D5</f>
        <v>25.59</v>
      </c>
      <c r="P11">
        <v>7</v>
      </c>
      <c r="R11" s="17"/>
    </row>
    <row r="12" spans="1:18">
      <c r="A12" s="12">
        <v>11008</v>
      </c>
      <c r="B12" s="180" t="str">
        <f>VLOOKUP(A12,'Tabela Base'!B:C,2,0)</f>
        <v>ALCATRINHA</v>
      </c>
      <c r="C12" s="13" t="str">
        <f>VLOOKUP(A12,'Tabela Base'!B:D,3,0)</f>
        <v>10 kg</v>
      </c>
      <c r="D12" s="177">
        <f>SUMIFS('Tabela Base'!E:E,'Tabela Base'!B:B,Promoção!A12)</f>
        <v>29.99</v>
      </c>
      <c r="E12" s="177">
        <v>25.29</v>
      </c>
      <c r="F12" s="177">
        <v>24.99</v>
      </c>
      <c r="G12">
        <f>SUMIFS('Tabela Base'!J:J,'Tabela Base'!B:B,Promoção!A12)</f>
        <v>0</v>
      </c>
      <c r="H12" s="3">
        <f>SUMIFS('Tabela Base'!K:K,'Tabela Base'!B:B,Promoção!A12)</f>
        <v>26</v>
      </c>
      <c r="I12" s="3">
        <f t="shared" si="0"/>
        <v>3.9899999999999984</v>
      </c>
      <c r="J12" s="2">
        <f t="shared" si="1"/>
        <v>-0.71000000000000085</v>
      </c>
      <c r="K12" s="2">
        <f t="shared" si="2"/>
        <v>-1.0100000000000016</v>
      </c>
      <c r="O12" s="16">
        <f>D6</f>
        <v>19.989999999999998</v>
      </c>
      <c r="P12">
        <v>6</v>
      </c>
      <c r="R12" s="17"/>
    </row>
    <row r="13" spans="1:18">
      <c r="A13" s="12"/>
      <c r="B13" s="180" t="e">
        <f>VLOOKUP(A13,'Tabela Base'!B:C,2,0)</f>
        <v>#N/A</v>
      </c>
      <c r="C13" s="13" t="e">
        <f>VLOOKUP(A13,'Tabela Base'!B:D,3,0)</f>
        <v>#N/A</v>
      </c>
      <c r="D13" s="177">
        <f>SUMIFS('Tabela Base'!E:E,'Tabela Base'!B:B,Promoção!A13)</f>
        <v>0</v>
      </c>
      <c r="E13" s="177">
        <v>0</v>
      </c>
      <c r="F13" s="177">
        <v>0</v>
      </c>
      <c r="G13">
        <f>SUMIFS('Tabela Base'!J:J,'Tabela Base'!B:B,Promoção!A13)</f>
        <v>0</v>
      </c>
      <c r="H13" s="3">
        <f>SUMIFS('Tabela Base'!K:K,'Tabela Base'!B:B,Promoção!A13)</f>
        <v>0</v>
      </c>
      <c r="I13" s="3">
        <f t="shared" si="0"/>
        <v>0</v>
      </c>
      <c r="J13" s="2">
        <f t="shared" si="1"/>
        <v>0</v>
      </c>
      <c r="K13" s="2">
        <f t="shared" si="2"/>
        <v>0</v>
      </c>
      <c r="O13" s="16">
        <f>D7</f>
        <v>19.29</v>
      </c>
      <c r="P13">
        <v>2</v>
      </c>
      <c r="R13" s="17"/>
    </row>
    <row r="14" spans="1:18">
      <c r="A14" s="12"/>
      <c r="B14" s="180" t="e">
        <f>VLOOKUP(A14,'Tabela Base'!B:C,2,0)</f>
        <v>#N/A</v>
      </c>
      <c r="C14" s="13" t="e">
        <f>VLOOKUP(A14,'Tabela Base'!B:D,3,0)</f>
        <v>#N/A</v>
      </c>
      <c r="D14" s="177">
        <f>SUMIFS('Tabela Base'!E:E,'Tabela Base'!B:B,Promoção!A14)</f>
        <v>0</v>
      </c>
      <c r="E14" s="177">
        <v>0</v>
      </c>
      <c r="F14" s="177">
        <v>0</v>
      </c>
      <c r="G14">
        <f>SUMIFS('Tabela Base'!J:J,'Tabela Base'!B:B,Promoção!A14)</f>
        <v>0</v>
      </c>
      <c r="H14" s="3">
        <f>SUMIFS('Tabela Base'!K:K,'Tabela Base'!B:B,Promoção!A14)</f>
        <v>0</v>
      </c>
      <c r="I14" s="3">
        <f t="shared" si="0"/>
        <v>0</v>
      </c>
      <c r="J14" s="2">
        <f t="shared" si="1"/>
        <v>0</v>
      </c>
      <c r="K14" s="2">
        <f t="shared" si="2"/>
        <v>0</v>
      </c>
      <c r="O14" s="9"/>
      <c r="P14" s="18">
        <f>SUMPRODUCT(O11:O13,P11:P13)/15</f>
        <v>22.509999999999998</v>
      </c>
      <c r="Q14" s="18" t="e">
        <f>Q9</f>
        <v>#REF!</v>
      </c>
      <c r="R14" s="20" t="e">
        <f>P14-Q14</f>
        <v>#REF!</v>
      </c>
    </row>
    <row r="15" spans="1:18">
      <c r="A15" s="5"/>
      <c r="B15" s="6"/>
      <c r="C15" s="10"/>
      <c r="D15" s="423"/>
      <c r="E15" s="423"/>
      <c r="F15" s="423"/>
      <c r="J15" s="2"/>
      <c r="K15" s="2"/>
    </row>
    <row r="16" spans="1:18">
      <c r="A16" s="5"/>
      <c r="B16" s="6"/>
      <c r="C16" s="10"/>
      <c r="D16" s="423"/>
      <c r="E16" s="423"/>
      <c r="F16" s="423"/>
      <c r="J16" s="2"/>
      <c r="K16" s="2"/>
    </row>
    <row r="17" spans="1:11" ht="22.5">
      <c r="A17" s="498" t="s">
        <v>414</v>
      </c>
      <c r="B17" s="499"/>
      <c r="C17" s="499"/>
      <c r="D17" s="499"/>
      <c r="E17" s="499"/>
      <c r="F17" s="499"/>
    </row>
    <row r="18" spans="1:11">
      <c r="A18" s="170"/>
      <c r="B18" s="171"/>
      <c r="C18" s="171"/>
      <c r="D18" s="171"/>
      <c r="E18" s="171"/>
      <c r="F18" s="172"/>
    </row>
    <row r="19" spans="1:11" ht="22.5">
      <c r="A19" s="500" t="s">
        <v>3</v>
      </c>
      <c r="B19" s="501"/>
      <c r="C19" s="501"/>
      <c r="D19" s="501"/>
      <c r="E19" s="179" t="s">
        <v>217</v>
      </c>
      <c r="F19" s="178">
        <f ca="1">TODAY()</f>
        <v>45898</v>
      </c>
      <c r="H19" s="3" t="s">
        <v>17</v>
      </c>
      <c r="J19" t="s">
        <v>72</v>
      </c>
      <c r="K19" t="s">
        <v>12</v>
      </c>
    </row>
    <row r="20" spans="1:11" ht="54">
      <c r="A20" s="174" t="s">
        <v>90</v>
      </c>
      <c r="B20" s="175" t="s">
        <v>8</v>
      </c>
      <c r="C20" s="176" t="s">
        <v>55</v>
      </c>
      <c r="D20" s="21" t="s">
        <v>91</v>
      </c>
      <c r="E20" s="173" t="s">
        <v>186</v>
      </c>
      <c r="F20" s="173" t="s">
        <v>153</v>
      </c>
    </row>
    <row r="21" spans="1:11">
      <c r="A21" s="12">
        <v>11000</v>
      </c>
      <c r="B21" s="180" t="str">
        <f>VLOOKUP(A21,'Tabela Base'!B:C,2,0)</f>
        <v>TRASEIRO</v>
      </c>
      <c r="C21" s="13" t="str">
        <f>VLOOKUP(A21,'Tabela Base'!B:D,3,0)</f>
        <v>75 kg</v>
      </c>
      <c r="D21" s="177">
        <f>SUMIFS('Tabela Base'!F:F,'Tabela Base'!B:B,Promoção!A21)</f>
        <v>25.99</v>
      </c>
      <c r="E21" s="177">
        <v>0</v>
      </c>
      <c r="F21" s="177">
        <v>0</v>
      </c>
      <c r="G21">
        <f>SUMIFS('Tabela Base'!J:J,'Tabela Base'!B:B,Promoção!A21)</f>
        <v>17</v>
      </c>
      <c r="H21" s="3">
        <f>SUMIFS('Tabela Base'!K:K,'Tabela Base'!B:B,Promoção!A21)</f>
        <v>23.31</v>
      </c>
      <c r="I21" s="3">
        <f t="shared" ref="I21:I30" si="3">D21-H21</f>
        <v>2.6799999999999997</v>
      </c>
      <c r="J21" s="2">
        <f t="shared" ref="J21:J22" si="4">E21-H21</f>
        <v>-23.31</v>
      </c>
      <c r="K21" s="2">
        <f>F21-H21</f>
        <v>-23.31</v>
      </c>
    </row>
    <row r="22" spans="1:11">
      <c r="A22" s="12">
        <v>11001</v>
      </c>
      <c r="B22" s="180" t="str">
        <f>VLOOKUP(A22,'Tabela Base'!B:C,2,0)</f>
        <v>DIANTEIRO</v>
      </c>
      <c r="C22" s="13" t="str">
        <f>VLOOKUP(A22,'Tabela Base'!B:D,3,0)</f>
        <v>65 kg</v>
      </c>
      <c r="D22" s="177">
        <f>SUMIFS('Tabela Base'!F:F,'Tabela Base'!B:B,Promoção!A22)</f>
        <v>20.69</v>
      </c>
      <c r="E22" s="177">
        <v>0</v>
      </c>
      <c r="F22" s="177">
        <v>0</v>
      </c>
      <c r="G22">
        <f>SUMIFS('Tabela Base'!J:J,'Tabela Base'!B:B,Promoção!A22)</f>
        <v>130</v>
      </c>
      <c r="H22" s="3">
        <f>SUMIFS('Tabela Base'!K:K,'Tabela Base'!B:B,Promoção!A22)</f>
        <v>18.11</v>
      </c>
      <c r="I22" s="3">
        <f t="shared" si="3"/>
        <v>2.5800000000000018</v>
      </c>
      <c r="J22" s="2">
        <f t="shared" si="4"/>
        <v>-18.11</v>
      </c>
      <c r="K22" s="2">
        <f t="shared" ref="K22" si="5">F22-H22</f>
        <v>-18.11</v>
      </c>
    </row>
    <row r="23" spans="1:11">
      <c r="A23" s="12">
        <v>11004</v>
      </c>
      <c r="B23" s="180" t="str">
        <f>VLOOKUP(A23,'Tabela Base'!B:C,2,0)</f>
        <v xml:space="preserve">PONTA DE AGULHA </v>
      </c>
      <c r="C23" s="13" t="str">
        <f>VLOOKUP(A23,'Tabela Base'!B:D,3,0)</f>
        <v>18 kg</v>
      </c>
      <c r="D23" s="177">
        <f>SUMIFS('Tabela Base'!F:F,'Tabela Base'!B:B,Promoção!A23)</f>
        <v>19.989999999999998</v>
      </c>
      <c r="E23" s="177">
        <v>0</v>
      </c>
      <c r="F23" s="177">
        <v>0</v>
      </c>
      <c r="G23">
        <f>SUMIFS('Tabela Base'!J:J,'Tabela Base'!B:B,Promoção!A23)</f>
        <v>86</v>
      </c>
      <c r="H23" s="3">
        <f>SUMIFS('Tabela Base'!K:K,'Tabela Base'!B:B,Promoção!A23)</f>
        <v>17.29</v>
      </c>
      <c r="I23" s="3">
        <f t="shared" si="3"/>
        <v>2.6999999999999993</v>
      </c>
      <c r="J23" s="2">
        <f>E23-H23</f>
        <v>-17.29</v>
      </c>
      <c r="K23" s="2">
        <f>F23-H23</f>
        <v>-17.29</v>
      </c>
    </row>
    <row r="24" spans="1:11">
      <c r="A24" s="12">
        <v>11009</v>
      </c>
      <c r="B24" s="180" t="str">
        <f>VLOOKUP(A24,'Tabela Base'!B:C,2,0)</f>
        <v>CASADO</v>
      </c>
      <c r="C24" s="13" t="str">
        <f>VLOOKUP(A24,'Tabela Base'!B:D,3,0)</f>
        <v>315 kg</v>
      </c>
      <c r="D24" s="177">
        <f>SUMIFS('Tabela Base'!F:F,'Tabela Base'!B:B,Promoção!A24)</f>
        <v>22.79</v>
      </c>
      <c r="E24" s="177">
        <v>0</v>
      </c>
      <c r="F24" s="177">
        <v>0</v>
      </c>
      <c r="G24">
        <f>SUMIFS('Tabela Base'!J:J,'Tabela Base'!B:B,Promoção!A24)</f>
        <v>0</v>
      </c>
      <c r="H24" s="3">
        <f>SUMIFS('Tabela Base'!K:K,'Tabela Base'!B:B,Promoção!A24)</f>
        <v>20.42733333333333</v>
      </c>
      <c r="I24" s="3">
        <f t="shared" si="3"/>
        <v>2.3626666666666694</v>
      </c>
      <c r="J24" s="2">
        <f t="shared" ref="J24:J30" si="6">E24-H24</f>
        <v>-20.42733333333333</v>
      </c>
      <c r="K24" s="2">
        <f t="shared" ref="K24:K30" si="7">F24-H24</f>
        <v>-20.42733333333333</v>
      </c>
    </row>
    <row r="25" spans="1:11">
      <c r="A25" s="12">
        <v>11005</v>
      </c>
      <c r="B25" s="180" t="str">
        <f>VLOOKUP(A25,'Tabela Base'!B:C,2,0)</f>
        <v xml:space="preserve">COXÃO BOLA </v>
      </c>
      <c r="C25" s="13" t="str">
        <f>VLOOKUP(A25,'Tabela Base'!B:D,3,0)</f>
        <v>38 kg</v>
      </c>
      <c r="D25" s="177">
        <f>SUMIFS('Tabela Base'!F:F,'Tabela Base'!B:B,Promoção!A25)</f>
        <v>22.99</v>
      </c>
      <c r="E25" s="177">
        <v>0</v>
      </c>
      <c r="F25" s="177">
        <v>0</v>
      </c>
      <c r="G25">
        <f>SUMIFS('Tabela Base'!J:J,'Tabela Base'!B:B,Promoção!A25)</f>
        <v>0</v>
      </c>
      <c r="H25" s="3">
        <f>SUMIFS('Tabela Base'!K:K,'Tabela Base'!B:B,Promoção!A25)</f>
        <v>20.23</v>
      </c>
      <c r="I25" s="3">
        <f t="shared" si="3"/>
        <v>2.759999999999998</v>
      </c>
      <c r="J25" s="2">
        <f t="shared" si="6"/>
        <v>-20.23</v>
      </c>
      <c r="K25" s="2">
        <f t="shared" si="7"/>
        <v>-20.23</v>
      </c>
    </row>
    <row r="26" spans="1:11">
      <c r="A26" s="12">
        <v>11006</v>
      </c>
      <c r="B26" s="180" t="str">
        <f>VLOOKUP(A26,'Tabela Base'!B:C,2,0)</f>
        <v>FILET COM ALCATRA (JACARÉ)</v>
      </c>
      <c r="C26" s="13" t="str">
        <f>VLOOKUP(A26,'Tabela Base'!B:D,3,0)</f>
        <v>32 kg</v>
      </c>
      <c r="D26" s="177">
        <f>SUMIFS('Tabela Base'!F:F,'Tabela Base'!B:B,Promoção!A26)</f>
        <v>29.99</v>
      </c>
      <c r="E26" s="177">
        <v>0</v>
      </c>
      <c r="F26" s="177">
        <v>0</v>
      </c>
      <c r="G26">
        <f>SUMIFS('Tabela Base'!J:J,'Tabela Base'!B:B,Promoção!A26)</f>
        <v>0</v>
      </c>
      <c r="H26" s="3">
        <f>SUMIFS('Tabela Base'!K:K,'Tabela Base'!B:B,Promoção!A26)</f>
        <v>26.650000000000002</v>
      </c>
      <c r="I26" s="3">
        <f t="shared" si="3"/>
        <v>3.3399999999999963</v>
      </c>
      <c r="J26" s="2">
        <f t="shared" si="6"/>
        <v>-26.650000000000002</v>
      </c>
      <c r="K26" s="2">
        <f t="shared" si="7"/>
        <v>-26.650000000000002</v>
      </c>
    </row>
    <row r="27" spans="1:11">
      <c r="A27" s="12">
        <v>11007</v>
      </c>
      <c r="B27" s="180" t="str">
        <f>VLOOKUP(A27,'Tabela Base'!B:C,2,0)</f>
        <v>FILET SIMPLES</v>
      </c>
      <c r="C27" s="13" t="str">
        <f>VLOOKUP(A27,'Tabela Base'!B:D,3,0)</f>
        <v>22 kg</v>
      </c>
      <c r="D27" s="177">
        <f>SUMIFS('Tabela Base'!F:F,'Tabela Base'!B:B,Promoção!A27)</f>
        <v>29.99</v>
      </c>
      <c r="E27" s="177">
        <v>0</v>
      </c>
      <c r="F27" s="177">
        <v>0</v>
      </c>
      <c r="G27">
        <f>SUMIFS('Tabela Base'!J:J,'Tabela Base'!B:B,Promoção!A27)</f>
        <v>11</v>
      </c>
      <c r="H27" s="3">
        <f>SUMIFS('Tabela Base'!K:K,'Tabela Base'!B:B,Promoção!A27)</f>
        <v>26.99618547114434</v>
      </c>
      <c r="I27" s="3">
        <f t="shared" si="3"/>
        <v>2.9938145288556584</v>
      </c>
      <c r="J27" s="2">
        <f t="shared" si="6"/>
        <v>-26.99618547114434</v>
      </c>
      <c r="K27" s="2">
        <f t="shared" si="7"/>
        <v>-26.99618547114434</v>
      </c>
    </row>
    <row r="28" spans="1:11">
      <c r="A28" s="12">
        <v>11008</v>
      </c>
      <c r="B28" s="180" t="str">
        <f>VLOOKUP(A28,'Tabela Base'!B:C,2,0)</f>
        <v>ALCATRINHA</v>
      </c>
      <c r="C28" s="13" t="str">
        <f>VLOOKUP(A28,'Tabela Base'!B:D,3,0)</f>
        <v>10 kg</v>
      </c>
      <c r="D28" s="177">
        <f>SUMIFS('Tabela Base'!F:F,'Tabela Base'!B:B,Promoção!A28)</f>
        <v>30.59</v>
      </c>
      <c r="E28" s="177">
        <v>0</v>
      </c>
      <c r="F28" s="177">
        <v>0</v>
      </c>
      <c r="G28">
        <f>SUMIFS('Tabela Base'!J:J,'Tabela Base'!B:B,Promoção!A28)</f>
        <v>0</v>
      </c>
      <c r="H28" s="3">
        <f>SUMIFS('Tabela Base'!K:K,'Tabela Base'!B:B,Promoção!A28)</f>
        <v>26</v>
      </c>
      <c r="I28" s="3">
        <f t="shared" si="3"/>
        <v>4.59</v>
      </c>
      <c r="J28" s="2">
        <f t="shared" si="6"/>
        <v>-26</v>
      </c>
      <c r="K28" s="2">
        <f t="shared" si="7"/>
        <v>-26</v>
      </c>
    </row>
    <row r="29" spans="1:11">
      <c r="A29" s="12"/>
      <c r="B29" s="180" t="e">
        <f>VLOOKUP(A29,'Tabela Base'!B:C,2,0)</f>
        <v>#N/A</v>
      </c>
      <c r="C29" s="13" t="e">
        <f>VLOOKUP(A29,'Tabela Base'!B:D,3,0)</f>
        <v>#N/A</v>
      </c>
      <c r="D29" s="177">
        <f>SUMIFS('Tabela Base'!E:E,'Tabela Base'!B:B,Promoção!A29)</f>
        <v>0</v>
      </c>
      <c r="E29" s="177">
        <v>0</v>
      </c>
      <c r="F29" s="177">
        <v>0</v>
      </c>
      <c r="G29">
        <f>SUMIFS('Tabela Base'!J:J,'Tabela Base'!B:B,Promoção!A29)</f>
        <v>0</v>
      </c>
      <c r="H29" s="3">
        <f>SUMIFS('Tabela Base'!K:K,'Tabela Base'!B:B,Promoção!A29)</f>
        <v>0</v>
      </c>
      <c r="I29" s="3">
        <f t="shared" si="3"/>
        <v>0</v>
      </c>
      <c r="J29" s="2">
        <f t="shared" si="6"/>
        <v>0</v>
      </c>
      <c r="K29" s="2">
        <f t="shared" si="7"/>
        <v>0</v>
      </c>
    </row>
    <row r="30" spans="1:11">
      <c r="A30" s="12"/>
      <c r="B30" s="180" t="e">
        <f>VLOOKUP(A30,'Tabela Base'!B:C,2,0)</f>
        <v>#N/A</v>
      </c>
      <c r="C30" s="13" t="e">
        <f>VLOOKUP(A30,'Tabela Base'!B:D,3,0)</f>
        <v>#N/A</v>
      </c>
      <c r="D30" s="177">
        <f>SUMIFS('Tabela Base'!E:E,'Tabela Base'!B:B,Promoção!A30)</f>
        <v>0</v>
      </c>
      <c r="E30" s="177">
        <v>0</v>
      </c>
      <c r="F30" s="177">
        <v>0</v>
      </c>
      <c r="G30">
        <f>SUMIFS('Tabela Base'!J:J,'Tabela Base'!B:B,Promoção!A30)</f>
        <v>0</v>
      </c>
      <c r="H30" s="3">
        <f>SUMIFS('Tabela Base'!K:K,'Tabela Base'!B:B,Promoção!A30)</f>
        <v>0</v>
      </c>
      <c r="I30" s="3">
        <f t="shared" si="3"/>
        <v>0</v>
      </c>
      <c r="J30" s="2">
        <f t="shared" si="6"/>
        <v>0</v>
      </c>
      <c r="K30" s="2">
        <f t="shared" si="7"/>
        <v>0</v>
      </c>
    </row>
    <row r="31" spans="1:11">
      <c r="A31" s="5"/>
      <c r="B31" s="6"/>
      <c r="C31" s="10"/>
      <c r="D31" s="423"/>
      <c r="E31" s="423"/>
      <c r="F31" s="423"/>
      <c r="J31" s="2"/>
      <c r="K31" s="2"/>
    </row>
    <row r="32" spans="1:11">
      <c r="A32" s="5"/>
      <c r="B32" s="6"/>
      <c r="C32" s="10"/>
      <c r="D32" s="4"/>
      <c r="E32" s="4"/>
      <c r="F32" s="4"/>
      <c r="J32" s="2"/>
      <c r="K32" s="2"/>
    </row>
    <row r="33" spans="1:13" ht="23.25">
      <c r="A33" s="496" t="s">
        <v>181</v>
      </c>
      <c r="B33" s="497"/>
      <c r="C33" s="497"/>
      <c r="D33" s="497"/>
      <c r="E33" s="497"/>
      <c r="F33" s="106"/>
      <c r="G33" s="107"/>
      <c r="H33" s="108">
        <f>SUMIFS('Tabela Base'!K:K,'Tabela Base'!B:B,Promoção!A33)</f>
        <v>0</v>
      </c>
      <c r="I33" s="108"/>
      <c r="J33" s="109">
        <f>E33-H33</f>
        <v>0</v>
      </c>
      <c r="K33" s="109">
        <f>F33-H33</f>
        <v>0</v>
      </c>
      <c r="L33" s="107"/>
      <c r="M33" s="107"/>
    </row>
    <row r="34" spans="1:13" ht="45">
      <c r="A34" s="110" t="s">
        <v>90</v>
      </c>
      <c r="B34" s="111" t="s">
        <v>8</v>
      </c>
      <c r="C34" s="112" t="s">
        <v>55</v>
      </c>
      <c r="D34" s="113" t="s">
        <v>91</v>
      </c>
      <c r="E34" s="113" t="s">
        <v>89</v>
      </c>
      <c r="F34" s="114" t="s">
        <v>270</v>
      </c>
      <c r="G34" s="107"/>
      <c r="H34" s="108"/>
      <c r="I34" s="108"/>
      <c r="J34" s="107"/>
      <c r="K34" s="107"/>
      <c r="L34" s="107"/>
      <c r="M34" s="107"/>
    </row>
    <row r="35" spans="1:13">
      <c r="A35" s="115"/>
      <c r="B35" s="116" t="e">
        <f>VLOOKUP(A35,'Tabela Base'!B:C,2,0)</f>
        <v>#N/A</v>
      </c>
      <c r="C35" s="118" t="e">
        <f>VLOOKUP(A35,'Tabela Base'!B:D,3,0)</f>
        <v>#N/A</v>
      </c>
      <c r="D35" s="113">
        <f>SUMIFS('Tabela Base'!E:E,'Tabela Base'!B:B,Promoção!A35)</f>
        <v>0</v>
      </c>
      <c r="E35" s="113">
        <f t="shared" ref="E35:F58" si="8">D35-0.3</f>
        <v>-0.3</v>
      </c>
      <c r="F35" s="113">
        <f>E35-0.3</f>
        <v>-0.6</v>
      </c>
      <c r="G35" s="107">
        <f>SUMIFS('Tabela Base'!J:J,'Tabela Base'!B:B,Promoção!A35)</f>
        <v>0</v>
      </c>
      <c r="H35" s="108">
        <f>SUMIFS('Tabela Base'!K:K,'Tabela Base'!B:B,Promoção!A35)</f>
        <v>0</v>
      </c>
      <c r="I35" s="108">
        <f t="shared" ref="I35" si="9">D35-H35</f>
        <v>0</v>
      </c>
      <c r="J35" s="109">
        <f t="shared" ref="J35" si="10">E35-H35</f>
        <v>-0.3</v>
      </c>
      <c r="K35" s="109">
        <f t="shared" ref="K35" si="11">F35-H35</f>
        <v>-0.6</v>
      </c>
      <c r="L35" s="107"/>
      <c r="M35" s="108" t="e">
        <f>VLOOKUP(A35,'Tabela Base'!B:G,5,0)</f>
        <v>#N/A</v>
      </c>
    </row>
    <row r="36" spans="1:13">
      <c r="A36" s="117"/>
      <c r="B36" s="116" t="e">
        <f>VLOOKUP(A36,'Tabela Base'!B:C,2,0)</f>
        <v>#N/A</v>
      </c>
      <c r="C36" s="118" t="e">
        <f>VLOOKUP(A36,'Tabela Base'!B:D,3,0)</f>
        <v>#N/A</v>
      </c>
      <c r="D36" s="113">
        <f>SUMIFS('Tabela Base'!E:E,'Tabela Base'!B:B,Promoção!A36)</f>
        <v>0</v>
      </c>
      <c r="E36" s="113">
        <f t="shared" si="8"/>
        <v>-0.3</v>
      </c>
      <c r="F36" s="113">
        <f t="shared" si="8"/>
        <v>-0.6</v>
      </c>
      <c r="G36" s="107">
        <f>SUMIFS('Tabela Base'!J:J,'Tabela Base'!B:B,Promoção!A36)</f>
        <v>0</v>
      </c>
      <c r="H36" s="108">
        <f>SUMIFS('Tabela Base'!K:K,'Tabela Base'!B:B,Promoção!A36)</f>
        <v>0</v>
      </c>
      <c r="I36" s="108">
        <f t="shared" ref="I36:I58" si="12">D36-H36</f>
        <v>0</v>
      </c>
      <c r="J36" s="109">
        <f t="shared" ref="J36:J58" si="13">E36-H36</f>
        <v>-0.3</v>
      </c>
      <c r="K36" s="109">
        <f t="shared" ref="K36:K58" si="14">F36-H36</f>
        <v>-0.6</v>
      </c>
      <c r="L36" s="107"/>
      <c r="M36" s="108" t="e">
        <f>VLOOKUP(A36,'Tabela Base'!B:G,5,0)</f>
        <v>#N/A</v>
      </c>
    </row>
    <row r="37" spans="1:13">
      <c r="A37" s="117"/>
      <c r="B37" s="116" t="e">
        <f>VLOOKUP(A37,'Tabela Base'!B:C,2,0)</f>
        <v>#N/A</v>
      </c>
      <c r="C37" s="118" t="e">
        <f>VLOOKUP(A37,'Tabela Base'!B:D,3,0)</f>
        <v>#N/A</v>
      </c>
      <c r="D37" s="113">
        <f>SUMIFS('Tabela Base'!E:E,'Tabela Base'!B:B,Promoção!A37)</f>
        <v>0</v>
      </c>
      <c r="E37" s="113">
        <f t="shared" si="8"/>
        <v>-0.3</v>
      </c>
      <c r="F37" s="113">
        <f t="shared" si="8"/>
        <v>-0.6</v>
      </c>
      <c r="G37" s="107">
        <f>SUMIFS('Tabela Base'!J:J,'Tabela Base'!B:B,Promoção!A37)</f>
        <v>0</v>
      </c>
      <c r="H37" s="108">
        <f>SUMIFS('Tabela Base'!K:K,'Tabela Base'!B:B,Promoção!A37)</f>
        <v>0</v>
      </c>
      <c r="I37" s="108">
        <f t="shared" si="12"/>
        <v>0</v>
      </c>
      <c r="J37" s="109">
        <f t="shared" si="13"/>
        <v>-0.3</v>
      </c>
      <c r="K37" s="109">
        <f t="shared" si="14"/>
        <v>-0.6</v>
      </c>
      <c r="L37" s="107"/>
      <c r="M37" s="108" t="e">
        <f>VLOOKUP(A37,'Tabela Base'!B:G,5,0)</f>
        <v>#N/A</v>
      </c>
    </row>
    <row r="38" spans="1:13">
      <c r="A38" s="117"/>
      <c r="B38" s="116" t="e">
        <f>VLOOKUP(A38,'Tabela Base'!B:C,2,0)</f>
        <v>#N/A</v>
      </c>
      <c r="C38" s="118" t="e">
        <f>VLOOKUP(A38,'Tabela Base'!B:D,3,0)</f>
        <v>#N/A</v>
      </c>
      <c r="D38" s="113">
        <f>SUMIFS('Tabela Base'!E:E,'Tabela Base'!B:B,Promoção!A38)</f>
        <v>0</v>
      </c>
      <c r="E38" s="113">
        <f t="shared" si="8"/>
        <v>-0.3</v>
      </c>
      <c r="F38" s="113">
        <f t="shared" si="8"/>
        <v>-0.6</v>
      </c>
      <c r="G38" s="107">
        <f>SUMIFS('Tabela Base'!J:J,'Tabela Base'!B:B,Promoção!A38)</f>
        <v>0</v>
      </c>
      <c r="H38" s="108">
        <f>SUMIFS('Tabela Base'!K:K,'Tabela Base'!B:B,Promoção!A38)</f>
        <v>0</v>
      </c>
      <c r="I38" s="108">
        <f t="shared" si="12"/>
        <v>0</v>
      </c>
      <c r="J38" s="109">
        <f t="shared" si="13"/>
        <v>-0.3</v>
      </c>
      <c r="K38" s="109">
        <f t="shared" si="14"/>
        <v>-0.6</v>
      </c>
      <c r="L38" s="107"/>
      <c r="M38" s="108" t="e">
        <f>VLOOKUP(A38,'Tabela Base'!B:G,5,0)</f>
        <v>#N/A</v>
      </c>
    </row>
    <row r="39" spans="1:13">
      <c r="A39" s="119"/>
      <c r="B39" s="116" t="e">
        <f>VLOOKUP(A39,'Tabela Base'!B:C,2,0)</f>
        <v>#N/A</v>
      </c>
      <c r="C39" s="118" t="e">
        <f>VLOOKUP(A39,'Tabela Base'!B:D,3,0)</f>
        <v>#N/A</v>
      </c>
      <c r="D39" s="113">
        <f>SUMIFS('Tabela Base'!E:E,'Tabela Base'!B:B,Promoção!A39)</f>
        <v>0</v>
      </c>
      <c r="E39" s="113">
        <f t="shared" si="8"/>
        <v>-0.3</v>
      </c>
      <c r="F39" s="113">
        <f t="shared" si="8"/>
        <v>-0.6</v>
      </c>
      <c r="G39" s="107">
        <f>SUMIFS('Tabela Base'!J:J,'Tabela Base'!B:B,Promoção!A39)</f>
        <v>0</v>
      </c>
      <c r="H39" s="108">
        <f>SUMIFS('Tabela Base'!K:K,'Tabela Base'!B:B,Promoção!A39)</f>
        <v>0</v>
      </c>
      <c r="I39" s="108">
        <f t="shared" si="12"/>
        <v>0</v>
      </c>
      <c r="J39" s="109">
        <f t="shared" si="13"/>
        <v>-0.3</v>
      </c>
      <c r="K39" s="109">
        <f t="shared" si="14"/>
        <v>-0.6</v>
      </c>
      <c r="L39" s="107"/>
      <c r="M39" s="108" t="e">
        <f>VLOOKUP(A39,'Tabela Base'!B:G,5,0)</f>
        <v>#N/A</v>
      </c>
    </row>
    <row r="40" spans="1:13">
      <c r="A40" s="120"/>
      <c r="B40" s="116" t="e">
        <f>VLOOKUP(A40,'Tabela Base'!B:C,2,0)</f>
        <v>#N/A</v>
      </c>
      <c r="C40" s="118" t="e">
        <f>VLOOKUP(A40,'Tabela Base'!B:D,3,0)</f>
        <v>#N/A</v>
      </c>
      <c r="D40" s="113">
        <f>SUMIFS('Tabela Base'!E:E,'Tabela Base'!B:B,Promoção!A40)</f>
        <v>0</v>
      </c>
      <c r="E40" s="113">
        <f t="shared" si="8"/>
        <v>-0.3</v>
      </c>
      <c r="F40" s="113">
        <f t="shared" si="8"/>
        <v>-0.6</v>
      </c>
      <c r="G40" s="107">
        <f>SUMIFS('Tabela Base'!J:J,'Tabela Base'!B:B,Promoção!A40)</f>
        <v>0</v>
      </c>
      <c r="H40" s="108">
        <f>SUMIFS('Tabela Base'!K:K,'Tabela Base'!B:B,Promoção!A40)</f>
        <v>0</v>
      </c>
      <c r="I40" s="108">
        <f t="shared" si="12"/>
        <v>0</v>
      </c>
      <c r="J40" s="109">
        <f t="shared" si="13"/>
        <v>-0.3</v>
      </c>
      <c r="K40" s="109">
        <f t="shared" si="14"/>
        <v>-0.6</v>
      </c>
      <c r="L40" s="107"/>
      <c r="M40" s="108" t="e">
        <f>VLOOKUP(A40,'Tabela Base'!B:G,5,0)</f>
        <v>#N/A</v>
      </c>
    </row>
    <row r="41" spans="1:13">
      <c r="A41" s="120"/>
      <c r="B41" s="116" t="e">
        <f>VLOOKUP(A41,'Tabela Base'!B:C,2,0)</f>
        <v>#N/A</v>
      </c>
      <c r="C41" s="118" t="e">
        <f>VLOOKUP(A41,'Tabela Base'!B:D,3,0)</f>
        <v>#N/A</v>
      </c>
      <c r="D41" s="113">
        <f>SUMIFS('Tabela Base'!E:E,'Tabela Base'!B:B,Promoção!A41)</f>
        <v>0</v>
      </c>
      <c r="E41" s="113">
        <f t="shared" si="8"/>
        <v>-0.3</v>
      </c>
      <c r="F41" s="113">
        <f t="shared" si="8"/>
        <v>-0.6</v>
      </c>
      <c r="G41" s="107">
        <f>SUMIFS('Tabela Base'!J:J,'Tabela Base'!B:B,Promoção!A41)</f>
        <v>0</v>
      </c>
      <c r="H41" s="108">
        <f>SUMIFS('Tabela Base'!K:K,'Tabela Base'!B:B,Promoção!A41)</f>
        <v>0</v>
      </c>
      <c r="I41" s="108">
        <f t="shared" si="12"/>
        <v>0</v>
      </c>
      <c r="J41" s="109">
        <f t="shared" si="13"/>
        <v>-0.3</v>
      </c>
      <c r="K41" s="109">
        <f t="shared" si="14"/>
        <v>-0.6</v>
      </c>
      <c r="L41" s="107"/>
      <c r="M41" s="108" t="e">
        <f>VLOOKUP(A41,'Tabela Base'!B:G,5,0)</f>
        <v>#N/A</v>
      </c>
    </row>
    <row r="42" spans="1:13">
      <c r="A42" s="121"/>
      <c r="B42" s="116" t="e">
        <f>VLOOKUP(A42,'Tabela Base'!B:C,2,0)</f>
        <v>#N/A</v>
      </c>
      <c r="C42" s="118" t="e">
        <f>VLOOKUP(A42,'Tabela Base'!B:D,3,0)</f>
        <v>#N/A</v>
      </c>
      <c r="D42" s="113">
        <f>SUMIFS('Tabela Base'!E:E,'Tabela Base'!B:B,Promoção!A42)</f>
        <v>0</v>
      </c>
      <c r="E42" s="113">
        <f t="shared" si="8"/>
        <v>-0.3</v>
      </c>
      <c r="F42" s="113">
        <f t="shared" si="8"/>
        <v>-0.6</v>
      </c>
      <c r="G42" s="107">
        <f>SUMIFS('Tabela Base'!J:J,'Tabela Base'!B:B,Promoção!A42)</f>
        <v>0</v>
      </c>
      <c r="H42" s="108">
        <f>SUMIFS('Tabela Base'!K:K,'Tabela Base'!B:B,Promoção!A42)</f>
        <v>0</v>
      </c>
      <c r="I42" s="108">
        <f t="shared" si="12"/>
        <v>0</v>
      </c>
      <c r="J42" s="109">
        <f t="shared" si="13"/>
        <v>-0.3</v>
      </c>
      <c r="K42" s="109">
        <f t="shared" si="14"/>
        <v>-0.6</v>
      </c>
      <c r="L42" s="107"/>
      <c r="M42" s="108" t="e">
        <f>VLOOKUP(A42,'Tabela Base'!B:G,5,0)</f>
        <v>#N/A</v>
      </c>
    </row>
    <row r="43" spans="1:13">
      <c r="A43" s="122"/>
      <c r="B43" s="116" t="e">
        <f>VLOOKUP(A43,'Tabela Base'!B:C,2,0)</f>
        <v>#N/A</v>
      </c>
      <c r="C43" s="118" t="e">
        <f>VLOOKUP(A43,'Tabela Base'!B:D,3,0)</f>
        <v>#N/A</v>
      </c>
      <c r="D43" s="113">
        <f>SUMIFS('Tabela Base'!E:E,'Tabela Base'!B:B,Promoção!A43)</f>
        <v>0</v>
      </c>
      <c r="E43" s="113">
        <f t="shared" si="8"/>
        <v>-0.3</v>
      </c>
      <c r="F43" s="113">
        <f t="shared" si="8"/>
        <v>-0.6</v>
      </c>
      <c r="G43" s="107">
        <f>SUMIFS('Tabela Base'!J:J,'Tabela Base'!B:B,Promoção!A43)</f>
        <v>0</v>
      </c>
      <c r="H43" s="108">
        <f>SUMIFS('Tabela Base'!K:K,'Tabela Base'!B:B,Promoção!A43)</f>
        <v>0</v>
      </c>
      <c r="I43" s="108">
        <f t="shared" si="12"/>
        <v>0</v>
      </c>
      <c r="J43" s="109">
        <f t="shared" si="13"/>
        <v>-0.3</v>
      </c>
      <c r="K43" s="109">
        <f t="shared" si="14"/>
        <v>-0.6</v>
      </c>
      <c r="L43" s="107"/>
      <c r="M43" s="108" t="e">
        <f>VLOOKUP(A43,'Tabela Base'!B:G,5,0)</f>
        <v>#N/A</v>
      </c>
    </row>
    <row r="44" spans="1:13">
      <c r="A44" s="123"/>
      <c r="B44" s="116" t="e">
        <f>VLOOKUP(A44,'Tabela Base'!B:C,2,0)</f>
        <v>#N/A</v>
      </c>
      <c r="C44" s="118" t="e">
        <f>VLOOKUP(A44,'Tabela Base'!B:D,3,0)</f>
        <v>#N/A</v>
      </c>
      <c r="D44" s="113">
        <f>SUMIFS('Tabela Base'!E:E,'Tabela Base'!B:B,Promoção!A44)</f>
        <v>0</v>
      </c>
      <c r="E44" s="113">
        <f t="shared" si="8"/>
        <v>-0.3</v>
      </c>
      <c r="F44" s="113">
        <f t="shared" si="8"/>
        <v>-0.6</v>
      </c>
      <c r="G44" s="107">
        <f>SUMIFS('Tabela Base'!J:J,'Tabela Base'!B:B,Promoção!A44)</f>
        <v>0</v>
      </c>
      <c r="H44" s="108">
        <f>SUMIFS('Tabela Base'!K:K,'Tabela Base'!B:B,Promoção!A44)</f>
        <v>0</v>
      </c>
      <c r="I44" s="108">
        <f t="shared" si="12"/>
        <v>0</v>
      </c>
      <c r="J44" s="109">
        <f t="shared" si="13"/>
        <v>-0.3</v>
      </c>
      <c r="K44" s="109">
        <f t="shared" si="14"/>
        <v>-0.6</v>
      </c>
      <c r="L44" s="107"/>
      <c r="M44" s="108" t="e">
        <f>VLOOKUP(A44,'Tabela Base'!B:G,5,0)</f>
        <v>#N/A</v>
      </c>
    </row>
    <row r="45" spans="1:13">
      <c r="A45" s="124"/>
      <c r="B45" s="116" t="e">
        <f>VLOOKUP(A45,'Tabela Base'!B:C,2,0)</f>
        <v>#N/A</v>
      </c>
      <c r="C45" s="118" t="e">
        <f>VLOOKUP(A45,'Tabela Base'!B:D,3,0)</f>
        <v>#N/A</v>
      </c>
      <c r="D45" s="113">
        <f>SUMIFS('Tabela Base'!E:E,'Tabela Base'!B:B,Promoção!A45)</f>
        <v>0</v>
      </c>
      <c r="E45" s="113">
        <f t="shared" si="8"/>
        <v>-0.3</v>
      </c>
      <c r="F45" s="113">
        <f t="shared" si="8"/>
        <v>-0.6</v>
      </c>
      <c r="G45" s="107">
        <f>SUMIFS('Tabela Base'!J:J,'Tabela Base'!B:B,Promoção!A45)</f>
        <v>0</v>
      </c>
      <c r="H45" s="108">
        <f>SUMIFS('Tabela Base'!K:K,'Tabela Base'!B:B,Promoção!A45)</f>
        <v>0</v>
      </c>
      <c r="I45" s="108">
        <f t="shared" si="12"/>
        <v>0</v>
      </c>
      <c r="J45" s="109">
        <f t="shared" si="13"/>
        <v>-0.3</v>
      </c>
      <c r="K45" s="109">
        <f t="shared" si="14"/>
        <v>-0.6</v>
      </c>
      <c r="L45" s="107"/>
      <c r="M45" s="108" t="e">
        <f>VLOOKUP(A45,'Tabela Base'!B:G,5,0)</f>
        <v>#N/A</v>
      </c>
    </row>
    <row r="46" spans="1:13">
      <c r="A46" s="125"/>
      <c r="B46" s="116" t="e">
        <f>VLOOKUP(A46,'Tabela Base'!B:C,2,0)</f>
        <v>#N/A</v>
      </c>
      <c r="C46" s="118" t="e">
        <f>VLOOKUP(A46,'Tabela Base'!B:D,3,0)</f>
        <v>#N/A</v>
      </c>
      <c r="D46" s="113">
        <f>SUMIFS('Tabela Base'!E:E,'Tabela Base'!B:B,Promoção!A46)</f>
        <v>0</v>
      </c>
      <c r="E46" s="113">
        <f t="shared" si="8"/>
        <v>-0.3</v>
      </c>
      <c r="F46" s="113">
        <f t="shared" si="8"/>
        <v>-0.6</v>
      </c>
      <c r="G46" s="107">
        <f>SUMIFS('Tabela Base'!J:J,'Tabela Base'!B:B,Promoção!A46)</f>
        <v>0</v>
      </c>
      <c r="H46" s="108">
        <f>SUMIFS('Tabela Base'!K:K,'Tabela Base'!B:B,Promoção!A46)</f>
        <v>0</v>
      </c>
      <c r="I46" s="108">
        <f t="shared" si="12"/>
        <v>0</v>
      </c>
      <c r="J46" s="109">
        <f t="shared" si="13"/>
        <v>-0.3</v>
      </c>
      <c r="K46" s="109">
        <f t="shared" si="14"/>
        <v>-0.6</v>
      </c>
      <c r="L46" s="107"/>
      <c r="M46" s="108" t="e">
        <f>VLOOKUP(A46,'Tabela Base'!B:G,5,0)</f>
        <v>#N/A</v>
      </c>
    </row>
    <row r="47" spans="1:13">
      <c r="A47" s="126"/>
      <c r="B47" s="116" t="e">
        <f>VLOOKUP(A47,'Tabela Base'!B:C,2,0)</f>
        <v>#N/A</v>
      </c>
      <c r="C47" s="118" t="e">
        <f>VLOOKUP(A47,'Tabela Base'!B:D,3,0)</f>
        <v>#N/A</v>
      </c>
      <c r="D47" s="113">
        <f>SUMIFS('Tabela Base'!E:E,'Tabela Base'!B:B,Promoção!A47)</f>
        <v>0</v>
      </c>
      <c r="E47" s="113">
        <f t="shared" si="8"/>
        <v>-0.3</v>
      </c>
      <c r="F47" s="113">
        <f t="shared" si="8"/>
        <v>-0.6</v>
      </c>
      <c r="G47" s="107">
        <f>SUMIFS('Tabela Base'!J:J,'Tabela Base'!B:B,Promoção!A47)</f>
        <v>0</v>
      </c>
      <c r="H47" s="108">
        <f>SUMIFS('Tabela Base'!K:K,'Tabela Base'!B:B,Promoção!A47)</f>
        <v>0</v>
      </c>
      <c r="I47" s="108">
        <f t="shared" si="12"/>
        <v>0</v>
      </c>
      <c r="J47" s="109">
        <f t="shared" si="13"/>
        <v>-0.3</v>
      </c>
      <c r="K47" s="109">
        <f t="shared" si="14"/>
        <v>-0.6</v>
      </c>
      <c r="L47" s="107"/>
      <c r="M47" s="108" t="e">
        <f>VLOOKUP(A47,'Tabela Base'!B:G,5,0)</f>
        <v>#N/A</v>
      </c>
    </row>
    <row r="48" spans="1:13">
      <c r="A48" s="127"/>
      <c r="B48" s="116" t="e">
        <f>VLOOKUP(A48,'Tabela Base'!B:C,2,0)</f>
        <v>#N/A</v>
      </c>
      <c r="C48" s="118" t="e">
        <f>VLOOKUP(A48,'Tabela Base'!B:D,3,0)</f>
        <v>#N/A</v>
      </c>
      <c r="D48" s="113">
        <f>SUMIFS('Tabela Base'!E:E,'Tabela Base'!B:B,Promoção!A48)</f>
        <v>0</v>
      </c>
      <c r="E48" s="113">
        <f t="shared" si="8"/>
        <v>-0.3</v>
      </c>
      <c r="F48" s="113">
        <f t="shared" si="8"/>
        <v>-0.6</v>
      </c>
      <c r="G48" s="107">
        <f>SUMIFS('Tabela Base'!J:J,'Tabela Base'!B:B,Promoção!A48)</f>
        <v>0</v>
      </c>
      <c r="H48" s="108">
        <f>SUMIFS('Tabela Base'!K:K,'Tabela Base'!B:B,Promoção!A48)</f>
        <v>0</v>
      </c>
      <c r="I48" s="108">
        <f t="shared" si="12"/>
        <v>0</v>
      </c>
      <c r="J48" s="109">
        <f t="shared" si="13"/>
        <v>-0.3</v>
      </c>
      <c r="K48" s="109">
        <f t="shared" si="14"/>
        <v>-0.6</v>
      </c>
      <c r="L48" s="107"/>
      <c r="M48" s="108" t="e">
        <f>VLOOKUP(A48,'Tabela Base'!B:G,5,0)</f>
        <v>#N/A</v>
      </c>
    </row>
    <row r="49" spans="1:13">
      <c r="A49" s="127"/>
      <c r="B49" s="116" t="e">
        <f>VLOOKUP(A49,'Tabela Base'!B:C,2,0)</f>
        <v>#N/A</v>
      </c>
      <c r="C49" s="118" t="e">
        <f>VLOOKUP(A49,'Tabela Base'!B:D,3,0)</f>
        <v>#N/A</v>
      </c>
      <c r="D49" s="113">
        <f>SUMIFS('Tabela Base'!E:E,'Tabela Base'!B:B,Promoção!A49)</f>
        <v>0</v>
      </c>
      <c r="E49" s="113">
        <f t="shared" si="8"/>
        <v>-0.3</v>
      </c>
      <c r="F49" s="113">
        <f t="shared" si="8"/>
        <v>-0.6</v>
      </c>
      <c r="G49" s="107">
        <f>SUMIFS('Tabela Base'!J:J,'Tabela Base'!B:B,Promoção!A49)</f>
        <v>0</v>
      </c>
      <c r="H49" s="108">
        <f>SUMIFS('Tabela Base'!K:K,'Tabela Base'!B:B,Promoção!A49)</f>
        <v>0</v>
      </c>
      <c r="I49" s="108">
        <f t="shared" si="12"/>
        <v>0</v>
      </c>
      <c r="J49" s="109">
        <f t="shared" si="13"/>
        <v>-0.3</v>
      </c>
      <c r="K49" s="109">
        <f t="shared" si="14"/>
        <v>-0.6</v>
      </c>
      <c r="L49" s="107"/>
      <c r="M49" s="108" t="e">
        <f>VLOOKUP(A49,'Tabela Base'!B:G,5,0)</f>
        <v>#N/A</v>
      </c>
    </row>
    <row r="50" spans="1:13">
      <c r="A50" s="125"/>
      <c r="B50" s="116" t="e">
        <f>VLOOKUP(A50,'Tabela Base'!B:C,2,0)</f>
        <v>#N/A</v>
      </c>
      <c r="C50" s="118" t="e">
        <f>VLOOKUP(A50,'Tabela Base'!B:D,3,0)</f>
        <v>#N/A</v>
      </c>
      <c r="D50" s="113">
        <f>SUMIFS('Tabela Base'!E:E,'Tabela Base'!B:B,Promoção!A50)</f>
        <v>0</v>
      </c>
      <c r="E50" s="113">
        <f t="shared" si="8"/>
        <v>-0.3</v>
      </c>
      <c r="F50" s="113">
        <f t="shared" si="8"/>
        <v>-0.6</v>
      </c>
      <c r="G50" s="107">
        <f>SUMIFS('Tabela Base'!J:J,'Tabela Base'!B:B,Promoção!A50)</f>
        <v>0</v>
      </c>
      <c r="H50" s="108">
        <f>SUMIFS('Tabela Base'!K:K,'Tabela Base'!B:B,Promoção!A50)</f>
        <v>0</v>
      </c>
      <c r="I50" s="108">
        <f t="shared" si="12"/>
        <v>0</v>
      </c>
      <c r="J50" s="109">
        <f t="shared" si="13"/>
        <v>-0.3</v>
      </c>
      <c r="K50" s="109">
        <f t="shared" si="14"/>
        <v>-0.6</v>
      </c>
      <c r="L50" s="107"/>
      <c r="M50" s="108" t="e">
        <f>VLOOKUP(A50,'Tabela Base'!B:G,5,0)</f>
        <v>#N/A</v>
      </c>
    </row>
    <row r="51" spans="1:13">
      <c r="A51" s="127"/>
      <c r="B51" s="116" t="e">
        <f>VLOOKUP(A51,'Tabela Base'!B:C,2,0)</f>
        <v>#N/A</v>
      </c>
      <c r="C51" s="118" t="e">
        <f>VLOOKUP(A51,'Tabela Base'!B:D,3,0)</f>
        <v>#N/A</v>
      </c>
      <c r="D51" s="113">
        <f>SUMIFS('Tabela Base'!E:E,'Tabela Base'!B:B,Promoção!A51)</f>
        <v>0</v>
      </c>
      <c r="E51" s="113">
        <f t="shared" si="8"/>
        <v>-0.3</v>
      </c>
      <c r="F51" s="113">
        <f t="shared" si="8"/>
        <v>-0.6</v>
      </c>
      <c r="G51" s="107">
        <f>SUMIFS('Tabela Base'!J:J,'Tabela Base'!B:B,Promoção!A51)</f>
        <v>0</v>
      </c>
      <c r="H51" s="108">
        <f>SUMIFS('Tabela Base'!K:K,'Tabela Base'!B:B,Promoção!A51)</f>
        <v>0</v>
      </c>
      <c r="I51" s="108">
        <f t="shared" si="12"/>
        <v>0</v>
      </c>
      <c r="J51" s="109">
        <f t="shared" si="13"/>
        <v>-0.3</v>
      </c>
      <c r="K51" s="109">
        <f t="shared" si="14"/>
        <v>-0.6</v>
      </c>
      <c r="L51" s="107"/>
      <c r="M51" s="108" t="e">
        <f>VLOOKUP(A51,'Tabela Base'!B:G,5,0)</f>
        <v>#N/A</v>
      </c>
    </row>
    <row r="52" spans="1:13">
      <c r="A52" s="126"/>
      <c r="B52" s="116" t="e">
        <f>VLOOKUP(A52,'Tabela Base'!B:C,2,0)</f>
        <v>#N/A</v>
      </c>
      <c r="C52" s="118" t="e">
        <f>VLOOKUP(A52,'Tabela Base'!B:D,3,0)</f>
        <v>#N/A</v>
      </c>
      <c r="D52" s="113">
        <f>SUMIFS('Tabela Base'!E:E,'Tabela Base'!B:B,Promoção!A52)</f>
        <v>0</v>
      </c>
      <c r="E52" s="113">
        <f t="shared" si="8"/>
        <v>-0.3</v>
      </c>
      <c r="F52" s="113">
        <f t="shared" si="8"/>
        <v>-0.6</v>
      </c>
      <c r="G52" s="107">
        <f>SUMIFS('Tabela Base'!J:J,'Tabela Base'!B:B,Promoção!A52)</f>
        <v>0</v>
      </c>
      <c r="H52" s="108">
        <f>SUMIFS('Tabela Base'!K:K,'Tabela Base'!B:B,Promoção!A52)</f>
        <v>0</v>
      </c>
      <c r="I52" s="108">
        <f t="shared" si="12"/>
        <v>0</v>
      </c>
      <c r="J52" s="109">
        <f t="shared" si="13"/>
        <v>-0.3</v>
      </c>
      <c r="K52" s="109">
        <f t="shared" si="14"/>
        <v>-0.6</v>
      </c>
      <c r="L52" s="107"/>
      <c r="M52" s="108" t="e">
        <f>VLOOKUP(A52,'Tabela Base'!B:G,5,0)</f>
        <v>#N/A</v>
      </c>
    </row>
    <row r="53" spans="1:13">
      <c r="A53" s="126"/>
      <c r="B53" s="116" t="e">
        <f>VLOOKUP(A53,'Tabela Base'!B:C,2,0)</f>
        <v>#N/A</v>
      </c>
      <c r="C53" s="118" t="e">
        <f>VLOOKUP(A53,'Tabela Base'!B:D,3,0)</f>
        <v>#N/A</v>
      </c>
      <c r="D53" s="113">
        <f>SUMIFS('Tabela Base'!E:E,'Tabela Base'!B:B,Promoção!A53)</f>
        <v>0</v>
      </c>
      <c r="E53" s="113">
        <f t="shared" si="8"/>
        <v>-0.3</v>
      </c>
      <c r="F53" s="113">
        <f t="shared" si="8"/>
        <v>-0.6</v>
      </c>
      <c r="G53" s="107">
        <f>SUMIFS('Tabela Base'!J:J,'Tabela Base'!B:B,Promoção!A53)</f>
        <v>0</v>
      </c>
      <c r="H53" s="108">
        <f>SUMIFS('Tabela Base'!K:K,'Tabela Base'!B:B,Promoção!A53)</f>
        <v>0</v>
      </c>
      <c r="I53" s="108">
        <f t="shared" si="12"/>
        <v>0</v>
      </c>
      <c r="J53" s="109">
        <f t="shared" si="13"/>
        <v>-0.3</v>
      </c>
      <c r="K53" s="109">
        <f t="shared" si="14"/>
        <v>-0.6</v>
      </c>
      <c r="L53" s="107"/>
      <c r="M53" s="108" t="e">
        <f>VLOOKUP(A53,'Tabela Base'!B:G,5,0)</f>
        <v>#N/A</v>
      </c>
    </row>
    <row r="54" spans="1:13">
      <c r="A54" s="122"/>
      <c r="B54" s="116" t="e">
        <f>VLOOKUP(A54,'Tabela Base'!B:C,2,0)</f>
        <v>#N/A</v>
      </c>
      <c r="C54" s="128" t="s">
        <v>73</v>
      </c>
      <c r="D54" s="113">
        <f>SUMIFS('Tabela Base'!E:E,'Tabela Base'!B:B,Promoção!A54)</f>
        <v>0</v>
      </c>
      <c r="E54" s="113">
        <f t="shared" si="8"/>
        <v>-0.3</v>
      </c>
      <c r="F54" s="113">
        <f t="shared" si="8"/>
        <v>-0.6</v>
      </c>
      <c r="G54" s="107">
        <f>SUMIFS('Tabela Base'!J:J,'Tabela Base'!B:B,Promoção!A54)</f>
        <v>0</v>
      </c>
      <c r="H54" s="108">
        <f>SUMIFS('Tabela Base'!K:K,'Tabela Base'!B:B,Promoção!A54)</f>
        <v>0</v>
      </c>
      <c r="I54" s="108">
        <f t="shared" si="12"/>
        <v>0</v>
      </c>
      <c r="J54" s="109">
        <f t="shared" si="13"/>
        <v>-0.3</v>
      </c>
      <c r="K54" s="109">
        <f t="shared" si="14"/>
        <v>-0.6</v>
      </c>
      <c r="L54" s="107"/>
      <c r="M54" s="108" t="e">
        <f>VLOOKUP(A54,'Tabela Base'!B:G,5,0)</f>
        <v>#N/A</v>
      </c>
    </row>
    <row r="55" spans="1:13">
      <c r="A55" s="122"/>
      <c r="B55" s="116" t="e">
        <f>VLOOKUP(A55,'Tabela Base'!B:C,2,0)</f>
        <v>#N/A</v>
      </c>
      <c r="C55" s="128" t="s">
        <v>67</v>
      </c>
      <c r="D55" s="113">
        <f>SUMIFS('Tabela Base'!E:E,'Tabela Base'!B:B,Promoção!A55)</f>
        <v>0</v>
      </c>
      <c r="E55" s="113">
        <f t="shared" si="8"/>
        <v>-0.3</v>
      </c>
      <c r="F55" s="113">
        <f t="shared" si="8"/>
        <v>-0.6</v>
      </c>
      <c r="G55" s="107">
        <f>SUMIFS('Tabela Base'!J:J,'Tabela Base'!B:B,Promoção!A55)</f>
        <v>0</v>
      </c>
      <c r="H55" s="108">
        <f>SUMIFS('Tabela Base'!K:K,'Tabela Base'!B:B,Promoção!A55)</f>
        <v>0</v>
      </c>
      <c r="I55" s="108">
        <f t="shared" si="12"/>
        <v>0</v>
      </c>
      <c r="J55" s="109">
        <f t="shared" si="13"/>
        <v>-0.3</v>
      </c>
      <c r="K55" s="109">
        <f t="shared" si="14"/>
        <v>-0.6</v>
      </c>
      <c r="L55" s="107"/>
      <c r="M55" s="108" t="e">
        <f>VLOOKUP(A55,'Tabela Base'!B:G,5,0)</f>
        <v>#N/A</v>
      </c>
    </row>
    <row r="56" spans="1:13">
      <c r="A56" s="127"/>
      <c r="B56" s="116" t="e">
        <f>VLOOKUP(A56,'Tabela Base'!B:C,2,0)</f>
        <v>#N/A</v>
      </c>
      <c r="C56" s="129" t="s">
        <v>73</v>
      </c>
      <c r="D56" s="113">
        <f>SUMIFS('Tabela Base'!E:E,'Tabela Base'!B:B,Promoção!A56)</f>
        <v>0</v>
      </c>
      <c r="E56" s="113">
        <f t="shared" si="8"/>
        <v>-0.3</v>
      </c>
      <c r="F56" s="113">
        <f t="shared" si="8"/>
        <v>-0.6</v>
      </c>
      <c r="G56" s="107">
        <f>SUMIFS('Tabela Base'!J:J,'Tabela Base'!B:B,Promoção!A56)</f>
        <v>0</v>
      </c>
      <c r="H56" s="108">
        <f>SUMIFS('Tabela Base'!K:K,'Tabela Base'!B:B,Promoção!A56)</f>
        <v>0</v>
      </c>
      <c r="I56" s="108">
        <f t="shared" si="12"/>
        <v>0</v>
      </c>
      <c r="J56" s="109">
        <f t="shared" si="13"/>
        <v>-0.3</v>
      </c>
      <c r="K56" s="109">
        <f t="shared" si="14"/>
        <v>-0.6</v>
      </c>
      <c r="L56" s="107"/>
      <c r="M56" s="108" t="e">
        <f>VLOOKUP(A56,'Tabela Base'!B:G,5,0)</f>
        <v>#N/A</v>
      </c>
    </row>
    <row r="57" spans="1:13">
      <c r="A57" s="127"/>
      <c r="B57" s="116" t="e">
        <f>VLOOKUP(A57,'Tabela Base'!B:C,2,0)</f>
        <v>#N/A</v>
      </c>
      <c r="C57" s="129" t="s">
        <v>73</v>
      </c>
      <c r="D57" s="113">
        <f>SUMIFS('Tabela Base'!E:E,'Tabela Base'!B:B,Promoção!A57)</f>
        <v>0</v>
      </c>
      <c r="E57" s="113">
        <f t="shared" si="8"/>
        <v>-0.3</v>
      </c>
      <c r="F57" s="113">
        <f t="shared" si="8"/>
        <v>-0.6</v>
      </c>
      <c r="G57" s="107">
        <f>SUMIFS('Tabela Base'!J:J,'Tabela Base'!B:B,Promoção!A57)</f>
        <v>0</v>
      </c>
      <c r="H57" s="108">
        <f>SUMIFS('Tabela Base'!K:K,'Tabela Base'!B:B,Promoção!A57)</f>
        <v>0</v>
      </c>
      <c r="I57" s="108">
        <f t="shared" si="12"/>
        <v>0</v>
      </c>
      <c r="J57" s="109">
        <f t="shared" si="13"/>
        <v>-0.3</v>
      </c>
      <c r="K57" s="109">
        <f t="shared" si="14"/>
        <v>-0.6</v>
      </c>
      <c r="L57" s="107"/>
      <c r="M57" s="108" t="e">
        <f>VLOOKUP(A57,'Tabela Base'!B:G,5,0)</f>
        <v>#N/A</v>
      </c>
    </row>
    <row r="58" spans="1:13">
      <c r="A58" s="122"/>
      <c r="B58" s="116" t="e">
        <f>VLOOKUP(A58,'Tabela Base'!B:C,2,0)</f>
        <v>#N/A</v>
      </c>
      <c r="C58" s="128" t="s">
        <v>73</v>
      </c>
      <c r="D58" s="113">
        <f>SUMIFS('Tabela Base'!E:E,'Tabela Base'!B:B,Promoção!A58)</f>
        <v>0</v>
      </c>
      <c r="E58" s="113">
        <f t="shared" si="8"/>
        <v>-0.3</v>
      </c>
      <c r="F58" s="113">
        <f t="shared" si="8"/>
        <v>-0.6</v>
      </c>
      <c r="G58" s="107">
        <f>SUMIFS('Tabela Base'!J:J,'Tabela Base'!B:B,Promoção!A58)</f>
        <v>0</v>
      </c>
      <c r="H58" s="108">
        <f>SUMIFS('Tabela Base'!K:K,'Tabela Base'!B:B,Promoção!A58)</f>
        <v>0</v>
      </c>
      <c r="I58" s="108">
        <f t="shared" si="12"/>
        <v>0</v>
      </c>
      <c r="J58" s="109">
        <f t="shared" si="13"/>
        <v>-0.3</v>
      </c>
      <c r="K58" s="109">
        <f t="shared" si="14"/>
        <v>-0.6</v>
      </c>
      <c r="L58" s="107"/>
      <c r="M58" s="108" t="e">
        <f>VLOOKUP(A58,'Tabela Base'!B:G,5,0)</f>
        <v>#N/A</v>
      </c>
    </row>
  </sheetData>
  <mergeCells count="5">
    <mergeCell ref="A33:E33"/>
    <mergeCell ref="A1:F1"/>
    <mergeCell ref="A3:D3"/>
    <mergeCell ref="A17:F17"/>
    <mergeCell ref="A19:D19"/>
  </mergeCells>
  <conditionalFormatting sqref="A1:A2">
    <cfRule type="duplicateValues" dxfId="187" priority="406"/>
    <cfRule type="duplicateValues" dxfId="186" priority="405"/>
    <cfRule type="duplicateValues" dxfId="185" priority="404"/>
  </conditionalFormatting>
  <conditionalFormatting sqref="A3">
    <cfRule type="duplicateValues" dxfId="184" priority="409"/>
    <cfRule type="duplicateValues" dxfId="183" priority="408"/>
    <cfRule type="duplicateValues" dxfId="182" priority="407"/>
  </conditionalFormatting>
  <conditionalFormatting sqref="A4">
    <cfRule type="duplicateValues" dxfId="181" priority="396"/>
    <cfRule type="duplicateValues" dxfId="180" priority="395"/>
    <cfRule type="duplicateValues" dxfId="179" priority="394"/>
  </conditionalFormatting>
  <conditionalFormatting sqref="A5:A8 A10:A14">
    <cfRule type="duplicateValues" dxfId="178" priority="413"/>
  </conditionalFormatting>
  <conditionalFormatting sqref="A5:A14">
    <cfRule type="duplicateValues" dxfId="177" priority="1567"/>
  </conditionalFormatting>
  <conditionalFormatting sqref="A9">
    <cfRule type="duplicateValues" dxfId="176" priority="412"/>
  </conditionalFormatting>
  <conditionalFormatting sqref="A15:A16 A31">
    <cfRule type="duplicateValues" dxfId="175" priority="1785"/>
    <cfRule type="duplicateValues" dxfId="174" priority="1784"/>
  </conditionalFormatting>
  <conditionalFormatting sqref="A17:A18">
    <cfRule type="duplicateValues" dxfId="173" priority="4"/>
    <cfRule type="duplicateValues" dxfId="172" priority="5"/>
    <cfRule type="duplicateValues" dxfId="171" priority="6"/>
  </conditionalFormatting>
  <conditionalFormatting sqref="A19">
    <cfRule type="duplicateValues" dxfId="170" priority="7"/>
    <cfRule type="duplicateValues" dxfId="169" priority="8"/>
    <cfRule type="duplicateValues" dxfId="168" priority="9"/>
  </conditionalFormatting>
  <conditionalFormatting sqref="A20">
    <cfRule type="duplicateValues" dxfId="167" priority="1"/>
    <cfRule type="duplicateValues" dxfId="166" priority="2"/>
    <cfRule type="duplicateValues" dxfId="165" priority="3"/>
  </conditionalFormatting>
  <conditionalFormatting sqref="A21:A24 A26:A30">
    <cfRule type="duplicateValues" dxfId="164" priority="11"/>
  </conditionalFormatting>
  <conditionalFormatting sqref="A21:A30">
    <cfRule type="duplicateValues" dxfId="163" priority="12"/>
  </conditionalFormatting>
  <conditionalFormatting sqref="A25">
    <cfRule type="duplicateValues" dxfId="162" priority="10"/>
  </conditionalFormatting>
  <conditionalFormatting sqref="A32">
    <cfRule type="duplicateValues" dxfId="161" priority="1575"/>
  </conditionalFormatting>
  <conditionalFormatting sqref="A33">
    <cfRule type="duplicateValues" dxfId="160" priority="397"/>
    <cfRule type="duplicateValues" dxfId="159" priority="399"/>
    <cfRule type="duplicateValues" dxfId="158" priority="398"/>
  </conditionalFormatting>
  <conditionalFormatting sqref="A34">
    <cfRule type="duplicateValues" dxfId="157" priority="1580"/>
  </conditionalFormatting>
  <conditionalFormatting sqref="A35">
    <cfRule type="duplicateValues" dxfId="156" priority="206"/>
    <cfRule type="duplicateValues" dxfId="155" priority="205"/>
  </conditionalFormatting>
  <conditionalFormatting sqref="A36">
    <cfRule type="duplicateValues" dxfId="154" priority="1581"/>
  </conditionalFormatting>
  <conditionalFormatting sqref="A37">
    <cfRule type="duplicateValues" dxfId="153" priority="230"/>
    <cfRule type="duplicateValues" dxfId="152" priority="229"/>
  </conditionalFormatting>
  <conditionalFormatting sqref="A38">
    <cfRule type="duplicateValues" dxfId="151" priority="233"/>
    <cfRule type="duplicateValues" dxfId="150" priority="234"/>
  </conditionalFormatting>
  <conditionalFormatting sqref="A39">
    <cfRule type="duplicateValues" dxfId="149" priority="227"/>
    <cfRule type="duplicateValues" dxfId="148" priority="228"/>
  </conditionalFormatting>
  <conditionalFormatting sqref="A40">
    <cfRule type="duplicateValues" dxfId="147" priority="252"/>
    <cfRule type="duplicateValues" dxfId="146" priority="251"/>
  </conditionalFormatting>
  <conditionalFormatting sqref="A41">
    <cfRule type="duplicateValues" dxfId="145" priority="1582"/>
  </conditionalFormatting>
  <conditionalFormatting sqref="A42">
    <cfRule type="duplicateValues" dxfId="144" priority="196"/>
    <cfRule type="duplicateValues" dxfId="143" priority="195"/>
  </conditionalFormatting>
  <conditionalFormatting sqref="A43:A44">
    <cfRule type="duplicateValues" dxfId="142" priority="1603"/>
  </conditionalFormatting>
  <conditionalFormatting sqref="A45">
    <cfRule type="duplicateValues" dxfId="141" priority="77"/>
    <cfRule type="duplicateValues" dxfId="140" priority="78"/>
  </conditionalFormatting>
  <conditionalFormatting sqref="A46">
    <cfRule type="duplicateValues" dxfId="139" priority="73"/>
    <cfRule type="duplicateValues" dxfId="138" priority="74"/>
  </conditionalFormatting>
  <conditionalFormatting sqref="A47">
    <cfRule type="duplicateValues" dxfId="137" priority="136"/>
    <cfRule type="duplicateValues" dxfId="136" priority="135"/>
  </conditionalFormatting>
  <conditionalFormatting sqref="A48">
    <cfRule type="duplicateValues" dxfId="135" priority="76"/>
    <cfRule type="duplicateValues" dxfId="134" priority="75"/>
  </conditionalFormatting>
  <conditionalFormatting sqref="A49">
    <cfRule type="duplicateValues" dxfId="133" priority="119"/>
    <cfRule type="duplicateValues" dxfId="132" priority="120"/>
  </conditionalFormatting>
  <conditionalFormatting sqref="A50">
    <cfRule type="duplicateValues" dxfId="131" priority="80"/>
    <cfRule type="duplicateValues" dxfId="130" priority="79"/>
  </conditionalFormatting>
  <conditionalFormatting sqref="A51">
    <cfRule type="duplicateValues" dxfId="129" priority="34"/>
    <cfRule type="duplicateValues" dxfId="128" priority="33"/>
  </conditionalFormatting>
  <conditionalFormatting sqref="A52:A53">
    <cfRule type="duplicateValues" dxfId="127" priority="28"/>
    <cfRule type="duplicateValues" dxfId="126" priority="27"/>
  </conditionalFormatting>
  <conditionalFormatting sqref="A54">
    <cfRule type="duplicateValues" dxfId="125" priority="22"/>
    <cfRule type="duplicateValues" dxfId="124" priority="21"/>
  </conditionalFormatting>
  <conditionalFormatting sqref="A55">
    <cfRule type="duplicateValues" dxfId="123" priority="19"/>
    <cfRule type="duplicateValues" dxfId="122" priority="20"/>
  </conditionalFormatting>
  <conditionalFormatting sqref="A56">
    <cfRule type="duplicateValues" dxfId="121" priority="17"/>
    <cfRule type="duplicateValues" dxfId="120" priority="18"/>
  </conditionalFormatting>
  <conditionalFormatting sqref="A57">
    <cfRule type="duplicateValues" dxfId="119" priority="15"/>
    <cfRule type="duplicateValues" dxfId="118" priority="16"/>
  </conditionalFormatting>
  <conditionalFormatting sqref="A58">
    <cfRule type="duplicateValues" dxfId="117" priority="14"/>
    <cfRule type="duplicateValues" dxfId="116" priority="13"/>
  </conditionalFormatting>
  <pageMargins left="0.511811024" right="0.511811024" top="0.78740157499999996" bottom="0.78740157499999996" header="0.31496062000000002" footer="0.31496062000000002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83"/>
  <sheetViews>
    <sheetView showGridLines="0" tabSelected="1" zoomScale="80" zoomScaleNormal="80" zoomScaleSheetLayoutView="100" workbookViewId="0">
      <pane ySplit="9" topLeftCell="A10" activePane="bottomLeft" state="frozen"/>
      <selection pane="bottomLeft" activeCell="B1" sqref="B1:H237"/>
    </sheetView>
  </sheetViews>
  <sheetFormatPr defaultColWidth="9.140625" defaultRowHeight="15.75" outlineLevelRow="1"/>
  <cols>
    <col min="1" max="1" width="2.5703125" style="391" customWidth="1"/>
    <col min="2" max="2" width="13.5703125" style="400" bestFit="1" customWidth="1"/>
    <col min="3" max="3" width="64.5703125" style="400" customWidth="1"/>
    <col min="4" max="4" width="13" style="401" customWidth="1"/>
    <col min="5" max="5" width="14.42578125" style="417" customWidth="1"/>
    <col min="6" max="6" width="17" style="417" hidden="1" customWidth="1"/>
    <col min="7" max="7" width="30.140625" style="402" bestFit="1" customWidth="1"/>
    <col min="8" max="8" width="10.7109375" style="403" customWidth="1"/>
    <col min="9" max="9" width="5.85546875" style="199" customWidth="1"/>
    <col min="10" max="10" width="10" style="378" customWidth="1"/>
    <col min="11" max="11" width="14" style="404" customWidth="1"/>
    <col min="12" max="12" width="15.140625" style="405" customWidth="1"/>
    <col min="13" max="13" width="18" style="405" hidden="1" customWidth="1"/>
    <col min="14" max="14" width="14.7109375" style="404" customWidth="1"/>
    <col min="15" max="15" width="9.140625" style="199"/>
    <col min="16" max="16" width="19" style="199" customWidth="1"/>
    <col min="17" max="17" width="9.140625" style="199"/>
    <col min="18" max="18" width="12.140625" style="199" bestFit="1" customWidth="1"/>
    <col min="19" max="16384" width="9.140625" style="199"/>
  </cols>
  <sheetData>
    <row r="1" spans="1:16" s="135" customFormat="1">
      <c r="A1" s="135" t="s">
        <v>256</v>
      </c>
      <c r="B1" s="96"/>
      <c r="C1" s="96"/>
      <c r="D1" s="96"/>
      <c r="E1" s="134" t="s">
        <v>256</v>
      </c>
      <c r="F1" s="134" t="s">
        <v>256</v>
      </c>
      <c r="G1" s="146"/>
      <c r="H1" s="181"/>
      <c r="J1" s="97"/>
      <c r="K1" s="100"/>
      <c r="L1" s="101"/>
      <c r="M1" s="101"/>
      <c r="N1" s="100"/>
    </row>
    <row r="2" spans="1:16" s="135" customFormat="1" ht="27.75">
      <c r="B2" s="136"/>
      <c r="C2" s="137"/>
      <c r="D2" s="138"/>
      <c r="E2" s="139"/>
      <c r="F2" s="139"/>
      <c r="G2" s="146"/>
      <c r="H2" s="182" t="s">
        <v>16</v>
      </c>
      <c r="J2" s="97"/>
      <c r="K2" s="102"/>
      <c r="L2" s="101"/>
      <c r="M2" s="101"/>
      <c r="N2" s="102"/>
    </row>
    <row r="3" spans="1:16" s="135" customFormat="1">
      <c r="B3" s="96"/>
      <c r="C3" s="137"/>
      <c r="D3" s="138"/>
      <c r="E3" s="139"/>
      <c r="F3" s="139"/>
      <c r="G3" s="146"/>
      <c r="H3" s="425" t="s">
        <v>13</v>
      </c>
      <c r="J3" s="97"/>
      <c r="K3" s="102"/>
      <c r="L3" s="101"/>
      <c r="M3" s="101"/>
      <c r="N3" s="102"/>
    </row>
    <row r="4" spans="1:16" s="135" customFormat="1">
      <c r="B4" s="98"/>
      <c r="C4" s="136"/>
      <c r="D4" s="138"/>
      <c r="E4" s="139"/>
      <c r="F4" s="139"/>
      <c r="G4" s="146"/>
      <c r="H4" s="425" t="s">
        <v>15</v>
      </c>
      <c r="J4" s="97"/>
      <c r="K4" s="102"/>
      <c r="L4" s="101"/>
      <c r="M4" s="101"/>
      <c r="N4" s="102"/>
    </row>
    <row r="5" spans="1:16" s="135" customFormat="1">
      <c r="B5" s="136"/>
      <c r="C5" s="136"/>
      <c r="D5" s="138"/>
      <c r="E5" s="139"/>
      <c r="F5" s="139"/>
      <c r="G5" s="146"/>
      <c r="H5" s="425" t="s">
        <v>419</v>
      </c>
      <c r="J5" s="97"/>
      <c r="K5" s="103"/>
      <c r="L5" s="101"/>
      <c r="M5" s="101"/>
      <c r="N5" s="103"/>
    </row>
    <row r="6" spans="1:16" s="135" customFormat="1" ht="16.5" thickBot="1">
      <c r="B6" s="136"/>
      <c r="C6" s="136"/>
      <c r="D6" s="140"/>
      <c r="E6" s="141"/>
      <c r="F6" s="141"/>
      <c r="G6" s="146"/>
      <c r="H6" s="181"/>
      <c r="J6" s="97"/>
      <c r="K6" s="100"/>
      <c r="L6" s="101"/>
      <c r="M6" s="101"/>
      <c r="N6" s="100"/>
    </row>
    <row r="7" spans="1:16" s="135" customFormat="1" ht="17.25" thickTop="1" thickBot="1">
      <c r="B7" s="99" t="s">
        <v>217</v>
      </c>
      <c r="C7" s="105">
        <v>45898</v>
      </c>
      <c r="D7" s="136"/>
      <c r="E7" s="134"/>
      <c r="F7" s="134"/>
      <c r="G7" s="147"/>
      <c r="H7" s="183"/>
      <c r="J7" s="142"/>
      <c r="K7" s="100"/>
      <c r="L7" s="101"/>
      <c r="M7" s="101"/>
      <c r="N7" s="100"/>
    </row>
    <row r="8" spans="1:16" s="143" customFormat="1" ht="16.5" thickTop="1">
      <c r="B8" s="144"/>
      <c r="C8" s="144"/>
      <c r="D8" s="141"/>
      <c r="E8" s="422" t="s">
        <v>413</v>
      </c>
      <c r="F8" s="422" t="s">
        <v>411</v>
      </c>
      <c r="G8" s="148"/>
      <c r="H8" s="184"/>
      <c r="J8" s="145"/>
      <c r="K8" s="100"/>
      <c r="L8" s="422" t="s">
        <v>413</v>
      </c>
      <c r="M8" s="422" t="s">
        <v>411</v>
      </c>
      <c r="N8" s="100"/>
    </row>
    <row r="9" spans="1:16" ht="16.5" customHeight="1">
      <c r="A9" s="199"/>
      <c r="B9" s="200" t="s">
        <v>54</v>
      </c>
      <c r="C9" s="201" t="s">
        <v>53</v>
      </c>
      <c r="D9" s="202" t="s">
        <v>55</v>
      </c>
      <c r="E9" s="203" t="s">
        <v>28</v>
      </c>
      <c r="F9" s="203" t="s">
        <v>28</v>
      </c>
      <c r="G9" s="202" t="s">
        <v>56</v>
      </c>
      <c r="H9" s="204" t="s">
        <v>12</v>
      </c>
      <c r="I9" s="205"/>
      <c r="J9" s="206" t="s">
        <v>12</v>
      </c>
      <c r="K9" s="207" t="s">
        <v>17</v>
      </c>
      <c r="L9" s="208" t="s">
        <v>72</v>
      </c>
      <c r="M9" s="208" t="s">
        <v>72</v>
      </c>
      <c r="N9" s="207" t="s">
        <v>216</v>
      </c>
    </row>
    <row r="10" spans="1:16" outlineLevel="1">
      <c r="A10" s="199"/>
      <c r="B10" s="209" t="s">
        <v>256</v>
      </c>
      <c r="C10" s="210"/>
      <c r="D10" s="211"/>
      <c r="E10" s="212"/>
      <c r="F10" s="212"/>
      <c r="G10" s="213"/>
      <c r="H10" s="214"/>
      <c r="J10" s="215"/>
      <c r="K10" s="216"/>
      <c r="L10" s="217"/>
      <c r="M10" s="217"/>
      <c r="N10" s="216"/>
    </row>
    <row r="11" spans="1:16" s="224" customFormat="1" ht="23.25" outlineLevel="1">
      <c r="A11" s="218"/>
      <c r="B11" s="219"/>
      <c r="C11" s="219"/>
      <c r="D11" s="220" t="s">
        <v>3</v>
      </c>
      <c r="E11" s="221"/>
      <c r="F11" s="221"/>
      <c r="G11" s="222"/>
      <c r="H11" s="223"/>
      <c r="J11" s="225"/>
      <c r="K11" s="226"/>
      <c r="L11" s="227"/>
      <c r="M11" s="227"/>
      <c r="N11" s="226"/>
    </row>
    <row r="12" spans="1:16" outlineLevel="1">
      <c r="A12" s="199"/>
      <c r="B12" s="228">
        <v>11000</v>
      </c>
      <c r="C12" s="229" t="s">
        <v>1</v>
      </c>
      <c r="D12" s="230" t="s">
        <v>165</v>
      </c>
      <c r="E12" s="231">
        <v>25.59</v>
      </c>
      <c r="F12" s="231">
        <v>25.99</v>
      </c>
      <c r="G12" s="232"/>
      <c r="H12" s="233"/>
      <c r="I12" s="234"/>
      <c r="J12" s="235">
        <f>SUMIFS('Estoque Atual'!$E:$E,'Estoque Atual'!$A:$A,'Tabela Base'!$B12)+SUMIFS('Recebimentos do dia '!$E:$E,'Recebimentos do dia '!$C:$C,'Tabela Base'!$B12)</f>
        <v>17</v>
      </c>
      <c r="K12" s="236">
        <f>IFERROR((SUMIFS('Estoque Atual'!I:I,'Estoque Atual'!A:A,'Tabela Base'!B12)+SUMIFS('Recebimentos do dia '!I:I,'Recebimentos do dia '!C:C,'Tabela Base'!B12))/
(SUMIFS('Estoque Atual'!G:G,'Estoque Atual'!A:A,'Tabela Base'!B12)+SUMIFS('Recebimentos do dia '!H:H,'Recebimentos do dia '!C:C,'Tabela Base'!B12)),0)</f>
        <v>23.31</v>
      </c>
      <c r="L12" s="237">
        <f>E12-K12</f>
        <v>2.2800000000000011</v>
      </c>
      <c r="M12" s="237">
        <f>F12-K12</f>
        <v>2.6799999999999997</v>
      </c>
      <c r="N12" s="236">
        <f>IFERROR((SUMIFS('Recebimentos do dia '!$H:$H,'Recebimentos do dia '!$C:$C,'Tabela Base'!$B12)+SUMIFS('Estoque Atual'!$G:$G,'Estoque Atual'!$A:$A,'Tabela Base'!$B12))/(SUMIFS('Recebimentos do dia '!$E:$E,'Recebimentos do dia '!$C:$C,'Tabela Base'!$B12)+SUMIFS('Estoque Atual'!$E:$E,'Estoque Atual'!$A:$A,'Tabela Base'!$B12)),0)</f>
        <v>69.564705882352939</v>
      </c>
      <c r="O12" s="234"/>
      <c r="P12" s="238"/>
    </row>
    <row r="13" spans="1:16" outlineLevel="1">
      <c r="A13" s="199"/>
      <c r="B13" s="239">
        <v>11001</v>
      </c>
      <c r="C13" s="240" t="s">
        <v>2</v>
      </c>
      <c r="D13" s="241" t="s">
        <v>166</v>
      </c>
      <c r="E13" s="231">
        <v>19.989999999999998</v>
      </c>
      <c r="F13" s="231">
        <v>20.69</v>
      </c>
      <c r="G13" s="232"/>
      <c r="H13" s="233"/>
      <c r="I13" s="234"/>
      <c r="J13" s="235">
        <f>SUMIFS('Estoque Atual'!$E:$E,'Estoque Atual'!$A:$A,'Tabela Base'!$B13)+SUMIFS('Recebimentos do dia '!$E:$E,'Recebimentos do dia '!$C:$C,'Tabela Base'!$B13)</f>
        <v>130</v>
      </c>
      <c r="K13" s="236">
        <f>IFERROR((SUMIFS('Estoque Atual'!I:I,'Estoque Atual'!A:A,'Tabela Base'!B13)+SUMIFS('Recebimentos do dia '!I:I,'Recebimentos do dia '!C:C,'Tabela Base'!B13))/
(SUMIFS('Estoque Atual'!G:G,'Estoque Atual'!A:A,'Tabela Base'!B13)+SUMIFS('Recebimentos do dia '!H:H,'Recebimentos do dia '!C:C,'Tabela Base'!B13)),0)</f>
        <v>18.11</v>
      </c>
      <c r="L13" s="237">
        <f t="shared" ref="L13:L20" si="0">E13-K13</f>
        <v>1.879999999999999</v>
      </c>
      <c r="M13" s="237">
        <f t="shared" ref="M13:M20" si="1">F13-K13</f>
        <v>2.5800000000000018</v>
      </c>
      <c r="N13" s="236">
        <f>IFERROR((SUMIFS('Recebimentos do dia '!$H:$H,'Recebimentos do dia '!$C:$C,'Tabela Base'!$B13)+SUMIFS('Estoque Atual'!$G:$G,'Estoque Atual'!$A:$A,'Tabela Base'!$B13))/(SUMIFS('Recebimentos do dia '!$E:$E,'Recebimentos do dia '!$C:$C,'Tabela Base'!$B13)+SUMIFS('Estoque Atual'!$E:$E,'Estoque Atual'!$A:$A,'Tabela Base'!$B13)),0)</f>
        <v>62.959230769230771</v>
      </c>
      <c r="O13" s="234"/>
      <c r="P13" s="238"/>
    </row>
    <row r="14" spans="1:16" outlineLevel="1">
      <c r="A14" s="199"/>
      <c r="B14" s="239">
        <v>11004</v>
      </c>
      <c r="C14" s="240" t="s">
        <v>40</v>
      </c>
      <c r="D14" s="241" t="s">
        <v>179</v>
      </c>
      <c r="E14" s="231">
        <v>19.29</v>
      </c>
      <c r="F14" s="231">
        <v>19.989999999999998</v>
      </c>
      <c r="G14" s="232"/>
      <c r="H14" s="233"/>
      <c r="I14" s="234"/>
      <c r="J14" s="235">
        <f>SUMIFS('Estoque Atual'!$E:$E,'Estoque Atual'!$A:$A,'Tabela Base'!$B14)+SUMIFS('Recebimentos do dia '!$E:$E,'Recebimentos do dia '!$C:$C,'Tabela Base'!$B14)</f>
        <v>86</v>
      </c>
      <c r="K14" s="236">
        <f>IFERROR((SUMIFS('Estoque Atual'!I:I,'Estoque Atual'!A:A,'Tabela Base'!B14)+SUMIFS('Recebimentos do dia '!I:I,'Recebimentos do dia '!C:C,'Tabela Base'!B14))/
(SUMIFS('Estoque Atual'!G:G,'Estoque Atual'!A:A,'Tabela Base'!B14)+SUMIFS('Recebimentos do dia '!H:H,'Recebimentos do dia '!C:C,'Tabela Base'!B14)),0)</f>
        <v>17.29</v>
      </c>
      <c r="L14" s="237">
        <f t="shared" si="0"/>
        <v>2</v>
      </c>
      <c r="M14" s="237">
        <f t="shared" si="1"/>
        <v>2.6999999999999993</v>
      </c>
      <c r="N14" s="236">
        <f>IFERROR((SUMIFS('Recebimentos do dia '!$H:$H,'Recebimentos do dia '!$C:$C,'Tabela Base'!$B14)+SUMIFS('Estoque Atual'!$G:$G,'Estoque Atual'!$A:$A,'Tabela Base'!$B14))/(SUMIFS('Recebimentos do dia '!$E:$E,'Recebimentos do dia '!$C:$C,'Tabela Base'!$B14)+SUMIFS('Estoque Atual'!$E:$E,'Estoque Atual'!$A:$A,'Tabela Base'!$B14)),0)</f>
        <v>22.180232558139537</v>
      </c>
      <c r="O14" s="234"/>
      <c r="P14" s="238"/>
    </row>
    <row r="15" spans="1:16" outlineLevel="1">
      <c r="A15" s="199"/>
      <c r="B15" s="239">
        <v>11005</v>
      </c>
      <c r="C15" s="240" t="s">
        <v>41</v>
      </c>
      <c r="D15" s="241" t="s">
        <v>45</v>
      </c>
      <c r="E15" s="231">
        <v>22.69</v>
      </c>
      <c r="F15" s="231">
        <v>22.99</v>
      </c>
      <c r="G15" s="232"/>
      <c r="H15" s="233"/>
      <c r="I15" s="242"/>
      <c r="J15" s="235">
        <f>SUMIFS('Estoque Atual'!$E:$E,'Estoque Atual'!$A:$A,'Tabela Base'!$B15)+SUMIFS('Recebimentos do dia '!$E:$E,'Recebimentos do dia '!$C:$C,'Tabela Base'!$B15)</f>
        <v>0</v>
      </c>
      <c r="K15" s="236">
        <f>IFERROR(VLOOKUP($B15,'Cortes Traseiros'!$B$4:$H$9,7,FALSE)/
+VLOOKUP($B15,'Cortes Traseiros'!$B$4:$F$9,4,FALSE),0)</f>
        <v>20.23</v>
      </c>
      <c r="L15" s="237">
        <f t="shared" si="0"/>
        <v>2.4600000000000009</v>
      </c>
      <c r="M15" s="237">
        <f t="shared" si="1"/>
        <v>2.759999999999998</v>
      </c>
      <c r="N15" s="236">
        <f>IFERROR((SUMIFS('Recebimentos do dia '!$H:$H,'Recebimentos do dia '!$C:$C,'Tabela Base'!$B15)+SUMIFS('Estoque Atual'!$G:$G,'Estoque Atual'!$A:$A,'Tabela Base'!$B15))/(SUMIFS('Recebimentos do dia '!$E:$E,'Recebimentos do dia '!$C:$C,'Tabela Base'!$B15)+SUMIFS('Estoque Atual'!$E:$E,'Estoque Atual'!$A:$A,'Tabela Base'!$B15)),0)</f>
        <v>0</v>
      </c>
      <c r="P15" s="238"/>
    </row>
    <row r="16" spans="1:16" outlineLevel="1">
      <c r="A16" s="199"/>
      <c r="B16" s="239">
        <v>11002</v>
      </c>
      <c r="C16" s="240" t="s">
        <v>42</v>
      </c>
      <c r="D16" s="241" t="s">
        <v>167</v>
      </c>
      <c r="E16" s="231">
        <v>25.99</v>
      </c>
      <c r="F16" s="231">
        <v>26.99</v>
      </c>
      <c r="G16" s="232"/>
      <c r="H16" s="233"/>
      <c r="I16" s="242"/>
      <c r="J16" s="235">
        <f>SUMIFS('Estoque Atual'!$E:$E,'Estoque Atual'!$A:$A,'Tabela Base'!$B16)+SUMIFS('Recebimentos do dia '!$E:$E,'Recebimentos do dia '!$C:$C,'Tabela Base'!$B16)</f>
        <v>0</v>
      </c>
      <c r="K16" s="236">
        <f>IFERROR(VLOOKUP($B16,'Cortes Traseiros'!$B$4:$H$9,7,FALSE)/
+VLOOKUP($B16,'Cortes Traseiros'!$B$4:$F$9,4,FALSE),0)</f>
        <v>23.999999999999996</v>
      </c>
      <c r="L16" s="237">
        <f t="shared" si="0"/>
        <v>1.990000000000002</v>
      </c>
      <c r="M16" s="237">
        <f t="shared" si="1"/>
        <v>2.990000000000002</v>
      </c>
      <c r="N16" s="236">
        <f>IFERROR((SUMIFS('Recebimentos do dia '!$H:$H,'Recebimentos do dia '!$C:$C,'Tabela Base'!$B16)+SUMIFS('Estoque Atual'!$G:$G,'Estoque Atual'!$A:$A,'Tabela Base'!$B16))/(SUMIFS('Recebimentos do dia '!$E:$E,'Recebimentos do dia '!$C:$C,'Tabela Base'!$B16)+SUMIFS('Estoque Atual'!$E:$E,'Estoque Atual'!$A:$A,'Tabela Base'!$B16)),0)</f>
        <v>0</v>
      </c>
      <c r="P16" s="238"/>
    </row>
    <row r="17" spans="1:18" outlineLevel="1">
      <c r="A17" s="199"/>
      <c r="B17" s="239">
        <v>11006</v>
      </c>
      <c r="C17" s="240" t="s">
        <v>168</v>
      </c>
      <c r="D17" s="241" t="s">
        <v>190</v>
      </c>
      <c r="E17" s="231">
        <v>29.59</v>
      </c>
      <c r="F17" s="231">
        <v>29.99</v>
      </c>
      <c r="G17" s="424"/>
      <c r="H17" s="233"/>
      <c r="I17" s="242"/>
      <c r="J17" s="235">
        <f>SUMIFS('Estoque Atual'!$E:$E,'Estoque Atual'!$A:$A,'Tabela Base'!$B17)+SUMIFS('Recebimentos do dia '!$E:$E,'Recebimentos do dia '!$C:$C,'Tabela Base'!$B17)</f>
        <v>0</v>
      </c>
      <c r="K17" s="236">
        <f>IFERROR(VLOOKUP($B17,'Cortes Traseiros'!$B$4:$H$9,7,FALSE)/
+VLOOKUP($B17,'Cortes Traseiros'!$B$4:$F$9,4,FALSE),0)</f>
        <v>26.650000000000002</v>
      </c>
      <c r="L17" s="237">
        <f t="shared" si="0"/>
        <v>2.9399999999999977</v>
      </c>
      <c r="M17" s="237">
        <f t="shared" si="1"/>
        <v>3.3399999999999963</v>
      </c>
      <c r="N17" s="236">
        <f>IFERROR((SUMIFS('Recebimentos do dia '!$H:$H,'Recebimentos do dia '!$C:$C,'Tabela Base'!$B17)+SUMIFS('Estoque Atual'!$G:$G,'Estoque Atual'!$A:$A,'Tabela Base'!$B17))/(SUMIFS('Recebimentos do dia '!$E:$E,'Recebimentos do dia '!$C:$C,'Tabela Base'!$B17)+SUMIFS('Estoque Atual'!$E:$E,'Estoque Atual'!$A:$A,'Tabela Base'!$B17)),0)</f>
        <v>0</v>
      </c>
      <c r="P17" s="238"/>
    </row>
    <row r="18" spans="1:18" outlineLevel="1">
      <c r="A18" s="199"/>
      <c r="B18" s="239">
        <v>11007</v>
      </c>
      <c r="C18" s="240" t="s">
        <v>267</v>
      </c>
      <c r="D18" s="241" t="s">
        <v>50</v>
      </c>
      <c r="E18" s="231">
        <v>29.59</v>
      </c>
      <c r="F18" s="231">
        <v>29.99</v>
      </c>
      <c r="G18" s="232"/>
      <c r="H18" s="233"/>
      <c r="I18" s="242"/>
      <c r="J18" s="235">
        <f>SUMIFS('Estoque Atual'!$E:$E,'Estoque Atual'!$A:$A,'Tabela Base'!$B18)+SUMIFS('Recebimentos do dia '!$E:$E,'Recebimentos do dia '!$C:$C,'Tabela Base'!$B18)</f>
        <v>11</v>
      </c>
      <c r="K18" s="236">
        <f>IFERROR(VLOOKUP($B18,'Cortes Traseiros'!$B$4:$H$9,7,FALSE)/
+VLOOKUP($B18,'Cortes Traseiros'!$B$4:$F$9,4,FALSE),0)</f>
        <v>26.99618547114434</v>
      </c>
      <c r="L18" s="237">
        <f t="shared" si="0"/>
        <v>2.5938145288556598</v>
      </c>
      <c r="M18" s="237">
        <f t="shared" si="1"/>
        <v>2.9938145288556584</v>
      </c>
      <c r="N18" s="236">
        <f>IFERROR((SUMIFS('Recebimentos do dia '!$H:$H,'Recebimentos do dia '!$C:$C,'Tabela Base'!$B18)+SUMIFS('Estoque Atual'!$G:$G,'Estoque Atual'!$A:$A,'Tabela Base'!$B18))/(SUMIFS('Recebimentos do dia '!$E:$E,'Recebimentos do dia '!$C:$C,'Tabela Base'!$B18)+SUMIFS('Estoque Atual'!$E:$E,'Estoque Atual'!$A:$A,'Tabela Base'!$B18)),0)</f>
        <v>21.854545454545455</v>
      </c>
      <c r="P18" s="238"/>
    </row>
    <row r="19" spans="1:18" outlineLevel="1">
      <c r="A19" s="199"/>
      <c r="B19" s="239">
        <v>11008</v>
      </c>
      <c r="C19" s="240" t="s">
        <v>43</v>
      </c>
      <c r="D19" s="241" t="s">
        <v>180</v>
      </c>
      <c r="E19" s="231">
        <v>29.99</v>
      </c>
      <c r="F19" s="231">
        <v>30.59</v>
      </c>
      <c r="G19" s="232"/>
      <c r="H19" s="233"/>
      <c r="I19" s="242"/>
      <c r="J19" s="235">
        <f>SUMIFS('Estoque Atual'!$E:$E,'Estoque Atual'!$A:$A,'Tabela Base'!$B19)+SUMIFS('Recebimentos do dia '!$E:$E,'Recebimentos do dia '!$C:$C,'Tabela Base'!$B19)</f>
        <v>0</v>
      </c>
      <c r="K19" s="236">
        <f>IFERROR(VLOOKUP($B19,'Cortes Traseiros'!$B$4:$H$9,7,FALSE)/
+VLOOKUP($B19,'Cortes Traseiros'!$B$4:$F$9,4,FALSE),0)</f>
        <v>26</v>
      </c>
      <c r="L19" s="237">
        <f t="shared" si="0"/>
        <v>3.9899999999999984</v>
      </c>
      <c r="M19" s="237">
        <f t="shared" si="1"/>
        <v>4.59</v>
      </c>
      <c r="N19" s="236">
        <f>IFERROR((SUMIFS('Recebimentos do dia '!$H:$H,'Recebimentos do dia '!$C:$C,'Tabela Base'!$B19)+SUMIFS('Estoque Atual'!$G:$G,'Estoque Atual'!$A:$A,'Tabela Base'!$B19))/(SUMIFS('Recebimentos do dia '!$E:$E,'Recebimentos do dia '!$C:$C,'Tabela Base'!$B19)+SUMIFS('Estoque Atual'!$E:$E,'Estoque Atual'!$A:$A,'Tabela Base'!$B19)),0)</f>
        <v>0</v>
      </c>
      <c r="P19" s="238"/>
    </row>
    <row r="20" spans="1:18" outlineLevel="1">
      <c r="A20" s="199"/>
      <c r="B20" s="239">
        <v>11009</v>
      </c>
      <c r="C20" s="240" t="s">
        <v>44</v>
      </c>
      <c r="D20" s="241" t="s">
        <v>178</v>
      </c>
      <c r="E20" s="231">
        <v>22.59</v>
      </c>
      <c r="F20" s="231">
        <v>22.79</v>
      </c>
      <c r="G20" s="232"/>
      <c r="H20" s="233"/>
      <c r="I20" s="242"/>
      <c r="J20" s="235">
        <f>SUMIFS('Estoque Atual'!$E:$E,'Estoque Atual'!$A:$A,'Tabela Base'!$B20)+SUMIFS('Recebimentos do dia '!$E:$E,'Recebimentos do dia '!$C:$C,'Tabela Base'!$B20)</f>
        <v>0</v>
      </c>
      <c r="K20" s="236">
        <f>(K12*7+K13*6+K14*2)/15</f>
        <v>20.42733333333333</v>
      </c>
      <c r="L20" s="237">
        <f t="shared" si="0"/>
        <v>2.1626666666666701</v>
      </c>
      <c r="M20" s="237">
        <f t="shared" si="1"/>
        <v>2.3626666666666694</v>
      </c>
      <c r="N20" s="236">
        <f>IFERROR((SUMIFS('Recebimentos do dia '!$H:$H,'Recebimentos do dia '!$C:$C,'Tabela Base'!$B20)+SUMIFS('Estoque Atual'!$G:$G,'Estoque Atual'!$A:$A,'Tabela Base'!$B20))/(SUMIFS('Recebimentos do dia '!$E:$E,'Recebimentos do dia '!$C:$C,'Tabela Base'!$B20)+SUMIFS('Estoque Atual'!$E:$E,'Estoque Atual'!$A:$A,'Tabela Base'!$B20)),0)</f>
        <v>0</v>
      </c>
      <c r="P20" s="238"/>
    </row>
    <row r="21" spans="1:18">
      <c r="A21" s="199"/>
      <c r="B21" s="209"/>
      <c r="C21" s="210"/>
      <c r="D21" s="211"/>
      <c r="E21" s="212"/>
      <c r="F21" s="212"/>
      <c r="G21" s="243"/>
      <c r="H21" s="244"/>
      <c r="J21" s="245"/>
      <c r="K21" s="216"/>
      <c r="L21" s="217"/>
      <c r="M21" s="217"/>
      <c r="N21" s="216"/>
      <c r="P21" s="238"/>
    </row>
    <row r="22" spans="1:18" s="224" customFormat="1" ht="23.25">
      <c r="A22" s="218"/>
      <c r="B22" s="219"/>
      <c r="C22" s="219"/>
      <c r="D22" s="220" t="s">
        <v>146</v>
      </c>
      <c r="E22" s="221"/>
      <c r="F22" s="221"/>
      <c r="G22" s="222"/>
      <c r="H22" s="223"/>
      <c r="J22" s="225"/>
      <c r="K22" s="226"/>
      <c r="L22" s="227"/>
      <c r="M22" s="227"/>
      <c r="N22" s="226"/>
      <c r="P22" s="238"/>
      <c r="R22" s="199"/>
    </row>
    <row r="23" spans="1:18" s="246" customFormat="1" hidden="1">
      <c r="B23" s="247">
        <v>12024</v>
      </c>
      <c r="C23" s="248" t="s">
        <v>154</v>
      </c>
      <c r="D23" s="249" t="s">
        <v>193</v>
      </c>
      <c r="E23" s="231">
        <v>27.99</v>
      </c>
      <c r="F23" s="231">
        <v>27.99</v>
      </c>
      <c r="G23" s="250" t="s">
        <v>220</v>
      </c>
      <c r="H23" s="251">
        <f>J23</f>
        <v>0</v>
      </c>
      <c r="I23" s="252"/>
      <c r="J23" s="235">
        <f>SUMIFS('Estoque Atual'!$E:$E,'Estoque Atual'!$A:$A,'Tabela Base'!$B23)+SUMIFS('Recebimentos do dia '!$E:$E,'Recebimentos do dia '!$C:$C,'Tabela Base'!$B23)</f>
        <v>0</v>
      </c>
      <c r="K23" s="236">
        <f>IFERROR((SUMIFS('Estoque Atual'!I:I,'Estoque Atual'!A:A,'Tabela Base'!B23)+SUMIFS('Recebimentos do dia '!I:I,'Recebimentos do dia '!C:C,'Tabela Base'!B23))/
(SUMIFS('Estoque Atual'!G:G,'Estoque Atual'!A:A,'Tabela Base'!B23)+SUMIFS('Recebimentos do dia '!H:H,'Recebimentos do dia '!C:C,'Tabela Base'!B23)),0)</f>
        <v>0</v>
      </c>
      <c r="L23" s="237">
        <f t="shared" ref="L23:L60" si="2">E23-K23</f>
        <v>27.99</v>
      </c>
      <c r="M23" s="237">
        <f t="shared" ref="M23:M62" si="3">F23-K23</f>
        <v>27.99</v>
      </c>
      <c r="N23" s="236">
        <f>IFERROR((SUMIFS('Recebimentos do dia '!$H:$H,'Recebimentos do dia '!$C:$C,'Tabela Base'!$B23)+SUMIFS('Estoque Atual'!$G:$G,'Estoque Atual'!$A:$A,'Tabela Base'!$B23))/(SUMIFS('Recebimentos do dia '!$E:$E,'Recebimentos do dia '!$C:$C,'Tabela Base'!$B23)+SUMIFS('Estoque Atual'!$E:$E,'Estoque Atual'!$A:$A,'Tabela Base'!$B23)),0)</f>
        <v>0</v>
      </c>
    </row>
    <row r="24" spans="1:18" s="246" customFormat="1" hidden="1">
      <c r="B24" s="253">
        <v>15004</v>
      </c>
      <c r="C24" s="254" t="s">
        <v>358</v>
      </c>
      <c r="D24" s="255" t="s">
        <v>340</v>
      </c>
      <c r="E24" s="231">
        <v>27.99</v>
      </c>
      <c r="F24" s="231">
        <v>27.99</v>
      </c>
      <c r="G24" s="256" t="s">
        <v>220</v>
      </c>
      <c r="H24" s="233">
        <f>J24</f>
        <v>0</v>
      </c>
      <c r="I24" s="257"/>
      <c r="J24" s="235">
        <f>SUMIFS('Estoque Atual'!$E:$E,'Estoque Atual'!$A:$A,'Tabela Base'!$B24)+SUMIFS('Recebimentos do dia '!$E:$E,'Recebimentos do dia '!$C:$C,'Tabela Base'!$B24)</f>
        <v>0</v>
      </c>
      <c r="K24" s="236">
        <f>IFERROR((SUMIFS('Estoque Atual'!I:I,'Estoque Atual'!A:A,'Tabela Base'!B24)+SUMIFS('Recebimentos do dia '!I:I,'Recebimentos do dia '!C:C,'Tabela Base'!B24))/
(SUMIFS('Estoque Atual'!G:G,'Estoque Atual'!A:A,'Tabela Base'!B24)+SUMIFS('Recebimentos do dia '!H:H,'Recebimentos do dia '!C:C,'Tabela Base'!B24)),0)</f>
        <v>0</v>
      </c>
      <c r="L24" s="237">
        <f>E24-K24</f>
        <v>27.99</v>
      </c>
      <c r="M24" s="237">
        <f t="shared" si="3"/>
        <v>27.99</v>
      </c>
      <c r="N24" s="236">
        <f>IFERROR((SUMIFS('Recebimentos do dia '!$H:$H,'Recebimentos do dia '!$C:$C,'Tabela Base'!$B24)+SUMIFS('Estoque Atual'!$G:$G,'Estoque Atual'!$A:$A,'Tabela Base'!$B24))/(SUMIFS('Recebimentos do dia '!$E:$E,'Recebimentos do dia '!$C:$C,'Tabela Base'!$B24)+SUMIFS('Estoque Atual'!$E:$E,'Estoque Atual'!$A:$A,'Tabela Base'!$B24)),0)</f>
        <v>0</v>
      </c>
    </row>
    <row r="25" spans="1:18" s="246" customFormat="1" hidden="1">
      <c r="B25" s="247">
        <v>12023</v>
      </c>
      <c r="C25" s="248" t="s">
        <v>155</v>
      </c>
      <c r="D25" s="249" t="s">
        <v>73</v>
      </c>
      <c r="E25" s="231">
        <v>25.9</v>
      </c>
      <c r="F25" s="231">
        <v>25.9</v>
      </c>
      <c r="G25" s="250" t="s">
        <v>234</v>
      </c>
      <c r="H25" s="258">
        <f t="shared" ref="H25:H60" si="4">J25</f>
        <v>0</v>
      </c>
      <c r="I25" s="252"/>
      <c r="J25" s="235">
        <f>SUMIFS('Estoque Atual'!$E:$E,'Estoque Atual'!$A:$A,'Tabela Base'!$B25)+SUMIFS('Recebimentos do dia '!$E:$E,'Recebimentos do dia '!$C:$C,'Tabela Base'!$B25)</f>
        <v>0</v>
      </c>
      <c r="K25" s="236">
        <f>IFERROR((SUMIFS('Estoque Atual'!I:I,'Estoque Atual'!A:A,'Tabela Base'!B25)+SUMIFS('Recebimentos do dia '!I:I,'Recebimentos do dia '!C:C,'Tabela Base'!B25))/
(SUMIFS('Estoque Atual'!G:G,'Estoque Atual'!A:A,'Tabela Base'!B25)+SUMIFS('Recebimentos do dia '!H:H,'Recebimentos do dia '!C:C,'Tabela Base'!B25)),0)</f>
        <v>0</v>
      </c>
      <c r="L25" s="237">
        <f t="shared" si="2"/>
        <v>25.9</v>
      </c>
      <c r="M25" s="237">
        <f t="shared" si="3"/>
        <v>25.9</v>
      </c>
      <c r="N25" s="236">
        <f>IFERROR((SUMIFS('Recebimentos do dia '!$H:$H,'Recebimentos do dia '!$C:$C,'Tabela Base'!$B25)+SUMIFS('Estoque Atual'!$G:$G,'Estoque Atual'!$A:$A,'Tabela Base'!$B25))/(SUMIFS('Recebimentos do dia '!$E:$E,'Recebimentos do dia '!$C:$C,'Tabela Base'!$B25)+SUMIFS('Estoque Atual'!$E:$E,'Estoque Atual'!$A:$A,'Tabela Base'!$B25)),0)</f>
        <v>0</v>
      </c>
    </row>
    <row r="26" spans="1:18" hidden="1">
      <c r="A26" s="199"/>
      <c r="B26" s="247">
        <v>12013</v>
      </c>
      <c r="C26" s="248" t="s">
        <v>150</v>
      </c>
      <c r="D26" s="249" t="s">
        <v>347</v>
      </c>
      <c r="E26" s="231">
        <v>26.99</v>
      </c>
      <c r="F26" s="231">
        <v>26.99</v>
      </c>
      <c r="G26" s="250" t="s">
        <v>220</v>
      </c>
      <c r="H26" s="233">
        <f t="shared" si="4"/>
        <v>0</v>
      </c>
      <c r="I26" s="242"/>
      <c r="J26" s="235">
        <f>SUMIFS('Estoque Atual'!$E:$E,'Estoque Atual'!$A:$A,'Tabela Base'!$B26)+SUMIFS('Recebimentos do dia '!$E:$E,'Recebimentos do dia '!$C:$C,'Tabela Base'!$B26)</f>
        <v>0</v>
      </c>
      <c r="K26" s="236">
        <f>IFERROR((SUMIFS('Estoque Atual'!I:I,'Estoque Atual'!A:A,'Tabela Base'!B26)+SUMIFS('Recebimentos do dia '!I:I,'Recebimentos do dia '!C:C,'Tabela Base'!B26))/
(SUMIFS('Estoque Atual'!G:G,'Estoque Atual'!A:A,'Tabela Base'!B26)+SUMIFS('Recebimentos do dia '!H:H,'Recebimentos do dia '!C:C,'Tabela Base'!B26)),0)</f>
        <v>0</v>
      </c>
      <c r="L26" s="237">
        <f t="shared" si="2"/>
        <v>26.99</v>
      </c>
      <c r="M26" s="237">
        <f t="shared" si="3"/>
        <v>26.99</v>
      </c>
      <c r="N26" s="236">
        <f>IFERROR((SUMIFS('Recebimentos do dia '!$H:$H,'Recebimentos do dia '!$C:$C,'Tabela Base'!$B26)+SUMIFS('Estoque Atual'!$G:$G,'Estoque Atual'!$A:$A,'Tabela Base'!$B26))/(SUMIFS('Recebimentos do dia '!$E:$E,'Recebimentos do dia '!$C:$C,'Tabela Base'!$B26)+SUMIFS('Estoque Atual'!$E:$E,'Estoque Atual'!$A:$A,'Tabela Base'!$B26)),0)</f>
        <v>0</v>
      </c>
      <c r="P26" s="238"/>
    </row>
    <row r="27" spans="1:18" s="246" customFormat="1" hidden="1">
      <c r="B27" s="247">
        <v>12052</v>
      </c>
      <c r="C27" s="248" t="s">
        <v>150</v>
      </c>
      <c r="D27" s="249" t="s">
        <v>4</v>
      </c>
      <c r="E27" s="231">
        <v>24.99</v>
      </c>
      <c r="F27" s="231">
        <v>24.99</v>
      </c>
      <c r="G27" s="250" t="s">
        <v>254</v>
      </c>
      <c r="H27" s="233">
        <f t="shared" si="4"/>
        <v>0</v>
      </c>
      <c r="I27" s="252"/>
      <c r="J27" s="235">
        <f>SUMIFS('Estoque Atual'!$E:$E,'Estoque Atual'!$A:$A,'Tabela Base'!$B27)+SUMIFS('Recebimentos do dia '!$E:$E,'Recebimentos do dia '!$C:$C,'Tabela Base'!$B27)</f>
        <v>0</v>
      </c>
      <c r="K27" s="236">
        <f>IFERROR((SUMIFS('Estoque Atual'!I:I,'Estoque Atual'!A:A,'Tabela Base'!B27)+SUMIFS('Recebimentos do dia '!I:I,'Recebimentos do dia '!C:C,'Tabela Base'!B27))/
(SUMIFS('Estoque Atual'!G:G,'Estoque Atual'!A:A,'Tabela Base'!B27)+SUMIFS('Recebimentos do dia '!H:H,'Recebimentos do dia '!C:C,'Tabela Base'!B27)),0)</f>
        <v>0</v>
      </c>
      <c r="L27" s="237">
        <f t="shared" si="2"/>
        <v>24.99</v>
      </c>
      <c r="M27" s="237">
        <f t="shared" si="3"/>
        <v>24.99</v>
      </c>
      <c r="N27" s="236">
        <f>IFERROR((SUMIFS('Recebimentos do dia '!$H:$H,'Recebimentos do dia '!$C:$C,'Tabela Base'!$B27)+SUMIFS('Estoque Atual'!$G:$G,'Estoque Atual'!$A:$A,'Tabela Base'!$B27))/(SUMIFS('Recebimentos do dia '!$E:$E,'Recebimentos do dia '!$C:$C,'Tabela Base'!$B27)+SUMIFS('Estoque Atual'!$E:$E,'Estoque Atual'!$A:$A,'Tabela Base'!$B27)),0)</f>
        <v>0</v>
      </c>
    </row>
    <row r="28" spans="1:18" s="246" customFormat="1" hidden="1">
      <c r="B28" s="247">
        <v>12103</v>
      </c>
      <c r="C28" s="248" t="s">
        <v>150</v>
      </c>
      <c r="D28" s="249" t="s">
        <v>73</v>
      </c>
      <c r="E28" s="231">
        <v>27.49</v>
      </c>
      <c r="F28" s="231">
        <v>27.49</v>
      </c>
      <c r="G28" s="250" t="s">
        <v>220</v>
      </c>
      <c r="H28" s="258">
        <f t="shared" si="4"/>
        <v>0</v>
      </c>
      <c r="J28" s="235">
        <f>SUMIFS('Estoque Atual'!$E:$E,'Estoque Atual'!$A:$A,'Tabela Base'!$B28)+SUMIFS('Recebimentos do dia '!$E:$E,'Recebimentos do dia '!$C:$C,'Tabela Base'!$B28)</f>
        <v>0</v>
      </c>
      <c r="K28" s="236">
        <f>IFERROR((SUMIFS('Estoque Atual'!I:I,'Estoque Atual'!A:A,'Tabela Base'!B28)+SUMIFS('Recebimentos do dia '!I:I,'Recebimentos do dia '!C:C,'Tabela Base'!B28))/
(SUMIFS('Estoque Atual'!G:G,'Estoque Atual'!A:A,'Tabela Base'!B28)+SUMIFS('Recebimentos do dia '!H:H,'Recebimentos do dia '!C:C,'Tabela Base'!B28)),0)</f>
        <v>0</v>
      </c>
      <c r="L28" s="237">
        <f t="shared" si="2"/>
        <v>27.49</v>
      </c>
      <c r="M28" s="237">
        <f t="shared" si="3"/>
        <v>27.49</v>
      </c>
      <c r="N28" s="236">
        <f>IFERROR((SUMIFS('Recebimentos do dia '!$H:$H,'Recebimentos do dia '!$C:$C,'Tabela Base'!$B28)+SUMIFS('Estoque Atual'!$G:$G,'Estoque Atual'!$A:$A,'Tabela Base'!$B28))/(SUMIFS('Recebimentos do dia '!$E:$E,'Recebimentos do dia '!$C:$C,'Tabela Base'!$B28)+SUMIFS('Estoque Atual'!$E:$E,'Estoque Atual'!$A:$A,'Tabela Base'!$B28)),0)</f>
        <v>0</v>
      </c>
    </row>
    <row r="29" spans="1:18" s="246" customFormat="1" hidden="1">
      <c r="B29" s="247">
        <v>12186</v>
      </c>
      <c r="C29" s="248" t="s">
        <v>150</v>
      </c>
      <c r="D29" s="249" t="s">
        <v>417</v>
      </c>
      <c r="E29" s="231">
        <v>24.69</v>
      </c>
      <c r="F29" s="231">
        <v>24.89</v>
      </c>
      <c r="G29" s="250" t="s">
        <v>415</v>
      </c>
      <c r="H29" s="233">
        <f>J29</f>
        <v>0</v>
      </c>
      <c r="J29" s="235">
        <f>SUMIFS('Estoque Atual'!$E:$E,'Estoque Atual'!$A:$A,'Tabela Base'!$B29)+SUMIFS('Recebimentos do dia '!$E:$E,'Recebimentos do dia '!$C:$C,'Tabela Base'!$B29)</f>
        <v>0</v>
      </c>
      <c r="K29" s="236">
        <f>IFERROR((SUMIFS('Estoque Atual'!I:I,'Estoque Atual'!A:A,'Tabela Base'!B29)+SUMIFS('Recebimentos do dia '!I:I,'Recebimentos do dia '!C:C,'Tabela Base'!B29))/
(SUMIFS('Estoque Atual'!G:G,'Estoque Atual'!A:A,'Tabela Base'!B29)+SUMIFS('Recebimentos do dia '!H:H,'Recebimentos do dia '!C:C,'Tabela Base'!B29)),0)</f>
        <v>0</v>
      </c>
      <c r="L29" s="237">
        <f t="shared" si="2"/>
        <v>24.69</v>
      </c>
      <c r="M29" s="237">
        <f t="shared" si="3"/>
        <v>24.89</v>
      </c>
      <c r="N29" s="236">
        <f>IFERROR((SUMIFS('Recebimentos do dia '!$H:$H,'Recebimentos do dia '!$C:$C,'Tabela Base'!$B29)+SUMIFS('Estoque Atual'!$G:$G,'Estoque Atual'!$A:$A,'Tabela Base'!$B29))/(SUMIFS('Recebimentos do dia '!$E:$E,'Recebimentos do dia '!$C:$C,'Tabela Base'!$B29)+SUMIFS('Estoque Atual'!$E:$E,'Estoque Atual'!$A:$A,'Tabela Base'!$B29)),0)</f>
        <v>0</v>
      </c>
    </row>
    <row r="30" spans="1:18" hidden="1">
      <c r="A30" s="199"/>
      <c r="B30" s="259">
        <v>22008</v>
      </c>
      <c r="C30" s="248" t="s">
        <v>359</v>
      </c>
      <c r="D30" s="249" t="s">
        <v>189</v>
      </c>
      <c r="E30" s="231">
        <v>26.69</v>
      </c>
      <c r="F30" s="231">
        <v>26.69</v>
      </c>
      <c r="G30" s="250" t="s">
        <v>220</v>
      </c>
      <c r="H30" s="258">
        <f t="shared" si="4"/>
        <v>0</v>
      </c>
      <c r="J30" s="235">
        <f>SUMIFS('Estoque Atual'!$E:$E,'Estoque Atual'!$A:$A,'Tabela Base'!$B30)+SUMIFS('Recebimentos do dia '!$E:$E,'Recebimentos do dia '!$C:$C,'Tabela Base'!$B30)</f>
        <v>0</v>
      </c>
      <c r="K30" s="236">
        <f>IFERROR((SUMIFS('Estoque Atual'!I:I,'Estoque Atual'!A:A,'Tabela Base'!B30)+SUMIFS('Recebimentos do dia '!I:I,'Recebimentos do dia '!C:C,'Tabela Base'!B30))/
(SUMIFS('Estoque Atual'!G:G,'Estoque Atual'!A:A,'Tabela Base'!B30)+SUMIFS('Recebimentos do dia '!H:H,'Recebimentos do dia '!C:C,'Tabela Base'!B30)),0)</f>
        <v>0</v>
      </c>
      <c r="L30" s="237">
        <f t="shared" si="2"/>
        <v>26.69</v>
      </c>
      <c r="M30" s="237">
        <f t="shared" si="3"/>
        <v>26.69</v>
      </c>
      <c r="N30" s="236">
        <f>IFERROR((SUMIFS('Recebimentos do dia '!$H:$H,'Recebimentos do dia '!$C:$C,'Tabela Base'!$B30)+SUMIFS('Estoque Atual'!$G:$G,'Estoque Atual'!$A:$A,'Tabela Base'!$B30))/(SUMIFS('Recebimentos do dia '!$E:$E,'Recebimentos do dia '!$C:$C,'Tabela Base'!$B30)+SUMIFS('Estoque Atual'!$E:$E,'Estoque Atual'!$A:$A,'Tabela Base'!$B30)),0)</f>
        <v>0</v>
      </c>
    </row>
    <row r="31" spans="1:18" s="246" customFormat="1" hidden="1">
      <c r="B31" s="247">
        <v>12082</v>
      </c>
      <c r="C31" s="248" t="s">
        <v>37</v>
      </c>
      <c r="D31" s="249" t="s">
        <v>94</v>
      </c>
      <c r="E31" s="231">
        <v>0</v>
      </c>
      <c r="F31" s="231">
        <v>0</v>
      </c>
      <c r="G31" s="250" t="s">
        <v>220</v>
      </c>
      <c r="H31" s="258">
        <f t="shared" si="4"/>
        <v>0</v>
      </c>
      <c r="J31" s="235">
        <f>SUMIFS('Estoque Atual'!$E:$E,'Estoque Atual'!$A:$A,'Tabela Base'!$B31)+SUMIFS('Recebimentos do dia '!$E:$E,'Recebimentos do dia '!$C:$C,'Tabela Base'!$B31)</f>
        <v>0</v>
      </c>
      <c r="K31" s="236">
        <f>IFERROR((SUMIFS('Estoque Atual'!I:I,'Estoque Atual'!A:A,'Tabela Base'!B31)+SUMIFS('Recebimentos do dia '!I:I,'Recebimentos do dia '!C:C,'Tabela Base'!B31))/
(SUMIFS('Estoque Atual'!G:G,'Estoque Atual'!A:A,'Tabela Base'!B31)+SUMIFS('Recebimentos do dia '!H:H,'Recebimentos do dia '!C:C,'Tabela Base'!B31)),0)</f>
        <v>0</v>
      </c>
      <c r="L31" s="237">
        <f t="shared" si="2"/>
        <v>0</v>
      </c>
      <c r="M31" s="237">
        <f t="shared" si="3"/>
        <v>0</v>
      </c>
      <c r="N31" s="236">
        <f>IFERROR((SUMIFS('Recebimentos do dia '!$H:$H,'Recebimentos do dia '!$C:$C,'Tabela Base'!$B31)+SUMIFS('Estoque Atual'!$G:$G,'Estoque Atual'!$A:$A,'Tabela Base'!$B31))/(SUMIFS('Recebimentos do dia '!$E:$E,'Recebimentos do dia '!$C:$C,'Tabela Base'!$B31)+SUMIFS('Estoque Atual'!$E:$E,'Estoque Atual'!$A:$A,'Tabela Base'!$B31)),0)</f>
        <v>0</v>
      </c>
    </row>
    <row r="32" spans="1:18" s="246" customFormat="1">
      <c r="B32" s="247">
        <v>12128</v>
      </c>
      <c r="C32" s="248" t="s">
        <v>37</v>
      </c>
      <c r="D32" s="249" t="s">
        <v>334</v>
      </c>
      <c r="E32" s="231">
        <v>31.49</v>
      </c>
      <c r="F32" s="231">
        <v>31.49</v>
      </c>
      <c r="G32" s="250" t="s">
        <v>269</v>
      </c>
      <c r="H32" s="233">
        <f>J32</f>
        <v>28</v>
      </c>
      <c r="J32" s="235">
        <f>SUMIFS('Estoque Atual'!$E:$E,'Estoque Atual'!$A:$A,'Tabela Base'!$B32)+SUMIFS('Recebimentos do dia '!$E:$E,'Recebimentos do dia '!$C:$C,'Tabela Base'!$B32)</f>
        <v>28</v>
      </c>
      <c r="K32" s="236">
        <f>IFERROR((SUMIFS('Estoque Atual'!I:I,'Estoque Atual'!A:A,'Tabela Base'!B32)+SUMIFS('Recebimentos do dia '!I:I,'Recebimentos do dia '!C:C,'Tabela Base'!B32))/
(SUMIFS('Estoque Atual'!G:G,'Estoque Atual'!A:A,'Tabela Base'!B32)+SUMIFS('Recebimentos do dia '!H:H,'Recebimentos do dia '!C:C,'Tabela Base'!B32)),0)</f>
        <v>28.500000000000004</v>
      </c>
      <c r="L32" s="237">
        <f t="shared" ref="L32" si="5">E32-K32</f>
        <v>2.9899999999999949</v>
      </c>
      <c r="M32" s="237">
        <f t="shared" si="3"/>
        <v>2.9899999999999949</v>
      </c>
      <c r="N32" s="236">
        <f>IFERROR((SUMIFS('Recebimentos do dia '!$H:$H,'Recebimentos do dia '!$C:$C,'Tabela Base'!$B32)+SUMIFS('Estoque Atual'!$G:$G,'Estoque Atual'!$A:$A,'Tabela Base'!$B32))/(SUMIFS('Recebimentos do dia '!$E:$E,'Recebimentos do dia '!$C:$C,'Tabela Base'!$B32)+SUMIFS('Estoque Atual'!$E:$E,'Estoque Atual'!$A:$A,'Tabela Base'!$B32)),0)</f>
        <v>25.860714285714288</v>
      </c>
    </row>
    <row r="33" spans="1:16" s="246" customFormat="1" hidden="1">
      <c r="B33" s="260">
        <v>22003</v>
      </c>
      <c r="C33" s="261" t="s">
        <v>360</v>
      </c>
      <c r="D33" s="249" t="s">
        <v>189</v>
      </c>
      <c r="E33" s="231">
        <v>30.59</v>
      </c>
      <c r="F33" s="231">
        <v>30.59</v>
      </c>
      <c r="G33" s="250" t="s">
        <v>220</v>
      </c>
      <c r="H33" s="258">
        <f t="shared" si="4"/>
        <v>0</v>
      </c>
      <c r="J33" s="235">
        <f>SUMIFS('Estoque Atual'!$E:$E,'Estoque Atual'!$A:$A,'Tabela Base'!$B33)+SUMIFS('Recebimentos do dia '!$E:$E,'Recebimentos do dia '!$C:$C,'Tabela Base'!$B33)</f>
        <v>0</v>
      </c>
      <c r="K33" s="236">
        <f>IFERROR((SUMIFS('Estoque Atual'!I:I,'Estoque Atual'!A:A,'Tabela Base'!B33)+SUMIFS('Recebimentos do dia '!I:I,'Recebimentos do dia '!C:C,'Tabela Base'!B33))/
(SUMIFS('Estoque Atual'!G:G,'Estoque Atual'!A:A,'Tabela Base'!B33)+SUMIFS('Recebimentos do dia '!H:H,'Recebimentos do dia '!C:C,'Tabela Base'!B33)),0)</f>
        <v>0</v>
      </c>
      <c r="L33" s="237">
        <f t="shared" si="2"/>
        <v>30.59</v>
      </c>
      <c r="M33" s="237">
        <f t="shared" si="3"/>
        <v>30.59</v>
      </c>
      <c r="N33" s="236">
        <f>IFERROR((SUMIFS('Recebimentos do dia '!$H:$H,'Recebimentos do dia '!$C:$C,'Tabela Base'!$B33)+SUMIFS('Estoque Atual'!$G:$G,'Estoque Atual'!$A:$A,'Tabela Base'!$B33))/(SUMIFS('Recebimentos do dia '!$E:$E,'Recebimentos do dia '!$C:$C,'Tabela Base'!$B33)+SUMIFS('Estoque Atual'!$E:$E,'Estoque Atual'!$A:$A,'Tabela Base'!$B33)),0)</f>
        <v>0</v>
      </c>
      <c r="P33" s="262"/>
    </row>
    <row r="34" spans="1:16" s="246" customFormat="1" hidden="1">
      <c r="B34" s="247">
        <v>12034</v>
      </c>
      <c r="C34" s="248" t="s">
        <v>288</v>
      </c>
      <c r="D34" s="249" t="s">
        <v>303</v>
      </c>
      <c r="E34" s="231">
        <v>28.99</v>
      </c>
      <c r="F34" s="231">
        <v>28.99</v>
      </c>
      <c r="G34" s="250" t="s">
        <v>220</v>
      </c>
      <c r="H34" s="258">
        <f>J34</f>
        <v>0</v>
      </c>
      <c r="J34" s="235">
        <f>SUMIFS('Estoque Atual'!$E:$E,'Estoque Atual'!$A:$A,'Tabela Base'!$B34)+SUMIFS('Recebimentos do dia '!$E:$E,'Recebimentos do dia '!$C:$C,'Tabela Base'!$B34)</f>
        <v>0</v>
      </c>
      <c r="K34" s="236">
        <f>IFERROR((SUMIFS('Estoque Atual'!I:I,'Estoque Atual'!A:A,'Tabela Base'!B34)+SUMIFS('Recebimentos do dia '!I:I,'Recebimentos do dia '!C:C,'Tabela Base'!B34))/
(SUMIFS('Estoque Atual'!G:G,'Estoque Atual'!A:A,'Tabela Base'!B34)+SUMIFS('Recebimentos do dia '!H:H,'Recebimentos do dia '!C:C,'Tabela Base'!B34)),0)</f>
        <v>0</v>
      </c>
      <c r="L34" s="237">
        <f>E34-K34</f>
        <v>28.99</v>
      </c>
      <c r="M34" s="237">
        <f t="shared" si="3"/>
        <v>28.99</v>
      </c>
      <c r="N34" s="236">
        <f>IFERROR((SUMIFS('Recebimentos do dia '!$H:$H,'Recebimentos do dia '!$C:$C,'Tabela Base'!$B34)+SUMIFS('Estoque Atual'!$G:$G,'Estoque Atual'!$A:$A,'Tabela Base'!$B34))/(SUMIFS('Recebimentos do dia '!$E:$E,'Recebimentos do dia '!$C:$C,'Tabela Base'!$B34)+SUMIFS('Estoque Atual'!$E:$E,'Estoque Atual'!$A:$A,'Tabela Base'!$B34)),0)</f>
        <v>0</v>
      </c>
      <c r="P34" s="262"/>
    </row>
    <row r="35" spans="1:16" s="246" customFormat="1">
      <c r="B35" s="265">
        <v>12165</v>
      </c>
      <c r="C35" s="266" t="s">
        <v>37</v>
      </c>
      <c r="D35" s="267" t="s">
        <v>333</v>
      </c>
      <c r="E35" s="231">
        <v>31.49</v>
      </c>
      <c r="F35" s="231">
        <v>29.99</v>
      </c>
      <c r="G35" s="426" t="s">
        <v>468</v>
      </c>
      <c r="H35" s="427">
        <f t="shared" si="4"/>
        <v>87</v>
      </c>
      <c r="J35" s="235">
        <f>SUMIFS('Estoque Atual'!$E:$E,'Estoque Atual'!$A:$A,'Tabela Base'!$B35)+SUMIFS('Recebimentos do dia '!$E:$E,'Recebimentos do dia '!$C:$C,'Tabela Base'!$B35)</f>
        <v>87</v>
      </c>
      <c r="K35" s="236">
        <f>IFERROR((SUMIFS('Estoque Atual'!I:I,'Estoque Atual'!A:A,'Tabela Base'!B35)+SUMIFS('Recebimentos do dia '!I:I,'Recebimentos do dia '!C:C,'Tabela Base'!B35))/
(SUMIFS('Estoque Atual'!G:G,'Estoque Atual'!A:A,'Tabela Base'!B35)+SUMIFS('Recebimentos do dia '!H:H,'Recebimentos do dia '!C:C,'Tabela Base'!B35)),0)</f>
        <v>29</v>
      </c>
      <c r="L35" s="237">
        <f t="shared" si="2"/>
        <v>2.4899999999999984</v>
      </c>
      <c r="M35" s="237">
        <f t="shared" si="3"/>
        <v>0.98999999999999844</v>
      </c>
      <c r="N35" s="236">
        <f>IFERROR((SUMIFS('Recebimentos do dia '!$H:$H,'Recebimentos do dia '!$C:$C,'Tabela Base'!$B35)+SUMIFS('Estoque Atual'!$G:$G,'Estoque Atual'!$A:$A,'Tabela Base'!$B35))/(SUMIFS('Recebimentos do dia '!$E:$E,'Recebimentos do dia '!$C:$C,'Tabela Base'!$B35)+SUMIFS('Estoque Atual'!$E:$E,'Estoque Atual'!$A:$A,'Tabela Base'!$B35)),0)</f>
        <v>22.917494252873563</v>
      </c>
    </row>
    <row r="36" spans="1:16">
      <c r="A36" s="199"/>
      <c r="B36" s="247">
        <v>12007</v>
      </c>
      <c r="C36" s="248" t="s">
        <v>132</v>
      </c>
      <c r="D36" s="249" t="s">
        <v>52</v>
      </c>
      <c r="E36" s="231">
        <v>32.590000000000003</v>
      </c>
      <c r="F36" s="231">
        <v>32.590000000000003</v>
      </c>
      <c r="G36" s="250" t="s">
        <v>220</v>
      </c>
      <c r="H36" s="258">
        <f t="shared" si="4"/>
        <v>53</v>
      </c>
      <c r="J36" s="235">
        <f>SUMIFS('Estoque Atual'!$E:$E,'Estoque Atual'!$A:$A,'Tabela Base'!$B36)+SUMIFS('Recebimentos do dia '!$E:$E,'Recebimentos do dia '!$C:$C,'Tabela Base'!$B36)</f>
        <v>53</v>
      </c>
      <c r="K36" s="236">
        <f>IFERROR((SUMIFS('Estoque Atual'!I:I,'Estoque Atual'!A:A,'Tabela Base'!B36)+SUMIFS('Recebimentos do dia '!I:I,'Recebimentos do dia '!C:C,'Tabela Base'!B36))/
(SUMIFS('Estoque Atual'!G:G,'Estoque Atual'!A:A,'Tabela Base'!B36)+SUMIFS('Recebimentos do dia '!H:H,'Recebimentos do dia '!C:C,'Tabela Base'!B36)),0)</f>
        <v>30</v>
      </c>
      <c r="L36" s="237">
        <f t="shared" si="2"/>
        <v>2.5900000000000034</v>
      </c>
      <c r="M36" s="237">
        <f t="shared" si="3"/>
        <v>2.5900000000000034</v>
      </c>
      <c r="N36" s="236">
        <f>IFERROR((SUMIFS('Recebimentos do dia '!$H:$H,'Recebimentos do dia '!$C:$C,'Tabela Base'!$B36)+SUMIFS('Estoque Atual'!$G:$G,'Estoque Atual'!$A:$A,'Tabela Base'!$B36))/(SUMIFS('Recebimentos do dia '!$E:$E,'Recebimentos do dia '!$C:$C,'Tabela Base'!$B36)+SUMIFS('Estoque Atual'!$E:$E,'Estoque Atual'!$A:$A,'Tabela Base'!$B36)),0)</f>
        <v>19.66379245283019</v>
      </c>
    </row>
    <row r="37" spans="1:16" s="246" customFormat="1" hidden="1">
      <c r="B37" s="263">
        <v>12074</v>
      </c>
      <c r="C37" s="248" t="s">
        <v>264</v>
      </c>
      <c r="D37" s="249" t="s">
        <v>6</v>
      </c>
      <c r="E37" s="231">
        <v>31.99</v>
      </c>
      <c r="F37" s="231">
        <v>31.99</v>
      </c>
      <c r="G37" s="250" t="s">
        <v>220</v>
      </c>
      <c r="H37" s="258">
        <f t="shared" ref="H37" si="6">J37</f>
        <v>0</v>
      </c>
      <c r="J37" s="235">
        <f>SUMIFS('Estoque Atual'!$E:$E,'Estoque Atual'!$A:$A,'Tabela Base'!$B37)+SUMIFS('Recebimentos do dia '!$E:$E,'Recebimentos do dia '!$C:$C,'Tabela Base'!$B37)</f>
        <v>0</v>
      </c>
      <c r="K37" s="236">
        <f>IFERROR((SUMIFS('Estoque Atual'!I:I,'Estoque Atual'!A:A,'Tabela Base'!B37)+SUMIFS('Recebimentos do dia '!I:I,'Recebimentos do dia '!C:C,'Tabela Base'!B37))/
(SUMIFS('Estoque Atual'!G:G,'Estoque Atual'!A:A,'Tabela Base'!B37)+SUMIFS('Recebimentos do dia '!H:H,'Recebimentos do dia '!C:C,'Tabela Base'!B37)),0)</f>
        <v>0</v>
      </c>
      <c r="L37" s="237">
        <f t="shared" si="2"/>
        <v>31.99</v>
      </c>
      <c r="M37" s="237">
        <f t="shared" si="3"/>
        <v>31.99</v>
      </c>
      <c r="N37" s="236">
        <f>IFERROR((SUMIFS('Recebimentos do dia '!$H:$H,'Recebimentos do dia '!$C:$C,'Tabela Base'!$B37)+SUMIFS('Estoque Atual'!$G:$G,'Estoque Atual'!$A:$A,'Tabela Base'!$B37))/(SUMIFS('Recebimentos do dia '!$E:$E,'Recebimentos do dia '!$C:$C,'Tabela Base'!$B37)+SUMIFS('Estoque Atual'!$E:$E,'Estoque Atual'!$A:$A,'Tabela Base'!$B37)),0)</f>
        <v>0</v>
      </c>
    </row>
    <row r="38" spans="1:16" s="246" customFormat="1" hidden="1">
      <c r="B38" s="247">
        <v>12055</v>
      </c>
      <c r="C38" s="248" t="s">
        <v>102</v>
      </c>
      <c r="D38" s="249" t="s">
        <v>417</v>
      </c>
      <c r="E38" s="231">
        <v>29.39</v>
      </c>
      <c r="F38" s="231">
        <v>29.99</v>
      </c>
      <c r="G38" s="264" t="s">
        <v>336</v>
      </c>
      <c r="H38" s="258">
        <f t="shared" si="4"/>
        <v>0</v>
      </c>
      <c r="J38" s="235">
        <f>SUMIFS('Estoque Atual'!$E:$E,'Estoque Atual'!$A:$A,'Tabela Base'!$B38)+SUMIFS('Recebimentos do dia '!$E:$E,'Recebimentos do dia '!$C:$C,'Tabela Base'!$B38)</f>
        <v>0</v>
      </c>
      <c r="K38" s="236">
        <f>IFERROR((SUMIFS('Estoque Atual'!I:I,'Estoque Atual'!A:A,'Tabela Base'!B38)+SUMIFS('Recebimentos do dia '!I:I,'Recebimentos do dia '!C:C,'Tabela Base'!B38))/
(SUMIFS('Estoque Atual'!G:G,'Estoque Atual'!A:A,'Tabela Base'!B38)+SUMIFS('Recebimentos do dia '!H:H,'Recebimentos do dia '!C:C,'Tabela Base'!B38)),0)</f>
        <v>0</v>
      </c>
      <c r="L38" s="237">
        <f t="shared" si="2"/>
        <v>29.39</v>
      </c>
      <c r="M38" s="237">
        <f t="shared" si="3"/>
        <v>29.99</v>
      </c>
      <c r="N38" s="236">
        <f>IFERROR((SUMIFS('Recebimentos do dia '!$H:$H,'Recebimentos do dia '!$C:$C,'Tabela Base'!$B38)+SUMIFS('Estoque Atual'!$G:$G,'Estoque Atual'!$A:$A,'Tabela Base'!$B38))/(SUMIFS('Recebimentos do dia '!$E:$E,'Recebimentos do dia '!$C:$C,'Tabela Base'!$B38)+SUMIFS('Estoque Atual'!$E:$E,'Estoque Atual'!$A:$A,'Tabela Base'!$B38)),0)</f>
        <v>0</v>
      </c>
    </row>
    <row r="39" spans="1:16" s="246" customFormat="1" hidden="1">
      <c r="B39" s="265">
        <v>12097</v>
      </c>
      <c r="C39" s="266" t="s">
        <v>69</v>
      </c>
      <c r="D39" s="267" t="s">
        <v>46</v>
      </c>
      <c r="E39" s="231">
        <v>26</v>
      </c>
      <c r="F39" s="231">
        <v>26</v>
      </c>
      <c r="G39" s="268" t="s">
        <v>220</v>
      </c>
      <c r="H39" s="258">
        <f t="shared" si="4"/>
        <v>0</v>
      </c>
      <c r="J39" s="235">
        <f>SUMIFS('Estoque Atual'!$E:$E,'Estoque Atual'!$A:$A,'Tabela Base'!$B39)+SUMIFS('Recebimentos do dia '!$E:$E,'Recebimentos do dia '!$C:$C,'Tabela Base'!$B39)</f>
        <v>0</v>
      </c>
      <c r="K39" s="236">
        <f>IFERROR((SUMIFS('Estoque Atual'!I:I,'Estoque Atual'!A:A,'Tabela Base'!B39)+SUMIFS('Recebimentos do dia '!I:I,'Recebimentos do dia '!C:C,'Tabela Base'!B39))/
(SUMIFS('Estoque Atual'!G:G,'Estoque Atual'!A:A,'Tabela Base'!B39)+SUMIFS('Recebimentos do dia '!H:H,'Recebimentos do dia '!C:C,'Tabela Base'!B39)),0)</f>
        <v>0</v>
      </c>
      <c r="L39" s="237">
        <f t="shared" si="2"/>
        <v>26</v>
      </c>
      <c r="M39" s="237">
        <f t="shared" si="3"/>
        <v>26</v>
      </c>
      <c r="N39" s="236">
        <f>IFERROR((SUMIFS('Recebimentos do dia '!$H:$H,'Recebimentos do dia '!$C:$C,'Tabela Base'!$B39)+SUMIFS('Estoque Atual'!$G:$G,'Estoque Atual'!$A:$A,'Tabela Base'!$B39))/(SUMIFS('Recebimentos do dia '!$E:$E,'Recebimentos do dia '!$C:$C,'Tabela Base'!$B39)+SUMIFS('Estoque Atual'!$E:$E,'Estoque Atual'!$A:$A,'Tabela Base'!$B39)),0)</f>
        <v>0</v>
      </c>
    </row>
    <row r="40" spans="1:16" s="246" customFormat="1" hidden="1">
      <c r="B40" s="269">
        <v>22001</v>
      </c>
      <c r="C40" s="248" t="s">
        <v>361</v>
      </c>
      <c r="D40" s="249" t="s">
        <v>189</v>
      </c>
      <c r="E40" s="231">
        <v>29.59</v>
      </c>
      <c r="F40" s="231">
        <v>29.59</v>
      </c>
      <c r="G40" s="268" t="s">
        <v>220</v>
      </c>
      <c r="H40" s="258">
        <f t="shared" si="4"/>
        <v>0</v>
      </c>
      <c r="J40" s="235">
        <f>SUMIFS('Estoque Atual'!$E:$E,'Estoque Atual'!$A:$A,'Tabela Base'!$B40)+SUMIFS('Recebimentos do dia '!$E:$E,'Recebimentos do dia '!$C:$C,'Tabela Base'!$B40)</f>
        <v>0</v>
      </c>
      <c r="K40" s="236">
        <f>IFERROR((SUMIFS('Estoque Atual'!I:I,'Estoque Atual'!A:A,'Tabela Base'!B40)+SUMIFS('Recebimentos do dia '!I:I,'Recebimentos do dia '!C:C,'Tabela Base'!B40))/
(SUMIFS('Estoque Atual'!G:G,'Estoque Atual'!A:A,'Tabela Base'!B40)+SUMIFS('Recebimentos do dia '!H:H,'Recebimentos do dia '!C:C,'Tabela Base'!B40)),0)</f>
        <v>0</v>
      </c>
      <c r="L40" s="237">
        <f t="shared" si="2"/>
        <v>29.59</v>
      </c>
      <c r="M40" s="237">
        <f t="shared" si="3"/>
        <v>29.59</v>
      </c>
      <c r="N40" s="236">
        <f>IFERROR((SUMIFS('Recebimentos do dia '!$H:$H,'Recebimentos do dia '!$C:$C,'Tabela Base'!$B40)+SUMIFS('Estoque Atual'!$G:$G,'Estoque Atual'!$A:$A,'Tabela Base'!$B40))/(SUMIFS('Recebimentos do dia '!$E:$E,'Recebimentos do dia '!$C:$C,'Tabela Base'!$B40)+SUMIFS('Estoque Atual'!$E:$E,'Estoque Atual'!$A:$A,'Tabela Base'!$B40)),0)</f>
        <v>0</v>
      </c>
    </row>
    <row r="41" spans="1:16" s="246" customFormat="1" hidden="1">
      <c r="B41" s="247">
        <v>12004</v>
      </c>
      <c r="C41" s="248" t="s">
        <v>34</v>
      </c>
      <c r="D41" s="249" t="s">
        <v>6</v>
      </c>
      <c r="E41" s="231">
        <v>31.19</v>
      </c>
      <c r="F41" s="231">
        <v>31.19</v>
      </c>
      <c r="G41" s="250" t="s">
        <v>220</v>
      </c>
      <c r="H41" s="251">
        <f>J41</f>
        <v>0</v>
      </c>
      <c r="J41" s="235">
        <f>SUMIFS('Estoque Atual'!$E:$E,'Estoque Atual'!$A:$A,'Tabela Base'!$B41)+SUMIFS('Recebimentos do dia '!$E:$E,'Recebimentos do dia '!$C:$C,'Tabela Base'!$B41)</f>
        <v>0</v>
      </c>
      <c r="K41" s="236">
        <f>IFERROR((SUMIFS('Estoque Atual'!I:I,'Estoque Atual'!A:A,'Tabela Base'!B41)+SUMIFS('Recebimentos do dia '!I:I,'Recebimentos do dia '!C:C,'Tabela Base'!B41))/
(SUMIFS('Estoque Atual'!G:G,'Estoque Atual'!A:A,'Tabela Base'!B41)+SUMIFS('Recebimentos do dia '!H:H,'Recebimentos do dia '!C:C,'Tabela Base'!B41)),0)</f>
        <v>0</v>
      </c>
      <c r="L41" s="237">
        <f t="shared" si="2"/>
        <v>31.19</v>
      </c>
      <c r="M41" s="237">
        <f t="shared" si="3"/>
        <v>31.19</v>
      </c>
      <c r="N41" s="236">
        <f>IFERROR((SUMIFS('Recebimentos do dia '!$H:$H,'Recebimentos do dia '!$C:$C,'Tabela Base'!$B41)+SUMIFS('Estoque Atual'!$G:$G,'Estoque Atual'!$A:$A,'Tabela Base'!$B41))/(SUMIFS('Recebimentos do dia '!$E:$E,'Recebimentos do dia '!$C:$C,'Tabela Base'!$B41)+SUMIFS('Estoque Atual'!$E:$E,'Estoque Atual'!$A:$A,'Tabela Base'!$B41)),0)</f>
        <v>0</v>
      </c>
      <c r="P41" s="262"/>
    </row>
    <row r="42" spans="1:16" s="246" customFormat="1" hidden="1">
      <c r="B42" s="247">
        <v>12079</v>
      </c>
      <c r="C42" s="248" t="s">
        <v>34</v>
      </c>
      <c r="D42" s="249" t="s">
        <v>6</v>
      </c>
      <c r="E42" s="231">
        <v>29</v>
      </c>
      <c r="F42" s="231">
        <v>29</v>
      </c>
      <c r="G42" s="250" t="s">
        <v>220</v>
      </c>
      <c r="H42" s="258">
        <f t="shared" si="4"/>
        <v>0</v>
      </c>
      <c r="J42" s="235">
        <f>SUMIFS('Estoque Atual'!$E:$E,'Estoque Atual'!$A:$A,'Tabela Base'!$B42)+SUMIFS('Recebimentos do dia '!$E:$E,'Recebimentos do dia '!$C:$C,'Tabela Base'!$B42)</f>
        <v>0</v>
      </c>
      <c r="K42" s="236">
        <f>IFERROR((SUMIFS('Estoque Atual'!I:I,'Estoque Atual'!A:A,'Tabela Base'!B42)+SUMIFS('Recebimentos do dia '!I:I,'Recebimentos do dia '!C:C,'Tabela Base'!B42))/
(SUMIFS('Estoque Atual'!G:G,'Estoque Atual'!A:A,'Tabela Base'!B42)+SUMIFS('Recebimentos do dia '!H:H,'Recebimentos do dia '!C:C,'Tabela Base'!B42)),0)</f>
        <v>0</v>
      </c>
      <c r="L42" s="237">
        <f t="shared" si="2"/>
        <v>29</v>
      </c>
      <c r="M42" s="237">
        <f t="shared" si="3"/>
        <v>29</v>
      </c>
      <c r="N42" s="236">
        <f>IFERROR((SUMIFS('Recebimentos do dia '!$H:$H,'Recebimentos do dia '!$C:$C,'Tabela Base'!$B42)+SUMIFS('Estoque Atual'!$G:$G,'Estoque Atual'!$A:$A,'Tabela Base'!$B42))/(SUMIFS('Recebimentos do dia '!$E:$E,'Recebimentos do dia '!$C:$C,'Tabela Base'!$B42)+SUMIFS('Estoque Atual'!$E:$E,'Estoque Atual'!$A:$A,'Tabela Base'!$B42)),0)</f>
        <v>0</v>
      </c>
    </row>
    <row r="43" spans="1:16" s="246" customFormat="1" hidden="1">
      <c r="B43" s="247">
        <v>12176</v>
      </c>
      <c r="C43" s="270" t="s">
        <v>34</v>
      </c>
      <c r="D43" s="249" t="s">
        <v>73</v>
      </c>
      <c r="E43" s="231">
        <v>30.99</v>
      </c>
      <c r="F43" s="231">
        <v>31.99</v>
      </c>
      <c r="G43" s="264" t="s">
        <v>336</v>
      </c>
      <c r="H43" s="258">
        <f t="shared" si="4"/>
        <v>0</v>
      </c>
      <c r="J43" s="235">
        <f>SUMIFS('Estoque Atual'!$E:$E,'Estoque Atual'!$A:$A,'Tabela Base'!$B43)+SUMIFS('Recebimentos do dia '!$E:$E,'Recebimentos do dia '!$C:$C,'Tabela Base'!$B43)</f>
        <v>0</v>
      </c>
      <c r="K43" s="236">
        <f>IFERROR((SUMIFS('Estoque Atual'!I:I,'Estoque Atual'!A:A,'Tabela Base'!B43)+SUMIFS('Recebimentos do dia '!I:I,'Recebimentos do dia '!C:C,'Tabela Base'!B43))/
(SUMIFS('Estoque Atual'!G:G,'Estoque Atual'!A:A,'Tabela Base'!B43)+SUMIFS('Recebimentos do dia '!H:H,'Recebimentos do dia '!C:C,'Tabela Base'!B43)),0)</f>
        <v>0</v>
      </c>
      <c r="L43" s="237">
        <f t="shared" si="2"/>
        <v>30.99</v>
      </c>
      <c r="M43" s="237">
        <f t="shared" si="3"/>
        <v>31.99</v>
      </c>
      <c r="N43" s="236">
        <f>IFERROR((SUMIFS('Recebimentos do dia '!$H:$H,'Recebimentos do dia '!$C:$C,'Tabela Base'!$B43)+SUMIFS('Estoque Atual'!$G:$G,'Estoque Atual'!$A:$A,'Tabela Base'!$B43))/(SUMIFS('Recebimentos do dia '!$E:$E,'Recebimentos do dia '!$C:$C,'Tabela Base'!$B43)+SUMIFS('Estoque Atual'!$E:$E,'Estoque Atual'!$A:$A,'Tabela Base'!$B43)),0)</f>
        <v>0</v>
      </c>
    </row>
    <row r="44" spans="1:16" s="246" customFormat="1" hidden="1">
      <c r="B44" s="271">
        <v>12118</v>
      </c>
      <c r="C44" s="272" t="s">
        <v>152</v>
      </c>
      <c r="D44" s="273" t="s">
        <v>73</v>
      </c>
      <c r="E44" s="231">
        <v>31.99</v>
      </c>
      <c r="F44" s="231">
        <v>32.39</v>
      </c>
      <c r="G44" s="250" t="s">
        <v>269</v>
      </c>
      <c r="H44" s="258">
        <f t="shared" si="4"/>
        <v>0</v>
      </c>
      <c r="J44" s="235">
        <f>SUMIFS('Estoque Atual'!$E:$E,'Estoque Atual'!$A:$A,'Tabela Base'!$B44)+SUMIFS('Recebimentos do dia '!$E:$E,'Recebimentos do dia '!$C:$C,'Tabela Base'!$B44)</f>
        <v>0</v>
      </c>
      <c r="K44" s="236">
        <f>IFERROR((SUMIFS('Estoque Atual'!I:I,'Estoque Atual'!A:A,'Tabela Base'!B44)+SUMIFS('Recebimentos do dia '!I:I,'Recebimentos do dia '!C:C,'Tabela Base'!B44))/
(SUMIFS('Estoque Atual'!G:G,'Estoque Atual'!A:A,'Tabela Base'!B44)+SUMIFS('Recebimentos do dia '!H:H,'Recebimentos do dia '!C:C,'Tabela Base'!B44)),0)</f>
        <v>0</v>
      </c>
      <c r="L44" s="237">
        <f t="shared" si="2"/>
        <v>31.99</v>
      </c>
      <c r="M44" s="237">
        <f t="shared" si="3"/>
        <v>32.39</v>
      </c>
      <c r="N44" s="236">
        <f>IFERROR((SUMIFS('Recebimentos do dia '!$H:$H,'Recebimentos do dia '!$C:$C,'Tabela Base'!$B44)+SUMIFS('Estoque Atual'!$G:$G,'Estoque Atual'!$A:$A,'Tabela Base'!$B44))/(SUMIFS('Recebimentos do dia '!$E:$E,'Recebimentos do dia '!$C:$C,'Tabela Base'!$B44)+SUMIFS('Estoque Atual'!$E:$E,'Estoque Atual'!$A:$A,'Tabela Base'!$B44)),0)</f>
        <v>0</v>
      </c>
    </row>
    <row r="45" spans="1:16">
      <c r="A45" s="199"/>
      <c r="B45" s="274">
        <v>12095</v>
      </c>
      <c r="C45" s="275" t="s">
        <v>70</v>
      </c>
      <c r="D45" s="276" t="s">
        <v>50</v>
      </c>
      <c r="E45" s="231">
        <v>33.79</v>
      </c>
      <c r="F45" s="231">
        <v>33.29</v>
      </c>
      <c r="G45" s="256" t="s">
        <v>220</v>
      </c>
      <c r="H45" s="233">
        <f t="shared" si="4"/>
        <v>120</v>
      </c>
      <c r="J45" s="235">
        <f>SUMIFS('Estoque Atual'!$E:$E,'Estoque Atual'!$A:$A,'Tabela Base'!$B45)+SUMIFS('Recebimentos do dia '!$E:$E,'Recebimentos do dia '!$C:$C,'Tabela Base'!$B45)</f>
        <v>120</v>
      </c>
      <c r="K45" s="236">
        <f>IFERROR((SUMIFS('Estoque Atual'!I:I,'Estoque Atual'!A:A,'Tabela Base'!B45)+SUMIFS('Recebimentos do dia '!I:I,'Recebimentos do dia '!C:C,'Tabela Base'!B45))/
(SUMIFS('Estoque Atual'!G:G,'Estoque Atual'!A:A,'Tabela Base'!B45)+SUMIFS('Recebimentos do dia '!H:H,'Recebimentos do dia '!C:C,'Tabela Base'!B45)),0)</f>
        <v>31.41</v>
      </c>
      <c r="L45" s="237">
        <f t="shared" si="2"/>
        <v>2.379999999999999</v>
      </c>
      <c r="M45" s="237">
        <f t="shared" si="3"/>
        <v>1.879999999999999</v>
      </c>
      <c r="N45" s="236">
        <f>IFERROR((SUMIFS('Recebimentos do dia '!$H:$H,'Recebimentos do dia '!$C:$C,'Tabela Base'!$B45)+SUMIFS('Estoque Atual'!$G:$G,'Estoque Atual'!$A:$A,'Tabela Base'!$B45))/(SUMIFS('Recebimentos do dia '!$E:$E,'Recebimentos do dia '!$C:$C,'Tabela Base'!$B45)+SUMIFS('Estoque Atual'!$E:$E,'Estoque Atual'!$A:$A,'Tabela Base'!$B45)),0)</f>
        <v>21.688850000000002</v>
      </c>
      <c r="P45" s="238"/>
    </row>
    <row r="46" spans="1:16" s="246" customFormat="1" hidden="1">
      <c r="B46" s="253">
        <v>12061</v>
      </c>
      <c r="C46" s="254" t="s">
        <v>88</v>
      </c>
      <c r="D46" s="255" t="s">
        <v>334</v>
      </c>
      <c r="E46" s="231">
        <v>28.79</v>
      </c>
      <c r="F46" s="231">
        <v>28.99</v>
      </c>
      <c r="G46" s="250" t="s">
        <v>415</v>
      </c>
      <c r="H46" s="258">
        <f t="shared" si="4"/>
        <v>0</v>
      </c>
      <c r="J46" s="235">
        <f>SUMIFS('Estoque Atual'!$E:$E,'Estoque Atual'!$A:$A,'Tabela Base'!$B46)+SUMIFS('Recebimentos do dia '!$E:$E,'Recebimentos do dia '!$C:$C,'Tabela Base'!$B46)</f>
        <v>0</v>
      </c>
      <c r="K46" s="236">
        <f>IFERROR((SUMIFS('Estoque Atual'!I:I,'Estoque Atual'!A:A,'Tabela Base'!B46)+SUMIFS('Recebimentos do dia '!I:I,'Recebimentos do dia '!C:C,'Tabela Base'!B46))/
(SUMIFS('Estoque Atual'!G:G,'Estoque Atual'!A:A,'Tabela Base'!B46)+SUMIFS('Recebimentos do dia '!H:H,'Recebimentos do dia '!C:C,'Tabela Base'!B46)),0)</f>
        <v>0</v>
      </c>
      <c r="L46" s="237">
        <f t="shared" si="2"/>
        <v>28.79</v>
      </c>
      <c r="M46" s="237">
        <f t="shared" si="3"/>
        <v>28.99</v>
      </c>
      <c r="N46" s="236">
        <f>IFERROR((SUMIFS('Recebimentos do dia '!$H:$H,'Recebimentos do dia '!$C:$C,'Tabela Base'!$B46)+SUMIFS('Estoque Atual'!$G:$G,'Estoque Atual'!$A:$A,'Tabela Base'!$B46))/(SUMIFS('Recebimentos do dia '!$E:$E,'Recebimentos do dia '!$C:$C,'Tabela Base'!$B46)+SUMIFS('Estoque Atual'!$E:$E,'Estoque Atual'!$A:$A,'Tabela Base'!$B46)),0)</f>
        <v>0</v>
      </c>
      <c r="P46" s="262"/>
    </row>
    <row r="47" spans="1:16" s="246" customFormat="1" hidden="1">
      <c r="B47" s="277">
        <v>12080</v>
      </c>
      <c r="C47" s="270" t="s">
        <v>88</v>
      </c>
      <c r="D47" s="249" t="s">
        <v>193</v>
      </c>
      <c r="E47" s="231">
        <v>34.49</v>
      </c>
      <c r="F47" s="231">
        <v>34.49</v>
      </c>
      <c r="G47" s="250" t="s">
        <v>220</v>
      </c>
      <c r="H47" s="258">
        <f t="shared" si="4"/>
        <v>0</v>
      </c>
      <c r="J47" s="235">
        <f>SUMIFS('Estoque Atual'!$E:$E,'Estoque Atual'!$A:$A,'Tabela Base'!$B47)+SUMIFS('Recebimentos do dia '!$E:$E,'Recebimentos do dia '!$C:$C,'Tabela Base'!$B47)</f>
        <v>0</v>
      </c>
      <c r="K47" s="236">
        <f>IFERROR((SUMIFS('Estoque Atual'!I:I,'Estoque Atual'!A:A,'Tabela Base'!B47)+SUMIFS('Recebimentos do dia '!I:I,'Recebimentos do dia '!C:C,'Tabela Base'!B47))/
(SUMIFS('Estoque Atual'!G:G,'Estoque Atual'!A:A,'Tabela Base'!B47)+SUMIFS('Recebimentos do dia '!H:H,'Recebimentos do dia '!C:C,'Tabela Base'!B47)),0)</f>
        <v>0</v>
      </c>
      <c r="L47" s="237">
        <f t="shared" si="2"/>
        <v>34.49</v>
      </c>
      <c r="M47" s="237">
        <f t="shared" si="3"/>
        <v>34.49</v>
      </c>
      <c r="N47" s="236">
        <f>IFERROR((SUMIFS('Recebimentos do dia '!$H:$H,'Recebimentos do dia '!$C:$C,'Tabela Base'!$B47)+SUMIFS('Estoque Atual'!$G:$G,'Estoque Atual'!$A:$A,'Tabela Base'!$B47))/(SUMIFS('Recebimentos do dia '!$E:$E,'Recebimentos do dia '!$C:$C,'Tabela Base'!$B47)+SUMIFS('Estoque Atual'!$E:$E,'Estoque Atual'!$A:$A,'Tabela Base'!$B47)),0)</f>
        <v>0</v>
      </c>
    </row>
    <row r="48" spans="1:16" s="246" customFormat="1" hidden="1">
      <c r="B48" s="247">
        <v>12102</v>
      </c>
      <c r="C48" s="248" t="s">
        <v>156</v>
      </c>
      <c r="D48" s="249" t="s">
        <v>4</v>
      </c>
      <c r="E48" s="231">
        <v>33.49</v>
      </c>
      <c r="F48" s="231">
        <v>33.49</v>
      </c>
      <c r="G48" s="250" t="s">
        <v>220</v>
      </c>
      <c r="H48" s="258">
        <f t="shared" si="4"/>
        <v>0</v>
      </c>
      <c r="J48" s="235">
        <f>SUMIFS('Estoque Atual'!$E:$E,'Estoque Atual'!$A:$A,'Tabela Base'!$B48)+SUMIFS('Recebimentos do dia '!$E:$E,'Recebimentos do dia '!$C:$C,'Tabela Base'!$B48)</f>
        <v>0</v>
      </c>
      <c r="K48" s="236">
        <f>IFERROR((SUMIFS('Estoque Atual'!I:I,'Estoque Atual'!A:A,'Tabela Base'!B48)+SUMIFS('Recebimentos do dia '!I:I,'Recebimentos do dia '!C:C,'Tabela Base'!B48))/
(SUMIFS('Estoque Atual'!G:G,'Estoque Atual'!A:A,'Tabela Base'!B48)+SUMIFS('Recebimentos do dia '!H:H,'Recebimentos do dia '!C:C,'Tabela Base'!B48)),0)</f>
        <v>0</v>
      </c>
      <c r="L48" s="237">
        <f t="shared" si="2"/>
        <v>33.49</v>
      </c>
      <c r="M48" s="237">
        <f t="shared" si="3"/>
        <v>33.49</v>
      </c>
      <c r="N48" s="236">
        <f>IFERROR((SUMIFS('Recebimentos do dia '!$H:$H,'Recebimentos do dia '!$C:$C,'Tabela Base'!$B48)+SUMIFS('Estoque Atual'!$G:$G,'Estoque Atual'!$A:$A,'Tabela Base'!$B48))/(SUMIFS('Recebimentos do dia '!$E:$E,'Recebimentos do dia '!$C:$C,'Tabela Base'!$B48)+SUMIFS('Estoque Atual'!$E:$E,'Estoque Atual'!$A:$A,'Tabela Base'!$B48)),0)</f>
        <v>0</v>
      </c>
    </row>
    <row r="49" spans="1:18" s="246" customFormat="1">
      <c r="B49" s="353">
        <v>12012</v>
      </c>
      <c r="C49" s="354" t="s">
        <v>156</v>
      </c>
      <c r="D49" s="326" t="s">
        <v>4</v>
      </c>
      <c r="E49" s="421">
        <v>31.49</v>
      </c>
      <c r="F49" s="421">
        <v>30.99</v>
      </c>
      <c r="G49" s="296" t="s">
        <v>220</v>
      </c>
      <c r="H49" s="398">
        <f t="shared" si="4"/>
        <v>37</v>
      </c>
      <c r="J49" s="235">
        <f>SUMIFS('Estoque Atual'!$E:$E,'Estoque Atual'!$A:$A,'Tabela Base'!$B49)+SUMIFS('Recebimentos do dia '!$E:$E,'Recebimentos do dia '!$C:$C,'Tabela Base'!$B49)</f>
        <v>37</v>
      </c>
      <c r="K49" s="236">
        <f>IFERROR((SUMIFS('Estoque Atual'!I:I,'Estoque Atual'!A:A,'Tabela Base'!B49)+SUMIFS('Recebimentos do dia '!I:I,'Recebimentos do dia '!C:C,'Tabela Base'!B49))/
(SUMIFS('Estoque Atual'!G:G,'Estoque Atual'!A:A,'Tabela Base'!B49)+SUMIFS('Recebimentos do dia '!H:H,'Recebimentos do dia '!C:C,'Tabela Base'!B49)),0)</f>
        <v>28.61</v>
      </c>
      <c r="L49" s="237">
        <f t="shared" si="2"/>
        <v>2.879999999999999</v>
      </c>
      <c r="M49" s="237">
        <f t="shared" si="3"/>
        <v>2.379999999999999</v>
      </c>
      <c r="N49" s="236">
        <f>IFERROR((SUMIFS('Recebimentos do dia '!$H:$H,'Recebimentos do dia '!$C:$C,'Tabela Base'!$B49)+SUMIFS('Estoque Atual'!$G:$G,'Estoque Atual'!$A:$A,'Tabela Base'!$B49))/(SUMIFS('Recebimentos do dia '!$E:$E,'Recebimentos do dia '!$C:$C,'Tabela Base'!$B49)+SUMIFS('Estoque Atual'!$E:$E,'Estoque Atual'!$A:$A,'Tabela Base'!$B49)),0)</f>
        <v>24.748837837837836</v>
      </c>
    </row>
    <row r="50" spans="1:18">
      <c r="A50" s="199"/>
      <c r="B50" s="259">
        <v>12010</v>
      </c>
      <c r="C50" s="278" t="s">
        <v>35</v>
      </c>
      <c r="D50" s="249" t="s">
        <v>4</v>
      </c>
      <c r="E50" s="231">
        <v>28.79</v>
      </c>
      <c r="F50" s="231">
        <v>27.89</v>
      </c>
      <c r="G50" s="250" t="s">
        <v>220</v>
      </c>
      <c r="H50" s="251">
        <f>J50</f>
        <v>2</v>
      </c>
      <c r="J50" s="235">
        <f>SUMIFS('Estoque Atual'!$E:$E,'Estoque Atual'!$A:$A,'Tabela Base'!$B50)+SUMIFS('Recebimentos do dia '!$E:$E,'Recebimentos do dia '!$C:$C,'Tabela Base'!$B50)</f>
        <v>2</v>
      </c>
      <c r="K50" s="236">
        <f>IFERROR((SUMIFS('Estoque Atual'!I:I,'Estoque Atual'!A:A,'Tabela Base'!B50)+SUMIFS('Recebimentos do dia '!I:I,'Recebimentos do dia '!C:C,'Tabela Base'!B50))/
(SUMIFS('Estoque Atual'!G:G,'Estoque Atual'!A:A,'Tabela Base'!B50)+SUMIFS('Recebimentos do dia '!H:H,'Recebimentos do dia '!C:C,'Tabela Base'!B50)),0)</f>
        <v>26.500000000000004</v>
      </c>
      <c r="L50" s="237">
        <f t="shared" si="2"/>
        <v>2.2899999999999956</v>
      </c>
      <c r="M50" s="237">
        <f t="shared" si="3"/>
        <v>1.389999999999997</v>
      </c>
      <c r="N50" s="236">
        <f>IFERROR((SUMIFS('Recebimentos do dia '!$H:$H,'Recebimentos do dia '!$C:$C,'Tabela Base'!$B50)+SUMIFS('Estoque Atual'!$G:$G,'Estoque Atual'!$A:$A,'Tabela Base'!$B50))/(SUMIFS('Recebimentos do dia '!$E:$E,'Recebimentos do dia '!$C:$C,'Tabela Base'!$B50)+SUMIFS('Estoque Atual'!$E:$E,'Estoque Atual'!$A:$A,'Tabela Base'!$B50)),0)</f>
        <v>24.33</v>
      </c>
    </row>
    <row r="51" spans="1:18" s="246" customFormat="1" hidden="1">
      <c r="B51" s="247">
        <v>12062</v>
      </c>
      <c r="C51" s="248" t="s">
        <v>35</v>
      </c>
      <c r="D51" s="249" t="s">
        <v>73</v>
      </c>
      <c r="E51" s="231">
        <v>17.5</v>
      </c>
      <c r="F51" s="231">
        <v>17.5</v>
      </c>
      <c r="G51" s="264" t="s">
        <v>237</v>
      </c>
      <c r="H51" s="258">
        <f t="shared" si="4"/>
        <v>0</v>
      </c>
      <c r="J51" s="235">
        <f>SUMIFS('Estoque Atual'!$E:$E,'Estoque Atual'!$A:$A,'Tabela Base'!$B51)+SUMIFS('Recebimentos do dia '!$E:$E,'Recebimentos do dia '!$C:$C,'Tabela Base'!$B51)</f>
        <v>0</v>
      </c>
      <c r="K51" s="236">
        <f>IFERROR((SUMIFS('Estoque Atual'!I:I,'Estoque Atual'!A:A,'Tabela Base'!B51)+SUMIFS('Recebimentos do dia '!I:I,'Recebimentos do dia '!C:C,'Tabela Base'!B51))/
(SUMIFS('Estoque Atual'!G:G,'Estoque Atual'!A:A,'Tabela Base'!B51)+SUMIFS('Recebimentos do dia '!H:H,'Recebimentos do dia '!C:C,'Tabela Base'!B51)),0)</f>
        <v>0</v>
      </c>
      <c r="L51" s="237">
        <f t="shared" si="2"/>
        <v>17.5</v>
      </c>
      <c r="M51" s="237">
        <f t="shared" si="3"/>
        <v>17.5</v>
      </c>
      <c r="N51" s="236">
        <f>IFERROR((SUMIFS('Recebimentos do dia '!$H:$H,'Recebimentos do dia '!$C:$C,'Tabela Base'!$B51)+SUMIFS('Estoque Atual'!$G:$G,'Estoque Atual'!$A:$A,'Tabela Base'!$B51))/(SUMIFS('Recebimentos do dia '!$E:$E,'Recebimentos do dia '!$C:$C,'Tabela Base'!$B51)+SUMIFS('Estoque Atual'!$E:$E,'Estoque Atual'!$A:$A,'Tabela Base'!$B51)),0)</f>
        <v>0</v>
      </c>
    </row>
    <row r="52" spans="1:18" s="246" customFormat="1" hidden="1">
      <c r="B52" s="247">
        <v>12083</v>
      </c>
      <c r="C52" s="248" t="s">
        <v>35</v>
      </c>
      <c r="D52" s="249" t="s">
        <v>49</v>
      </c>
      <c r="E52" s="231">
        <v>26.99</v>
      </c>
      <c r="F52" s="231">
        <v>26.99</v>
      </c>
      <c r="G52" s="264" t="s">
        <v>220</v>
      </c>
      <c r="H52" s="258">
        <f t="shared" si="4"/>
        <v>0</v>
      </c>
      <c r="J52" s="235">
        <f>SUMIFS('Estoque Atual'!$E:$E,'Estoque Atual'!$A:$A,'Tabela Base'!$B52)+SUMIFS('Recebimentos do dia '!$E:$E,'Recebimentos do dia '!$C:$C,'Tabela Base'!$B52)</f>
        <v>0</v>
      </c>
      <c r="K52" s="236">
        <f>IFERROR((SUMIFS('Estoque Atual'!I:I,'Estoque Atual'!A:A,'Tabela Base'!B52)+SUMIFS('Recebimentos do dia '!I:I,'Recebimentos do dia '!C:C,'Tabela Base'!B52))/
(SUMIFS('Estoque Atual'!G:G,'Estoque Atual'!A:A,'Tabela Base'!B52)+SUMIFS('Recebimentos do dia '!H:H,'Recebimentos do dia '!C:C,'Tabela Base'!B52)),0)</f>
        <v>0</v>
      </c>
      <c r="L52" s="237">
        <f t="shared" si="2"/>
        <v>26.99</v>
      </c>
      <c r="M52" s="237">
        <f t="shared" si="3"/>
        <v>26.99</v>
      </c>
      <c r="N52" s="236">
        <f>IFERROR((SUMIFS('Recebimentos do dia '!$H:$H,'Recebimentos do dia '!$C:$C,'Tabela Base'!$B52)+SUMIFS('Estoque Atual'!$G:$G,'Estoque Atual'!$A:$A,'Tabela Base'!$B52))/(SUMIFS('Recebimentos do dia '!$E:$E,'Recebimentos do dia '!$C:$C,'Tabela Base'!$B52)+SUMIFS('Estoque Atual'!$E:$E,'Estoque Atual'!$A:$A,'Tabela Base'!$B52)),0)</f>
        <v>0</v>
      </c>
      <c r="P52" s="262"/>
    </row>
    <row r="53" spans="1:18" s="246" customFormat="1">
      <c r="B53" s="279">
        <v>12122</v>
      </c>
      <c r="C53" s="280" t="s">
        <v>194</v>
      </c>
      <c r="D53" s="249" t="s">
        <v>417</v>
      </c>
      <c r="E53" s="231">
        <v>26.49</v>
      </c>
      <c r="F53" s="231">
        <v>25.49</v>
      </c>
      <c r="G53" s="250" t="s">
        <v>468</v>
      </c>
      <c r="H53" s="233">
        <f>J53</f>
        <v>92</v>
      </c>
      <c r="J53" s="235">
        <f>SUMIFS('Estoque Atual'!$E:$E,'Estoque Atual'!$A:$A,'Tabela Base'!$B53)+SUMIFS('Recebimentos do dia '!$E:$E,'Recebimentos do dia '!$C:$C,'Tabela Base'!$B53)</f>
        <v>92</v>
      </c>
      <c r="K53" s="236">
        <f>IFERROR((SUMIFS('Estoque Atual'!I:I,'Estoque Atual'!A:A,'Tabela Base'!B53)+SUMIFS('Recebimentos do dia '!I:I,'Recebimentos do dia '!C:C,'Tabela Base'!B53))/
(SUMIFS('Estoque Atual'!G:G,'Estoque Atual'!A:A,'Tabela Base'!B53)+SUMIFS('Recebimentos do dia '!H:H,'Recebimentos do dia '!C:C,'Tabela Base'!B53)),0)</f>
        <v>23.999999999999996</v>
      </c>
      <c r="L53" s="237">
        <f t="shared" si="2"/>
        <v>2.490000000000002</v>
      </c>
      <c r="M53" s="237">
        <f t="shared" si="3"/>
        <v>1.490000000000002</v>
      </c>
      <c r="N53" s="236">
        <f>IFERROR((SUMIFS('Recebimentos do dia '!$H:$H,'Recebimentos do dia '!$C:$C,'Tabela Base'!$B53)+SUMIFS('Estoque Atual'!$G:$G,'Estoque Atual'!$A:$A,'Tabela Base'!$B53))/(SUMIFS('Recebimentos do dia '!$E:$E,'Recebimentos do dia '!$C:$C,'Tabela Base'!$B53)+SUMIFS('Estoque Atual'!$E:$E,'Estoque Atual'!$A:$A,'Tabela Base'!$B53)),0)</f>
        <v>21.580869565217391</v>
      </c>
    </row>
    <row r="54" spans="1:18" s="246" customFormat="1" hidden="1">
      <c r="B54" s="279">
        <v>12294</v>
      </c>
      <c r="C54" s="280" t="s">
        <v>194</v>
      </c>
      <c r="D54" s="249" t="s">
        <v>73</v>
      </c>
      <c r="E54" s="231">
        <v>17.7</v>
      </c>
      <c r="F54" s="231">
        <v>17.7</v>
      </c>
      <c r="G54" s="250" t="s">
        <v>415</v>
      </c>
      <c r="H54" s="258">
        <f t="shared" si="4"/>
        <v>0</v>
      </c>
      <c r="J54" s="235">
        <f>SUMIFS('Estoque Atual'!$E:$E,'Estoque Atual'!$A:$A,'Tabela Base'!$B54)+SUMIFS('Recebimentos do dia '!$E:$E,'Recebimentos do dia '!$C:$C,'Tabela Base'!$B54)</f>
        <v>0</v>
      </c>
      <c r="K54" s="236">
        <f>IFERROR((SUMIFS('Estoque Atual'!I:I,'Estoque Atual'!A:A,'Tabela Base'!B54)+SUMIFS('Recebimentos do dia '!I:I,'Recebimentos do dia '!C:C,'Tabela Base'!B54))/
(SUMIFS('Estoque Atual'!G:G,'Estoque Atual'!A:A,'Tabela Base'!B54)+SUMIFS('Recebimentos do dia '!H:H,'Recebimentos do dia '!C:C,'Tabela Base'!B54)),0)</f>
        <v>0</v>
      </c>
      <c r="L54" s="237">
        <f t="shared" si="2"/>
        <v>17.7</v>
      </c>
      <c r="M54" s="237">
        <f t="shared" si="3"/>
        <v>17.7</v>
      </c>
      <c r="N54" s="236">
        <f>IFERROR((SUMIFS('Recebimentos do dia '!$H:$H,'Recebimentos do dia '!$C:$C,'Tabela Base'!$B54)+SUMIFS('Estoque Atual'!$G:$G,'Estoque Atual'!$A:$A,'Tabela Base'!$B54))/(SUMIFS('Recebimentos do dia '!$E:$E,'Recebimentos do dia '!$C:$C,'Tabela Base'!$B54)+SUMIFS('Estoque Atual'!$E:$E,'Estoque Atual'!$A:$A,'Tabela Base'!$B54)),0)</f>
        <v>0</v>
      </c>
    </row>
    <row r="55" spans="1:18" s="246" customFormat="1" hidden="1">
      <c r="B55" s="247">
        <v>12030</v>
      </c>
      <c r="C55" s="248" t="s">
        <v>33</v>
      </c>
      <c r="D55" s="249" t="s">
        <v>119</v>
      </c>
      <c r="E55" s="231">
        <v>29.99</v>
      </c>
      <c r="F55" s="231">
        <v>29.99</v>
      </c>
      <c r="G55" s="250" t="s">
        <v>220</v>
      </c>
      <c r="H55" s="258">
        <f t="shared" si="4"/>
        <v>0</v>
      </c>
      <c r="J55" s="235">
        <f>SUMIFS('Estoque Atual'!$E:$E,'Estoque Atual'!$A:$A,'Tabela Base'!$B55)+SUMIFS('Recebimentos do dia '!$E:$E,'Recebimentos do dia '!$C:$C,'Tabela Base'!$B55)</f>
        <v>0</v>
      </c>
      <c r="K55" s="236">
        <f>IFERROR((SUMIFS('Estoque Atual'!I:I,'Estoque Atual'!A:A,'Tabela Base'!B55)+SUMIFS('Recebimentos do dia '!I:I,'Recebimentos do dia '!C:C,'Tabela Base'!B55))/
(SUMIFS('Estoque Atual'!G:G,'Estoque Atual'!A:A,'Tabela Base'!B55)+SUMIFS('Recebimentos do dia '!H:H,'Recebimentos do dia '!C:C,'Tabela Base'!B55)),0)</f>
        <v>0</v>
      </c>
      <c r="L55" s="237">
        <f t="shared" si="2"/>
        <v>29.99</v>
      </c>
      <c r="M55" s="237">
        <f t="shared" si="3"/>
        <v>29.99</v>
      </c>
      <c r="N55" s="236">
        <f>IFERROR((SUMIFS('Recebimentos do dia '!$H:$H,'Recebimentos do dia '!$C:$C,'Tabela Base'!$B55)+SUMIFS('Estoque Atual'!$G:$G,'Estoque Atual'!$A:$A,'Tabela Base'!$B55))/(SUMIFS('Recebimentos do dia '!$E:$E,'Recebimentos do dia '!$C:$C,'Tabela Base'!$B55)+SUMIFS('Estoque Atual'!$E:$E,'Estoque Atual'!$A:$A,'Tabela Base'!$B55)),0)</f>
        <v>0</v>
      </c>
    </row>
    <row r="56" spans="1:18" s="246" customFormat="1" hidden="1">
      <c r="B56" s="247">
        <v>15015</v>
      </c>
      <c r="C56" s="248" t="s">
        <v>187</v>
      </c>
      <c r="D56" s="249" t="s">
        <v>4</v>
      </c>
      <c r="E56" s="231">
        <v>25.9</v>
      </c>
      <c r="F56" s="231">
        <v>25.9</v>
      </c>
      <c r="G56" s="250" t="s">
        <v>235</v>
      </c>
      <c r="H56" s="258">
        <f t="shared" si="4"/>
        <v>0</v>
      </c>
      <c r="J56" s="235">
        <f>SUMIFS('Estoque Atual'!$E:$E,'Estoque Atual'!$A:$A,'Tabela Base'!$B56)+SUMIFS('Recebimentos do dia '!$E:$E,'Recebimentos do dia '!$C:$C,'Tabela Base'!$B56)</f>
        <v>0</v>
      </c>
      <c r="K56" s="236">
        <f>IFERROR((SUMIFS('Estoque Atual'!I:I,'Estoque Atual'!A:A,'Tabela Base'!B56)+SUMIFS('Recebimentos do dia '!I:I,'Recebimentos do dia '!C:C,'Tabela Base'!B56))/
(SUMIFS('Estoque Atual'!G:G,'Estoque Atual'!A:A,'Tabela Base'!B56)+SUMIFS('Recebimentos do dia '!H:H,'Recebimentos do dia '!C:C,'Tabela Base'!B56)),0)</f>
        <v>0</v>
      </c>
      <c r="L56" s="237">
        <f t="shared" si="2"/>
        <v>25.9</v>
      </c>
      <c r="M56" s="237">
        <f t="shared" si="3"/>
        <v>25.9</v>
      </c>
      <c r="N56" s="236">
        <f>IFERROR((SUMIFS('Recebimentos do dia '!$H:$H,'Recebimentos do dia '!$C:$C,'Tabela Base'!$B56)+SUMIFS('Estoque Atual'!$G:$G,'Estoque Atual'!$A:$A,'Tabela Base'!$B56))/(SUMIFS('Recebimentos do dia '!$E:$E,'Recebimentos do dia '!$C:$C,'Tabela Base'!$B56)+SUMIFS('Estoque Atual'!$E:$E,'Estoque Atual'!$A:$A,'Tabela Base'!$B56)),0)</f>
        <v>0</v>
      </c>
    </row>
    <row r="57" spans="1:18">
      <c r="A57" s="199"/>
      <c r="B57" s="247">
        <v>12009</v>
      </c>
      <c r="C57" s="248" t="s">
        <v>36</v>
      </c>
      <c r="D57" s="249" t="s">
        <v>4</v>
      </c>
      <c r="E57" s="231">
        <v>36.79</v>
      </c>
      <c r="F57" s="231">
        <v>36.19</v>
      </c>
      <c r="G57" s="264" t="s">
        <v>220</v>
      </c>
      <c r="H57" s="233">
        <f>J57</f>
        <v>90</v>
      </c>
      <c r="J57" s="235">
        <f>SUMIFS('Estoque Atual'!$E:$E,'Estoque Atual'!$A:$A,'Tabela Base'!$B57)+SUMIFS('Recebimentos do dia '!$E:$E,'Recebimentos do dia '!$C:$C,'Tabela Base'!$B57)</f>
        <v>90</v>
      </c>
      <c r="K57" s="236">
        <f>IFERROR((SUMIFS('Estoque Atual'!I:I,'Estoque Atual'!A:A,'Tabela Base'!B57)+SUMIFS('Recebimentos do dia '!I:I,'Recebimentos do dia '!C:C,'Tabela Base'!B57))/
(SUMIFS('Estoque Atual'!G:G,'Estoque Atual'!A:A,'Tabela Base'!B57)+SUMIFS('Recebimentos do dia '!H:H,'Recebimentos do dia '!C:C,'Tabela Base'!B57)),0)</f>
        <v>34.369999999999997</v>
      </c>
      <c r="L57" s="237">
        <f t="shared" si="2"/>
        <v>2.4200000000000017</v>
      </c>
      <c r="M57" s="237">
        <f t="shared" si="3"/>
        <v>1.8200000000000003</v>
      </c>
      <c r="N57" s="236">
        <f>IFERROR((SUMIFS('Recebimentos do dia '!$H:$H,'Recebimentos do dia '!$C:$C,'Tabela Base'!$B57)+SUMIFS('Estoque Atual'!$G:$G,'Estoque Atual'!$A:$A,'Tabela Base'!$B57))/(SUMIFS('Recebimentos do dia '!$E:$E,'Recebimentos do dia '!$C:$C,'Tabela Base'!$B57)+SUMIFS('Estoque Atual'!$E:$E,'Estoque Atual'!$A:$A,'Tabela Base'!$B57)),0)</f>
        <v>23.124844444444442</v>
      </c>
    </row>
    <row r="58" spans="1:18" s="246" customFormat="1" hidden="1">
      <c r="B58" s="281">
        <v>12179</v>
      </c>
      <c r="C58" s="282" t="s">
        <v>36</v>
      </c>
      <c r="D58" s="283" t="s">
        <v>427</v>
      </c>
      <c r="E58" s="231">
        <v>31.99</v>
      </c>
      <c r="F58" s="231">
        <v>32.79</v>
      </c>
      <c r="G58" s="264" t="s">
        <v>269</v>
      </c>
      <c r="H58" s="233">
        <f>J58</f>
        <v>0</v>
      </c>
      <c r="J58" s="235">
        <f>SUMIFS('Estoque Atual'!$E:$E,'Estoque Atual'!$A:$A,'Tabela Base'!$B58)+SUMIFS('Recebimentos do dia '!$E:$E,'Recebimentos do dia '!$C:$C,'Tabela Base'!$B58)</f>
        <v>0</v>
      </c>
      <c r="K58" s="236">
        <f>IFERROR((SUMIFS('Estoque Atual'!I:I,'Estoque Atual'!A:A,'Tabela Base'!B58)+SUMIFS('Recebimentos do dia '!I:I,'Recebimentos do dia '!C:C,'Tabela Base'!B58))/
(SUMIFS('Estoque Atual'!G:G,'Estoque Atual'!A:A,'Tabela Base'!B58)+SUMIFS('Recebimentos do dia '!H:H,'Recebimentos do dia '!C:C,'Tabela Base'!B58)),0)</f>
        <v>0</v>
      </c>
      <c r="L58" s="237">
        <f t="shared" si="2"/>
        <v>31.99</v>
      </c>
      <c r="M58" s="237">
        <f t="shared" si="3"/>
        <v>32.79</v>
      </c>
      <c r="N58" s="236">
        <f>IFERROR((SUMIFS('Recebimentos do dia '!$H:$H,'Recebimentos do dia '!$C:$C,'Tabela Base'!$B58)+SUMIFS('Estoque Atual'!$G:$G,'Estoque Atual'!$A:$A,'Tabela Base'!$B58))/(SUMIFS('Recebimentos do dia '!$E:$E,'Recebimentos do dia '!$C:$C,'Tabela Base'!$B58)+SUMIFS('Estoque Atual'!$E:$E,'Estoque Atual'!$A:$A,'Tabela Base'!$B58)),0)</f>
        <v>0</v>
      </c>
    </row>
    <row r="59" spans="1:18" s="246" customFormat="1" hidden="1">
      <c r="B59" s="247">
        <v>12064</v>
      </c>
      <c r="C59" s="248" t="s">
        <v>36</v>
      </c>
      <c r="D59" s="249" t="s">
        <v>73</v>
      </c>
      <c r="E59" s="231">
        <v>33.49</v>
      </c>
      <c r="F59" s="231">
        <v>32.590000000000003</v>
      </c>
      <c r="G59" s="250" t="s">
        <v>415</v>
      </c>
      <c r="H59" s="258">
        <f t="shared" si="4"/>
        <v>0</v>
      </c>
      <c r="J59" s="235">
        <f>SUMIFS('Estoque Atual'!$E:$E,'Estoque Atual'!$A:$A,'Tabela Base'!$B59)+SUMIFS('Recebimentos do dia '!$E:$E,'Recebimentos do dia '!$C:$C,'Tabela Base'!$B59)</f>
        <v>0</v>
      </c>
      <c r="K59" s="236">
        <f>IFERROR((SUMIFS('Estoque Atual'!I:I,'Estoque Atual'!A:A,'Tabela Base'!B59)+SUMIFS('Recebimentos do dia '!I:I,'Recebimentos do dia '!C:C,'Tabela Base'!B59))/
(SUMIFS('Estoque Atual'!G:G,'Estoque Atual'!A:A,'Tabela Base'!B59)+SUMIFS('Recebimentos do dia '!H:H,'Recebimentos do dia '!C:C,'Tabela Base'!B59)),0)</f>
        <v>0</v>
      </c>
      <c r="L59" s="237">
        <f t="shared" si="2"/>
        <v>33.49</v>
      </c>
      <c r="M59" s="237">
        <f t="shared" si="3"/>
        <v>32.590000000000003</v>
      </c>
      <c r="N59" s="236">
        <f>IFERROR((SUMIFS('Recebimentos do dia '!$H:$H,'Recebimentos do dia '!$C:$C,'Tabela Base'!$B59)+SUMIFS('Estoque Atual'!$G:$G,'Estoque Atual'!$A:$A,'Tabela Base'!$B59))/(SUMIFS('Recebimentos do dia '!$E:$E,'Recebimentos do dia '!$C:$C,'Tabela Base'!$B59)+SUMIFS('Estoque Atual'!$E:$E,'Estoque Atual'!$A:$A,'Tabela Base'!$B59)),0)</f>
        <v>0</v>
      </c>
    </row>
    <row r="60" spans="1:18" s="246" customFormat="1" hidden="1">
      <c r="B60" s="260">
        <v>12081</v>
      </c>
      <c r="C60" s="261" t="s">
        <v>36</v>
      </c>
      <c r="D60" s="285" t="s">
        <v>11</v>
      </c>
      <c r="E60" s="231">
        <v>34.99</v>
      </c>
      <c r="F60" s="231">
        <v>34.99</v>
      </c>
      <c r="G60" s="256" t="s">
        <v>220</v>
      </c>
      <c r="H60" s="258">
        <f t="shared" si="4"/>
        <v>0</v>
      </c>
      <c r="I60" s="257"/>
      <c r="J60" s="235">
        <f>SUMIFS('Estoque Atual'!$E:$E,'Estoque Atual'!$A:$A,'Tabela Base'!$B60)+SUMIFS('Recebimentos do dia '!$E:$E,'Recebimentos do dia '!$C:$C,'Tabela Base'!$B60)</f>
        <v>0</v>
      </c>
      <c r="K60" s="236">
        <f>IFERROR((SUMIFS('Estoque Atual'!I:I,'Estoque Atual'!A:A,'Tabela Base'!B60)+SUMIFS('Recebimentos do dia '!I:I,'Recebimentos do dia '!C:C,'Tabela Base'!B60))/
(SUMIFS('Estoque Atual'!G:G,'Estoque Atual'!A:A,'Tabela Base'!B60)+SUMIFS('Recebimentos do dia '!H:H,'Recebimentos do dia '!C:C,'Tabela Base'!B60)),0)</f>
        <v>0</v>
      </c>
      <c r="L60" s="237">
        <f t="shared" si="2"/>
        <v>34.99</v>
      </c>
      <c r="M60" s="237">
        <f t="shared" si="3"/>
        <v>34.99</v>
      </c>
      <c r="N60" s="236">
        <f>IFERROR((SUMIFS('Recebimentos do dia '!$H:$H,'Recebimentos do dia '!$C:$C,'Tabela Base'!$B60)+SUMIFS('Estoque Atual'!$G:$G,'Estoque Atual'!$A:$A,'Tabela Base'!$B60))/(SUMIFS('Recebimentos do dia '!$E:$E,'Recebimentos do dia '!$C:$C,'Tabela Base'!$B60)+SUMIFS('Estoque Atual'!$E:$E,'Estoque Atual'!$A:$A,'Tabela Base'!$B60)),0)</f>
        <v>0</v>
      </c>
      <c r="P60" s="262"/>
    </row>
    <row r="61" spans="1:18" s="246" customFormat="1">
      <c r="B61" s="253">
        <v>12121</v>
      </c>
      <c r="C61" s="254" t="s">
        <v>36</v>
      </c>
      <c r="D61" s="283" t="s">
        <v>347</v>
      </c>
      <c r="E61" s="231">
        <v>33.99</v>
      </c>
      <c r="F61" s="231">
        <v>32.29</v>
      </c>
      <c r="G61" s="250" t="s">
        <v>468</v>
      </c>
      <c r="H61" s="233">
        <f t="shared" ref="H61:H62" si="7">J61</f>
        <v>126</v>
      </c>
      <c r="I61" s="257"/>
      <c r="J61" s="235">
        <f>SUMIFS('Estoque Atual'!$E:$E,'Estoque Atual'!$A:$A,'Tabela Base'!$B61)+SUMIFS('Recebimentos do dia '!$E:$E,'Recebimentos do dia '!$C:$C,'Tabela Base'!$B61)</f>
        <v>126</v>
      </c>
      <c r="K61" s="236">
        <f>IFERROR((SUMIFS('Estoque Atual'!I:I,'Estoque Atual'!A:A,'Tabela Base'!B61)+SUMIFS('Recebimentos do dia '!I:I,'Recebimentos do dia '!C:C,'Tabela Base'!B61))/
(SUMIFS('Estoque Atual'!G:G,'Estoque Atual'!A:A,'Tabela Base'!B61)+SUMIFS('Recebimentos do dia '!H:H,'Recebimentos do dia '!C:C,'Tabela Base'!B61)),0)</f>
        <v>31.500000000000004</v>
      </c>
      <c r="L61" s="237">
        <f t="shared" ref="L61" si="8">E61-K61</f>
        <v>2.4899999999999984</v>
      </c>
      <c r="M61" s="237">
        <f t="shared" si="3"/>
        <v>0.78999999999999559</v>
      </c>
      <c r="N61" s="236">
        <f>IFERROR((SUMIFS('Recebimentos do dia '!$H:$H,'Recebimentos do dia '!$C:$C,'Tabela Base'!$B61)+SUMIFS('Estoque Atual'!$G:$G,'Estoque Atual'!$A:$A,'Tabela Base'!$B61))/(SUMIFS('Recebimentos do dia '!$E:$E,'Recebimentos do dia '!$C:$C,'Tabela Base'!$B61)+SUMIFS('Estoque Atual'!$E:$E,'Estoque Atual'!$A:$A,'Tabela Base'!$B61)),0)</f>
        <v>23.800238095238093</v>
      </c>
      <c r="P61" s="262"/>
    </row>
    <row r="62" spans="1:18" s="246" customFormat="1" hidden="1">
      <c r="B62" s="253">
        <v>12047</v>
      </c>
      <c r="C62" s="254" t="s">
        <v>343</v>
      </c>
      <c r="D62" s="255" t="s">
        <v>344</v>
      </c>
      <c r="E62" s="231">
        <v>25.99</v>
      </c>
      <c r="F62" s="231">
        <v>25.99</v>
      </c>
      <c r="G62" s="256" t="s">
        <v>220</v>
      </c>
      <c r="H62" s="233">
        <f t="shared" si="7"/>
        <v>0</v>
      </c>
      <c r="I62" s="257"/>
      <c r="J62" s="235">
        <f>SUMIFS('Estoque Atual'!$E:$E,'Estoque Atual'!$A:$A,'Tabela Base'!$B62)+SUMIFS('Recebimentos do dia '!$E:$E,'Recebimentos do dia '!$C:$C,'Tabela Base'!$B62)</f>
        <v>0</v>
      </c>
      <c r="K62" s="236">
        <f>IFERROR((SUMIFS('Estoque Atual'!I:I,'Estoque Atual'!A:A,'Tabela Base'!B62)+SUMIFS('Recebimentos do dia '!I:I,'Recebimentos do dia '!C:C,'Tabela Base'!B62))/
(SUMIFS('Estoque Atual'!G:G,'Estoque Atual'!A:A,'Tabela Base'!B62)+SUMIFS('Recebimentos do dia '!H:H,'Recebimentos do dia '!C:C,'Tabela Base'!B62)),0)</f>
        <v>0</v>
      </c>
      <c r="L62" s="237">
        <f t="shared" ref="L62" si="9">E62-K62</f>
        <v>25.99</v>
      </c>
      <c r="M62" s="237">
        <f t="shared" si="3"/>
        <v>25.99</v>
      </c>
      <c r="N62" s="236">
        <f>IFERROR((SUMIFS('Recebimentos do dia '!$H:$H,'Recebimentos do dia '!$C:$C,'Tabela Base'!$B62)+SUMIFS('Estoque Atual'!$G:$G,'Estoque Atual'!$A:$A,'Tabela Base'!$B62))/(SUMIFS('Recebimentos do dia '!$E:$E,'Recebimentos do dia '!$C:$C,'Tabela Base'!$B62)+SUMIFS('Estoque Atual'!$E:$E,'Estoque Atual'!$A:$A,'Tabela Base'!$B62)),0)</f>
        <v>0</v>
      </c>
      <c r="P62" s="262"/>
    </row>
    <row r="63" spans="1:18">
      <c r="A63" s="199"/>
      <c r="B63" s="209"/>
      <c r="C63" s="210"/>
      <c r="D63" s="211"/>
      <c r="E63" s="212"/>
      <c r="F63" s="212"/>
      <c r="G63" s="243"/>
      <c r="H63" s="214"/>
      <c r="I63" s="242"/>
      <c r="J63" s="215"/>
      <c r="K63" s="216"/>
      <c r="L63" s="217"/>
      <c r="M63" s="217"/>
      <c r="N63" s="216"/>
      <c r="P63" s="238"/>
    </row>
    <row r="64" spans="1:18" s="224" customFormat="1" ht="23.25">
      <c r="A64" s="218"/>
      <c r="B64" s="219"/>
      <c r="C64" s="219"/>
      <c r="D64" s="220" t="s">
        <v>144</v>
      </c>
      <c r="E64" s="221"/>
      <c r="F64" s="221"/>
      <c r="G64" s="222"/>
      <c r="H64" s="223"/>
      <c r="J64" s="225"/>
      <c r="K64" s="226"/>
      <c r="L64" s="227"/>
      <c r="M64" s="227"/>
      <c r="N64" s="226"/>
      <c r="P64" s="238"/>
      <c r="R64" s="199"/>
    </row>
    <row r="65" spans="1:16" s="246" customFormat="1" hidden="1">
      <c r="B65" s="247">
        <v>12139</v>
      </c>
      <c r="C65" s="248" t="s">
        <v>62</v>
      </c>
      <c r="D65" s="249" t="s">
        <v>140</v>
      </c>
      <c r="E65" s="231"/>
      <c r="F65" s="231"/>
      <c r="G65" s="250" t="s">
        <v>177</v>
      </c>
      <c r="H65" s="258">
        <f t="shared" ref="H65:H127" si="10">J65</f>
        <v>0</v>
      </c>
      <c r="I65" s="252"/>
      <c r="J65" s="235">
        <f>SUMIFS('Estoque Atual'!$E:$E,'Estoque Atual'!$A:$A,'Tabela Base'!$B65)+SUMIFS('Recebimentos do dia '!$E:$E,'Recebimentos do dia '!$C:$C,'Tabela Base'!$B65)</f>
        <v>0</v>
      </c>
      <c r="K65" s="236">
        <f>IFERROR((SUMIFS('Estoque Atual'!I:I,'Estoque Atual'!A:A,'Tabela Base'!B65)+SUMIFS('Recebimentos do dia '!I:I,'Recebimentos do dia '!C:C,'Tabela Base'!B65))/
(SUMIFS('Estoque Atual'!G:G,'Estoque Atual'!A:A,'Tabela Base'!B65)+SUMIFS('Recebimentos do dia '!H:H,'Recebimentos do dia '!C:C,'Tabela Base'!B65)),0)</f>
        <v>0</v>
      </c>
      <c r="L65" s="237">
        <f t="shared" ref="L65:L99" si="11">E65-K65</f>
        <v>0</v>
      </c>
      <c r="M65" s="237">
        <f t="shared" ref="M65:M127" si="12">F65-K65</f>
        <v>0</v>
      </c>
      <c r="N65" s="236">
        <f>IFERROR((SUMIFS('Recebimentos do dia '!$H:$H,'Recebimentos do dia '!$C:$C,'Tabela Base'!$B65)+SUMIFS('Estoque Atual'!$G:$G,'Estoque Atual'!$A:$A,'Tabela Base'!$B65))/(SUMIFS('Recebimentos do dia '!$E:$E,'Recebimentos do dia '!$C:$C,'Tabela Base'!$B65)+SUMIFS('Estoque Atual'!$E:$E,'Estoque Atual'!$A:$A,'Tabela Base'!$B65)),0)</f>
        <v>0</v>
      </c>
    </row>
    <row r="66" spans="1:16" s="246" customFormat="1" hidden="1">
      <c r="B66" s="279">
        <v>12051</v>
      </c>
      <c r="C66" s="280" t="s">
        <v>87</v>
      </c>
      <c r="D66" s="287" t="s">
        <v>350</v>
      </c>
      <c r="E66" s="231">
        <v>33.99</v>
      </c>
      <c r="F66" s="231">
        <v>33.99</v>
      </c>
      <c r="G66" s="250" t="s">
        <v>254</v>
      </c>
      <c r="H66" s="258">
        <f t="shared" si="10"/>
        <v>0</v>
      </c>
      <c r="I66" s="252"/>
      <c r="J66" s="235">
        <f>SUMIFS('Estoque Atual'!$E:$E,'Estoque Atual'!$A:$A,'Tabela Base'!$B66)+SUMIFS('Recebimentos do dia '!$E:$E,'Recebimentos do dia '!$C:$C,'Tabela Base'!$B66)</f>
        <v>0</v>
      </c>
      <c r="K66" s="236">
        <f>IFERROR((SUMIFS('Estoque Atual'!I:I,'Estoque Atual'!A:A,'Tabela Base'!B66)+SUMIFS('Recebimentos do dia '!I:I,'Recebimentos do dia '!C:C,'Tabela Base'!B66))/
(SUMIFS('Estoque Atual'!G:G,'Estoque Atual'!A:A,'Tabela Base'!B66)+SUMIFS('Recebimentos do dia '!H:H,'Recebimentos do dia '!C:C,'Tabela Base'!B66)),0)</f>
        <v>0</v>
      </c>
      <c r="L66" s="237">
        <f t="shared" si="11"/>
        <v>33.99</v>
      </c>
      <c r="M66" s="237">
        <f t="shared" si="12"/>
        <v>33.99</v>
      </c>
      <c r="N66" s="236">
        <f>IFERROR((SUMIFS('Recebimentos do dia '!$H:$H,'Recebimentos do dia '!$C:$C,'Tabela Base'!$B66)+SUMIFS('Estoque Atual'!$G:$G,'Estoque Atual'!$A:$A,'Tabela Base'!$B66))/(SUMIFS('Recebimentos do dia '!$E:$E,'Recebimentos do dia '!$C:$C,'Tabela Base'!$B66)+SUMIFS('Estoque Atual'!$E:$E,'Estoque Atual'!$A:$A,'Tabela Base'!$B66)),0)</f>
        <v>0</v>
      </c>
    </row>
    <row r="67" spans="1:16" s="246" customFormat="1" hidden="1">
      <c r="B67" s="259">
        <v>22010</v>
      </c>
      <c r="C67" s="280" t="s">
        <v>362</v>
      </c>
      <c r="D67" s="288" t="s">
        <v>303</v>
      </c>
      <c r="E67" s="231">
        <v>36.99</v>
      </c>
      <c r="F67" s="231">
        <v>36.99</v>
      </c>
      <c r="G67" s="284" t="s">
        <v>220</v>
      </c>
      <c r="H67" s="258">
        <f t="shared" si="10"/>
        <v>0</v>
      </c>
      <c r="I67" s="252"/>
      <c r="J67" s="235">
        <f>SUMIFS('Estoque Atual'!$E:$E,'Estoque Atual'!$A:$A,'Tabela Base'!$B67)+SUMIFS('Recebimentos do dia '!$E:$E,'Recebimentos do dia '!$C:$C,'Tabela Base'!$B67)</f>
        <v>0</v>
      </c>
      <c r="K67" s="236">
        <f>IFERROR((SUMIFS('Estoque Atual'!I:I,'Estoque Atual'!A:A,'Tabela Base'!B67)+SUMIFS('Recebimentos do dia '!I:I,'Recebimentos do dia '!C:C,'Tabela Base'!B67))/
(SUMIFS('Estoque Atual'!G:G,'Estoque Atual'!A:A,'Tabela Base'!B67)+SUMIFS('Recebimentos do dia '!H:H,'Recebimentos do dia '!C:C,'Tabela Base'!B67)),0)</f>
        <v>0</v>
      </c>
      <c r="L67" s="237">
        <f t="shared" si="11"/>
        <v>36.99</v>
      </c>
      <c r="M67" s="237">
        <f t="shared" si="12"/>
        <v>36.99</v>
      </c>
      <c r="N67" s="236">
        <f>IFERROR((SUMIFS('Recebimentos do dia '!$H:$H,'Recebimentos do dia '!$C:$C,'Tabela Base'!$B67)+SUMIFS('Estoque Atual'!$G:$G,'Estoque Atual'!$A:$A,'Tabela Base'!$B67))/(SUMIFS('Recebimentos do dia '!$E:$E,'Recebimentos do dia '!$C:$C,'Tabela Base'!$B67)+SUMIFS('Estoque Atual'!$E:$E,'Estoque Atual'!$A:$A,'Tabela Base'!$B67)),0)</f>
        <v>0</v>
      </c>
    </row>
    <row r="68" spans="1:16" s="246" customFormat="1" hidden="1">
      <c r="B68" s="289">
        <v>12021</v>
      </c>
      <c r="C68" s="290" t="s">
        <v>87</v>
      </c>
      <c r="D68" s="291" t="s">
        <v>140</v>
      </c>
      <c r="E68" s="231">
        <v>31.5</v>
      </c>
      <c r="F68" s="231">
        <v>31.5</v>
      </c>
      <c r="G68" s="292" t="s">
        <v>220</v>
      </c>
      <c r="H68" s="258">
        <f t="shared" si="10"/>
        <v>0</v>
      </c>
      <c r="I68" s="252"/>
      <c r="J68" s="235">
        <f>SUMIFS('Estoque Atual'!$E:$E,'Estoque Atual'!$A:$A,'Tabela Base'!$B68)+SUMIFS('Recebimentos do dia '!$E:$E,'Recebimentos do dia '!$C:$C,'Tabela Base'!$B68)</f>
        <v>0</v>
      </c>
      <c r="K68" s="236">
        <f>IFERROR((SUMIFS('Estoque Atual'!I:I,'Estoque Atual'!A:A,'Tabela Base'!B68)+SUMIFS('Recebimentos do dia '!I:I,'Recebimentos do dia '!C:C,'Tabela Base'!B68))/
(SUMIFS('Estoque Atual'!G:G,'Estoque Atual'!A:A,'Tabela Base'!B68)+SUMIFS('Recebimentos do dia '!H:H,'Recebimentos do dia '!C:C,'Tabela Base'!B68)),0)</f>
        <v>0</v>
      </c>
      <c r="L68" s="237">
        <f t="shared" si="11"/>
        <v>31.5</v>
      </c>
      <c r="M68" s="237">
        <f t="shared" si="12"/>
        <v>31.5</v>
      </c>
      <c r="N68" s="236">
        <f>IFERROR((SUMIFS('Recebimentos do dia '!$H:$H,'Recebimentos do dia '!$C:$C,'Tabela Base'!$B68)+SUMIFS('Estoque Atual'!$G:$G,'Estoque Atual'!$A:$A,'Tabela Base'!$B68))/(SUMIFS('Recebimentos do dia '!$E:$E,'Recebimentos do dia '!$C:$C,'Tabela Base'!$B68)+SUMIFS('Estoque Atual'!$E:$E,'Estoque Atual'!$A:$A,'Tabela Base'!$B68)),0)</f>
        <v>0</v>
      </c>
    </row>
    <row r="69" spans="1:16" s="246" customFormat="1" hidden="1">
      <c r="B69" s="293">
        <v>12194</v>
      </c>
      <c r="C69" s="294" t="s">
        <v>87</v>
      </c>
      <c r="D69" s="295" t="s">
        <v>334</v>
      </c>
      <c r="E69" s="231">
        <v>34.49</v>
      </c>
      <c r="F69" s="231">
        <v>34.590000000000003</v>
      </c>
      <c r="G69" s="296" t="s">
        <v>268</v>
      </c>
      <c r="H69" s="258">
        <f t="shared" si="10"/>
        <v>0</v>
      </c>
      <c r="I69" s="252"/>
      <c r="J69" s="235">
        <f>SUMIFS('Estoque Atual'!$E:$E,'Estoque Atual'!$A:$A,'Tabela Base'!$B69)+SUMIFS('Recebimentos do dia '!$E:$E,'Recebimentos do dia '!$C:$C,'Tabela Base'!$B69)</f>
        <v>0</v>
      </c>
      <c r="K69" s="236">
        <f>IFERROR((SUMIFS('Estoque Atual'!I:I,'Estoque Atual'!A:A,'Tabela Base'!B69)+SUMIFS('Recebimentos do dia '!I:I,'Recebimentos do dia '!C:C,'Tabela Base'!B69))/
(SUMIFS('Estoque Atual'!G:G,'Estoque Atual'!A:A,'Tabela Base'!B69)+SUMIFS('Recebimentos do dia '!H:H,'Recebimentos do dia '!C:C,'Tabela Base'!B69)),0)</f>
        <v>0</v>
      </c>
      <c r="L69" s="237">
        <f t="shared" si="11"/>
        <v>34.49</v>
      </c>
      <c r="M69" s="237">
        <f t="shared" si="12"/>
        <v>34.590000000000003</v>
      </c>
      <c r="N69" s="236">
        <f>IFERROR((SUMIFS('Recebimentos do dia '!$H:$H,'Recebimentos do dia '!$C:$C,'Tabela Base'!$B69)+SUMIFS('Estoque Atual'!$G:$G,'Estoque Atual'!$A:$A,'Tabela Base'!$B69))/(SUMIFS('Recebimentos do dia '!$E:$E,'Recebimentos do dia '!$C:$C,'Tabela Base'!$B69)+SUMIFS('Estoque Atual'!$E:$E,'Estoque Atual'!$A:$A,'Tabela Base'!$B69)),0)</f>
        <v>0</v>
      </c>
    </row>
    <row r="70" spans="1:16" s="246" customFormat="1" hidden="1">
      <c r="B70" s="297">
        <v>12105</v>
      </c>
      <c r="C70" s="298" t="s">
        <v>87</v>
      </c>
      <c r="D70" s="295" t="s">
        <v>73</v>
      </c>
      <c r="E70" s="231">
        <v>33.99</v>
      </c>
      <c r="F70" s="231">
        <v>33.99</v>
      </c>
      <c r="G70" s="299" t="s">
        <v>254</v>
      </c>
      <c r="H70" s="258">
        <f t="shared" si="10"/>
        <v>0</v>
      </c>
      <c r="I70" s="252"/>
      <c r="J70" s="235">
        <f>SUMIFS('Estoque Atual'!$E:$E,'Estoque Atual'!$A:$A,'Tabela Base'!$B70)+SUMIFS('Recebimentos do dia '!$E:$E,'Recebimentos do dia '!$C:$C,'Tabela Base'!$B70)</f>
        <v>0</v>
      </c>
      <c r="K70" s="236">
        <f>IFERROR((SUMIFS('Estoque Atual'!I:I,'Estoque Atual'!A:A,'Tabela Base'!B70)+SUMIFS('Recebimentos do dia '!I:I,'Recebimentos do dia '!C:C,'Tabela Base'!B70))/
(SUMIFS('Estoque Atual'!G:G,'Estoque Atual'!A:A,'Tabela Base'!B70)+SUMIFS('Recebimentos do dia '!H:H,'Recebimentos do dia '!C:C,'Tabela Base'!B70)),0)</f>
        <v>0</v>
      </c>
      <c r="L70" s="237">
        <f t="shared" ref="L70" si="13">E70-K70</f>
        <v>33.99</v>
      </c>
      <c r="M70" s="237">
        <f t="shared" si="12"/>
        <v>33.99</v>
      </c>
      <c r="N70" s="236">
        <f>IFERROR((SUMIFS('Recebimentos do dia '!$H:$H,'Recebimentos do dia '!$C:$C,'Tabela Base'!$B70)+SUMIFS('Estoque Atual'!$G:$G,'Estoque Atual'!$A:$A,'Tabela Base'!$B70))/(SUMIFS('Recebimentos do dia '!$E:$E,'Recebimentos do dia '!$C:$C,'Tabela Base'!$B70)+SUMIFS('Estoque Atual'!$E:$E,'Estoque Atual'!$A:$A,'Tabela Base'!$B70)),0)</f>
        <v>0</v>
      </c>
    </row>
    <row r="71" spans="1:16">
      <c r="A71" s="199"/>
      <c r="B71" s="300">
        <v>12282</v>
      </c>
      <c r="C71" s="301" t="s">
        <v>363</v>
      </c>
      <c r="D71" s="302" t="s">
        <v>333</v>
      </c>
      <c r="E71" s="231">
        <v>34.99</v>
      </c>
      <c r="F71" s="231">
        <v>32.99</v>
      </c>
      <c r="G71" s="256" t="s">
        <v>220</v>
      </c>
      <c r="H71" s="233">
        <f>J71</f>
        <v>52</v>
      </c>
      <c r="I71" s="242"/>
      <c r="J71" s="235">
        <f>SUMIFS('Estoque Atual'!$E:$E,'Estoque Atual'!$A:$A,'Tabela Base'!$B71)+SUMIFS('Recebimentos do dia '!$E:$E,'Recebimentos do dia '!$C:$C,'Tabela Base'!$B71)</f>
        <v>52</v>
      </c>
      <c r="K71" s="236">
        <f>IFERROR((SUMIFS('Estoque Atual'!I:I,'Estoque Atual'!A:A,'Tabela Base'!B71)+SUMIFS('Recebimentos do dia '!I:I,'Recebimentos do dia '!C:C,'Tabela Base'!B71))/
(SUMIFS('Estoque Atual'!G:G,'Estoque Atual'!A:A,'Tabela Base'!B71)+SUMIFS('Recebimentos do dia '!H:H,'Recebimentos do dia '!C:C,'Tabela Base'!B71)),0)</f>
        <v>32</v>
      </c>
      <c r="L71" s="237">
        <f t="shared" si="11"/>
        <v>2.990000000000002</v>
      </c>
      <c r="M71" s="237">
        <f t="shared" si="12"/>
        <v>0.99000000000000199</v>
      </c>
      <c r="N71" s="236">
        <f>IFERROR((SUMIFS('Recebimentos do dia '!$H:$H,'Recebimentos do dia '!$C:$C,'Tabela Base'!$B71)+SUMIFS('Estoque Atual'!$G:$G,'Estoque Atual'!$A:$A,'Tabela Base'!$B71))/(SUMIFS('Recebimentos do dia '!$E:$E,'Recebimentos do dia '!$C:$C,'Tabela Base'!$B71)+SUMIFS('Estoque Atual'!$E:$E,'Estoque Atual'!$A:$A,'Tabela Base'!$B71)),0)</f>
        <v>22.843884615384617</v>
      </c>
      <c r="P71" s="238"/>
    </row>
    <row r="72" spans="1:16" s="246" customFormat="1" hidden="1">
      <c r="B72" s="303">
        <v>12109</v>
      </c>
      <c r="C72" s="290" t="s">
        <v>113</v>
      </c>
      <c r="D72" s="291" t="s">
        <v>141</v>
      </c>
      <c r="E72" s="231"/>
      <c r="F72" s="231"/>
      <c r="G72" s="304" t="s">
        <v>237</v>
      </c>
      <c r="H72" s="258">
        <f t="shared" si="10"/>
        <v>0</v>
      </c>
      <c r="I72" s="252"/>
      <c r="J72" s="235">
        <f>SUMIFS('Estoque Atual'!$E:$E,'Estoque Atual'!$A:$A,'Tabela Base'!$B72)+SUMIFS('Recebimentos do dia '!$E:$E,'Recebimentos do dia '!$C:$C,'Tabela Base'!$B72)</f>
        <v>0</v>
      </c>
      <c r="K72" s="236">
        <f>IFERROR((SUMIFS('Estoque Atual'!I:I,'Estoque Atual'!A:A,'Tabela Base'!B72)+SUMIFS('Recebimentos do dia '!I:I,'Recebimentos do dia '!C:C,'Tabela Base'!B72))/
(SUMIFS('Estoque Atual'!G:G,'Estoque Atual'!A:A,'Tabela Base'!B72)+SUMIFS('Recebimentos do dia '!H:H,'Recebimentos do dia '!C:C,'Tabela Base'!B72)),0)</f>
        <v>0</v>
      </c>
      <c r="L72" s="237">
        <f t="shared" si="11"/>
        <v>0</v>
      </c>
      <c r="M72" s="237">
        <f t="shared" si="12"/>
        <v>0</v>
      </c>
      <c r="N72" s="236">
        <f>IFERROR((SUMIFS('Recebimentos do dia '!$H:$H,'Recebimentos do dia '!$C:$C,'Tabela Base'!$B72)+SUMIFS('Estoque Atual'!$G:$G,'Estoque Atual'!$A:$A,'Tabela Base'!$B72))/(SUMIFS('Recebimentos do dia '!$E:$E,'Recebimentos do dia '!$C:$C,'Tabela Base'!$B72)+SUMIFS('Estoque Atual'!$E:$E,'Estoque Atual'!$A:$A,'Tabela Base'!$B72)),0)</f>
        <v>0</v>
      </c>
    </row>
    <row r="73" spans="1:16" s="246" customFormat="1" hidden="1">
      <c r="B73" s="277">
        <v>12068</v>
      </c>
      <c r="C73" s="248" t="s">
        <v>271</v>
      </c>
      <c r="D73" s="295" t="s">
        <v>333</v>
      </c>
      <c r="E73" s="231">
        <v>36.99</v>
      </c>
      <c r="F73" s="231">
        <v>36.99</v>
      </c>
      <c r="G73" s="250" t="s">
        <v>254</v>
      </c>
      <c r="H73" s="233">
        <f t="shared" ref="H73:H78" si="14">J73</f>
        <v>0</v>
      </c>
      <c r="I73" s="235"/>
      <c r="J73" s="235">
        <f>SUMIFS('Estoque Atual'!$E:$E,'Estoque Atual'!$A:$A,'Tabela Base'!$B73)+SUMIFS('Recebimentos do dia '!$E:$E,'Recebimentos do dia '!$C:$C,'Tabela Base'!$B73)</f>
        <v>0</v>
      </c>
      <c r="K73" s="236">
        <f>IFERROR((SUMIFS('Estoque Atual'!I:I,'Estoque Atual'!A:A,'Tabela Base'!B73)+SUMIFS('Recebimentos do dia '!I:I,'Recebimentos do dia '!C:C,'Tabela Base'!B73))/
(SUMIFS('Estoque Atual'!G:G,'Estoque Atual'!A:A,'Tabela Base'!B73)+SUMIFS('Recebimentos do dia '!H:H,'Recebimentos do dia '!C:C,'Tabela Base'!B73)),0)</f>
        <v>0</v>
      </c>
      <c r="L73" s="237">
        <f>E73-K73</f>
        <v>36.99</v>
      </c>
      <c r="M73" s="237">
        <f t="shared" si="12"/>
        <v>36.99</v>
      </c>
      <c r="N73" s="236">
        <f>IFERROR((SUMIFS('Recebimentos do dia '!$H:$H,'Recebimentos do dia '!$C:$C,'Tabela Base'!$B73)+SUMIFS('Estoque Atual'!$G:$G,'Estoque Atual'!$A:$A,'Tabela Base'!$B73))/(SUMIFS('Recebimentos do dia '!$E:$E,'Recebimentos do dia '!$C:$C,'Tabela Base'!$B73)+SUMIFS('Estoque Atual'!$E:$E,'Estoque Atual'!$A:$A,'Tabela Base'!$B73)),0)</f>
        <v>0</v>
      </c>
    </row>
    <row r="74" spans="1:16" s="246" customFormat="1">
      <c r="B74" s="293">
        <v>12163</v>
      </c>
      <c r="C74" s="294" t="s">
        <v>364</v>
      </c>
      <c r="D74" s="295" t="s">
        <v>333</v>
      </c>
      <c r="E74" s="231">
        <v>39.99</v>
      </c>
      <c r="F74" s="231">
        <v>38.99</v>
      </c>
      <c r="G74" s="305" t="s">
        <v>220</v>
      </c>
      <c r="H74" s="251">
        <f t="shared" si="14"/>
        <v>65</v>
      </c>
      <c r="I74" s="242"/>
      <c r="J74" s="235">
        <f>SUMIFS('Estoque Atual'!$E:$E,'Estoque Atual'!$A:$A,'Tabela Base'!$B74)+SUMIFS('Recebimentos do dia '!$E:$E,'Recebimentos do dia '!$C:$C,'Tabela Base'!$B74)</f>
        <v>65</v>
      </c>
      <c r="K74" s="236">
        <f>IFERROR((SUMIFS('Estoque Atual'!I:I,'Estoque Atual'!A:A,'Tabela Base'!B74)+SUMIFS('Recebimentos do dia '!I:I,'Recebimentos do dia '!C:C,'Tabela Base'!B74))/
(SUMIFS('Estoque Atual'!G:G,'Estoque Atual'!A:A,'Tabela Base'!B74)+SUMIFS('Recebimentos do dia '!H:H,'Recebimentos do dia '!C:C,'Tabela Base'!B74)),0)</f>
        <v>38</v>
      </c>
      <c r="L74" s="237">
        <f>E74-K74</f>
        <v>1.990000000000002</v>
      </c>
      <c r="M74" s="237">
        <f t="shared" si="12"/>
        <v>0.99000000000000199</v>
      </c>
      <c r="N74" s="236">
        <f>IFERROR((SUMIFS('Recebimentos do dia '!$H:$H,'Recebimentos do dia '!$C:$C,'Tabela Base'!$B74)+SUMIFS('Estoque Atual'!$G:$G,'Estoque Atual'!$A:$A,'Tabela Base'!$B74))/(SUMIFS('Recebimentos do dia '!$E:$E,'Recebimentos do dia '!$C:$C,'Tabela Base'!$B74)+SUMIFS('Estoque Atual'!$E:$E,'Estoque Atual'!$A:$A,'Tabela Base'!$B74)),0)</f>
        <v>22.630461538461539</v>
      </c>
    </row>
    <row r="75" spans="1:16" s="246" customFormat="1" hidden="1">
      <c r="B75" s="300">
        <v>12169</v>
      </c>
      <c r="C75" s="280" t="s">
        <v>48</v>
      </c>
      <c r="D75" s="302" t="s">
        <v>73</v>
      </c>
      <c r="E75" s="231">
        <v>32.99</v>
      </c>
      <c r="F75" s="231">
        <v>34.49</v>
      </c>
      <c r="G75" s="264" t="s">
        <v>336</v>
      </c>
      <c r="H75" s="258">
        <f t="shared" si="14"/>
        <v>0</v>
      </c>
      <c r="I75" s="252"/>
      <c r="J75" s="235">
        <f>SUMIFS('Estoque Atual'!$E:$E,'Estoque Atual'!$A:$A,'Tabela Base'!$B75)+SUMIFS('Recebimentos do dia '!$E:$E,'Recebimentos do dia '!$C:$C,'Tabela Base'!$B75)</f>
        <v>0</v>
      </c>
      <c r="K75" s="236">
        <f>IFERROR((SUMIFS('Estoque Atual'!I:I,'Estoque Atual'!A:A,'Tabela Base'!B75)+SUMIFS('Recebimentos do dia '!I:I,'Recebimentos do dia '!C:C,'Tabela Base'!B75))/
(SUMIFS('Estoque Atual'!G:G,'Estoque Atual'!A:A,'Tabela Base'!B75)+SUMIFS('Recebimentos do dia '!H:H,'Recebimentos do dia '!C:C,'Tabela Base'!B75)),0)</f>
        <v>0</v>
      </c>
      <c r="L75" s="237">
        <f>E75-K75</f>
        <v>32.99</v>
      </c>
      <c r="M75" s="237">
        <f t="shared" si="12"/>
        <v>34.49</v>
      </c>
      <c r="N75" s="236">
        <f>IFERROR((SUMIFS('Recebimentos do dia '!$H:$H,'Recebimentos do dia '!$C:$C,'Tabela Base'!$B75)+SUMIFS('Estoque Atual'!$G:$G,'Estoque Atual'!$A:$A,'Tabela Base'!$B75))/(SUMIFS('Recebimentos do dia '!$E:$E,'Recebimentos do dia '!$C:$C,'Tabela Base'!$B75)+SUMIFS('Estoque Atual'!$E:$E,'Estoque Atual'!$A:$A,'Tabela Base'!$B75)),0)</f>
        <v>0</v>
      </c>
    </row>
    <row r="76" spans="1:16">
      <c r="A76" s="199"/>
      <c r="B76" s="307">
        <v>12053</v>
      </c>
      <c r="C76" s="290" t="s">
        <v>48</v>
      </c>
      <c r="D76" s="295" t="s">
        <v>410</v>
      </c>
      <c r="E76" s="231">
        <v>36.590000000000003</v>
      </c>
      <c r="F76" s="231">
        <v>36.99</v>
      </c>
      <c r="G76" s="250" t="s">
        <v>415</v>
      </c>
      <c r="H76" s="233">
        <f t="shared" si="14"/>
        <v>120</v>
      </c>
      <c r="I76" s="252"/>
      <c r="J76" s="235">
        <f>SUMIFS('Estoque Atual'!$E:$E,'Estoque Atual'!$A:$A,'Tabela Base'!$B76)+SUMIFS('Recebimentos do dia '!$E:$E,'Recebimentos do dia '!$C:$C,'Tabela Base'!$B76)</f>
        <v>120</v>
      </c>
      <c r="K76" s="236">
        <f>IFERROR((SUMIFS('Estoque Atual'!I:I,'Estoque Atual'!A:A,'Tabela Base'!B76)+SUMIFS('Recebimentos do dia '!I:I,'Recebimentos do dia '!C:C,'Tabela Base'!B76))/
(SUMIFS('Estoque Atual'!G:G,'Estoque Atual'!A:A,'Tabela Base'!B76)+SUMIFS('Recebimentos do dia '!H:H,'Recebimentos do dia '!C:C,'Tabela Base'!B76)),0)</f>
        <v>32</v>
      </c>
      <c r="L76" s="237">
        <f>E76-K76</f>
        <v>4.5900000000000034</v>
      </c>
      <c r="M76" s="237">
        <f t="shared" si="12"/>
        <v>4.990000000000002</v>
      </c>
      <c r="N76" s="236">
        <f>IFERROR((SUMIFS('Recebimentos do dia '!$H:$H,'Recebimentos do dia '!$C:$C,'Tabela Base'!$B76)+SUMIFS('Estoque Atual'!$G:$G,'Estoque Atual'!$A:$A,'Tabela Base'!$B76))/(SUMIFS('Recebimentos do dia '!$E:$E,'Recebimentos do dia '!$C:$C,'Tabela Base'!$B76)+SUMIFS('Estoque Atual'!$E:$E,'Estoque Atual'!$A:$A,'Tabela Base'!$B76)),0)</f>
        <v>24.466266666666666</v>
      </c>
      <c r="P76" s="238"/>
    </row>
    <row r="77" spans="1:16" s="246" customFormat="1" hidden="1">
      <c r="B77" s="293">
        <v>12189</v>
      </c>
      <c r="C77" s="290" t="s">
        <v>48</v>
      </c>
      <c r="D77" s="295" t="s">
        <v>334</v>
      </c>
      <c r="E77" s="231">
        <v>36.99</v>
      </c>
      <c r="F77" s="231">
        <v>37.49</v>
      </c>
      <c r="G77" s="264" t="s">
        <v>268</v>
      </c>
      <c r="H77" s="233">
        <f t="shared" si="14"/>
        <v>0</v>
      </c>
      <c r="I77" s="252"/>
      <c r="J77" s="235">
        <f>SUMIFS('Estoque Atual'!$E:$E,'Estoque Atual'!$A:$A,'Tabela Base'!$B77)+SUMIFS('Recebimentos do dia '!$E:$E,'Recebimentos do dia '!$C:$C,'Tabela Base'!$B77)</f>
        <v>0</v>
      </c>
      <c r="K77" s="236">
        <f>IFERROR((SUMIFS('Estoque Atual'!I:I,'Estoque Atual'!A:A,'Tabela Base'!B77)+SUMIFS('Recebimentos do dia '!I:I,'Recebimentos do dia '!C:C,'Tabela Base'!B77))/
(SUMIFS('Estoque Atual'!G:G,'Estoque Atual'!A:A,'Tabela Base'!B77)+SUMIFS('Recebimentos do dia '!H:H,'Recebimentos do dia '!C:C,'Tabela Base'!B77)),0)</f>
        <v>0</v>
      </c>
      <c r="L77" s="237">
        <f t="shared" si="11"/>
        <v>36.99</v>
      </c>
      <c r="M77" s="237">
        <f t="shared" si="12"/>
        <v>37.49</v>
      </c>
      <c r="N77" s="236">
        <f>IFERROR((SUMIFS('Recebimentos do dia '!$H:$H,'Recebimentos do dia '!$C:$C,'Tabela Base'!$B77)+SUMIFS('Estoque Atual'!$G:$G,'Estoque Atual'!$A:$A,'Tabela Base'!$B77))/(SUMIFS('Recebimentos do dia '!$E:$E,'Recebimentos do dia '!$C:$C,'Tabela Base'!$B77)+SUMIFS('Estoque Atual'!$E:$E,'Estoque Atual'!$A:$A,'Tabela Base'!$B77)),0)</f>
        <v>0</v>
      </c>
    </row>
    <row r="78" spans="1:16" s="246" customFormat="1" hidden="1">
      <c r="B78" s="293">
        <v>12096</v>
      </c>
      <c r="C78" s="290" t="s">
        <v>48</v>
      </c>
      <c r="D78" s="295" t="s">
        <v>161</v>
      </c>
      <c r="E78" s="231">
        <v>39.29</v>
      </c>
      <c r="F78" s="231">
        <v>39.29</v>
      </c>
      <c r="G78" s="305" t="s">
        <v>255</v>
      </c>
      <c r="H78" s="251">
        <f t="shared" si="14"/>
        <v>0</v>
      </c>
      <c r="I78" s="252"/>
      <c r="J78" s="235">
        <f>SUMIFS('Estoque Atual'!$E:$E,'Estoque Atual'!$A:$A,'Tabela Base'!$B78)+SUMIFS('Recebimentos do dia '!$E:$E,'Recebimentos do dia '!$C:$C,'Tabela Base'!$B78)</f>
        <v>0</v>
      </c>
      <c r="K78" s="236">
        <f>IFERROR((SUMIFS('Estoque Atual'!I:I,'Estoque Atual'!A:A,'Tabela Base'!B78)+SUMIFS('Recebimentos do dia '!I:I,'Recebimentos do dia '!C:C,'Tabela Base'!B78))/
(SUMIFS('Estoque Atual'!G:G,'Estoque Atual'!A:A,'Tabela Base'!B78)+SUMIFS('Recebimentos do dia '!H:H,'Recebimentos do dia '!C:C,'Tabela Base'!B78)),0)</f>
        <v>0</v>
      </c>
      <c r="L78" s="237">
        <f t="shared" si="11"/>
        <v>39.29</v>
      </c>
      <c r="M78" s="237">
        <f t="shared" si="12"/>
        <v>39.29</v>
      </c>
      <c r="N78" s="236">
        <f>IFERROR((SUMIFS('Recebimentos do dia '!$H:$H,'Recebimentos do dia '!$C:$C,'Tabela Base'!$B78)+SUMIFS('Estoque Atual'!$G:$G,'Estoque Atual'!$A:$A,'Tabela Base'!$B78))/(SUMIFS('Recebimentos do dia '!$E:$E,'Recebimentos do dia '!$C:$C,'Tabela Base'!$B78)+SUMIFS('Estoque Atual'!$E:$E,'Estoque Atual'!$A:$A,'Tabela Base'!$B78)),0)</f>
        <v>0</v>
      </c>
    </row>
    <row r="79" spans="1:16" s="246" customFormat="1" hidden="1">
      <c r="B79" s="303">
        <v>12078</v>
      </c>
      <c r="C79" s="290" t="s">
        <v>48</v>
      </c>
      <c r="D79" s="291" t="s">
        <v>142</v>
      </c>
      <c r="E79" s="231">
        <v>36</v>
      </c>
      <c r="F79" s="231">
        <v>36</v>
      </c>
      <c r="G79" s="304" t="s">
        <v>220</v>
      </c>
      <c r="H79" s="258">
        <f t="shared" si="10"/>
        <v>0</v>
      </c>
      <c r="I79" s="252"/>
      <c r="J79" s="235">
        <f>SUMIFS('Estoque Atual'!$E:$E,'Estoque Atual'!$A:$A,'Tabela Base'!$B79)+SUMIFS('Recebimentos do dia '!$E:$E,'Recebimentos do dia '!$C:$C,'Tabela Base'!$B79)</f>
        <v>0</v>
      </c>
      <c r="K79" s="236">
        <f>IFERROR((SUMIFS('Estoque Atual'!I:I,'Estoque Atual'!A:A,'Tabela Base'!B79)+SUMIFS('Recebimentos do dia '!I:I,'Recebimentos do dia '!C:C,'Tabela Base'!B79))/
(SUMIFS('Estoque Atual'!G:G,'Estoque Atual'!A:A,'Tabela Base'!B79)+SUMIFS('Recebimentos do dia '!H:H,'Recebimentos do dia '!C:C,'Tabela Base'!B79)),0)</f>
        <v>0</v>
      </c>
      <c r="L79" s="237">
        <f t="shared" si="11"/>
        <v>36</v>
      </c>
      <c r="M79" s="237">
        <f t="shared" si="12"/>
        <v>36</v>
      </c>
      <c r="N79" s="236">
        <f>IFERROR((SUMIFS('Recebimentos do dia '!$H:$H,'Recebimentos do dia '!$C:$C,'Tabela Base'!$B79)+SUMIFS('Estoque Atual'!$G:$G,'Estoque Atual'!$A:$A,'Tabela Base'!$B79))/(SUMIFS('Recebimentos do dia '!$E:$E,'Recebimentos do dia '!$C:$C,'Tabela Base'!$B79)+SUMIFS('Estoque Atual'!$E:$E,'Estoque Atual'!$A:$A,'Tabela Base'!$B79)),0)</f>
        <v>0</v>
      </c>
    </row>
    <row r="80" spans="1:16" s="246" customFormat="1" hidden="1">
      <c r="B80" s="310">
        <v>12119</v>
      </c>
      <c r="C80" s="290" t="s">
        <v>258</v>
      </c>
      <c r="D80" s="291" t="s">
        <v>143</v>
      </c>
      <c r="E80" s="231"/>
      <c r="F80" s="231"/>
      <c r="G80" s="311" t="s">
        <v>220</v>
      </c>
      <c r="H80" s="258">
        <f t="shared" si="10"/>
        <v>0</v>
      </c>
      <c r="I80" s="252"/>
      <c r="J80" s="235">
        <f>SUMIFS('Estoque Atual'!$E:$E,'Estoque Atual'!$A:$A,'Tabela Base'!$B80)+SUMIFS('Recebimentos do dia '!$E:$E,'Recebimentos do dia '!$C:$C,'Tabela Base'!$B80)</f>
        <v>0</v>
      </c>
      <c r="K80" s="236">
        <f>IFERROR((SUMIFS('Estoque Atual'!I:I,'Estoque Atual'!A:A,'Tabela Base'!B80)+SUMIFS('Recebimentos do dia '!I:I,'Recebimentos do dia '!C:C,'Tabela Base'!B80))/
(SUMIFS('Estoque Atual'!G:G,'Estoque Atual'!A:A,'Tabela Base'!B80)+SUMIFS('Recebimentos do dia '!H:H,'Recebimentos do dia '!C:C,'Tabela Base'!B80)),0)</f>
        <v>0</v>
      </c>
      <c r="L80" s="237">
        <f t="shared" si="11"/>
        <v>0</v>
      </c>
      <c r="M80" s="237">
        <f t="shared" si="12"/>
        <v>0</v>
      </c>
      <c r="N80" s="236">
        <f>IFERROR((SUMIFS('Recebimentos do dia '!$H:$H,'Recebimentos do dia '!$C:$C,'Tabela Base'!$B80)+SUMIFS('Estoque Atual'!$G:$G,'Estoque Atual'!$A:$A,'Tabela Base'!$B80))/(SUMIFS('Recebimentos do dia '!$E:$E,'Recebimentos do dia '!$C:$C,'Tabela Base'!$B80)+SUMIFS('Estoque Atual'!$E:$E,'Estoque Atual'!$A:$A,'Tabela Base'!$B80)),0)</f>
        <v>0</v>
      </c>
    </row>
    <row r="81" spans="1:16" s="246" customFormat="1" hidden="1">
      <c r="B81" s="312">
        <v>22002</v>
      </c>
      <c r="C81" s="290" t="s">
        <v>365</v>
      </c>
      <c r="D81" s="313" t="s">
        <v>133</v>
      </c>
      <c r="E81" s="231">
        <v>40.99</v>
      </c>
      <c r="F81" s="231">
        <v>40.99</v>
      </c>
      <c r="G81" s="311" t="s">
        <v>220</v>
      </c>
      <c r="H81" s="251">
        <f>J81</f>
        <v>0</v>
      </c>
      <c r="I81" s="252"/>
      <c r="J81" s="235">
        <f>SUMIFS('Estoque Atual'!$E:$E,'Estoque Atual'!$A:$A,'Tabela Base'!$B81)+SUMIFS('Recebimentos do dia '!$E:$E,'Recebimentos do dia '!$C:$C,'Tabela Base'!$B81)</f>
        <v>0</v>
      </c>
      <c r="K81" s="236">
        <f>IFERROR((SUMIFS('Estoque Atual'!I:I,'Estoque Atual'!A:A,'Tabela Base'!B81)+SUMIFS('Recebimentos do dia '!I:I,'Recebimentos do dia '!C:C,'Tabela Base'!B81))/
(SUMIFS('Estoque Atual'!G:G,'Estoque Atual'!A:A,'Tabela Base'!B81)+SUMIFS('Recebimentos do dia '!H:H,'Recebimentos do dia '!C:C,'Tabela Base'!B81)),0)</f>
        <v>0</v>
      </c>
      <c r="L81" s="237">
        <f t="shared" si="11"/>
        <v>40.99</v>
      </c>
      <c r="M81" s="237">
        <f t="shared" si="12"/>
        <v>40.99</v>
      </c>
      <c r="N81" s="236">
        <f>IFERROR((SUMIFS('Recebimentos do dia '!$H:$H,'Recebimentos do dia '!$C:$C,'Tabela Base'!$B81)+SUMIFS('Estoque Atual'!$G:$G,'Estoque Atual'!$A:$A,'Tabela Base'!$B81))/(SUMIFS('Recebimentos do dia '!$E:$E,'Recebimentos do dia '!$C:$C,'Tabela Base'!$B81)+SUMIFS('Estoque Atual'!$E:$E,'Estoque Atual'!$A:$A,'Tabela Base'!$B81)),0)</f>
        <v>0</v>
      </c>
    </row>
    <row r="82" spans="1:16" s="246" customFormat="1" hidden="1">
      <c r="B82" s="303">
        <v>12248</v>
      </c>
      <c r="C82" s="290" t="s">
        <v>32</v>
      </c>
      <c r="D82" s="291" t="s">
        <v>179</v>
      </c>
      <c r="E82" s="231">
        <v>35.9</v>
      </c>
      <c r="F82" s="231">
        <v>35.9</v>
      </c>
      <c r="G82" s="296" t="s">
        <v>235</v>
      </c>
      <c r="H82" s="258">
        <f t="shared" si="10"/>
        <v>0</v>
      </c>
      <c r="I82" s="252"/>
      <c r="J82" s="235">
        <f>SUMIFS('Estoque Atual'!$E:$E,'Estoque Atual'!$A:$A,'Tabela Base'!$B82)+SUMIFS('Recebimentos do dia '!$E:$E,'Recebimentos do dia '!$C:$C,'Tabela Base'!$B82)</f>
        <v>0</v>
      </c>
      <c r="K82" s="236">
        <f>IFERROR((SUMIFS('Estoque Atual'!I:I,'Estoque Atual'!A:A,'Tabela Base'!B82)+SUMIFS('Recebimentos do dia '!I:I,'Recebimentos do dia '!C:C,'Tabela Base'!B82))/
(SUMIFS('Estoque Atual'!G:G,'Estoque Atual'!A:A,'Tabela Base'!B82)+SUMIFS('Recebimentos do dia '!H:H,'Recebimentos do dia '!C:C,'Tabela Base'!B82)),0)</f>
        <v>0</v>
      </c>
      <c r="L82" s="237">
        <f t="shared" si="11"/>
        <v>35.9</v>
      </c>
      <c r="M82" s="237">
        <f t="shared" si="12"/>
        <v>35.9</v>
      </c>
      <c r="N82" s="236">
        <f>IFERROR((SUMIFS('Recebimentos do dia '!$H:$H,'Recebimentos do dia '!$C:$C,'Tabela Base'!$B82)+SUMIFS('Estoque Atual'!$G:$G,'Estoque Atual'!$A:$A,'Tabela Base'!$B82))/(SUMIFS('Recebimentos do dia '!$E:$E,'Recebimentos do dia '!$C:$C,'Tabela Base'!$B82)+SUMIFS('Estoque Atual'!$E:$E,'Estoque Atual'!$A:$A,'Tabela Base'!$B82)),0)</f>
        <v>0</v>
      </c>
    </row>
    <row r="83" spans="1:16" s="246" customFormat="1" hidden="1">
      <c r="B83" s="303">
        <v>12287</v>
      </c>
      <c r="C83" s="290" t="s">
        <v>112</v>
      </c>
      <c r="D83" s="291" t="s">
        <v>349</v>
      </c>
      <c r="E83" s="231">
        <v>36.99</v>
      </c>
      <c r="F83" s="231">
        <v>36.99</v>
      </c>
      <c r="G83" s="296" t="s">
        <v>348</v>
      </c>
      <c r="H83" s="258">
        <f t="shared" si="10"/>
        <v>0</v>
      </c>
      <c r="I83" s="252"/>
      <c r="J83" s="235">
        <f>SUMIFS('Estoque Atual'!$E:$E,'Estoque Atual'!$A:$A,'Tabela Base'!$B83)+SUMIFS('Recebimentos do dia '!$E:$E,'Recebimentos do dia '!$C:$C,'Tabela Base'!$B83)</f>
        <v>0</v>
      </c>
      <c r="K83" s="236">
        <f>IFERROR((SUMIFS('Estoque Atual'!I:I,'Estoque Atual'!A:A,'Tabela Base'!B83)+SUMIFS('Recebimentos do dia '!I:I,'Recebimentos do dia '!C:C,'Tabela Base'!B83))/
(SUMIFS('Estoque Atual'!G:G,'Estoque Atual'!A:A,'Tabela Base'!B83)+SUMIFS('Recebimentos do dia '!H:H,'Recebimentos do dia '!C:C,'Tabela Base'!B83)),0)</f>
        <v>0</v>
      </c>
      <c r="L83" s="237">
        <f t="shared" si="11"/>
        <v>36.99</v>
      </c>
      <c r="M83" s="237">
        <f t="shared" si="12"/>
        <v>36.99</v>
      </c>
      <c r="N83" s="236">
        <f>IFERROR((SUMIFS('Recebimentos do dia '!$H:$H,'Recebimentos do dia '!$C:$C,'Tabela Base'!$B83)+SUMIFS('Estoque Atual'!$G:$G,'Estoque Atual'!$A:$A,'Tabela Base'!$B83))/(SUMIFS('Recebimentos do dia '!$E:$E,'Recebimentos do dia '!$C:$C,'Tabela Base'!$B83)+SUMIFS('Estoque Atual'!$E:$E,'Estoque Atual'!$A:$A,'Tabela Base'!$B83)),0)</f>
        <v>0</v>
      </c>
    </row>
    <row r="84" spans="1:16" s="246" customFormat="1" hidden="1">
      <c r="B84" s="308">
        <v>12197</v>
      </c>
      <c r="C84" s="309" t="s">
        <v>48</v>
      </c>
      <c r="D84" s="295" t="s">
        <v>73</v>
      </c>
      <c r="E84" s="231">
        <v>33.99</v>
      </c>
      <c r="F84" s="231">
        <v>33.99</v>
      </c>
      <c r="G84" s="305" t="s">
        <v>348</v>
      </c>
      <c r="H84" s="251">
        <f>J84</f>
        <v>0</v>
      </c>
      <c r="I84" s="242"/>
      <c r="J84" s="235">
        <f>SUMIFS('Estoque Atual'!$E:$E,'Estoque Atual'!$A:$A,'Tabela Base'!$B84)+SUMIFS('Recebimentos do dia '!$E:$E,'Recebimentos do dia '!$C:$C,'Tabela Base'!$B84)</f>
        <v>0</v>
      </c>
      <c r="K84" s="236">
        <f>IFERROR((SUMIFS('Estoque Atual'!I:I,'Estoque Atual'!A:A,'Tabela Base'!B84)+SUMIFS('Recebimentos do dia '!I:I,'Recebimentos do dia '!C:C,'Tabela Base'!B84))/
(SUMIFS('Estoque Atual'!G:G,'Estoque Atual'!A:A,'Tabela Base'!B84)+SUMIFS('Recebimentos do dia '!H:H,'Recebimentos do dia '!C:C,'Tabela Base'!B84)),0)</f>
        <v>0</v>
      </c>
      <c r="L84" s="237">
        <f t="shared" ref="L84" si="15">E84-K84</f>
        <v>33.99</v>
      </c>
      <c r="M84" s="237">
        <f t="shared" si="12"/>
        <v>33.99</v>
      </c>
      <c r="N84" s="236">
        <f>IFERROR((SUMIFS('Recebimentos do dia '!$H:$H,'Recebimentos do dia '!$C:$C,'Tabela Base'!$B84)+SUMIFS('Estoque Atual'!$G:$G,'Estoque Atual'!$A:$A,'Tabela Base'!$B84))/(SUMIFS('Recebimentos do dia '!$E:$E,'Recebimentos do dia '!$C:$C,'Tabela Base'!$B84)+SUMIFS('Estoque Atual'!$E:$E,'Estoque Atual'!$A:$A,'Tabela Base'!$B84)),0)</f>
        <v>0</v>
      </c>
    </row>
    <row r="85" spans="1:16">
      <c r="A85" s="199"/>
      <c r="B85" s="314">
        <v>12182</v>
      </c>
      <c r="C85" s="315" t="s">
        <v>58</v>
      </c>
      <c r="D85" s="273" t="s">
        <v>315</v>
      </c>
      <c r="E85" s="231">
        <v>41.99</v>
      </c>
      <c r="F85" s="231">
        <v>42.49</v>
      </c>
      <c r="G85" s="296" t="s">
        <v>220</v>
      </c>
      <c r="H85" s="258">
        <f t="shared" si="10"/>
        <v>51</v>
      </c>
      <c r="I85" s="242"/>
      <c r="J85" s="235">
        <f>SUMIFS('Estoque Atual'!$E:$E,'Estoque Atual'!$A:$A,'Tabela Base'!$B85)+SUMIFS('Recebimentos do dia '!$E:$E,'Recebimentos do dia '!$C:$C,'Tabela Base'!$B85)</f>
        <v>51</v>
      </c>
      <c r="K85" s="236">
        <f>IFERROR((SUMIFS('Estoque Atual'!I:I,'Estoque Atual'!A:A,'Tabela Base'!B85)+SUMIFS('Recebimentos do dia '!I:I,'Recebimentos do dia '!C:C,'Tabela Base'!B85))/
(SUMIFS('Estoque Atual'!G:G,'Estoque Atual'!A:A,'Tabela Base'!B85)+SUMIFS('Recebimentos do dia '!H:H,'Recebimentos do dia '!C:C,'Tabela Base'!B85)),0)</f>
        <v>38</v>
      </c>
      <c r="L85" s="237">
        <f t="shared" si="11"/>
        <v>3.990000000000002</v>
      </c>
      <c r="M85" s="237">
        <f t="shared" si="12"/>
        <v>4.490000000000002</v>
      </c>
      <c r="N85" s="236">
        <f>IFERROR((SUMIFS('Recebimentos do dia '!$H:$H,'Recebimentos do dia '!$C:$C,'Tabela Base'!$B85)+SUMIFS('Estoque Atual'!$G:$G,'Estoque Atual'!$A:$A,'Tabela Base'!$B85))/(SUMIFS('Recebimentos do dia '!$E:$E,'Recebimentos do dia '!$C:$C,'Tabela Base'!$B85)+SUMIFS('Estoque Atual'!$E:$E,'Estoque Atual'!$A:$A,'Tabela Base'!$B85)),0)</f>
        <v>14.385627450980392</v>
      </c>
      <c r="P85" s="238"/>
    </row>
    <row r="86" spans="1:16" s="246" customFormat="1" hidden="1">
      <c r="B86" s="300">
        <v>12166</v>
      </c>
      <c r="C86" s="301" t="s">
        <v>262</v>
      </c>
      <c r="D86" s="302" t="s">
        <v>73</v>
      </c>
      <c r="E86" s="231">
        <v>36.99</v>
      </c>
      <c r="F86" s="231">
        <v>39.69</v>
      </c>
      <c r="G86" s="250" t="s">
        <v>254</v>
      </c>
      <c r="H86" s="233">
        <f t="shared" si="10"/>
        <v>0</v>
      </c>
      <c r="I86" s="252"/>
      <c r="J86" s="235">
        <f>SUMIFS('Estoque Atual'!$E:$E,'Estoque Atual'!$A:$A,'Tabela Base'!$B86)+SUMIFS('Recebimentos do dia '!$E:$E,'Recebimentos do dia '!$C:$C,'Tabela Base'!$B86)</f>
        <v>0</v>
      </c>
      <c r="K86" s="236">
        <f>IFERROR((SUMIFS('Estoque Atual'!I:I,'Estoque Atual'!A:A,'Tabela Base'!B86)+SUMIFS('Recebimentos do dia '!I:I,'Recebimentos do dia '!C:C,'Tabela Base'!B86))/
(SUMIFS('Estoque Atual'!G:G,'Estoque Atual'!A:A,'Tabela Base'!B86)+SUMIFS('Recebimentos do dia '!H:H,'Recebimentos do dia '!C:C,'Tabela Base'!B86)),0)</f>
        <v>0</v>
      </c>
      <c r="L86" s="237">
        <f t="shared" si="11"/>
        <v>36.99</v>
      </c>
      <c r="M86" s="237">
        <f t="shared" si="12"/>
        <v>39.69</v>
      </c>
      <c r="N86" s="236">
        <f>IFERROR((SUMIFS('Recebimentos do dia '!$H:$H,'Recebimentos do dia '!$C:$C,'Tabela Base'!$B86)+SUMIFS('Estoque Atual'!$G:$G,'Estoque Atual'!$A:$A,'Tabela Base'!$B86))/(SUMIFS('Recebimentos do dia '!$E:$E,'Recebimentos do dia '!$C:$C,'Tabela Base'!$B86)+SUMIFS('Estoque Atual'!$E:$E,'Estoque Atual'!$A:$A,'Tabela Base'!$B86)),0)</f>
        <v>0</v>
      </c>
    </row>
    <row r="87" spans="1:16" s="246" customFormat="1" hidden="1">
      <c r="B87" s="303">
        <v>12130</v>
      </c>
      <c r="C87" s="290" t="s">
        <v>263</v>
      </c>
      <c r="D87" s="291" t="s">
        <v>140</v>
      </c>
      <c r="E87" s="231">
        <v>36.5</v>
      </c>
      <c r="F87" s="231">
        <v>36.5</v>
      </c>
      <c r="G87" s="304" t="s">
        <v>235</v>
      </c>
      <c r="H87" s="258">
        <f t="shared" si="10"/>
        <v>0</v>
      </c>
      <c r="I87" s="252"/>
      <c r="J87" s="235">
        <f>SUMIFS('Estoque Atual'!$E:$E,'Estoque Atual'!$A:$A,'Tabela Base'!$B87)+SUMIFS('Recebimentos do dia '!$E:$E,'Recebimentos do dia '!$C:$C,'Tabela Base'!$B87)</f>
        <v>0</v>
      </c>
      <c r="K87" s="236">
        <f>IFERROR((SUMIFS('Estoque Atual'!I:I,'Estoque Atual'!A:A,'Tabela Base'!B87)+SUMIFS('Recebimentos do dia '!I:I,'Recebimentos do dia '!C:C,'Tabela Base'!B87))/
(SUMIFS('Estoque Atual'!G:G,'Estoque Atual'!A:A,'Tabela Base'!B87)+SUMIFS('Recebimentos do dia '!H:H,'Recebimentos do dia '!C:C,'Tabela Base'!B87)),0)</f>
        <v>0</v>
      </c>
      <c r="L87" s="237">
        <f t="shared" si="11"/>
        <v>36.5</v>
      </c>
      <c r="M87" s="237">
        <f t="shared" si="12"/>
        <v>36.5</v>
      </c>
      <c r="N87" s="236">
        <f>IFERROR((SUMIFS('Recebimentos do dia '!$H:$H,'Recebimentos do dia '!$C:$C,'Tabela Base'!$B87)+SUMIFS('Estoque Atual'!$G:$G,'Estoque Atual'!$A:$A,'Tabela Base'!$B87))/(SUMIFS('Recebimentos do dia '!$E:$E,'Recebimentos do dia '!$C:$C,'Tabela Base'!$B87)+SUMIFS('Estoque Atual'!$E:$E,'Estoque Atual'!$A:$A,'Tabela Base'!$B87)),0)</f>
        <v>0</v>
      </c>
    </row>
    <row r="88" spans="1:16">
      <c r="A88" s="199"/>
      <c r="B88" s="303">
        <v>12039</v>
      </c>
      <c r="C88" s="294" t="s">
        <v>260</v>
      </c>
      <c r="D88" s="291" t="s">
        <v>441</v>
      </c>
      <c r="E88" s="231">
        <v>40.99</v>
      </c>
      <c r="F88" s="231">
        <v>41.99</v>
      </c>
      <c r="G88" s="304" t="s">
        <v>220</v>
      </c>
      <c r="H88" s="233">
        <f t="shared" si="10"/>
        <v>78</v>
      </c>
      <c r="I88" s="242"/>
      <c r="J88" s="235">
        <f>SUMIFS('Estoque Atual'!$E:$E,'Estoque Atual'!$A:$A,'Tabela Base'!$B88)+SUMIFS('Recebimentos do dia '!$E:$E,'Recebimentos do dia '!$C:$C,'Tabela Base'!$B88)</f>
        <v>78</v>
      </c>
      <c r="K88" s="236">
        <f>IFERROR((SUMIFS('Estoque Atual'!I:I,'Estoque Atual'!A:A,'Tabela Base'!B88)+SUMIFS('Recebimentos do dia '!I:I,'Recebimentos do dia '!C:C,'Tabela Base'!B88))/
(SUMIFS('Estoque Atual'!G:G,'Estoque Atual'!A:A,'Tabela Base'!B88)+SUMIFS('Recebimentos do dia '!H:H,'Recebimentos do dia '!C:C,'Tabela Base'!B88)),0)</f>
        <v>38</v>
      </c>
      <c r="L88" s="237">
        <f t="shared" si="11"/>
        <v>2.990000000000002</v>
      </c>
      <c r="M88" s="237">
        <f t="shared" si="12"/>
        <v>3.990000000000002</v>
      </c>
      <c r="N88" s="236">
        <f>IFERROR((SUMIFS('Recebimentos do dia '!$H:$H,'Recebimentos do dia '!$C:$C,'Tabela Base'!$B88)+SUMIFS('Estoque Atual'!$G:$G,'Estoque Atual'!$A:$A,'Tabela Base'!$B88))/(SUMIFS('Recebimentos do dia '!$E:$E,'Recebimentos do dia '!$C:$C,'Tabela Base'!$B88)+SUMIFS('Estoque Atual'!$E:$E,'Estoque Atual'!$A:$A,'Tabela Base'!$B88)),0)</f>
        <v>24.072384615384614</v>
      </c>
      <c r="P88" s="238"/>
    </row>
    <row r="89" spans="1:16">
      <c r="A89" s="199"/>
      <c r="B89" s="316">
        <v>12001</v>
      </c>
      <c r="C89" s="294" t="s">
        <v>259</v>
      </c>
      <c r="D89" s="295" t="s">
        <v>410</v>
      </c>
      <c r="E89" s="231">
        <v>51.99</v>
      </c>
      <c r="F89" s="231">
        <v>49.99</v>
      </c>
      <c r="G89" s="306" t="s">
        <v>220</v>
      </c>
      <c r="H89" s="258">
        <f t="shared" si="10"/>
        <v>17</v>
      </c>
      <c r="I89" s="242"/>
      <c r="J89" s="235">
        <f>SUMIFS('Estoque Atual'!$E:$E,'Estoque Atual'!$A:$A,'Tabela Base'!$B89)+SUMIFS('Recebimentos do dia '!$E:$E,'Recebimentos do dia '!$C:$C,'Tabela Base'!$B89)</f>
        <v>17</v>
      </c>
      <c r="K89" s="236">
        <f>IFERROR((SUMIFS('Estoque Atual'!I:I,'Estoque Atual'!A:A,'Tabela Base'!B89)+SUMIFS('Recebimentos do dia '!I:I,'Recebimentos do dia '!C:C,'Tabela Base'!B89))/
(SUMIFS('Estoque Atual'!G:G,'Estoque Atual'!A:A,'Tabela Base'!B89)+SUMIFS('Recebimentos do dia '!H:H,'Recebimentos do dia '!C:C,'Tabela Base'!B89)),0)</f>
        <v>48</v>
      </c>
      <c r="L89" s="237">
        <f t="shared" si="11"/>
        <v>3.990000000000002</v>
      </c>
      <c r="M89" s="237">
        <f t="shared" si="12"/>
        <v>1.990000000000002</v>
      </c>
      <c r="N89" s="236">
        <f>IFERROR((SUMIFS('Recebimentos do dia '!$H:$H,'Recebimentos do dia '!$C:$C,'Tabela Base'!$B89)+SUMIFS('Estoque Atual'!$G:$G,'Estoque Atual'!$A:$A,'Tabela Base'!$B89))/(SUMIFS('Recebimentos do dia '!$E:$E,'Recebimentos do dia '!$C:$C,'Tabela Base'!$B89)+SUMIFS('Estoque Atual'!$E:$E,'Estoque Atual'!$A:$A,'Tabela Base'!$B89)),0)</f>
        <v>24.289529411764708</v>
      </c>
      <c r="P89" s="238"/>
    </row>
    <row r="90" spans="1:16" s="246" customFormat="1">
      <c r="B90" s="293">
        <v>12315</v>
      </c>
      <c r="C90" s="294" t="s">
        <v>261</v>
      </c>
      <c r="D90" s="295" t="s">
        <v>333</v>
      </c>
      <c r="E90" s="231">
        <v>40.39</v>
      </c>
      <c r="F90" s="231">
        <v>39.99</v>
      </c>
      <c r="G90" s="305" t="s">
        <v>220</v>
      </c>
      <c r="H90" s="233">
        <f t="shared" si="10"/>
        <v>233</v>
      </c>
      <c r="I90" s="252"/>
      <c r="J90" s="235">
        <f>SUMIFS('Estoque Atual'!$E:$E,'Estoque Atual'!$A:$A,'Tabela Base'!$B90)+SUMIFS('Recebimentos do dia '!$E:$E,'Recebimentos do dia '!$C:$C,'Tabela Base'!$B90)</f>
        <v>233</v>
      </c>
      <c r="K90" s="236">
        <f>IFERROR((SUMIFS('Estoque Atual'!I:I,'Estoque Atual'!A:A,'Tabela Base'!B90)+SUMIFS('Recebimentos do dia '!I:I,'Recebimentos do dia '!C:C,'Tabela Base'!B90))/
(SUMIFS('Estoque Atual'!G:G,'Estoque Atual'!A:A,'Tabela Base'!B90)+SUMIFS('Recebimentos do dia '!H:H,'Recebimentos do dia '!C:C,'Tabela Base'!B90)),0)</f>
        <v>37.94</v>
      </c>
      <c r="L90" s="237">
        <f t="shared" si="11"/>
        <v>2.4500000000000028</v>
      </c>
      <c r="M90" s="237">
        <f t="shared" si="12"/>
        <v>2.0500000000000043</v>
      </c>
      <c r="N90" s="236">
        <f>IFERROR((SUMIFS('Recebimentos do dia '!$H:$H,'Recebimentos do dia '!$C:$C,'Tabela Base'!$B90)+SUMIFS('Estoque Atual'!$G:$G,'Estoque Atual'!$A:$A,'Tabela Base'!$B90))/(SUMIFS('Recebimentos do dia '!$E:$E,'Recebimentos do dia '!$C:$C,'Tabela Base'!$B90)+SUMIFS('Estoque Atual'!$E:$E,'Estoque Atual'!$A:$A,'Tabela Base'!$B90)),0)</f>
        <v>22.636266094420602</v>
      </c>
      <c r="P90" s="262"/>
    </row>
    <row r="91" spans="1:16" s="246" customFormat="1" hidden="1">
      <c r="B91" s="303">
        <v>12129</v>
      </c>
      <c r="C91" s="290" t="s">
        <v>157</v>
      </c>
      <c r="D91" s="291" t="s">
        <v>140</v>
      </c>
      <c r="E91" s="231">
        <v>33.9</v>
      </c>
      <c r="F91" s="231">
        <v>33.9</v>
      </c>
      <c r="G91" s="296" t="s">
        <v>235</v>
      </c>
      <c r="H91" s="258">
        <f t="shared" si="10"/>
        <v>0</v>
      </c>
      <c r="I91" s="252"/>
      <c r="J91" s="235">
        <f>SUMIFS('Estoque Atual'!$E:$E,'Estoque Atual'!$A:$A,'Tabela Base'!$B91)+SUMIFS('Recebimentos do dia '!$E:$E,'Recebimentos do dia '!$C:$C,'Tabela Base'!$B91)</f>
        <v>0</v>
      </c>
      <c r="K91" s="236">
        <f>IFERROR((SUMIFS('Estoque Atual'!I:I,'Estoque Atual'!A:A,'Tabela Base'!B91)+SUMIFS('Recebimentos do dia '!I:I,'Recebimentos do dia '!C:C,'Tabela Base'!B91))/
(SUMIFS('Estoque Atual'!G:G,'Estoque Atual'!A:A,'Tabela Base'!B91)+SUMIFS('Recebimentos do dia '!H:H,'Recebimentos do dia '!C:C,'Tabela Base'!B91)),0)</f>
        <v>0</v>
      </c>
      <c r="L91" s="237">
        <f t="shared" si="11"/>
        <v>33.9</v>
      </c>
      <c r="M91" s="237">
        <f t="shared" si="12"/>
        <v>33.9</v>
      </c>
      <c r="N91" s="236">
        <f>IFERROR((SUMIFS('Recebimentos do dia '!$H:$H,'Recebimentos do dia '!$C:$C,'Tabela Base'!$B91)+SUMIFS('Estoque Atual'!$G:$G,'Estoque Atual'!$A:$A,'Tabela Base'!$B91))/(SUMIFS('Recebimentos do dia '!$E:$E,'Recebimentos do dia '!$C:$C,'Tabela Base'!$B91)+SUMIFS('Estoque Atual'!$E:$E,'Estoque Atual'!$A:$A,'Tabela Base'!$B91)),0)</f>
        <v>0</v>
      </c>
    </row>
    <row r="92" spans="1:16" s="246" customFormat="1" hidden="1">
      <c r="B92" s="303">
        <v>12058</v>
      </c>
      <c r="C92" s="290" t="s">
        <v>157</v>
      </c>
      <c r="D92" s="291" t="s">
        <v>140</v>
      </c>
      <c r="E92" s="231">
        <v>34.9</v>
      </c>
      <c r="F92" s="231">
        <v>34.9</v>
      </c>
      <c r="G92" s="304" t="s">
        <v>221</v>
      </c>
      <c r="H92" s="258">
        <f t="shared" si="10"/>
        <v>0</v>
      </c>
      <c r="I92" s="252"/>
      <c r="J92" s="235">
        <f>SUMIFS('Estoque Atual'!$E:$E,'Estoque Atual'!$A:$A,'Tabela Base'!$B92)+SUMIFS('Recebimentos do dia '!$E:$E,'Recebimentos do dia '!$C:$C,'Tabela Base'!$B92)</f>
        <v>0</v>
      </c>
      <c r="K92" s="236">
        <f>IFERROR((SUMIFS('Estoque Atual'!I:I,'Estoque Atual'!A:A,'Tabela Base'!B92)+SUMIFS('Recebimentos do dia '!I:I,'Recebimentos do dia '!C:C,'Tabela Base'!B92))/
(SUMIFS('Estoque Atual'!G:G,'Estoque Atual'!A:A,'Tabela Base'!B92)+SUMIFS('Recebimentos do dia '!H:H,'Recebimentos do dia '!C:C,'Tabela Base'!B92)),0)</f>
        <v>0</v>
      </c>
      <c r="L92" s="237">
        <f t="shared" si="11"/>
        <v>34.9</v>
      </c>
      <c r="M92" s="237">
        <f t="shared" si="12"/>
        <v>34.9</v>
      </c>
      <c r="N92" s="236">
        <f>IFERROR((SUMIFS('Recebimentos do dia '!$H:$H,'Recebimentos do dia '!$C:$C,'Tabela Base'!$B92)+SUMIFS('Estoque Atual'!$G:$G,'Estoque Atual'!$A:$A,'Tabela Base'!$B92))/(SUMIFS('Recebimentos do dia '!$E:$E,'Recebimentos do dia '!$C:$C,'Tabela Base'!$B92)+SUMIFS('Estoque Atual'!$E:$E,'Estoque Atual'!$A:$A,'Tabela Base'!$B92)),0)</f>
        <v>0</v>
      </c>
    </row>
    <row r="93" spans="1:16" s="246" customFormat="1" hidden="1">
      <c r="B93" s="314">
        <v>12196</v>
      </c>
      <c r="C93" s="315" t="s">
        <v>157</v>
      </c>
      <c r="D93" s="317" t="s">
        <v>140</v>
      </c>
      <c r="E93" s="231">
        <v>34.9</v>
      </c>
      <c r="F93" s="231">
        <v>34.9</v>
      </c>
      <c r="G93" s="318" t="s">
        <v>222</v>
      </c>
      <c r="H93" s="258">
        <f t="shared" si="10"/>
        <v>0</v>
      </c>
      <c r="I93" s="252"/>
      <c r="J93" s="235">
        <f>SUMIFS('Estoque Atual'!$E:$E,'Estoque Atual'!$A:$A,'Tabela Base'!$B93)+SUMIFS('Recebimentos do dia '!$E:$E,'Recebimentos do dia '!$C:$C,'Tabela Base'!$B93)</f>
        <v>0</v>
      </c>
      <c r="K93" s="236">
        <f>IFERROR((SUMIFS('Estoque Atual'!I:I,'Estoque Atual'!A:A,'Tabela Base'!B93)+SUMIFS('Recebimentos do dia '!I:I,'Recebimentos do dia '!C:C,'Tabela Base'!B93))/
(SUMIFS('Estoque Atual'!G:G,'Estoque Atual'!A:A,'Tabela Base'!B93)+SUMIFS('Recebimentos do dia '!H:H,'Recebimentos do dia '!C:C,'Tabela Base'!B93)),0)</f>
        <v>0</v>
      </c>
      <c r="L93" s="237">
        <f t="shared" si="11"/>
        <v>34.9</v>
      </c>
      <c r="M93" s="237">
        <f t="shared" si="12"/>
        <v>34.9</v>
      </c>
      <c r="N93" s="236">
        <f>IFERROR((SUMIFS('Recebimentos do dia '!$H:$H,'Recebimentos do dia '!$C:$C,'Tabela Base'!$B93)+SUMIFS('Estoque Atual'!$G:$G,'Estoque Atual'!$A:$A,'Tabela Base'!$B93))/(SUMIFS('Recebimentos do dia '!$E:$E,'Recebimentos do dia '!$C:$C,'Tabela Base'!$B93)+SUMIFS('Estoque Atual'!$E:$E,'Estoque Atual'!$A:$A,'Tabela Base'!$B93)),0)</f>
        <v>0</v>
      </c>
    </row>
    <row r="94" spans="1:16">
      <c r="A94" s="199"/>
      <c r="B94" s="271">
        <v>12044</v>
      </c>
      <c r="C94" s="272" t="s">
        <v>208</v>
      </c>
      <c r="D94" s="273" t="s">
        <v>315</v>
      </c>
      <c r="E94" s="231">
        <v>40.69</v>
      </c>
      <c r="F94" s="231">
        <v>40.99</v>
      </c>
      <c r="G94" s="319" t="s">
        <v>220</v>
      </c>
      <c r="H94" s="251">
        <f>J94</f>
        <v>17</v>
      </c>
      <c r="I94" s="242"/>
      <c r="J94" s="235">
        <f>SUMIFS('Estoque Atual'!$E:$E,'Estoque Atual'!$A:$A,'Tabela Base'!$B94)+SUMIFS('Recebimentos do dia '!$E:$E,'Recebimentos do dia '!$C:$C,'Tabela Base'!$B94)</f>
        <v>17</v>
      </c>
      <c r="K94" s="236">
        <f>IFERROR((SUMIFS('Estoque Atual'!I:I,'Estoque Atual'!A:A,'Tabela Base'!B94)+SUMIFS('Recebimentos do dia '!I:I,'Recebimentos do dia '!C:C,'Tabela Base'!B94))/
(SUMIFS('Estoque Atual'!G:G,'Estoque Atual'!A:A,'Tabela Base'!B94)+SUMIFS('Recebimentos do dia '!H:H,'Recebimentos do dia '!C:C,'Tabela Base'!B94)),0)</f>
        <v>38</v>
      </c>
      <c r="L94" s="237">
        <f t="shared" si="11"/>
        <v>2.6899999999999977</v>
      </c>
      <c r="M94" s="237">
        <f t="shared" si="12"/>
        <v>2.990000000000002</v>
      </c>
      <c r="N94" s="236">
        <f>IFERROR((SUMIFS('Recebimentos do dia '!$H:$H,'Recebimentos do dia '!$C:$C,'Tabela Base'!$B94)+SUMIFS('Estoque Atual'!$G:$G,'Estoque Atual'!$A:$A,'Tabela Base'!$B94))/(SUMIFS('Recebimentos do dia '!$E:$E,'Recebimentos do dia '!$C:$C,'Tabela Base'!$B94)+SUMIFS('Estoque Atual'!$E:$E,'Estoque Atual'!$A:$A,'Tabela Base'!$B94)),0)</f>
        <v>15.892529411764706</v>
      </c>
      <c r="P94" s="238"/>
    </row>
    <row r="95" spans="1:16">
      <c r="A95" s="199"/>
      <c r="B95" s="300">
        <v>12072</v>
      </c>
      <c r="C95" s="301" t="s">
        <v>366</v>
      </c>
      <c r="D95" s="302" t="s">
        <v>315</v>
      </c>
      <c r="E95" s="231">
        <v>63.99</v>
      </c>
      <c r="F95" s="231">
        <v>63.99</v>
      </c>
      <c r="G95" s="356" t="s">
        <v>220</v>
      </c>
      <c r="H95" s="258">
        <f t="shared" si="10"/>
        <v>1</v>
      </c>
      <c r="I95" s="242"/>
      <c r="J95" s="235">
        <f>SUMIFS('Estoque Atual'!$E:$E,'Estoque Atual'!$A:$A,'Tabela Base'!$B95)+SUMIFS('Recebimentos do dia '!$E:$E,'Recebimentos do dia '!$C:$C,'Tabela Base'!$B95)</f>
        <v>1</v>
      </c>
      <c r="K95" s="236">
        <f>IFERROR((SUMIFS('Estoque Atual'!I:I,'Estoque Atual'!A:A,'Tabela Base'!B95)+SUMIFS('Recebimentos do dia '!I:I,'Recebimentos do dia '!C:C,'Tabela Base'!B95))/
(SUMIFS('Estoque Atual'!G:G,'Estoque Atual'!A:A,'Tabela Base'!B95)+SUMIFS('Recebimentos do dia '!H:H,'Recebimentos do dia '!C:C,'Tabela Base'!B95)),0)</f>
        <v>59</v>
      </c>
      <c r="L95" s="237">
        <f t="shared" si="11"/>
        <v>4.990000000000002</v>
      </c>
      <c r="M95" s="237">
        <f t="shared" si="12"/>
        <v>4.990000000000002</v>
      </c>
      <c r="N95" s="236">
        <f>IFERROR((SUMIFS('Recebimentos do dia '!$H:$H,'Recebimentos do dia '!$C:$C,'Tabela Base'!$B95)+SUMIFS('Estoque Atual'!$G:$G,'Estoque Atual'!$A:$A,'Tabela Base'!$B95))/(SUMIFS('Recebimentos do dia '!$E:$E,'Recebimentos do dia '!$C:$C,'Tabela Base'!$B95)+SUMIFS('Estoque Atual'!$E:$E,'Estoque Atual'!$A:$A,'Tabela Base'!$B95)),0)</f>
        <v>16.704999999999998</v>
      </c>
    </row>
    <row r="96" spans="1:16" s="246" customFormat="1" hidden="1">
      <c r="B96" s="293">
        <v>12011</v>
      </c>
      <c r="C96" s="294" t="s">
        <v>103</v>
      </c>
      <c r="D96" s="295" t="s">
        <v>140</v>
      </c>
      <c r="E96" s="231">
        <v>60</v>
      </c>
      <c r="F96" s="231">
        <v>60</v>
      </c>
      <c r="G96" s="304" t="s">
        <v>220</v>
      </c>
      <c r="H96" s="258">
        <f t="shared" si="10"/>
        <v>0</v>
      </c>
      <c r="I96" s="252"/>
      <c r="J96" s="235">
        <f>SUMIFS('Estoque Atual'!$E:$E,'Estoque Atual'!$A:$A,'Tabela Base'!$B96)+SUMIFS('Recebimentos do dia '!$E:$E,'Recebimentos do dia '!$C:$C,'Tabela Base'!$B96)</f>
        <v>0</v>
      </c>
      <c r="K96" s="236">
        <f>IFERROR((SUMIFS('Estoque Atual'!I:I,'Estoque Atual'!A:A,'Tabela Base'!B96)+SUMIFS('Recebimentos do dia '!I:I,'Recebimentos do dia '!C:C,'Tabela Base'!B96))/
(SUMIFS('Estoque Atual'!G:G,'Estoque Atual'!A:A,'Tabela Base'!B96)+SUMIFS('Recebimentos do dia '!H:H,'Recebimentos do dia '!C:C,'Tabela Base'!B96)),0)</f>
        <v>0</v>
      </c>
      <c r="L96" s="237">
        <f t="shared" si="11"/>
        <v>60</v>
      </c>
      <c r="M96" s="237">
        <f t="shared" si="12"/>
        <v>60</v>
      </c>
      <c r="N96" s="236">
        <f>IFERROR((SUMIFS('Recebimentos do dia '!$H:$H,'Recebimentos do dia '!$C:$C,'Tabela Base'!$B96)+SUMIFS('Estoque Atual'!$G:$G,'Estoque Atual'!$A:$A,'Tabela Base'!$B96))/(SUMIFS('Recebimentos do dia '!$E:$E,'Recebimentos do dia '!$C:$C,'Tabela Base'!$B96)+SUMIFS('Estoque Atual'!$E:$E,'Estoque Atual'!$A:$A,'Tabela Base'!$B96)),0)</f>
        <v>0</v>
      </c>
    </row>
    <row r="97" spans="1:16" s="246" customFormat="1" hidden="1">
      <c r="B97" s="310">
        <v>24039</v>
      </c>
      <c r="C97" s="320" t="s">
        <v>176</v>
      </c>
      <c r="D97" s="291" t="s">
        <v>139</v>
      </c>
      <c r="E97" s="231">
        <v>55.9</v>
      </c>
      <c r="F97" s="231">
        <v>55.9</v>
      </c>
      <c r="G97" s="304" t="s">
        <v>220</v>
      </c>
      <c r="H97" s="258">
        <f t="shared" si="10"/>
        <v>0</v>
      </c>
      <c r="I97" s="252"/>
      <c r="J97" s="235">
        <f>SUMIFS('Estoque Atual'!$E:$E,'Estoque Atual'!$A:$A,'Tabela Base'!$B97)+SUMIFS('Recebimentos do dia '!$E:$E,'Recebimentos do dia '!$C:$C,'Tabela Base'!$B97)</f>
        <v>0</v>
      </c>
      <c r="K97" s="236">
        <f>IFERROR((SUMIFS('Estoque Atual'!I:I,'Estoque Atual'!A:A,'Tabela Base'!B97)+SUMIFS('Recebimentos do dia '!I:I,'Recebimentos do dia '!C:C,'Tabela Base'!B97))/
(SUMIFS('Estoque Atual'!G:G,'Estoque Atual'!A:A,'Tabela Base'!B97)+SUMIFS('Recebimentos do dia '!H:H,'Recebimentos do dia '!C:C,'Tabela Base'!B97)),0)</f>
        <v>0</v>
      </c>
      <c r="L97" s="237">
        <f t="shared" si="11"/>
        <v>55.9</v>
      </c>
      <c r="M97" s="237">
        <f t="shared" si="12"/>
        <v>55.9</v>
      </c>
      <c r="N97" s="236">
        <f>IFERROR((SUMIFS('Recebimentos do dia '!$H:$H,'Recebimentos do dia '!$C:$C,'Tabela Base'!$B97)+SUMIFS('Estoque Atual'!$G:$G,'Estoque Atual'!$A:$A,'Tabela Base'!$B97))/(SUMIFS('Recebimentos do dia '!$E:$E,'Recebimentos do dia '!$C:$C,'Tabela Base'!$B97)+SUMIFS('Estoque Atual'!$E:$E,'Estoque Atual'!$A:$A,'Tabela Base'!$B97)),0)</f>
        <v>0</v>
      </c>
    </row>
    <row r="98" spans="1:16" s="246" customFormat="1" hidden="1">
      <c r="B98" s="303">
        <v>12272</v>
      </c>
      <c r="C98" s="290" t="s">
        <v>148</v>
      </c>
      <c r="D98" s="291" t="s">
        <v>149</v>
      </c>
      <c r="E98" s="231">
        <v>63</v>
      </c>
      <c r="F98" s="231">
        <v>63</v>
      </c>
      <c r="G98" s="304" t="s">
        <v>220</v>
      </c>
      <c r="H98" s="258">
        <f t="shared" si="10"/>
        <v>0</v>
      </c>
      <c r="I98" s="252"/>
      <c r="J98" s="235">
        <f>SUMIFS('Estoque Atual'!$E:$E,'Estoque Atual'!$A:$A,'Tabela Base'!$B98)+SUMIFS('Recebimentos do dia '!$E:$E,'Recebimentos do dia '!$C:$C,'Tabela Base'!$B98)</f>
        <v>0</v>
      </c>
      <c r="K98" s="236">
        <f>IFERROR((SUMIFS('Estoque Atual'!I:I,'Estoque Atual'!A:A,'Tabela Base'!B98)+SUMIFS('Recebimentos do dia '!I:I,'Recebimentos do dia '!C:C,'Tabela Base'!B98))/
(SUMIFS('Estoque Atual'!G:G,'Estoque Atual'!A:A,'Tabela Base'!B98)+SUMIFS('Recebimentos do dia '!H:H,'Recebimentos do dia '!C:C,'Tabela Base'!B98)),0)</f>
        <v>0</v>
      </c>
      <c r="L98" s="237">
        <f t="shared" si="11"/>
        <v>63</v>
      </c>
      <c r="M98" s="237">
        <f t="shared" si="12"/>
        <v>63</v>
      </c>
      <c r="N98" s="236">
        <f>IFERROR((SUMIFS('Recebimentos do dia '!$H:$H,'Recebimentos do dia '!$C:$C,'Tabela Base'!$B98)+SUMIFS('Estoque Atual'!$G:$G,'Estoque Atual'!$A:$A,'Tabela Base'!$B98))/(SUMIFS('Recebimentos do dia '!$E:$E,'Recebimentos do dia '!$C:$C,'Tabela Base'!$B98)+SUMIFS('Estoque Atual'!$E:$E,'Estoque Atual'!$A:$A,'Tabela Base'!$B98)),0)</f>
        <v>0</v>
      </c>
    </row>
    <row r="99" spans="1:16" s="246" customFormat="1">
      <c r="B99" s="303">
        <v>12123</v>
      </c>
      <c r="C99" s="290" t="s">
        <v>397</v>
      </c>
      <c r="D99" s="291" t="s">
        <v>345</v>
      </c>
      <c r="E99" s="231">
        <v>57.99</v>
      </c>
      <c r="F99" s="231">
        <v>58.49</v>
      </c>
      <c r="G99" s="250" t="s">
        <v>468</v>
      </c>
      <c r="H99" s="258">
        <f t="shared" si="10"/>
        <v>47</v>
      </c>
      <c r="I99" s="252"/>
      <c r="J99" s="235">
        <f>SUMIFS('Estoque Atual'!$E:$E,'Estoque Atual'!$A:$A,'Tabela Base'!$B99)+SUMIFS('Recebimentos do dia '!$E:$E,'Recebimentos do dia '!$C:$C,'Tabela Base'!$B99)</f>
        <v>47</v>
      </c>
      <c r="K99" s="236">
        <f>IFERROR((SUMIFS('Estoque Atual'!I:I,'Estoque Atual'!A:A,'Tabela Base'!B99)+SUMIFS('Recebimentos do dia '!I:I,'Recebimentos do dia '!C:C,'Tabela Base'!B99))/
(SUMIFS('Estoque Atual'!G:G,'Estoque Atual'!A:A,'Tabela Base'!B99)+SUMIFS('Recebimentos do dia '!H:H,'Recebimentos do dia '!C:C,'Tabela Base'!B99)),0)</f>
        <v>53</v>
      </c>
      <c r="L99" s="237">
        <f t="shared" si="11"/>
        <v>4.990000000000002</v>
      </c>
      <c r="M99" s="237">
        <f t="shared" si="12"/>
        <v>5.490000000000002</v>
      </c>
      <c r="N99" s="236">
        <f>IFERROR((SUMIFS('Recebimentos do dia '!$H:$H,'Recebimentos do dia '!$C:$C,'Tabela Base'!$B99)+SUMIFS('Estoque Atual'!$G:$G,'Estoque Atual'!$A:$A,'Tabela Base'!$B99))/(SUMIFS('Recebimentos do dia '!$E:$E,'Recebimentos do dia '!$C:$C,'Tabela Base'!$B99)+SUMIFS('Estoque Atual'!$E:$E,'Estoque Atual'!$A:$A,'Tabela Base'!$B99)),0)</f>
        <v>21.273148936170212</v>
      </c>
    </row>
    <row r="100" spans="1:16" s="246" customFormat="1">
      <c r="B100" s="303">
        <v>12214</v>
      </c>
      <c r="C100" s="290" t="s">
        <v>367</v>
      </c>
      <c r="D100" s="295" t="s">
        <v>73</v>
      </c>
      <c r="E100" s="231">
        <v>59.99</v>
      </c>
      <c r="F100" s="231">
        <v>56.99</v>
      </c>
      <c r="G100" s="250" t="s">
        <v>468</v>
      </c>
      <c r="H100" s="258">
        <f t="shared" si="10"/>
        <v>88</v>
      </c>
      <c r="I100" s="252"/>
      <c r="J100" s="235">
        <f>SUMIFS('Estoque Atual'!$E:$E,'Estoque Atual'!$A:$A,'Tabela Base'!$B100)+SUMIFS('Recebimentos do dia '!$E:$E,'Recebimentos do dia '!$C:$C,'Tabela Base'!$B100)</f>
        <v>88</v>
      </c>
      <c r="K100" s="236">
        <f>IFERROR((SUMIFS('Estoque Atual'!I:I,'Estoque Atual'!A:A,'Tabela Base'!B100)+SUMIFS('Recebimentos do dia '!I:I,'Recebimentos do dia '!C:C,'Tabela Base'!B100))/
(SUMIFS('Estoque Atual'!G:G,'Estoque Atual'!A:A,'Tabela Base'!B100)+SUMIFS('Recebimentos do dia '!H:H,'Recebimentos do dia '!C:C,'Tabela Base'!B100)),0)</f>
        <v>57</v>
      </c>
      <c r="L100" s="237">
        <f t="shared" ref="L100:L127" si="16">E100-K100</f>
        <v>2.990000000000002</v>
      </c>
      <c r="M100" s="237">
        <f t="shared" si="12"/>
        <v>-9.9999999999980105E-3</v>
      </c>
      <c r="N100" s="236">
        <f>IFERROR((SUMIFS('Recebimentos do dia '!$H:$H,'Recebimentos do dia '!$C:$C,'Tabela Base'!$B100)+SUMIFS('Estoque Atual'!$G:$G,'Estoque Atual'!$A:$A,'Tabela Base'!$B100))/(SUMIFS('Recebimentos do dia '!$E:$E,'Recebimentos do dia '!$C:$C,'Tabela Base'!$B100)+SUMIFS('Estoque Atual'!$E:$E,'Estoque Atual'!$A:$A,'Tabela Base'!$B100)),0)</f>
        <v>22.720522727272726</v>
      </c>
    </row>
    <row r="101" spans="1:16" s="246" customFormat="1" hidden="1">
      <c r="B101" s="312"/>
      <c r="C101" s="321" t="s">
        <v>288</v>
      </c>
      <c r="D101" s="322" t="s">
        <v>149</v>
      </c>
      <c r="E101" s="231">
        <v>30.9</v>
      </c>
      <c r="F101" s="231">
        <v>30.9</v>
      </c>
      <c r="G101" s="323" t="s">
        <v>220</v>
      </c>
      <c r="H101" s="251">
        <f>J101</f>
        <v>0</v>
      </c>
      <c r="I101" s="252"/>
      <c r="J101" s="235">
        <f>SUMIFS('Estoque Atual'!$E:$E,'Estoque Atual'!$A:$A,'Tabela Base'!$B101)+SUMIFS('Recebimentos do dia '!$E:$E,'Recebimentos do dia '!$C:$C,'Tabela Base'!$B101)</f>
        <v>0</v>
      </c>
      <c r="K101" s="236">
        <f>IFERROR((SUMIFS('Estoque Atual'!I:I,'Estoque Atual'!A:A,'Tabela Base'!B101)+SUMIFS('Recebimentos do dia '!I:I,'Recebimentos do dia '!C:C,'Tabela Base'!B101))/
(SUMIFS('Estoque Atual'!G:G,'Estoque Atual'!A:A,'Tabela Base'!B101)+SUMIFS('Recebimentos do dia '!H:H,'Recebimentos do dia '!C:C,'Tabela Base'!B101)),0)</f>
        <v>0</v>
      </c>
      <c r="L101" s="237">
        <f t="shared" si="16"/>
        <v>30.9</v>
      </c>
      <c r="M101" s="237">
        <f t="shared" si="12"/>
        <v>30.9</v>
      </c>
      <c r="N101" s="236">
        <f>IFERROR((SUMIFS('Recebimentos do dia '!$H:$H,'Recebimentos do dia '!$C:$C,'Tabela Base'!$B101)+SUMIFS('Estoque Atual'!$G:$G,'Estoque Atual'!$A:$A,'Tabela Base'!$B101))/(SUMIFS('Recebimentos do dia '!$E:$E,'Recebimentos do dia '!$C:$C,'Tabela Base'!$B101)+SUMIFS('Estoque Atual'!$E:$E,'Estoque Atual'!$A:$A,'Tabela Base'!$B101)),0)</f>
        <v>0</v>
      </c>
    </row>
    <row r="102" spans="1:16" hidden="1">
      <c r="A102" s="199"/>
      <c r="B102" s="310">
        <v>12136</v>
      </c>
      <c r="C102" s="320" t="s">
        <v>367</v>
      </c>
      <c r="D102" s="291" t="s">
        <v>315</v>
      </c>
      <c r="E102" s="231">
        <v>64.989999999999995</v>
      </c>
      <c r="F102" s="231">
        <v>64.989999999999995</v>
      </c>
      <c r="G102" s="304" t="s">
        <v>220</v>
      </c>
      <c r="H102" s="258">
        <f t="shared" si="10"/>
        <v>0</v>
      </c>
      <c r="I102" s="242"/>
      <c r="J102" s="235">
        <f>SUMIFS('Estoque Atual'!$E:$E,'Estoque Atual'!$A:$A,'Tabela Base'!$B102)+SUMIFS('Recebimentos do dia '!$E:$E,'Recebimentos do dia '!$C:$C,'Tabela Base'!$B102)</f>
        <v>0</v>
      </c>
      <c r="K102" s="236">
        <f>IFERROR((SUMIFS('Estoque Atual'!I:I,'Estoque Atual'!A:A,'Tabela Base'!B102)+SUMIFS('Recebimentos do dia '!I:I,'Recebimentos do dia '!C:C,'Tabela Base'!B102))/
(SUMIFS('Estoque Atual'!G:G,'Estoque Atual'!A:A,'Tabela Base'!B102)+SUMIFS('Recebimentos do dia '!H:H,'Recebimentos do dia '!C:C,'Tabela Base'!B102)),0)</f>
        <v>0</v>
      </c>
      <c r="L102" s="237">
        <f t="shared" si="16"/>
        <v>64.989999999999995</v>
      </c>
      <c r="M102" s="237">
        <f t="shared" si="12"/>
        <v>64.989999999999995</v>
      </c>
      <c r="N102" s="236">
        <f>IFERROR((SUMIFS('Recebimentos do dia '!$H:$H,'Recebimentos do dia '!$C:$C,'Tabela Base'!$B102)+SUMIFS('Estoque Atual'!$G:$G,'Estoque Atual'!$A:$A,'Tabela Base'!$B102))/(SUMIFS('Recebimentos do dia '!$E:$E,'Recebimentos do dia '!$C:$C,'Tabela Base'!$B102)+SUMIFS('Estoque Atual'!$E:$E,'Estoque Atual'!$A:$A,'Tabela Base'!$B102)),0)</f>
        <v>0</v>
      </c>
      <c r="P102" s="238"/>
    </row>
    <row r="103" spans="1:16" s="246" customFormat="1" hidden="1">
      <c r="B103" s="310">
        <v>12184</v>
      </c>
      <c r="C103" s="320" t="s">
        <v>368</v>
      </c>
      <c r="D103" s="295" t="s">
        <v>73</v>
      </c>
      <c r="E103" s="231">
        <v>58.99</v>
      </c>
      <c r="F103" s="231">
        <v>58.99</v>
      </c>
      <c r="G103" s="304" t="s">
        <v>268</v>
      </c>
      <c r="H103" s="258">
        <f t="shared" si="10"/>
        <v>0</v>
      </c>
      <c r="I103" s="252"/>
      <c r="J103" s="235">
        <f>SUMIFS('Estoque Atual'!$E:$E,'Estoque Atual'!$A:$A,'Tabela Base'!$B103)+SUMIFS('Recebimentos do dia '!$E:$E,'Recebimentos do dia '!$C:$C,'Tabela Base'!$B103)</f>
        <v>0</v>
      </c>
      <c r="K103" s="236">
        <f>IFERROR((SUMIFS('Estoque Atual'!I:I,'Estoque Atual'!A:A,'Tabela Base'!B103)+SUMIFS('Recebimentos do dia '!I:I,'Recebimentos do dia '!C:C,'Tabela Base'!B103))/
(SUMIFS('Estoque Atual'!G:G,'Estoque Atual'!A:A,'Tabela Base'!B103)+SUMIFS('Recebimentos do dia '!H:H,'Recebimentos do dia '!C:C,'Tabela Base'!B103)),0)</f>
        <v>0</v>
      </c>
      <c r="L103" s="237">
        <f t="shared" si="16"/>
        <v>58.99</v>
      </c>
      <c r="M103" s="237">
        <f t="shared" si="12"/>
        <v>58.99</v>
      </c>
      <c r="N103" s="236">
        <f>IFERROR((SUMIFS('Recebimentos do dia '!$H:$H,'Recebimentos do dia '!$C:$C,'Tabela Base'!$B103)+SUMIFS('Estoque Atual'!$G:$G,'Estoque Atual'!$A:$A,'Tabela Base'!$B103))/(SUMIFS('Recebimentos do dia '!$E:$E,'Recebimentos do dia '!$C:$C,'Tabela Base'!$B103)+SUMIFS('Estoque Atual'!$E:$E,'Estoque Atual'!$A:$A,'Tabela Base'!$B103)),0)</f>
        <v>0</v>
      </c>
    </row>
    <row r="104" spans="1:16" s="246" customFormat="1" hidden="1">
      <c r="B104" s="293">
        <v>12060</v>
      </c>
      <c r="C104" s="294" t="s">
        <v>196</v>
      </c>
      <c r="D104" s="295" t="s">
        <v>428</v>
      </c>
      <c r="E104" s="231">
        <v>29.99</v>
      </c>
      <c r="F104" s="231">
        <v>28.99</v>
      </c>
      <c r="G104" s="306" t="s">
        <v>268</v>
      </c>
      <c r="H104" s="258">
        <f t="shared" si="10"/>
        <v>0</v>
      </c>
      <c r="I104" s="252"/>
      <c r="J104" s="235">
        <f>SUMIFS('Estoque Atual'!$E:$E,'Estoque Atual'!$A:$A,'Tabela Base'!$B104)+SUMIFS('Recebimentos do dia '!$E:$E,'Recebimentos do dia '!$C:$C,'Tabela Base'!$B104)</f>
        <v>0</v>
      </c>
      <c r="K104" s="236">
        <f>IFERROR((SUMIFS('Estoque Atual'!I:I,'Estoque Atual'!A:A,'Tabela Base'!B104)+SUMIFS('Recebimentos do dia '!I:I,'Recebimentos do dia '!C:C,'Tabela Base'!B104))/
(SUMIFS('Estoque Atual'!G:G,'Estoque Atual'!A:A,'Tabela Base'!B104)+SUMIFS('Recebimentos do dia '!H:H,'Recebimentos do dia '!C:C,'Tabela Base'!B104)),0)</f>
        <v>0</v>
      </c>
      <c r="L104" s="237">
        <f t="shared" si="16"/>
        <v>29.99</v>
      </c>
      <c r="M104" s="237">
        <f t="shared" si="12"/>
        <v>28.99</v>
      </c>
      <c r="N104" s="236">
        <f>IFERROR((SUMIFS('Recebimentos do dia '!$H:$H,'Recebimentos do dia '!$C:$C,'Tabela Base'!$B104)+SUMIFS('Estoque Atual'!$G:$G,'Estoque Atual'!$A:$A,'Tabela Base'!$B104))/(SUMIFS('Recebimentos do dia '!$E:$E,'Recebimentos do dia '!$C:$C,'Tabela Base'!$B104)+SUMIFS('Estoque Atual'!$E:$E,'Estoque Atual'!$A:$A,'Tabela Base'!$B104)),0)</f>
        <v>0</v>
      </c>
    </row>
    <row r="105" spans="1:16" s="246" customFormat="1">
      <c r="B105" s="293">
        <v>12120</v>
      </c>
      <c r="C105" s="294" t="s">
        <v>101</v>
      </c>
      <c r="D105" s="295" t="s">
        <v>412</v>
      </c>
      <c r="E105" s="231">
        <v>29.49</v>
      </c>
      <c r="F105" s="231">
        <v>29.99</v>
      </c>
      <c r="G105" s="250" t="s">
        <v>468</v>
      </c>
      <c r="H105" s="233">
        <f t="shared" si="10"/>
        <v>46</v>
      </c>
      <c r="I105" s="252"/>
      <c r="J105" s="235">
        <f>SUMIFS('Estoque Atual'!$E:$E,'Estoque Atual'!$A:$A,'Tabela Base'!$B105)+SUMIFS('Recebimentos do dia '!$E:$E,'Recebimentos do dia '!$C:$C,'Tabela Base'!$B105)</f>
        <v>46</v>
      </c>
      <c r="K105" s="236">
        <f>IFERROR((SUMIFS('Estoque Atual'!I:I,'Estoque Atual'!A:A,'Tabela Base'!B105)+SUMIFS('Recebimentos do dia '!I:I,'Recebimentos do dia '!C:C,'Tabela Base'!B105))/
(SUMIFS('Estoque Atual'!G:G,'Estoque Atual'!A:A,'Tabela Base'!B105)+SUMIFS('Recebimentos do dia '!H:H,'Recebimentos do dia '!C:C,'Tabela Base'!B105)),0)</f>
        <v>27</v>
      </c>
      <c r="L105" s="237">
        <f t="shared" si="16"/>
        <v>2.4899999999999984</v>
      </c>
      <c r="M105" s="237">
        <f t="shared" si="12"/>
        <v>2.9899999999999984</v>
      </c>
      <c r="N105" s="236">
        <f>IFERROR((SUMIFS('Recebimentos do dia '!$H:$H,'Recebimentos do dia '!$C:$C,'Tabela Base'!$B105)+SUMIFS('Estoque Atual'!$G:$G,'Estoque Atual'!$A:$A,'Tabela Base'!$B105))/(SUMIFS('Recebimentos do dia '!$E:$E,'Recebimentos do dia '!$C:$C,'Tabela Base'!$B105)+SUMIFS('Estoque Atual'!$E:$E,'Estoque Atual'!$A:$A,'Tabela Base'!$B105)),0)</f>
        <v>21.41482608695652</v>
      </c>
    </row>
    <row r="106" spans="1:16" s="246" customFormat="1" hidden="1">
      <c r="B106" s="279">
        <v>12188</v>
      </c>
      <c r="C106" s="280" t="s">
        <v>396</v>
      </c>
      <c r="D106" s="302" t="s">
        <v>73</v>
      </c>
      <c r="E106" s="231">
        <v>23.99</v>
      </c>
      <c r="F106" s="231">
        <v>30.49</v>
      </c>
      <c r="G106" s="250" t="s">
        <v>254</v>
      </c>
      <c r="H106" s="258">
        <f t="shared" si="10"/>
        <v>0</v>
      </c>
      <c r="I106" s="252"/>
      <c r="J106" s="235">
        <f>SUMIFS('Estoque Atual'!$E:$E,'Estoque Atual'!$A:$A,'Tabela Base'!$B106)+SUMIFS('Recebimentos do dia '!$E:$E,'Recebimentos do dia '!$C:$C,'Tabela Base'!$B106)</f>
        <v>0</v>
      </c>
      <c r="K106" s="236">
        <f>IFERROR((SUMIFS('Estoque Atual'!I:I,'Estoque Atual'!A:A,'Tabela Base'!B106)+SUMIFS('Recebimentos do dia '!I:I,'Recebimentos do dia '!C:C,'Tabela Base'!B106))/
(SUMIFS('Estoque Atual'!G:G,'Estoque Atual'!A:A,'Tabela Base'!B106)+SUMIFS('Recebimentos do dia '!H:H,'Recebimentos do dia '!C:C,'Tabela Base'!B106)),0)</f>
        <v>0</v>
      </c>
      <c r="L106" s="237">
        <f t="shared" si="16"/>
        <v>23.99</v>
      </c>
      <c r="M106" s="237">
        <f t="shared" si="12"/>
        <v>30.49</v>
      </c>
      <c r="N106" s="236">
        <f>IFERROR((SUMIFS('Recebimentos do dia '!$H:$H,'Recebimentos do dia '!$C:$C,'Tabela Base'!$B106)+SUMIFS('Estoque Atual'!$G:$G,'Estoque Atual'!$A:$A,'Tabela Base'!$B106))/(SUMIFS('Recebimentos do dia '!$E:$E,'Recebimentos do dia '!$C:$C,'Tabela Base'!$B106)+SUMIFS('Estoque Atual'!$E:$E,'Estoque Atual'!$A:$A,'Tabela Base'!$B106)),0)</f>
        <v>0</v>
      </c>
    </row>
    <row r="107" spans="1:16" s="246" customFormat="1">
      <c r="B107" s="303">
        <v>12043</v>
      </c>
      <c r="C107" s="290" t="s">
        <v>289</v>
      </c>
      <c r="D107" s="291" t="s">
        <v>143</v>
      </c>
      <c r="E107" s="231">
        <v>37.99</v>
      </c>
      <c r="F107" s="231">
        <v>39.99</v>
      </c>
      <c r="G107" s="304" t="s">
        <v>220</v>
      </c>
      <c r="H107" s="233">
        <f>J107</f>
        <v>13</v>
      </c>
      <c r="I107" s="242"/>
      <c r="J107" s="235">
        <f>SUMIFS('Estoque Atual'!$E:$E,'Estoque Atual'!$A:$A,'Tabela Base'!$B107)+SUMIFS('Recebimentos do dia '!$E:$E,'Recebimentos do dia '!$C:$C,'Tabela Base'!$B107)</f>
        <v>13</v>
      </c>
      <c r="K107" s="236">
        <f>IFERROR((SUMIFS('Estoque Atual'!I:I,'Estoque Atual'!A:A,'Tabela Base'!B107)+SUMIFS('Recebimentos do dia '!I:I,'Recebimentos do dia '!C:C,'Tabela Base'!B107))/
(SUMIFS('Estoque Atual'!G:G,'Estoque Atual'!A:A,'Tabela Base'!B107)+SUMIFS('Recebimentos do dia '!H:H,'Recebimentos do dia '!C:C,'Tabela Base'!B107)),0)</f>
        <v>32</v>
      </c>
      <c r="L107" s="237">
        <f>E107-K107</f>
        <v>5.990000000000002</v>
      </c>
      <c r="M107" s="237">
        <f t="shared" si="12"/>
        <v>7.990000000000002</v>
      </c>
      <c r="N107" s="236">
        <f>IFERROR((SUMIFS('Recebimentos do dia '!$H:$H,'Recebimentos do dia '!$C:$C,'Tabela Base'!$B107)+SUMIFS('Estoque Atual'!$G:$G,'Estoque Atual'!$A:$A,'Tabela Base'!$B107))/(SUMIFS('Recebimentos do dia '!$E:$E,'Recebimentos do dia '!$C:$C,'Tabela Base'!$B107)+SUMIFS('Estoque Atual'!$E:$E,'Estoque Atual'!$A:$A,'Tabela Base'!$B107)),0)</f>
        <v>20.313076923076924</v>
      </c>
    </row>
    <row r="108" spans="1:16" hidden="1">
      <c r="A108" s="199"/>
      <c r="B108" s="314">
        <v>12138</v>
      </c>
      <c r="C108" s="315" t="s">
        <v>92</v>
      </c>
      <c r="D108" s="317" t="s">
        <v>345</v>
      </c>
      <c r="E108" s="231">
        <v>32.99</v>
      </c>
      <c r="F108" s="231">
        <v>32.99</v>
      </c>
      <c r="G108" s="318" t="s">
        <v>220</v>
      </c>
      <c r="H108" s="251">
        <f>J108</f>
        <v>0</v>
      </c>
      <c r="I108" s="242"/>
      <c r="J108" s="235">
        <f>SUMIFS('Estoque Atual'!$E:$E,'Estoque Atual'!$A:$A,'Tabela Base'!$B108)+SUMIFS('Recebimentos do dia '!$E:$E,'Recebimentos do dia '!$C:$C,'Tabela Base'!$B108)</f>
        <v>0</v>
      </c>
      <c r="K108" s="236">
        <f>IFERROR((SUMIFS('Estoque Atual'!I:I,'Estoque Atual'!A:A,'Tabela Base'!B108)+SUMIFS('Recebimentos do dia '!I:I,'Recebimentos do dia '!C:C,'Tabela Base'!B108))/
(SUMIFS('Estoque Atual'!G:G,'Estoque Atual'!A:A,'Tabela Base'!B108)+SUMIFS('Recebimentos do dia '!H:H,'Recebimentos do dia '!C:C,'Tabela Base'!B108)),0)</f>
        <v>0</v>
      </c>
      <c r="L108" s="237">
        <f t="shared" si="16"/>
        <v>32.99</v>
      </c>
      <c r="M108" s="237">
        <f t="shared" si="12"/>
        <v>32.99</v>
      </c>
      <c r="N108" s="236">
        <f>IFERROR((SUMIFS('Recebimentos do dia '!$H:$H,'Recebimentos do dia '!$C:$C,'Tabela Base'!$B108)+SUMIFS('Estoque Atual'!$G:$G,'Estoque Atual'!$A:$A,'Tabela Base'!$B108))/(SUMIFS('Recebimentos do dia '!$E:$E,'Recebimentos do dia '!$C:$C,'Tabela Base'!$B108)+SUMIFS('Estoque Atual'!$E:$E,'Estoque Atual'!$A:$A,'Tabela Base'!$B108)),0)</f>
        <v>0</v>
      </c>
    </row>
    <row r="109" spans="1:16" s="246" customFormat="1" hidden="1">
      <c r="B109" s="303">
        <v>12249</v>
      </c>
      <c r="C109" s="290" t="s">
        <v>101</v>
      </c>
      <c r="D109" s="291" t="s">
        <v>352</v>
      </c>
      <c r="E109" s="231">
        <v>29.59</v>
      </c>
      <c r="F109" s="231">
        <v>29.59</v>
      </c>
      <c r="G109" s="304" t="s">
        <v>348</v>
      </c>
      <c r="H109" s="258">
        <f t="shared" si="10"/>
        <v>0</v>
      </c>
      <c r="I109" s="252"/>
      <c r="J109" s="235">
        <f>SUMIFS('Estoque Atual'!$E:$E,'Estoque Atual'!$A:$A,'Tabela Base'!$B109)+SUMIFS('Recebimentos do dia '!$E:$E,'Recebimentos do dia '!$C:$C,'Tabela Base'!$B109)</f>
        <v>0</v>
      </c>
      <c r="K109" s="236">
        <f>IFERROR((SUMIFS('Estoque Atual'!I:I,'Estoque Atual'!A:A,'Tabela Base'!B109)+SUMIFS('Recebimentos do dia '!I:I,'Recebimentos do dia '!C:C,'Tabela Base'!B109))/
(SUMIFS('Estoque Atual'!G:G,'Estoque Atual'!A:A,'Tabela Base'!B109)+SUMIFS('Recebimentos do dia '!H:H,'Recebimentos do dia '!C:C,'Tabela Base'!B109)),0)</f>
        <v>0</v>
      </c>
      <c r="L109" s="237">
        <f t="shared" si="16"/>
        <v>29.59</v>
      </c>
      <c r="M109" s="237">
        <f t="shared" si="12"/>
        <v>29.59</v>
      </c>
      <c r="N109" s="236">
        <f>IFERROR((SUMIFS('Recebimentos do dia '!$H:$H,'Recebimentos do dia '!$C:$C,'Tabela Base'!$B109)+SUMIFS('Estoque Atual'!$G:$G,'Estoque Atual'!$A:$A,'Tabela Base'!$B109))/(SUMIFS('Recebimentos do dia '!$E:$E,'Recebimentos do dia '!$C:$C,'Tabela Base'!$B109)+SUMIFS('Estoque Atual'!$E:$E,'Estoque Atual'!$A:$A,'Tabela Base'!$B109)),0)</f>
        <v>0</v>
      </c>
    </row>
    <row r="110" spans="1:16" s="246" customFormat="1" hidden="1">
      <c r="B110" s="303">
        <v>12069</v>
      </c>
      <c r="C110" s="290" t="s">
        <v>125</v>
      </c>
      <c r="D110" s="291" t="s">
        <v>139</v>
      </c>
      <c r="E110" s="231">
        <v>32.9</v>
      </c>
      <c r="F110" s="231">
        <v>32.9</v>
      </c>
      <c r="G110" s="304" t="s">
        <v>236</v>
      </c>
      <c r="H110" s="258">
        <f t="shared" si="10"/>
        <v>0</v>
      </c>
      <c r="I110" s="252"/>
      <c r="J110" s="235">
        <f>SUMIFS('Estoque Atual'!$E:$E,'Estoque Atual'!$A:$A,'Tabela Base'!$B110)+SUMIFS('Recebimentos do dia '!$E:$E,'Recebimentos do dia '!$C:$C,'Tabela Base'!$B110)</f>
        <v>0</v>
      </c>
      <c r="K110" s="236">
        <f>IFERROR((SUMIFS('Estoque Atual'!I:I,'Estoque Atual'!A:A,'Tabela Base'!B110)+SUMIFS('Recebimentos do dia '!I:I,'Recebimentos do dia '!C:C,'Tabela Base'!B110))/
(SUMIFS('Estoque Atual'!G:G,'Estoque Atual'!A:A,'Tabela Base'!B110)+SUMIFS('Recebimentos do dia '!H:H,'Recebimentos do dia '!C:C,'Tabela Base'!B110)),0)</f>
        <v>0</v>
      </c>
      <c r="L110" s="237">
        <f t="shared" si="16"/>
        <v>32.9</v>
      </c>
      <c r="M110" s="237">
        <f t="shared" si="12"/>
        <v>32.9</v>
      </c>
      <c r="N110" s="236">
        <f>IFERROR((SUMIFS('Recebimentos do dia '!$H:$H,'Recebimentos do dia '!$C:$C,'Tabela Base'!$B110)+SUMIFS('Estoque Atual'!$G:$G,'Estoque Atual'!$A:$A,'Tabela Base'!$B110))/(SUMIFS('Recebimentos do dia '!$E:$E,'Recebimentos do dia '!$C:$C,'Tabela Base'!$B110)+SUMIFS('Estoque Atual'!$E:$E,'Estoque Atual'!$A:$A,'Tabela Base'!$B110)),0)</f>
        <v>0</v>
      </c>
    </row>
    <row r="111" spans="1:16" s="246" customFormat="1" hidden="1">
      <c r="B111" s="303">
        <v>12132</v>
      </c>
      <c r="C111" s="290" t="s">
        <v>104</v>
      </c>
      <c r="D111" s="291" t="s">
        <v>139</v>
      </c>
      <c r="E111" s="231">
        <v>34.9</v>
      </c>
      <c r="F111" s="231">
        <v>34.9</v>
      </c>
      <c r="G111" s="304" t="s">
        <v>221</v>
      </c>
      <c r="H111" s="258">
        <f t="shared" si="10"/>
        <v>0</v>
      </c>
      <c r="I111" s="252"/>
      <c r="J111" s="235">
        <f>SUMIFS('Estoque Atual'!$E:$E,'Estoque Atual'!$A:$A,'Tabela Base'!$B111)+SUMIFS('Recebimentos do dia '!$E:$E,'Recebimentos do dia '!$C:$C,'Tabela Base'!$B111)</f>
        <v>0</v>
      </c>
      <c r="K111" s="236">
        <f>IFERROR((SUMIFS('Estoque Atual'!I:I,'Estoque Atual'!A:A,'Tabela Base'!B111)+SUMIFS('Recebimentos do dia '!I:I,'Recebimentos do dia '!C:C,'Tabela Base'!B111))/
(SUMIFS('Estoque Atual'!G:G,'Estoque Atual'!A:A,'Tabela Base'!B111)+SUMIFS('Recebimentos do dia '!H:H,'Recebimentos do dia '!C:C,'Tabela Base'!B111)),0)</f>
        <v>0</v>
      </c>
      <c r="L111" s="237">
        <f t="shared" si="16"/>
        <v>34.9</v>
      </c>
      <c r="M111" s="237">
        <f t="shared" si="12"/>
        <v>34.9</v>
      </c>
      <c r="N111" s="236">
        <f>IFERROR((SUMIFS('Recebimentos do dia '!$H:$H,'Recebimentos do dia '!$C:$C,'Tabela Base'!$B111)+SUMIFS('Estoque Atual'!$G:$G,'Estoque Atual'!$A:$A,'Tabela Base'!$B111))/(SUMIFS('Recebimentos do dia '!$E:$E,'Recebimentos do dia '!$C:$C,'Tabela Base'!$B111)+SUMIFS('Estoque Atual'!$E:$E,'Estoque Atual'!$A:$A,'Tabela Base'!$B111)),0)</f>
        <v>0</v>
      </c>
    </row>
    <row r="112" spans="1:16">
      <c r="A112" s="199"/>
      <c r="B112" s="316">
        <v>12020</v>
      </c>
      <c r="C112" s="324" t="s">
        <v>78</v>
      </c>
      <c r="D112" s="295" t="s">
        <v>350</v>
      </c>
      <c r="E112" s="231">
        <v>34.99</v>
      </c>
      <c r="F112" s="231">
        <v>34.99</v>
      </c>
      <c r="G112" s="325" t="s">
        <v>220</v>
      </c>
      <c r="H112" s="233">
        <f t="shared" si="10"/>
        <v>56</v>
      </c>
      <c r="I112" s="242"/>
      <c r="J112" s="235">
        <f>SUMIFS('Estoque Atual'!$E:$E,'Estoque Atual'!$A:$A,'Tabela Base'!$B112)+SUMIFS('Recebimentos do dia '!$E:$E,'Recebimentos do dia '!$C:$C,'Tabela Base'!$B112)</f>
        <v>56</v>
      </c>
      <c r="K112" s="236">
        <f>IFERROR((SUMIFS('Estoque Atual'!I:I,'Estoque Atual'!A:A,'Tabela Base'!B112)+SUMIFS('Recebimentos do dia '!I:I,'Recebimentos do dia '!C:C,'Tabela Base'!B112))/
(SUMIFS('Estoque Atual'!G:G,'Estoque Atual'!A:A,'Tabela Base'!B112)+SUMIFS('Recebimentos do dia '!H:H,'Recebimentos do dia '!C:C,'Tabela Base'!B112)),0)</f>
        <v>32.479999999999997</v>
      </c>
      <c r="L112" s="237">
        <f t="shared" si="16"/>
        <v>2.5100000000000051</v>
      </c>
      <c r="M112" s="237">
        <f t="shared" si="12"/>
        <v>2.5100000000000051</v>
      </c>
      <c r="N112" s="236">
        <f>IFERROR((SUMIFS('Recebimentos do dia '!$H:$H,'Recebimentos do dia '!$C:$C,'Tabela Base'!$B112)+SUMIFS('Estoque Atual'!$G:$G,'Estoque Atual'!$A:$A,'Tabela Base'!$B112))/(SUMIFS('Recebimentos do dia '!$E:$E,'Recebimentos do dia '!$C:$C,'Tabela Base'!$B112)+SUMIFS('Estoque Atual'!$E:$E,'Estoque Atual'!$A:$A,'Tabela Base'!$B112)),0)</f>
        <v>22.740625000000001</v>
      </c>
    </row>
    <row r="113" spans="1:16" hidden="1">
      <c r="A113" s="199"/>
      <c r="B113" s="303">
        <v>12302</v>
      </c>
      <c r="C113" s="290" t="s">
        <v>273</v>
      </c>
      <c r="D113" s="291" t="s">
        <v>139</v>
      </c>
      <c r="E113" s="231">
        <v>38.99</v>
      </c>
      <c r="F113" s="231">
        <v>38.99</v>
      </c>
      <c r="G113" s="304" t="s">
        <v>220</v>
      </c>
      <c r="H113" s="258">
        <f>J113</f>
        <v>0</v>
      </c>
      <c r="I113" s="252"/>
      <c r="J113" s="235">
        <f>SUMIFS('Estoque Atual'!$E:$E,'Estoque Atual'!$A:$A,'Tabela Base'!$B113)+SUMIFS('Recebimentos do dia '!$E:$E,'Recebimentos do dia '!$C:$C,'Tabela Base'!$B113)</f>
        <v>0</v>
      </c>
      <c r="K113" s="236">
        <f>IFERROR((SUMIFS('Estoque Atual'!I:I,'Estoque Atual'!A:A,'Tabela Base'!B113)+SUMIFS('Recebimentos do dia '!I:I,'Recebimentos do dia '!C:C,'Tabela Base'!B113))/
(SUMIFS('Estoque Atual'!G:G,'Estoque Atual'!A:A,'Tabela Base'!B113)+SUMIFS('Recebimentos do dia '!H:H,'Recebimentos do dia '!C:C,'Tabela Base'!B113)),0)</f>
        <v>0</v>
      </c>
      <c r="L113" s="237">
        <f>E113-K113</f>
        <v>38.99</v>
      </c>
      <c r="M113" s="237">
        <f t="shared" si="12"/>
        <v>38.99</v>
      </c>
      <c r="N113" s="236">
        <f>IFERROR((SUMIFS('Recebimentos do dia '!$H:$H,'Recebimentos do dia '!$C:$C,'Tabela Base'!$B113)+SUMIFS('Estoque Atual'!$G:$G,'Estoque Atual'!$A:$A,'Tabela Base'!$B113))/(SUMIFS('Recebimentos do dia '!$E:$E,'Recebimentos do dia '!$C:$C,'Tabela Base'!$B113)+SUMIFS('Estoque Atual'!$E:$E,'Estoque Atual'!$A:$A,'Tabela Base'!$B113)),0)</f>
        <v>0</v>
      </c>
    </row>
    <row r="114" spans="1:16">
      <c r="A114" s="199"/>
      <c r="B114" s="293">
        <v>12018</v>
      </c>
      <c r="C114" s="290" t="s">
        <v>79</v>
      </c>
      <c r="D114" s="295" t="s">
        <v>350</v>
      </c>
      <c r="E114" s="231">
        <v>36.590000000000003</v>
      </c>
      <c r="F114" s="231">
        <v>36.89</v>
      </c>
      <c r="G114" s="306" t="s">
        <v>220</v>
      </c>
      <c r="H114" s="233">
        <f t="shared" si="10"/>
        <v>210</v>
      </c>
      <c r="I114" s="242"/>
      <c r="J114" s="235">
        <f>SUMIFS('Estoque Atual'!$E:$E,'Estoque Atual'!$A:$A,'Tabela Base'!$B114)+SUMIFS('Recebimentos do dia '!$E:$E,'Recebimentos do dia '!$C:$C,'Tabela Base'!$B114)</f>
        <v>210</v>
      </c>
      <c r="K114" s="236">
        <f>IFERROR((SUMIFS('Estoque Atual'!I:I,'Estoque Atual'!A:A,'Tabela Base'!B114)+SUMIFS('Recebimentos do dia '!I:I,'Recebimentos do dia '!C:C,'Tabela Base'!B114))/
(SUMIFS('Estoque Atual'!G:G,'Estoque Atual'!A:A,'Tabela Base'!B114)+SUMIFS('Recebimentos do dia '!H:H,'Recebimentos do dia '!C:C,'Tabela Base'!B114)),0)</f>
        <v>32.99</v>
      </c>
      <c r="L114" s="237">
        <f t="shared" si="16"/>
        <v>3.6000000000000014</v>
      </c>
      <c r="M114" s="237">
        <f t="shared" si="12"/>
        <v>3.8999999999999986</v>
      </c>
      <c r="N114" s="236">
        <f>IFERROR((SUMIFS('Recebimentos do dia '!$H:$H,'Recebimentos do dia '!$C:$C,'Tabela Base'!$B114)+SUMIFS('Estoque Atual'!$G:$G,'Estoque Atual'!$A:$A,'Tabela Base'!$B114))/(SUMIFS('Recebimentos do dia '!$E:$E,'Recebimentos do dia '!$C:$C,'Tabela Base'!$B114)+SUMIFS('Estoque Atual'!$E:$E,'Estoque Atual'!$A:$A,'Tabela Base'!$B114)),0)</f>
        <v>24.773980952380953</v>
      </c>
      <c r="P114" s="238"/>
    </row>
    <row r="115" spans="1:16" s="246" customFormat="1" hidden="1">
      <c r="B115" s="303">
        <v>12131</v>
      </c>
      <c r="C115" s="290" t="s">
        <v>79</v>
      </c>
      <c r="D115" s="326" t="s">
        <v>140</v>
      </c>
      <c r="E115" s="231">
        <v>28.29</v>
      </c>
      <c r="F115" s="231">
        <v>28.29</v>
      </c>
      <c r="G115" s="304" t="s">
        <v>238</v>
      </c>
      <c r="H115" s="258">
        <f t="shared" si="10"/>
        <v>0</v>
      </c>
      <c r="I115" s="252"/>
      <c r="J115" s="235">
        <f>SUMIFS('Estoque Atual'!$E:$E,'Estoque Atual'!$A:$A,'Tabela Base'!$B115)+SUMIFS('Recebimentos do dia '!$E:$E,'Recebimentos do dia '!$C:$C,'Tabela Base'!$B115)</f>
        <v>0</v>
      </c>
      <c r="K115" s="236">
        <f>IFERROR((SUMIFS('Estoque Atual'!I:I,'Estoque Atual'!A:A,'Tabela Base'!B115)+SUMIFS('Recebimentos do dia '!I:I,'Recebimentos do dia '!C:C,'Tabela Base'!B115))/
(SUMIFS('Estoque Atual'!G:G,'Estoque Atual'!A:A,'Tabela Base'!B115)+SUMIFS('Recebimentos do dia '!H:H,'Recebimentos do dia '!C:C,'Tabela Base'!B115)),0)</f>
        <v>0</v>
      </c>
      <c r="L115" s="237">
        <f t="shared" si="16"/>
        <v>28.29</v>
      </c>
      <c r="M115" s="237">
        <f t="shared" si="12"/>
        <v>28.29</v>
      </c>
      <c r="N115" s="236">
        <f>IFERROR((SUMIFS('Recebimentos do dia '!$H:$H,'Recebimentos do dia '!$C:$C,'Tabela Base'!$B115)+SUMIFS('Estoque Atual'!$G:$G,'Estoque Atual'!$A:$A,'Tabela Base'!$B115))/(SUMIFS('Recebimentos do dia '!$E:$E,'Recebimentos do dia '!$C:$C,'Tabela Base'!$B115)+SUMIFS('Estoque Atual'!$E:$E,'Estoque Atual'!$A:$A,'Tabela Base'!$B115)),0)</f>
        <v>0</v>
      </c>
    </row>
    <row r="116" spans="1:16" s="246" customFormat="1" hidden="1">
      <c r="B116" s="327">
        <v>12320</v>
      </c>
      <c r="C116" s="290" t="s">
        <v>79</v>
      </c>
      <c r="D116" s="326" t="s">
        <v>140</v>
      </c>
      <c r="E116" s="231">
        <v>27.79</v>
      </c>
      <c r="F116" s="231">
        <v>27.79</v>
      </c>
      <c r="G116" s="306" t="s">
        <v>220</v>
      </c>
      <c r="H116" s="258">
        <f t="shared" si="10"/>
        <v>0</v>
      </c>
      <c r="I116" s="252"/>
      <c r="J116" s="235">
        <f>SUMIFS('Estoque Atual'!$E:$E,'Estoque Atual'!$A:$A,'Tabela Base'!$B116)+SUMIFS('Recebimentos do dia '!$E:$E,'Recebimentos do dia '!$C:$C,'Tabela Base'!$B116)</f>
        <v>0</v>
      </c>
      <c r="K116" s="236">
        <f>IFERROR((SUMIFS('Estoque Atual'!I:I,'Estoque Atual'!A:A,'Tabela Base'!B116)+SUMIFS('Recebimentos do dia '!I:I,'Recebimentos do dia '!C:C,'Tabela Base'!B116))/
(SUMIFS('Estoque Atual'!G:G,'Estoque Atual'!A:A,'Tabela Base'!B116)+SUMIFS('Recebimentos do dia '!H:H,'Recebimentos do dia '!C:C,'Tabela Base'!B116)),0)</f>
        <v>0</v>
      </c>
      <c r="L116" s="237">
        <f t="shared" si="16"/>
        <v>27.79</v>
      </c>
      <c r="M116" s="237">
        <f t="shared" si="12"/>
        <v>27.79</v>
      </c>
      <c r="N116" s="236">
        <f>IFERROR((SUMIFS('Recebimentos do dia '!$H:$H,'Recebimentos do dia '!$C:$C,'Tabela Base'!$B116)+SUMIFS('Estoque Atual'!$G:$G,'Estoque Atual'!$A:$A,'Tabela Base'!$B116))/(SUMIFS('Recebimentos do dia '!$E:$E,'Recebimentos do dia '!$C:$C,'Tabela Base'!$B116)+SUMIFS('Estoque Atual'!$E:$E,'Estoque Atual'!$A:$A,'Tabela Base'!$B116)),0)</f>
        <v>0</v>
      </c>
    </row>
    <row r="117" spans="1:16">
      <c r="A117" s="199"/>
      <c r="B117" s="293">
        <v>12116</v>
      </c>
      <c r="C117" s="294" t="s">
        <v>369</v>
      </c>
      <c r="D117" s="295" t="s">
        <v>332</v>
      </c>
      <c r="E117" s="231">
        <v>46.99</v>
      </c>
      <c r="F117" s="231">
        <v>47.99</v>
      </c>
      <c r="G117" s="306" t="s">
        <v>220</v>
      </c>
      <c r="H117" s="233">
        <f t="shared" si="10"/>
        <v>44</v>
      </c>
      <c r="I117" s="242"/>
      <c r="J117" s="235">
        <f>SUMIFS('Estoque Atual'!$E:$E,'Estoque Atual'!$A:$A,'Tabela Base'!$B117)+SUMIFS('Recebimentos do dia '!$E:$E,'Recebimentos do dia '!$C:$C,'Tabela Base'!$B117)</f>
        <v>44</v>
      </c>
      <c r="K117" s="236">
        <f>IFERROR((SUMIFS('Estoque Atual'!I:I,'Estoque Atual'!A:A,'Tabela Base'!B117)+SUMIFS('Recebimentos do dia '!I:I,'Recebimentos do dia '!C:C,'Tabela Base'!B117))/
(SUMIFS('Estoque Atual'!G:G,'Estoque Atual'!A:A,'Tabela Base'!B117)+SUMIFS('Recebimentos do dia '!H:H,'Recebimentos do dia '!C:C,'Tabela Base'!B117)),0)</f>
        <v>43</v>
      </c>
      <c r="L117" s="237">
        <f t="shared" si="16"/>
        <v>3.990000000000002</v>
      </c>
      <c r="M117" s="237">
        <f t="shared" si="12"/>
        <v>4.990000000000002</v>
      </c>
      <c r="N117" s="236">
        <f>IFERROR((SUMIFS('Recebimentos do dia '!$H:$H,'Recebimentos do dia '!$C:$C,'Tabela Base'!$B117)+SUMIFS('Estoque Atual'!$G:$G,'Estoque Atual'!$A:$A,'Tabela Base'!$B117))/(SUMIFS('Recebimentos do dia '!$E:$E,'Recebimentos do dia '!$C:$C,'Tabela Base'!$B117)+SUMIFS('Estoque Atual'!$E:$E,'Estoque Atual'!$A:$A,'Tabela Base'!$B117)),0)</f>
        <v>12.443159090909091</v>
      </c>
      <c r="P117" s="238"/>
    </row>
    <row r="118" spans="1:16" s="246" customFormat="1" hidden="1">
      <c r="B118" s="303">
        <v>12126</v>
      </c>
      <c r="C118" s="290" t="s">
        <v>147</v>
      </c>
      <c r="D118" s="326" t="s">
        <v>142</v>
      </c>
      <c r="E118" s="231"/>
      <c r="F118" s="231"/>
      <c r="G118" s="304" t="s">
        <v>239</v>
      </c>
      <c r="H118" s="258">
        <f t="shared" si="10"/>
        <v>0</v>
      </c>
      <c r="I118" s="252"/>
      <c r="J118" s="235">
        <f>SUMIFS('Estoque Atual'!$E:$E,'Estoque Atual'!$A:$A,'Tabela Base'!$B118)+SUMIFS('Recebimentos do dia '!$E:$E,'Recebimentos do dia '!$C:$C,'Tabela Base'!$B118)</f>
        <v>0</v>
      </c>
      <c r="K118" s="236">
        <f>IFERROR((SUMIFS('Estoque Atual'!I:I,'Estoque Atual'!A:A,'Tabela Base'!B118)+SUMIFS('Recebimentos do dia '!I:I,'Recebimentos do dia '!C:C,'Tabela Base'!B118))/
(SUMIFS('Estoque Atual'!G:G,'Estoque Atual'!A:A,'Tabela Base'!B118)+SUMIFS('Recebimentos do dia '!H:H,'Recebimentos do dia '!C:C,'Tabela Base'!B118)),0)</f>
        <v>0</v>
      </c>
      <c r="L118" s="237">
        <f t="shared" si="16"/>
        <v>0</v>
      </c>
      <c r="M118" s="237">
        <f t="shared" si="12"/>
        <v>0</v>
      </c>
      <c r="N118" s="236">
        <f>IFERROR((SUMIFS('Recebimentos do dia '!$H:$H,'Recebimentos do dia '!$C:$C,'Tabela Base'!$B118)+SUMIFS('Estoque Atual'!$G:$G,'Estoque Atual'!$A:$A,'Tabela Base'!$B118))/(SUMIFS('Recebimentos do dia '!$E:$E,'Recebimentos do dia '!$C:$C,'Tabela Base'!$B118)+SUMIFS('Estoque Atual'!$E:$E,'Estoque Atual'!$A:$A,'Tabela Base'!$B118)),0)</f>
        <v>0</v>
      </c>
    </row>
    <row r="119" spans="1:16" s="246" customFormat="1" hidden="1">
      <c r="B119" s="310">
        <v>12106</v>
      </c>
      <c r="C119" s="320" t="s">
        <v>285</v>
      </c>
      <c r="D119" s="326" t="s">
        <v>142</v>
      </c>
      <c r="E119" s="231">
        <v>32.590000000000003</v>
      </c>
      <c r="F119" s="231">
        <v>32.590000000000003</v>
      </c>
      <c r="G119" s="304" t="s">
        <v>220</v>
      </c>
      <c r="H119" s="258">
        <f t="shared" si="10"/>
        <v>0</v>
      </c>
      <c r="I119" s="252"/>
      <c r="J119" s="235">
        <f>SUMIFS('Estoque Atual'!$E:$E,'Estoque Atual'!$A:$A,'Tabela Base'!$B119)+SUMIFS('Recebimentos do dia '!$E:$E,'Recebimentos do dia '!$C:$C,'Tabela Base'!$B119)</f>
        <v>0</v>
      </c>
      <c r="K119" s="236">
        <f>IFERROR((SUMIFS('Estoque Atual'!I:I,'Estoque Atual'!A:A,'Tabela Base'!B119)+SUMIFS('Recebimentos do dia '!I:I,'Recebimentos do dia '!C:C,'Tabela Base'!B119))/
(SUMIFS('Estoque Atual'!G:G,'Estoque Atual'!A:A,'Tabela Base'!B119)+SUMIFS('Recebimentos do dia '!H:H,'Recebimentos do dia '!C:C,'Tabela Base'!B119)),0)</f>
        <v>0</v>
      </c>
      <c r="L119" s="237">
        <f t="shared" si="16"/>
        <v>32.590000000000003</v>
      </c>
      <c r="M119" s="237">
        <f t="shared" si="12"/>
        <v>32.590000000000003</v>
      </c>
      <c r="N119" s="236">
        <f>IFERROR((SUMIFS('Recebimentos do dia '!$H:$H,'Recebimentos do dia '!$C:$C,'Tabela Base'!$B119)+SUMIFS('Estoque Atual'!$G:$G,'Estoque Atual'!$A:$A,'Tabela Base'!$B119))/(SUMIFS('Recebimentos do dia '!$E:$E,'Recebimentos do dia '!$C:$C,'Tabela Base'!$B119)+SUMIFS('Estoque Atual'!$E:$E,'Estoque Atual'!$A:$A,'Tabela Base'!$B119)),0)</f>
        <v>0</v>
      </c>
    </row>
    <row r="120" spans="1:16" s="246" customFormat="1" hidden="1">
      <c r="B120" s="303">
        <v>15002</v>
      </c>
      <c r="C120" s="290" t="s">
        <v>170</v>
      </c>
      <c r="D120" s="291" t="s">
        <v>142</v>
      </c>
      <c r="E120" s="231">
        <v>49.9</v>
      </c>
      <c r="F120" s="231">
        <v>49.9</v>
      </c>
      <c r="G120" s="304" t="s">
        <v>220</v>
      </c>
      <c r="H120" s="258">
        <f t="shared" si="10"/>
        <v>0</v>
      </c>
      <c r="I120" s="252"/>
      <c r="J120" s="235">
        <f>SUMIFS('Estoque Atual'!$E:$E,'Estoque Atual'!$A:$A,'Tabela Base'!$B120)+SUMIFS('Recebimentos do dia '!$E:$E,'Recebimentos do dia '!$C:$C,'Tabela Base'!$B120)</f>
        <v>0</v>
      </c>
      <c r="K120" s="236">
        <f>IFERROR((SUMIFS('Estoque Atual'!I:I,'Estoque Atual'!A:A,'Tabela Base'!B120)+SUMIFS('Recebimentos do dia '!I:I,'Recebimentos do dia '!C:C,'Tabela Base'!B120))/
(SUMIFS('Estoque Atual'!G:G,'Estoque Atual'!A:A,'Tabela Base'!B120)+SUMIFS('Recebimentos do dia '!H:H,'Recebimentos do dia '!C:C,'Tabela Base'!B120)),0)</f>
        <v>0</v>
      </c>
      <c r="L120" s="237">
        <f t="shared" si="16"/>
        <v>49.9</v>
      </c>
      <c r="M120" s="237">
        <f t="shared" si="12"/>
        <v>49.9</v>
      </c>
      <c r="N120" s="236">
        <f>IFERROR((SUMIFS('Recebimentos do dia '!$H:$H,'Recebimentos do dia '!$C:$C,'Tabela Base'!$B120)+SUMIFS('Estoque Atual'!$G:$G,'Estoque Atual'!$A:$A,'Tabela Base'!$B120))/(SUMIFS('Recebimentos do dia '!$E:$E,'Recebimentos do dia '!$C:$C,'Tabela Base'!$B120)+SUMIFS('Estoque Atual'!$E:$E,'Estoque Atual'!$A:$A,'Tabela Base'!$B120)),0)</f>
        <v>0</v>
      </c>
    </row>
    <row r="121" spans="1:16" s="246" customFormat="1" hidden="1">
      <c r="B121" s="303">
        <v>12042</v>
      </c>
      <c r="C121" s="290" t="s">
        <v>121</v>
      </c>
      <c r="D121" s="291" t="s">
        <v>142</v>
      </c>
      <c r="E121" s="231">
        <v>38.99</v>
      </c>
      <c r="F121" s="231">
        <v>38.99</v>
      </c>
      <c r="G121" s="304" t="s">
        <v>220</v>
      </c>
      <c r="H121" s="233">
        <f t="shared" si="10"/>
        <v>0</v>
      </c>
      <c r="I121" s="252"/>
      <c r="J121" s="235">
        <f>SUMIFS('Estoque Atual'!$E:$E,'Estoque Atual'!$A:$A,'Tabela Base'!$B121)+SUMIFS('Recebimentos do dia '!$E:$E,'Recebimentos do dia '!$C:$C,'Tabela Base'!$B121)</f>
        <v>0</v>
      </c>
      <c r="K121" s="236">
        <f>IFERROR((SUMIFS('Estoque Atual'!I:I,'Estoque Atual'!A:A,'Tabela Base'!B121)+SUMIFS('Recebimentos do dia '!I:I,'Recebimentos do dia '!C:C,'Tabela Base'!B121))/
(SUMIFS('Estoque Atual'!G:G,'Estoque Atual'!A:A,'Tabela Base'!B121)+SUMIFS('Recebimentos do dia '!H:H,'Recebimentos do dia '!C:C,'Tabela Base'!B121)),0)</f>
        <v>0</v>
      </c>
      <c r="L121" s="237">
        <f t="shared" si="16"/>
        <v>38.99</v>
      </c>
      <c r="M121" s="237">
        <f t="shared" si="12"/>
        <v>38.99</v>
      </c>
      <c r="N121" s="236">
        <f>IFERROR((SUMIFS('Recebimentos do dia '!$H:$H,'Recebimentos do dia '!$C:$C,'Tabela Base'!$B121)+SUMIFS('Estoque Atual'!$G:$G,'Estoque Atual'!$A:$A,'Tabela Base'!$B121))/(SUMIFS('Recebimentos do dia '!$E:$E,'Recebimentos do dia '!$C:$C,'Tabela Base'!$B121)+SUMIFS('Estoque Atual'!$E:$E,'Estoque Atual'!$A:$A,'Tabela Base'!$B121)),0)</f>
        <v>0</v>
      </c>
    </row>
    <row r="122" spans="1:16" s="246" customFormat="1" hidden="1">
      <c r="B122" s="303">
        <v>12157</v>
      </c>
      <c r="C122" s="290" t="s">
        <v>121</v>
      </c>
      <c r="D122" s="291" t="s">
        <v>140</v>
      </c>
      <c r="E122" s="231"/>
      <c r="F122" s="231"/>
      <c r="G122" s="296" t="s">
        <v>234</v>
      </c>
      <c r="H122" s="258">
        <f t="shared" si="10"/>
        <v>0</v>
      </c>
      <c r="I122" s="252"/>
      <c r="J122" s="235">
        <f>SUMIFS('Estoque Atual'!$E:$E,'Estoque Atual'!$A:$A,'Tabela Base'!$B122)+SUMIFS('Recebimentos do dia '!$E:$E,'Recebimentos do dia '!$C:$C,'Tabela Base'!$B122)</f>
        <v>0</v>
      </c>
      <c r="K122" s="236">
        <f>IFERROR((SUMIFS('Estoque Atual'!I:I,'Estoque Atual'!A:A,'Tabela Base'!B122)+SUMIFS('Recebimentos do dia '!I:I,'Recebimentos do dia '!C:C,'Tabela Base'!B122))/
(SUMIFS('Estoque Atual'!G:G,'Estoque Atual'!A:A,'Tabela Base'!B122)+SUMIFS('Recebimentos do dia '!H:H,'Recebimentos do dia '!C:C,'Tabela Base'!B122)),0)</f>
        <v>0</v>
      </c>
      <c r="L122" s="237">
        <f t="shared" si="16"/>
        <v>0</v>
      </c>
      <c r="M122" s="237">
        <f t="shared" si="12"/>
        <v>0</v>
      </c>
      <c r="N122" s="236">
        <f>IFERROR((SUMIFS('Recebimentos do dia '!$H:$H,'Recebimentos do dia '!$C:$C,'Tabela Base'!$B122)+SUMIFS('Estoque Atual'!$G:$G,'Estoque Atual'!$A:$A,'Tabela Base'!$B122))/(SUMIFS('Recebimentos do dia '!$E:$E,'Recebimentos do dia '!$C:$C,'Tabela Base'!$B122)+SUMIFS('Estoque Atual'!$E:$E,'Estoque Atual'!$A:$A,'Tabela Base'!$B122)),0)</f>
        <v>0</v>
      </c>
    </row>
    <row r="123" spans="1:16">
      <c r="A123" s="199"/>
      <c r="B123" s="293">
        <v>12137</v>
      </c>
      <c r="C123" s="294" t="s">
        <v>370</v>
      </c>
      <c r="D123" s="255" t="s">
        <v>332</v>
      </c>
      <c r="E123" s="231">
        <v>69.989999999999995</v>
      </c>
      <c r="F123" s="231">
        <v>72.989999999999995</v>
      </c>
      <c r="G123" s="305" t="s">
        <v>220</v>
      </c>
      <c r="H123" s="233">
        <f t="shared" si="10"/>
        <v>12</v>
      </c>
      <c r="I123" s="242"/>
      <c r="J123" s="235">
        <f>SUMIFS('Estoque Atual'!$E:$E,'Estoque Atual'!$A:$A,'Tabela Base'!$B123)+SUMIFS('Recebimentos do dia '!$E:$E,'Recebimentos do dia '!$C:$C,'Tabela Base'!$B123)</f>
        <v>12</v>
      </c>
      <c r="K123" s="236">
        <f>IFERROR((SUMIFS('Estoque Atual'!I:I,'Estoque Atual'!A:A,'Tabela Base'!B123)+SUMIFS('Recebimentos do dia '!I:I,'Recebimentos do dia '!C:C,'Tabela Base'!B123))/
(SUMIFS('Estoque Atual'!G:G,'Estoque Atual'!A:A,'Tabela Base'!B123)+SUMIFS('Recebimentos do dia '!H:H,'Recebimentos do dia '!C:C,'Tabela Base'!B123)),0)</f>
        <v>60</v>
      </c>
      <c r="L123" s="237">
        <f t="shared" si="16"/>
        <v>9.9899999999999949</v>
      </c>
      <c r="M123" s="237">
        <f t="shared" si="12"/>
        <v>12.989999999999995</v>
      </c>
      <c r="N123" s="236">
        <f>IFERROR((SUMIFS('Recebimentos do dia '!$H:$H,'Recebimentos do dia '!$C:$C,'Tabela Base'!$B123)+SUMIFS('Estoque Atual'!$G:$G,'Estoque Atual'!$A:$A,'Tabela Base'!$B123))/(SUMIFS('Recebimentos do dia '!$E:$E,'Recebimentos do dia '!$C:$C,'Tabela Base'!$B123)+SUMIFS('Estoque Atual'!$E:$E,'Estoque Atual'!$A:$A,'Tabela Base'!$B123)),0)</f>
        <v>11.587999999999999</v>
      </c>
      <c r="P123" s="238"/>
    </row>
    <row r="124" spans="1:16" hidden="1">
      <c r="A124" s="199"/>
      <c r="B124" s="297">
        <v>12335</v>
      </c>
      <c r="C124" s="298" t="s">
        <v>337</v>
      </c>
      <c r="D124" s="255" t="s">
        <v>332</v>
      </c>
      <c r="E124" s="231">
        <v>32.99</v>
      </c>
      <c r="F124" s="231">
        <v>32.99</v>
      </c>
      <c r="G124" s="305" t="s">
        <v>220</v>
      </c>
      <c r="H124" s="233">
        <f t="shared" ref="H124" si="17">J124</f>
        <v>0</v>
      </c>
      <c r="I124" s="242"/>
      <c r="J124" s="235">
        <f>SUMIFS('Estoque Atual'!$E:$E,'Estoque Atual'!$A:$A,'Tabela Base'!$B124)+SUMIFS('Recebimentos do dia '!$E:$E,'Recebimentos do dia '!$C:$C,'Tabela Base'!$B124)</f>
        <v>0</v>
      </c>
      <c r="K124" s="236">
        <v>30</v>
      </c>
      <c r="L124" s="237">
        <f t="shared" ref="L124" si="18">E124-K124</f>
        <v>2.990000000000002</v>
      </c>
      <c r="M124" s="237">
        <f t="shared" si="12"/>
        <v>2.990000000000002</v>
      </c>
      <c r="N124" s="236">
        <f>IFERROR((SUMIFS('Recebimentos do dia '!$H:$H,'Recebimentos do dia '!$C:$C,'Tabela Base'!$B124)+SUMIFS('Estoque Atual'!$G:$G,'Estoque Atual'!$A:$A,'Tabela Base'!$B124))/(SUMIFS('Recebimentos do dia '!$E:$E,'Recebimentos do dia '!$C:$C,'Tabela Base'!$B124)+SUMIFS('Estoque Atual'!$E:$E,'Estoque Atual'!$A:$A,'Tabela Base'!$B124)),0)</f>
        <v>0</v>
      </c>
      <c r="P124" s="238"/>
    </row>
    <row r="125" spans="1:16" s="246" customFormat="1" hidden="1">
      <c r="B125" s="303">
        <v>15012</v>
      </c>
      <c r="C125" s="290" t="s">
        <v>171</v>
      </c>
      <c r="D125" s="291" t="s">
        <v>142</v>
      </c>
      <c r="E125" s="231">
        <v>54.9</v>
      </c>
      <c r="F125" s="231">
        <v>54.9</v>
      </c>
      <c r="G125" s="304" t="s">
        <v>220</v>
      </c>
      <c r="H125" s="258">
        <f t="shared" si="10"/>
        <v>0</v>
      </c>
      <c r="I125" s="252"/>
      <c r="J125" s="235">
        <f>SUMIFS('Estoque Atual'!$E:$E,'Estoque Atual'!$A:$A,'Tabela Base'!$B125)+SUMIFS('Recebimentos do dia '!$E:$E,'Recebimentos do dia '!$C:$C,'Tabela Base'!$B125)</f>
        <v>0</v>
      </c>
      <c r="K125" s="236">
        <f>IFERROR((SUMIFS('Estoque Atual'!I:I,'Estoque Atual'!A:A,'Tabela Base'!B125)+SUMIFS('Recebimentos do dia '!I:I,'Recebimentos do dia '!C:C,'Tabela Base'!B125))/
(SUMIFS('Estoque Atual'!G:G,'Estoque Atual'!A:A,'Tabela Base'!B125)+SUMIFS('Recebimentos do dia '!H:H,'Recebimentos do dia '!C:C,'Tabela Base'!B125)),0)</f>
        <v>0</v>
      </c>
      <c r="L125" s="237">
        <f t="shared" si="16"/>
        <v>54.9</v>
      </c>
      <c r="M125" s="237">
        <f t="shared" si="12"/>
        <v>54.9</v>
      </c>
      <c r="N125" s="236">
        <f>IFERROR((SUMIFS('Recebimentos do dia '!$H:$H,'Recebimentos do dia '!$C:$C,'Tabela Base'!$B125)+SUMIFS('Estoque Atual'!$G:$G,'Estoque Atual'!$A:$A,'Tabela Base'!$B125))/(SUMIFS('Recebimentos do dia '!$E:$E,'Recebimentos do dia '!$C:$C,'Tabela Base'!$B125)+SUMIFS('Estoque Atual'!$E:$E,'Estoque Atual'!$A:$A,'Tabela Base'!$B125)),0)</f>
        <v>0</v>
      </c>
    </row>
    <row r="126" spans="1:16" s="246" customFormat="1" hidden="1">
      <c r="B126" s="314">
        <v>12301</v>
      </c>
      <c r="C126" s="315" t="s">
        <v>162</v>
      </c>
      <c r="D126" s="317" t="s">
        <v>139</v>
      </c>
      <c r="E126" s="231"/>
      <c r="F126" s="231"/>
      <c r="G126" s="318" t="s">
        <v>236</v>
      </c>
      <c r="H126" s="258">
        <f t="shared" si="10"/>
        <v>0</v>
      </c>
      <c r="J126" s="235">
        <f>SUMIFS('Estoque Atual'!$E:$E,'Estoque Atual'!$A:$A,'Tabela Base'!$B126)+SUMIFS('Recebimentos do dia '!$E:$E,'Recebimentos do dia '!$C:$C,'Tabela Base'!$B126)</f>
        <v>0</v>
      </c>
      <c r="K126" s="236">
        <f>IFERROR((SUMIFS('Estoque Atual'!I:I,'Estoque Atual'!A:A,'Tabela Base'!B126)+SUMIFS('Recebimentos do dia '!I:I,'Recebimentos do dia '!C:C,'Tabela Base'!B126))/
(SUMIFS('Estoque Atual'!G:G,'Estoque Atual'!A:A,'Tabela Base'!B126)+SUMIFS('Recebimentos do dia '!H:H,'Recebimentos do dia '!C:C,'Tabela Base'!B126)),0)</f>
        <v>0</v>
      </c>
      <c r="L126" s="237">
        <f t="shared" si="16"/>
        <v>0</v>
      </c>
      <c r="M126" s="237">
        <f t="shared" si="12"/>
        <v>0</v>
      </c>
      <c r="N126" s="236">
        <f>IFERROR((SUMIFS('Recebimentos do dia '!$H:$H,'Recebimentos do dia '!$C:$C,'Tabela Base'!$B126)+SUMIFS('Estoque Atual'!$G:$G,'Estoque Atual'!$A:$A,'Tabela Base'!$B126))/(SUMIFS('Recebimentos do dia '!$E:$E,'Recebimentos do dia '!$C:$C,'Tabela Base'!$B126)+SUMIFS('Estoque Atual'!$E:$E,'Estoque Atual'!$A:$A,'Tabela Base'!$B126)),0)</f>
        <v>0</v>
      </c>
    </row>
    <row r="127" spans="1:16" s="246" customFormat="1" hidden="1">
      <c r="B127" s="314">
        <v>12002</v>
      </c>
      <c r="C127" s="315" t="s">
        <v>138</v>
      </c>
      <c r="D127" s="317" t="s">
        <v>139</v>
      </c>
      <c r="E127" s="231"/>
      <c r="F127" s="231"/>
      <c r="G127" s="318" t="s">
        <v>236</v>
      </c>
      <c r="H127" s="258">
        <f t="shared" si="10"/>
        <v>0</v>
      </c>
      <c r="J127" s="235">
        <f>SUMIFS('Estoque Atual'!$E:$E,'Estoque Atual'!$A:$A,'Tabela Base'!$B127)+SUMIFS('Recebimentos do dia '!$E:$E,'Recebimentos do dia '!$C:$C,'Tabela Base'!$B127)</f>
        <v>0</v>
      </c>
      <c r="K127" s="236">
        <f>IFERROR((SUMIFS('Estoque Atual'!I:I,'Estoque Atual'!A:A,'Tabela Base'!B127)+SUMIFS('Recebimentos do dia '!I:I,'Recebimentos do dia '!C:C,'Tabela Base'!B127))/
(SUMIFS('Estoque Atual'!G:G,'Estoque Atual'!A:A,'Tabela Base'!B127)+SUMIFS('Recebimentos do dia '!H:H,'Recebimentos do dia '!C:C,'Tabela Base'!B127)),0)</f>
        <v>0</v>
      </c>
      <c r="L127" s="237">
        <f t="shared" si="16"/>
        <v>0</v>
      </c>
      <c r="M127" s="237">
        <f t="shared" si="12"/>
        <v>0</v>
      </c>
      <c r="N127" s="236">
        <f>IFERROR((SUMIFS('Recebimentos do dia '!$H:$H,'Recebimentos do dia '!$C:$C,'Tabela Base'!$B127)+SUMIFS('Estoque Atual'!$G:$G,'Estoque Atual'!$A:$A,'Tabela Base'!$B127))/(SUMIFS('Recebimentos do dia '!$E:$E,'Recebimentos do dia '!$C:$C,'Tabela Base'!$B127)+SUMIFS('Estoque Atual'!$E:$E,'Estoque Atual'!$A:$A,'Tabela Base'!$B127)),0)</f>
        <v>0</v>
      </c>
    </row>
    <row r="128" spans="1:16">
      <c r="A128" s="199"/>
      <c r="B128" s="328"/>
      <c r="C128" s="329"/>
      <c r="D128" s="330"/>
      <c r="E128" s="331"/>
      <c r="F128" s="331"/>
      <c r="G128" s="332"/>
      <c r="H128" s="333"/>
      <c r="I128" s="242"/>
      <c r="J128" s="215"/>
      <c r="K128" s="334"/>
      <c r="L128" s="335"/>
      <c r="M128" s="335"/>
      <c r="N128" s="334"/>
      <c r="P128" s="238"/>
    </row>
    <row r="129" spans="1:18" s="224" customFormat="1" ht="23.25">
      <c r="A129" s="218"/>
      <c r="B129" s="225"/>
      <c r="C129" s="225"/>
      <c r="D129" s="336" t="s">
        <v>287</v>
      </c>
      <c r="E129" s="337"/>
      <c r="F129" s="337"/>
      <c r="G129" s="338"/>
      <c r="H129" s="339"/>
      <c r="J129" s="225"/>
      <c r="K129" s="226"/>
      <c r="L129" s="340"/>
      <c r="M129" s="340"/>
      <c r="N129" s="226"/>
      <c r="P129" s="238"/>
      <c r="R129" s="199"/>
    </row>
    <row r="130" spans="1:18" s="246" customFormat="1" hidden="1">
      <c r="B130" s="247">
        <v>12306</v>
      </c>
      <c r="C130" s="248" t="s">
        <v>371</v>
      </c>
      <c r="D130" s="249" t="s">
        <v>303</v>
      </c>
      <c r="E130" s="231">
        <v>49.99</v>
      </c>
      <c r="F130" s="231">
        <v>50.99</v>
      </c>
      <c r="G130" s="250" t="s">
        <v>220</v>
      </c>
      <c r="H130" s="233">
        <f t="shared" ref="H130:H135" si="19">J130</f>
        <v>0</v>
      </c>
      <c r="I130" s="252"/>
      <c r="J130" s="235">
        <f>SUMIFS('Estoque Atual'!$E:$E,'Estoque Atual'!$A:$A,'Tabela Base'!$B130)+SUMIFS('Recebimentos do dia '!$E:$E,'Recebimentos do dia '!$C:$C,'Tabela Base'!$B130)</f>
        <v>0</v>
      </c>
      <c r="K130" s="236">
        <f>IFERROR((SUMIFS('Estoque Atual'!I:I,'Estoque Atual'!A:A,'Tabela Base'!B130)+SUMIFS('Recebimentos do dia '!I:I,'Recebimentos do dia '!C:C,'Tabela Base'!B130))/
(SUMIFS('Estoque Atual'!G:G,'Estoque Atual'!A:A,'Tabela Base'!B130)+SUMIFS('Recebimentos do dia '!H:H,'Recebimentos do dia '!C:C,'Tabela Base'!B130)),0)</f>
        <v>0</v>
      </c>
      <c r="L130" s="237">
        <f t="shared" ref="L130:L135" si="20">E130-K130</f>
        <v>49.99</v>
      </c>
      <c r="M130" s="237">
        <f t="shared" ref="M130:M136" si="21">F130-K130</f>
        <v>50.99</v>
      </c>
      <c r="N130" s="236">
        <f>IFERROR((SUMIFS('Recebimentos do dia '!$H:$H,'Recebimentos do dia '!$C:$C,'Tabela Base'!$B130)+SUMIFS('Estoque Atual'!$G:$G,'Estoque Atual'!$A:$A,'Tabela Base'!$B130))/(SUMIFS('Recebimentos do dia '!$E:$E,'Recebimentos do dia '!$C:$C,'Tabela Base'!$B130)+SUMIFS('Estoque Atual'!$E:$E,'Estoque Atual'!$A:$A,'Tabela Base'!$B130)),0)</f>
        <v>0</v>
      </c>
    </row>
    <row r="131" spans="1:18" s="246" customFormat="1" hidden="1">
      <c r="B131" s="281">
        <v>12310</v>
      </c>
      <c r="C131" s="248" t="s">
        <v>372</v>
      </c>
      <c r="D131" s="249" t="s">
        <v>5</v>
      </c>
      <c r="E131" s="231">
        <v>67.989999999999995</v>
      </c>
      <c r="F131" s="231">
        <v>67.989999999999995</v>
      </c>
      <c r="G131" s="250" t="s">
        <v>220</v>
      </c>
      <c r="H131" s="258">
        <f t="shared" si="19"/>
        <v>0</v>
      </c>
      <c r="I131" s="242"/>
      <c r="J131" s="235">
        <f>SUMIFS('Estoque Atual'!$E:$E,'Estoque Atual'!$A:$A,'Tabela Base'!$B131)+SUMIFS('Recebimentos do dia '!$E:$E,'Recebimentos do dia '!$C:$C,'Tabela Base'!$B131)</f>
        <v>0</v>
      </c>
      <c r="K131" s="236">
        <f>IFERROR((SUMIFS('Estoque Atual'!I:I,'Estoque Atual'!A:A,'Tabela Base'!B131)+SUMIFS('Recebimentos do dia '!I:I,'Recebimentos do dia '!C:C,'Tabela Base'!B131))/
(SUMIFS('Estoque Atual'!G:G,'Estoque Atual'!A:A,'Tabela Base'!B131)+SUMIFS('Recebimentos do dia '!H:H,'Recebimentos do dia '!C:C,'Tabela Base'!B131)),0)</f>
        <v>0</v>
      </c>
      <c r="L131" s="237">
        <f>E131-K131</f>
        <v>67.989999999999995</v>
      </c>
      <c r="M131" s="237">
        <f t="shared" si="21"/>
        <v>67.989999999999995</v>
      </c>
      <c r="N131" s="236">
        <f>IFERROR((SUMIFS('Recebimentos do dia '!$H:$H,'Recebimentos do dia '!$C:$C,'Tabela Base'!$B131)+SUMIFS('Estoque Atual'!$G:$G,'Estoque Atual'!$A:$A,'Tabela Base'!$B131))/(SUMIFS('Recebimentos do dia '!$E:$E,'Recebimentos do dia '!$C:$C,'Tabela Base'!$B131)+SUMIFS('Estoque Atual'!$E:$E,'Estoque Atual'!$A:$A,'Tabela Base'!$B131)),0)</f>
        <v>0</v>
      </c>
      <c r="O131" s="428"/>
    </row>
    <row r="132" spans="1:18" s="246" customFormat="1" hidden="1">
      <c r="B132" s="277">
        <v>12307</v>
      </c>
      <c r="C132" s="270" t="s">
        <v>373</v>
      </c>
      <c r="D132" s="249" t="s">
        <v>119</v>
      </c>
      <c r="E132" s="231">
        <v>49.99</v>
      </c>
      <c r="F132" s="231">
        <v>50.99</v>
      </c>
      <c r="G132" s="250" t="s">
        <v>220</v>
      </c>
      <c r="H132" s="258">
        <f t="shared" si="19"/>
        <v>0</v>
      </c>
      <c r="I132" s="252"/>
      <c r="J132" s="235">
        <f>SUMIFS('Estoque Atual'!$E:$E,'Estoque Atual'!$A:$A,'Tabela Base'!$B132)+SUMIFS('Recebimentos do dia '!$E:$E,'Recebimentos do dia '!$C:$C,'Tabela Base'!$B132)</f>
        <v>0</v>
      </c>
      <c r="K132" s="236">
        <f>IFERROR((SUMIFS('Estoque Atual'!I:I,'Estoque Atual'!A:A,'Tabela Base'!B132)+SUMIFS('Recebimentos do dia '!I:I,'Recebimentos do dia '!C:C,'Tabela Base'!B132))/
(SUMIFS('Estoque Atual'!G:G,'Estoque Atual'!A:A,'Tabela Base'!B132)+SUMIFS('Recebimentos do dia '!H:H,'Recebimentos do dia '!C:C,'Tabela Base'!B132)),0)</f>
        <v>0</v>
      </c>
      <c r="L132" s="237">
        <f t="shared" si="20"/>
        <v>49.99</v>
      </c>
      <c r="M132" s="237">
        <f t="shared" si="21"/>
        <v>50.99</v>
      </c>
      <c r="N132" s="236">
        <f>IFERROR((SUMIFS('Recebimentos do dia '!$H:$H,'Recebimentos do dia '!$C:$C,'Tabela Base'!$B132)+SUMIFS('Estoque Atual'!$G:$G,'Estoque Atual'!$A:$A,'Tabela Base'!$B132))/(SUMIFS('Recebimentos do dia '!$E:$E,'Recebimentos do dia '!$C:$C,'Tabela Base'!$B132)+SUMIFS('Estoque Atual'!$E:$E,'Estoque Atual'!$A:$A,'Tabela Base'!$B132)),0)</f>
        <v>0</v>
      </c>
    </row>
    <row r="133" spans="1:18" s="246" customFormat="1" hidden="1">
      <c r="B133" s="247">
        <v>12319</v>
      </c>
      <c r="C133" s="248" t="s">
        <v>374</v>
      </c>
      <c r="D133" s="287" t="s">
        <v>139</v>
      </c>
      <c r="E133" s="231">
        <v>36.99</v>
      </c>
      <c r="F133" s="231">
        <v>36.99</v>
      </c>
      <c r="G133" s="250" t="s">
        <v>220</v>
      </c>
      <c r="H133" s="258">
        <f t="shared" si="19"/>
        <v>0</v>
      </c>
      <c r="J133" s="235">
        <f>SUMIFS('Estoque Atual'!$E:$E,'Estoque Atual'!$A:$A,'Tabela Base'!$B133)+SUMIFS('Recebimentos do dia '!$E:$E,'Recebimentos do dia '!$C:$C,'Tabela Base'!$B133)</f>
        <v>0</v>
      </c>
      <c r="K133" s="236">
        <f>IFERROR((SUMIFS('Estoque Atual'!I:I,'Estoque Atual'!A:A,'Tabela Base'!B133)+SUMIFS('Recebimentos do dia '!I:I,'Recebimentos do dia '!C:C,'Tabela Base'!B133))/
(SUMIFS('Estoque Atual'!G:G,'Estoque Atual'!A:A,'Tabela Base'!B133)+SUMIFS('Recebimentos do dia '!H:H,'Recebimentos do dia '!C:C,'Tabela Base'!B133)),0)</f>
        <v>0</v>
      </c>
      <c r="L133" s="237">
        <f t="shared" si="20"/>
        <v>36.99</v>
      </c>
      <c r="M133" s="237">
        <f t="shared" si="21"/>
        <v>36.99</v>
      </c>
      <c r="N133" s="236">
        <f>IFERROR((SUMIFS('Recebimentos do dia '!$H:$H,'Recebimentos do dia '!$C:$C,'Tabela Base'!$B133)+SUMIFS('Estoque Atual'!$G:$G,'Estoque Atual'!$A:$A,'Tabela Base'!$B133))/(SUMIFS('Recebimentos do dia '!$E:$E,'Recebimentos do dia '!$C:$C,'Tabela Base'!$B133)+SUMIFS('Estoque Atual'!$E:$E,'Estoque Atual'!$A:$A,'Tabela Base'!$B133)),0)</f>
        <v>0</v>
      </c>
    </row>
    <row r="134" spans="1:18" hidden="1">
      <c r="A134" s="199"/>
      <c r="B134" s="277">
        <v>12309</v>
      </c>
      <c r="C134" s="270" t="s">
        <v>375</v>
      </c>
      <c r="D134" s="341" t="s">
        <v>142</v>
      </c>
      <c r="E134" s="231">
        <v>40.99</v>
      </c>
      <c r="F134" s="231">
        <v>41.99</v>
      </c>
      <c r="G134" s="342" t="s">
        <v>220</v>
      </c>
      <c r="H134" s="233">
        <f t="shared" si="19"/>
        <v>0</v>
      </c>
      <c r="I134" s="242"/>
      <c r="J134" s="235">
        <f>SUMIFS('Estoque Atual'!$E:$E,'Estoque Atual'!$A:$A,'Tabela Base'!$B134)+SUMIFS('Recebimentos do dia '!$E:$E,'Recebimentos do dia '!$C:$C,'Tabela Base'!$B134)</f>
        <v>0</v>
      </c>
      <c r="K134" s="236">
        <f>IFERROR((SUMIFS('Estoque Atual'!I:I,'Estoque Atual'!A:A,'Tabela Base'!B134)+SUMIFS('Recebimentos do dia '!I:I,'Recebimentos do dia '!C:C,'Tabela Base'!B134))/
(SUMIFS('Estoque Atual'!G:G,'Estoque Atual'!A:A,'Tabela Base'!B134)+SUMIFS('Recebimentos do dia '!H:H,'Recebimentos do dia '!C:C,'Tabela Base'!B134)),0)</f>
        <v>0</v>
      </c>
      <c r="L134" s="237">
        <f t="shared" si="20"/>
        <v>40.99</v>
      </c>
      <c r="M134" s="237">
        <f t="shared" si="21"/>
        <v>41.99</v>
      </c>
      <c r="N134" s="236">
        <f>IFERROR((SUMIFS('Recebimentos do dia '!$H:$H,'Recebimentos do dia '!$C:$C,'Tabela Base'!$B134)+SUMIFS('Estoque Atual'!$G:$G,'Estoque Atual'!$A:$A,'Tabela Base'!$B134))/(SUMIFS('Recebimentos do dia '!$E:$E,'Recebimentos do dia '!$C:$C,'Tabela Base'!$B134)+SUMIFS('Estoque Atual'!$E:$E,'Estoque Atual'!$A:$A,'Tabela Base'!$B134)),0)</f>
        <v>0</v>
      </c>
    </row>
    <row r="135" spans="1:18" s="246" customFormat="1" hidden="1">
      <c r="B135" s="247">
        <v>12259</v>
      </c>
      <c r="C135" s="248" t="s">
        <v>182</v>
      </c>
      <c r="D135" s="341" t="s">
        <v>142</v>
      </c>
      <c r="E135" s="231">
        <v>91</v>
      </c>
      <c r="F135" s="231">
        <v>91</v>
      </c>
      <c r="G135" s="342" t="s">
        <v>220</v>
      </c>
      <c r="H135" s="258">
        <f t="shared" si="19"/>
        <v>0</v>
      </c>
      <c r="I135" s="252"/>
      <c r="J135" s="235">
        <f>SUMIFS('Estoque Atual'!$E:$E,'Estoque Atual'!$A:$A,'Tabela Base'!$B135)+SUMIFS('Recebimentos do dia '!$E:$E,'Recebimentos do dia '!$C:$C,'Tabela Base'!$B135)</f>
        <v>0</v>
      </c>
      <c r="K135" s="236">
        <f>IFERROR((SUMIFS('Estoque Atual'!I:I,'Estoque Atual'!A:A,'Tabela Base'!B135)+SUMIFS('Recebimentos do dia '!I:I,'Recebimentos do dia '!C:C,'Tabela Base'!B135))/
(SUMIFS('Estoque Atual'!G:G,'Estoque Atual'!A:A,'Tabela Base'!B135)+SUMIFS('Recebimentos do dia '!H:H,'Recebimentos do dia '!C:C,'Tabela Base'!B135)),0)</f>
        <v>0</v>
      </c>
      <c r="L135" s="237">
        <f t="shared" si="20"/>
        <v>91</v>
      </c>
      <c r="M135" s="237">
        <f t="shared" si="21"/>
        <v>91</v>
      </c>
      <c r="N135" s="236">
        <f>IFERROR((SUMIFS('Recebimentos do dia '!$H:$H,'Recebimentos do dia '!$C:$C,'Tabela Base'!$B135)+SUMIFS('Estoque Atual'!$G:$G,'Estoque Atual'!$A:$A,'Tabela Base'!$B135))/(SUMIFS('Recebimentos do dia '!$E:$E,'Recebimentos do dia '!$C:$C,'Tabela Base'!$B135)+SUMIFS('Estoque Atual'!$E:$E,'Estoque Atual'!$A:$A,'Tabela Base'!$B135)),0)</f>
        <v>0</v>
      </c>
    </row>
    <row r="136" spans="1:18" s="246" customFormat="1">
      <c r="B136" s="239">
        <v>12308</v>
      </c>
      <c r="C136" s="240" t="s">
        <v>376</v>
      </c>
      <c r="D136" s="276" t="s">
        <v>142</v>
      </c>
      <c r="E136" s="231">
        <v>71.989999999999995</v>
      </c>
      <c r="F136" s="231">
        <v>74.989999999999995</v>
      </c>
      <c r="G136" s="256" t="s">
        <v>220</v>
      </c>
      <c r="H136" s="233">
        <f>J136</f>
        <v>53</v>
      </c>
      <c r="I136" s="242"/>
      <c r="J136" s="235">
        <f>SUMIFS('Estoque Atual'!$E:$E,'Estoque Atual'!$A:$A,'Tabela Base'!$B136)+SUMIFS('Recebimentos do dia '!$E:$E,'Recebimentos do dia '!$C:$C,'Tabela Base'!$B136)</f>
        <v>53</v>
      </c>
      <c r="K136" s="236">
        <f>IFERROR((SUMIFS('Estoque Atual'!I:I,'Estoque Atual'!A:A,'Tabela Base'!B136)+SUMIFS('Recebimentos do dia '!I:I,'Recebimentos do dia '!C:C,'Tabela Base'!B136))/
(SUMIFS('Estoque Atual'!G:G,'Estoque Atual'!A:A,'Tabela Base'!B136)+SUMIFS('Recebimentos do dia '!H:H,'Recebimentos do dia '!C:C,'Tabela Base'!B136)),0)</f>
        <v>65.010000000000005</v>
      </c>
      <c r="L136" s="237">
        <f>E136-K136</f>
        <v>6.9799999999999898</v>
      </c>
      <c r="M136" s="237">
        <f t="shared" si="21"/>
        <v>9.9799999999999898</v>
      </c>
      <c r="N136" s="236">
        <f>IFERROR((SUMIFS('Recebimentos do dia '!$H:$H,'Recebimentos do dia '!$C:$C,'Tabela Base'!$B136)+SUMIFS('Estoque Atual'!$G:$G,'Estoque Atual'!$A:$A,'Tabela Base'!$B136))/(SUMIFS('Recebimentos do dia '!$E:$E,'Recebimentos do dia '!$C:$C,'Tabela Base'!$B136)+SUMIFS('Estoque Atual'!$E:$E,'Estoque Atual'!$A:$A,'Tabela Base'!$B136)),0)</f>
        <v>10.976999999999999</v>
      </c>
    </row>
    <row r="137" spans="1:18">
      <c r="A137" s="199"/>
      <c r="B137" s="343"/>
      <c r="C137" s="344"/>
      <c r="D137" s="345"/>
      <c r="E137" s="346"/>
      <c r="F137" s="346"/>
      <c r="G137" s="245"/>
      <c r="H137" s="347"/>
      <c r="I137" s="242"/>
      <c r="J137" s="215"/>
      <c r="K137" s="334"/>
      <c r="L137" s="348"/>
      <c r="M137" s="348"/>
      <c r="N137" s="334"/>
      <c r="P137" s="238"/>
    </row>
    <row r="138" spans="1:18" s="224" customFormat="1" ht="23.25" hidden="1">
      <c r="A138" s="218"/>
      <c r="B138" s="225"/>
      <c r="C138" s="225"/>
      <c r="D138" s="336" t="s">
        <v>126</v>
      </c>
      <c r="E138" s="349"/>
      <c r="F138" s="349"/>
      <c r="G138" s="338"/>
      <c r="H138" s="225">
        <v>0</v>
      </c>
      <c r="J138" s="225">
        <f>SUMIFS('Estoque Atual'!E:E,'Estoque Atual'!A:A,'Tabela Base'!B138)+SUMIFS('Recebimentos do dia '!E:E,'Recebimentos do dia '!C:C,'Tabela Base'!B138)</f>
        <v>0</v>
      </c>
      <c r="K138" s="226"/>
      <c r="L138" s="340"/>
      <c r="M138" s="340"/>
      <c r="N138" s="226"/>
    </row>
    <row r="139" spans="1:18" s="246" customFormat="1" hidden="1">
      <c r="B139" s="350">
        <v>24189</v>
      </c>
      <c r="C139" s="351" t="s">
        <v>129</v>
      </c>
      <c r="D139" s="249" t="s">
        <v>94</v>
      </c>
      <c r="E139" s="231"/>
      <c r="F139" s="231"/>
      <c r="G139" s="342" t="s">
        <v>220</v>
      </c>
      <c r="H139" s="258">
        <f t="shared" ref="H139:H142" si="22">J139</f>
        <v>0</v>
      </c>
      <c r="I139" s="252"/>
      <c r="J139" s="235">
        <f>SUMIFS('Estoque Atual'!$E:$E,'Estoque Atual'!$A:$A,'Tabela Base'!$B139)+SUMIFS('Recebimentos do dia '!$E:$E,'Recebimentos do dia '!$C:$C,'Tabela Base'!$B139)</f>
        <v>0</v>
      </c>
      <c r="K139" s="236">
        <f>IFERROR((SUMIFS('Estoque Atual'!I:I,'Estoque Atual'!A:A,'Tabela Base'!B139)+SUMIFS('Recebimentos do dia '!I:I,'Recebimentos do dia '!C:C,'Tabela Base'!B139))/
(SUMIFS('Estoque Atual'!G:G,'Estoque Atual'!A:A,'Tabela Base'!B139)+SUMIFS('Recebimentos do dia '!H:H,'Recebimentos do dia '!C:C,'Tabela Base'!B139)),0)</f>
        <v>0</v>
      </c>
      <c r="L139" s="237">
        <f>E139-K139</f>
        <v>0</v>
      </c>
      <c r="M139" s="237">
        <f t="shared" ref="M139:M142" si="23">F139-K139</f>
        <v>0</v>
      </c>
      <c r="N139" s="236">
        <f>IFERROR((SUMIFS('Recebimentos do dia '!$H:$H,'Recebimentos do dia '!$C:$C,'Tabela Base'!$B139)+SUMIFS('Estoque Atual'!$G:$G,'Estoque Atual'!$A:$A,'Tabela Base'!$B139))/(SUMIFS('Recebimentos do dia '!$E:$E,'Recebimentos do dia '!$C:$C,'Tabela Base'!$B139)+SUMIFS('Estoque Atual'!$E:$E,'Estoque Atual'!$A:$A,'Tabela Base'!$B139)),0)</f>
        <v>0</v>
      </c>
    </row>
    <row r="140" spans="1:18" s="246" customFormat="1" hidden="1">
      <c r="B140" s="350">
        <v>24190</v>
      </c>
      <c r="C140" s="351" t="s">
        <v>127</v>
      </c>
      <c r="D140" s="249" t="s">
        <v>6</v>
      </c>
      <c r="E140" s="231"/>
      <c r="F140" s="231"/>
      <c r="G140" s="342" t="s">
        <v>220</v>
      </c>
      <c r="H140" s="258">
        <f t="shared" si="22"/>
        <v>0</v>
      </c>
      <c r="I140" s="252"/>
      <c r="J140" s="235">
        <f>SUMIFS('Estoque Atual'!$E:$E,'Estoque Atual'!$A:$A,'Tabela Base'!$B140)+SUMIFS('Recebimentos do dia '!$E:$E,'Recebimentos do dia '!$C:$C,'Tabela Base'!$B140)</f>
        <v>0</v>
      </c>
      <c r="K140" s="236">
        <f>IFERROR((SUMIFS('Estoque Atual'!I:I,'Estoque Atual'!A:A,'Tabela Base'!B140)+SUMIFS('Recebimentos do dia '!I:I,'Recebimentos do dia '!C:C,'Tabela Base'!B140))/
(SUMIFS('Estoque Atual'!G:G,'Estoque Atual'!A:A,'Tabela Base'!B140)+SUMIFS('Recebimentos do dia '!H:H,'Recebimentos do dia '!C:C,'Tabela Base'!B140)),0)</f>
        <v>0</v>
      </c>
      <c r="L140" s="237">
        <f>E140-K140</f>
        <v>0</v>
      </c>
      <c r="M140" s="237">
        <f t="shared" si="23"/>
        <v>0</v>
      </c>
      <c r="N140" s="236">
        <f>IFERROR((SUMIFS('Recebimentos do dia '!$H:$H,'Recebimentos do dia '!$C:$C,'Tabela Base'!$B140)+SUMIFS('Estoque Atual'!$G:$G,'Estoque Atual'!$A:$A,'Tabela Base'!$B140))/(SUMIFS('Recebimentos do dia '!$E:$E,'Recebimentos do dia '!$C:$C,'Tabela Base'!$B140)+SUMIFS('Estoque Atual'!$E:$E,'Estoque Atual'!$A:$A,'Tabela Base'!$B140)),0)</f>
        <v>0</v>
      </c>
    </row>
    <row r="141" spans="1:18" s="246" customFormat="1" hidden="1">
      <c r="B141" s="350">
        <v>24211</v>
      </c>
      <c r="C141" s="351" t="s">
        <v>128</v>
      </c>
      <c r="D141" s="249" t="s">
        <v>94</v>
      </c>
      <c r="E141" s="231"/>
      <c r="F141" s="231"/>
      <c r="G141" s="342" t="s">
        <v>220</v>
      </c>
      <c r="H141" s="258">
        <f t="shared" si="22"/>
        <v>0</v>
      </c>
      <c r="I141" s="252"/>
      <c r="J141" s="235">
        <f>SUMIFS('Estoque Atual'!$E:$E,'Estoque Atual'!$A:$A,'Tabela Base'!$B141)+SUMIFS('Recebimentos do dia '!$E:$E,'Recebimentos do dia '!$C:$C,'Tabela Base'!$B141)</f>
        <v>0</v>
      </c>
      <c r="K141" s="236">
        <f>IFERROR((SUMIFS('Estoque Atual'!I:I,'Estoque Atual'!A:A,'Tabela Base'!B141)+SUMIFS('Recebimentos do dia '!I:I,'Recebimentos do dia '!C:C,'Tabela Base'!B141))/
(SUMIFS('Estoque Atual'!G:G,'Estoque Atual'!A:A,'Tabela Base'!B141)+SUMIFS('Recebimentos do dia '!H:H,'Recebimentos do dia '!C:C,'Tabela Base'!B141)),0)</f>
        <v>0</v>
      </c>
      <c r="L141" s="237">
        <f>E141-K141</f>
        <v>0</v>
      </c>
      <c r="M141" s="237">
        <f t="shared" si="23"/>
        <v>0</v>
      </c>
      <c r="N141" s="236">
        <f>IFERROR((SUMIFS('Recebimentos do dia '!$H:$H,'Recebimentos do dia '!$C:$C,'Tabela Base'!$B141)+SUMIFS('Estoque Atual'!$G:$G,'Estoque Atual'!$A:$A,'Tabela Base'!$B141))/(SUMIFS('Recebimentos do dia '!$E:$E,'Recebimentos do dia '!$C:$C,'Tabela Base'!$B141)+SUMIFS('Estoque Atual'!$E:$E,'Estoque Atual'!$A:$A,'Tabela Base'!$B141)),0)</f>
        <v>0</v>
      </c>
    </row>
    <row r="142" spans="1:18" s="246" customFormat="1" hidden="1">
      <c r="B142" s="350">
        <v>24204</v>
      </c>
      <c r="C142" s="351" t="s">
        <v>130</v>
      </c>
      <c r="D142" s="249" t="s">
        <v>94</v>
      </c>
      <c r="E142" s="231"/>
      <c r="F142" s="231"/>
      <c r="G142" s="342" t="s">
        <v>220</v>
      </c>
      <c r="H142" s="258">
        <f t="shared" si="22"/>
        <v>0</v>
      </c>
      <c r="I142" s="252"/>
      <c r="J142" s="235">
        <f>SUMIFS('Estoque Atual'!$E:$E,'Estoque Atual'!$A:$A,'Tabela Base'!$B142)+SUMIFS('Recebimentos do dia '!$E:$E,'Recebimentos do dia '!$C:$C,'Tabela Base'!$B142)</f>
        <v>0</v>
      </c>
      <c r="K142" s="236">
        <f>IFERROR((SUMIFS('Estoque Atual'!I:I,'Estoque Atual'!A:A,'Tabela Base'!B142)+SUMIFS('Recebimentos do dia '!I:I,'Recebimentos do dia '!C:C,'Tabela Base'!B142))/
(SUMIFS('Estoque Atual'!G:G,'Estoque Atual'!A:A,'Tabela Base'!B142)+SUMIFS('Recebimentos do dia '!H:H,'Recebimentos do dia '!C:C,'Tabela Base'!B142)),0)</f>
        <v>0</v>
      </c>
      <c r="L142" s="237">
        <f>E142-K142</f>
        <v>0</v>
      </c>
      <c r="M142" s="237">
        <f t="shared" si="23"/>
        <v>0</v>
      </c>
      <c r="N142" s="236">
        <f>IFERROR((SUMIFS('Recebimentos do dia '!$H:$H,'Recebimentos do dia '!$C:$C,'Tabela Base'!$B142)+SUMIFS('Estoque Atual'!$G:$G,'Estoque Atual'!$A:$A,'Tabela Base'!$B142))/(SUMIFS('Recebimentos do dia '!$E:$E,'Recebimentos do dia '!$C:$C,'Tabela Base'!$B142)+SUMIFS('Estoque Atual'!$E:$E,'Estoque Atual'!$A:$A,'Tabela Base'!$B142)),0)</f>
        <v>0</v>
      </c>
    </row>
    <row r="143" spans="1:18" s="224" customFormat="1" ht="23.25">
      <c r="A143" s="218"/>
      <c r="B143" s="219"/>
      <c r="C143" s="219"/>
      <c r="D143" s="220" t="s">
        <v>114</v>
      </c>
      <c r="E143" s="221"/>
      <c r="F143" s="221"/>
      <c r="G143" s="222"/>
      <c r="H143" s="223"/>
      <c r="J143" s="225"/>
      <c r="K143" s="226"/>
      <c r="L143" s="227"/>
      <c r="M143" s="227"/>
      <c r="N143" s="226"/>
      <c r="P143" s="238"/>
      <c r="R143" s="199"/>
    </row>
    <row r="144" spans="1:18" s="246" customFormat="1" hidden="1">
      <c r="B144" s="247">
        <v>12084</v>
      </c>
      <c r="C144" s="248" t="s">
        <v>19</v>
      </c>
      <c r="D144" s="249" t="s">
        <v>73</v>
      </c>
      <c r="E144" s="231"/>
      <c r="F144" s="231"/>
      <c r="G144" s="250" t="s">
        <v>220</v>
      </c>
      <c r="H144" s="258">
        <f t="shared" ref="H144:H167" si="24">J144</f>
        <v>0</v>
      </c>
      <c r="J144" s="235">
        <f>SUMIFS('Estoque Atual'!$E:$E,'Estoque Atual'!$A:$A,'Tabela Base'!$B144)+SUMIFS('Recebimentos do dia '!$E:$E,'Recebimentos do dia '!$C:$C,'Tabela Base'!$B144)</f>
        <v>0</v>
      </c>
      <c r="K144" s="236">
        <f>IFERROR((SUMIFS('Estoque Atual'!I:I,'Estoque Atual'!A:A,'Tabela Base'!B144)+SUMIFS('Recebimentos do dia '!I:I,'Recebimentos do dia '!C:C,'Tabela Base'!B144))/
(SUMIFS('Estoque Atual'!G:G,'Estoque Atual'!A:A,'Tabela Base'!B144)+SUMIFS('Recebimentos do dia '!H:H,'Recebimentos do dia '!C:C,'Tabela Base'!B144)),0)</f>
        <v>0</v>
      </c>
      <c r="L144" s="237">
        <f t="shared" ref="L144:L168" si="25">E144-K144</f>
        <v>0</v>
      </c>
      <c r="M144" s="237">
        <f t="shared" ref="M144:M168" si="26">F144-K144</f>
        <v>0</v>
      </c>
      <c r="N144" s="236">
        <f>IFERROR((SUMIFS('Recebimentos do dia '!$H:$H,'Recebimentos do dia '!$C:$C,'Tabela Base'!$B144)+SUMIFS('Estoque Atual'!$G:$G,'Estoque Atual'!$A:$A,'Tabela Base'!$B144))/(SUMIFS('Recebimentos do dia '!$E:$E,'Recebimentos do dia '!$C:$C,'Tabela Base'!$B144)+SUMIFS('Estoque Atual'!$E:$E,'Estoque Atual'!$A:$A,'Tabela Base'!$B144)),0)</f>
        <v>0</v>
      </c>
    </row>
    <row r="145" spans="1:16" s="246" customFormat="1" hidden="1">
      <c r="B145" s="253">
        <v>12015</v>
      </c>
      <c r="C145" s="254" t="s">
        <v>175</v>
      </c>
      <c r="D145" s="255" t="s">
        <v>50</v>
      </c>
      <c r="E145" s="231">
        <v>27.59</v>
      </c>
      <c r="F145" s="231">
        <v>27.59</v>
      </c>
      <c r="G145" s="256" t="s">
        <v>220</v>
      </c>
      <c r="H145" s="258">
        <f>J145</f>
        <v>0</v>
      </c>
      <c r="I145" s="352"/>
      <c r="J145" s="235">
        <f>SUMIFS('Estoque Atual'!$E:$E,'Estoque Atual'!$A:$A,'Tabela Base'!$B145)+SUMIFS('Recebimentos do dia '!$E:$E,'Recebimentos do dia '!$C:$C,'Tabela Base'!$B145)</f>
        <v>0</v>
      </c>
      <c r="K145" s="236">
        <f>IFERROR((SUMIFS('Estoque Atual'!I:I,'Estoque Atual'!A:A,'Tabela Base'!B145)+SUMIFS('Recebimentos do dia '!I:I,'Recebimentos do dia '!C:C,'Tabela Base'!B145))/
(SUMIFS('Estoque Atual'!G:G,'Estoque Atual'!A:A,'Tabela Base'!B145)+SUMIFS('Recebimentos do dia '!H:H,'Recebimentos do dia '!C:C,'Tabela Base'!B145)),0)</f>
        <v>0</v>
      </c>
      <c r="L145" s="237">
        <f>E145-K145</f>
        <v>27.59</v>
      </c>
      <c r="M145" s="237">
        <f t="shared" si="26"/>
        <v>27.59</v>
      </c>
      <c r="N145" s="236">
        <f>IFERROR((SUMIFS('Recebimentos do dia '!$H:$H,'Recebimentos do dia '!$C:$C,'Tabela Base'!$B145)+SUMIFS('Estoque Atual'!$G:$G,'Estoque Atual'!$A:$A,'Tabela Base'!$B145))/(SUMIFS('Recebimentos do dia '!$E:$E,'Recebimentos do dia '!$C:$C,'Tabela Base'!$B145)+SUMIFS('Estoque Atual'!$E:$E,'Estoque Atual'!$A:$A,'Tabela Base'!$B145)),0)</f>
        <v>0</v>
      </c>
    </row>
    <row r="146" spans="1:16" s="246" customFormat="1">
      <c r="B146" s="247">
        <v>12318</v>
      </c>
      <c r="C146" s="248" t="s">
        <v>19</v>
      </c>
      <c r="D146" s="249" t="s">
        <v>50</v>
      </c>
      <c r="E146" s="231">
        <v>29.59</v>
      </c>
      <c r="F146" s="231">
        <v>29.49</v>
      </c>
      <c r="G146" s="264" t="s">
        <v>220</v>
      </c>
      <c r="H146" s="233">
        <f>J146</f>
        <v>59</v>
      </c>
      <c r="I146" s="242"/>
      <c r="J146" s="235">
        <f>SUMIFS('Estoque Atual'!$E:$E,'Estoque Atual'!$A:$A,'Tabela Base'!$B146)+SUMIFS('Recebimentos do dia '!$E:$E,'Recebimentos do dia '!$C:$C,'Tabela Base'!$B146)</f>
        <v>59</v>
      </c>
      <c r="K146" s="236">
        <f>IFERROR((SUMIFS('Estoque Atual'!I:I,'Estoque Atual'!A:A,'Tabela Base'!B146)+SUMIFS('Recebimentos do dia '!I:I,'Recebimentos do dia '!C:C,'Tabela Base'!B146))/
(SUMIFS('Estoque Atual'!G:G,'Estoque Atual'!A:A,'Tabela Base'!B146)+SUMIFS('Recebimentos do dia '!H:H,'Recebimentos do dia '!C:C,'Tabela Base'!B146)),0)</f>
        <v>27.42</v>
      </c>
      <c r="L146" s="237">
        <f>E146-K146</f>
        <v>2.1699999999999982</v>
      </c>
      <c r="M146" s="237">
        <f t="shared" si="26"/>
        <v>2.0699999999999967</v>
      </c>
      <c r="N146" s="236">
        <f>IFERROR((SUMIFS('Recebimentos do dia '!$H:$H,'Recebimentos do dia '!$C:$C,'Tabela Base'!$B146)+SUMIFS('Estoque Atual'!$G:$G,'Estoque Atual'!$A:$A,'Tabela Base'!$B146))/(SUMIFS('Recebimentos do dia '!$E:$E,'Recebimentos do dia '!$C:$C,'Tabela Base'!$B146)+SUMIFS('Estoque Atual'!$E:$E,'Estoque Atual'!$A:$A,'Tabela Base'!$B146)),0)</f>
        <v>21.265423728813555</v>
      </c>
    </row>
    <row r="147" spans="1:16" s="246" customFormat="1" hidden="1">
      <c r="B147" s="463">
        <v>12143</v>
      </c>
      <c r="C147" s="464" t="s">
        <v>19</v>
      </c>
      <c r="D147" s="465" t="s">
        <v>417</v>
      </c>
      <c r="E147" s="460">
        <v>22.99</v>
      </c>
      <c r="F147" s="460">
        <v>26.49</v>
      </c>
      <c r="G147" s="461" t="s">
        <v>254</v>
      </c>
      <c r="H147" s="466">
        <f>J147</f>
        <v>0</v>
      </c>
      <c r="I147" s="252"/>
      <c r="J147" s="235">
        <f>SUMIFS('Estoque Atual'!$E:$E,'Estoque Atual'!$A:$A,'Tabela Base'!$B147)+SUMIFS('Recebimentos do dia '!$E:$E,'Recebimentos do dia '!$C:$C,'Tabela Base'!$B147)</f>
        <v>0</v>
      </c>
      <c r="K147" s="236">
        <f>IFERROR((SUMIFS('Estoque Atual'!I:I,'Estoque Atual'!A:A,'Tabela Base'!B147)+SUMIFS('Recebimentos do dia '!I:I,'Recebimentos do dia '!C:C,'Tabela Base'!B147))/
(SUMIFS('Estoque Atual'!G:G,'Estoque Atual'!A:A,'Tabela Base'!B147)+SUMIFS('Recebimentos do dia '!H:H,'Recebimentos do dia '!C:C,'Tabela Base'!B147)),0)</f>
        <v>0</v>
      </c>
      <c r="L147" s="237">
        <f>E147-K147</f>
        <v>22.99</v>
      </c>
      <c r="M147" s="237">
        <f t="shared" si="26"/>
        <v>26.49</v>
      </c>
      <c r="N147" s="236">
        <f>IFERROR((SUMIFS('Recebimentos do dia '!$H:$H,'Recebimentos do dia '!$C:$C,'Tabela Base'!$B147)+SUMIFS('Estoque Atual'!$G:$G,'Estoque Atual'!$A:$A,'Tabela Base'!$B147))/(SUMIFS('Recebimentos do dia '!$E:$E,'Recebimentos do dia '!$C:$C,'Tabela Base'!$B147)+SUMIFS('Estoque Atual'!$E:$E,'Estoque Atual'!$A:$A,'Tabela Base'!$B147)),0)</f>
        <v>0</v>
      </c>
    </row>
    <row r="148" spans="1:16" s="246" customFormat="1" hidden="1">
      <c r="B148" s="260">
        <v>12147</v>
      </c>
      <c r="C148" s="261" t="s">
        <v>19</v>
      </c>
      <c r="D148" s="285" t="s">
        <v>51</v>
      </c>
      <c r="E148" s="231">
        <v>24.99</v>
      </c>
      <c r="F148" s="231">
        <v>24.99</v>
      </c>
      <c r="G148" s="256" t="s">
        <v>269</v>
      </c>
      <c r="H148" s="233">
        <f t="shared" si="24"/>
        <v>0</v>
      </c>
      <c r="I148" s="252"/>
      <c r="J148" s="235">
        <f>SUMIFS('Estoque Atual'!$E:$E,'Estoque Atual'!$A:$A,'Tabela Base'!$B148)+SUMIFS('Recebimentos do dia '!$E:$E,'Recebimentos do dia '!$C:$C,'Tabela Base'!$B148)</f>
        <v>0</v>
      </c>
      <c r="K148" s="236">
        <f>IFERROR((SUMIFS('Estoque Atual'!I:I,'Estoque Atual'!A:A,'Tabela Base'!B148)+SUMIFS('Recebimentos do dia '!I:I,'Recebimentos do dia '!C:C,'Tabela Base'!B148))/
(SUMIFS('Estoque Atual'!G:G,'Estoque Atual'!A:A,'Tabela Base'!B148)+SUMIFS('Recebimentos do dia '!H:H,'Recebimentos do dia '!C:C,'Tabela Base'!B148)),0)</f>
        <v>0</v>
      </c>
      <c r="L148" s="237">
        <f t="shared" si="25"/>
        <v>24.99</v>
      </c>
      <c r="M148" s="237">
        <f t="shared" si="26"/>
        <v>24.99</v>
      </c>
      <c r="N148" s="236">
        <f>IFERROR((SUMIFS('Recebimentos do dia '!$H:$H,'Recebimentos do dia '!$C:$C,'Tabela Base'!$B148)+SUMIFS('Estoque Atual'!$G:$G,'Estoque Atual'!$A:$A,'Tabela Base'!$B148))/(SUMIFS('Recebimentos do dia '!$E:$E,'Recebimentos do dia '!$C:$C,'Tabela Base'!$B148)+SUMIFS('Estoque Atual'!$E:$E,'Estoque Atual'!$A:$A,'Tabela Base'!$B148)),0)</f>
        <v>0</v>
      </c>
    </row>
    <row r="149" spans="1:16" s="246" customFormat="1" hidden="1">
      <c r="B149" s="247">
        <v>12225</v>
      </c>
      <c r="C149" s="248" t="s">
        <v>19</v>
      </c>
      <c r="D149" s="249" t="s">
        <v>73</v>
      </c>
      <c r="E149" s="231">
        <v>25.59</v>
      </c>
      <c r="F149" s="231">
        <v>25.89</v>
      </c>
      <c r="G149" s="250" t="s">
        <v>415</v>
      </c>
      <c r="H149" s="233">
        <f>J149</f>
        <v>0</v>
      </c>
      <c r="I149" s="252"/>
      <c r="J149" s="235">
        <f>SUMIFS('Estoque Atual'!$E:$E,'Estoque Atual'!$A:$A,'Tabela Base'!$B149)+SUMIFS('Recebimentos do dia '!$E:$E,'Recebimentos do dia '!$C:$C,'Tabela Base'!$B149)</f>
        <v>0</v>
      </c>
      <c r="K149" s="236">
        <f>IFERROR((SUMIFS('Estoque Atual'!I:I,'Estoque Atual'!A:A,'Tabela Base'!B149)+SUMIFS('Recebimentos do dia '!I:I,'Recebimentos do dia '!C:C,'Tabela Base'!B149))/
(SUMIFS('Estoque Atual'!G:G,'Estoque Atual'!A:A,'Tabela Base'!B149)+SUMIFS('Recebimentos do dia '!H:H,'Recebimentos do dia '!C:C,'Tabela Base'!B149)),0)</f>
        <v>0</v>
      </c>
      <c r="L149" s="237">
        <f t="shared" si="25"/>
        <v>25.59</v>
      </c>
      <c r="M149" s="237">
        <f t="shared" si="26"/>
        <v>25.89</v>
      </c>
      <c r="N149" s="236">
        <f>IFERROR((SUMIFS('Recebimentos do dia '!$H:$H,'Recebimentos do dia '!$C:$C,'Tabela Base'!$B149)+SUMIFS('Estoque Atual'!$G:$G,'Estoque Atual'!$A:$A,'Tabela Base'!$B149))/(SUMIFS('Recebimentos do dia '!$E:$E,'Recebimentos do dia '!$C:$C,'Tabela Base'!$B149)+SUMIFS('Estoque Atual'!$E:$E,'Estoque Atual'!$A:$A,'Tabela Base'!$B149)),0)</f>
        <v>0</v>
      </c>
    </row>
    <row r="150" spans="1:16" s="246" customFormat="1">
      <c r="B150" s="277">
        <v>22042</v>
      </c>
      <c r="C150" s="248" t="s">
        <v>377</v>
      </c>
      <c r="D150" s="249" t="s">
        <v>347</v>
      </c>
      <c r="E150" s="231">
        <v>32.99</v>
      </c>
      <c r="F150" s="231">
        <v>35.49</v>
      </c>
      <c r="G150" s="250" t="s">
        <v>174</v>
      </c>
      <c r="H150" s="258">
        <f t="shared" si="24"/>
        <v>84</v>
      </c>
      <c r="J150" s="235">
        <f>SUMIFS('Estoque Atual'!$E:$E,'Estoque Atual'!$A:$A,'Tabela Base'!$B150)+SUMIFS('Recebimentos do dia '!$E:$E,'Recebimentos do dia '!$C:$C,'Tabela Base'!$B150)</f>
        <v>84</v>
      </c>
      <c r="K150" s="236">
        <f>IFERROR((SUMIFS('Estoque Atual'!I:I,'Estoque Atual'!A:A,'Tabela Base'!B150)+SUMIFS('Recebimentos do dia '!I:I,'Recebimentos do dia '!C:C,'Tabela Base'!B150))/
(SUMIFS('Estoque Atual'!G:G,'Estoque Atual'!A:A,'Tabela Base'!B150)+SUMIFS('Recebimentos do dia '!H:H,'Recebimentos do dia '!C:C,'Tabela Base'!B150)),0)</f>
        <v>29.000000000000004</v>
      </c>
      <c r="L150" s="237">
        <f t="shared" si="25"/>
        <v>3.9899999999999984</v>
      </c>
      <c r="M150" s="237">
        <f t="shared" si="26"/>
        <v>6.4899999999999984</v>
      </c>
      <c r="N150" s="236">
        <f>IFERROR((SUMIFS('Recebimentos do dia '!$H:$H,'Recebimentos do dia '!$C:$C,'Tabela Base'!$B150)+SUMIFS('Estoque Atual'!$G:$G,'Estoque Atual'!$A:$A,'Tabela Base'!$B150))/(SUMIFS('Recebimentos do dia '!$E:$E,'Recebimentos do dia '!$C:$C,'Tabela Base'!$B150)+SUMIFS('Estoque Atual'!$E:$E,'Estoque Atual'!$A:$A,'Tabela Base'!$B150)),0)</f>
        <v>24.070357142857141</v>
      </c>
    </row>
    <row r="151" spans="1:16" s="246" customFormat="1" hidden="1">
      <c r="B151" s="277">
        <v>22018</v>
      </c>
      <c r="C151" s="248" t="s">
        <v>378</v>
      </c>
      <c r="D151" s="249" t="s">
        <v>73</v>
      </c>
      <c r="E151" s="231">
        <v>30.29</v>
      </c>
      <c r="F151" s="231">
        <v>30.29</v>
      </c>
      <c r="G151" s="250" t="s">
        <v>290</v>
      </c>
      <c r="H151" s="258">
        <f t="shared" si="24"/>
        <v>0</v>
      </c>
      <c r="J151" s="235">
        <f>SUMIFS('Estoque Atual'!$E:$E,'Estoque Atual'!$A:$A,'Tabela Base'!$B151)+SUMIFS('Recebimentos do dia '!$E:$E,'Recebimentos do dia '!$C:$C,'Tabela Base'!$B151)</f>
        <v>0</v>
      </c>
      <c r="K151" s="236">
        <f>IFERROR((SUMIFS('Estoque Atual'!I:I,'Estoque Atual'!A:A,'Tabela Base'!B151)+SUMIFS('Recebimentos do dia '!I:I,'Recebimentos do dia '!C:C,'Tabela Base'!B151))/
(SUMIFS('Estoque Atual'!G:G,'Estoque Atual'!A:A,'Tabela Base'!B151)+SUMIFS('Recebimentos do dia '!H:H,'Recebimentos do dia '!C:C,'Tabela Base'!B151)),0)</f>
        <v>0</v>
      </c>
      <c r="L151" s="237">
        <f t="shared" si="25"/>
        <v>30.29</v>
      </c>
      <c r="M151" s="237">
        <f t="shared" si="26"/>
        <v>30.29</v>
      </c>
      <c r="N151" s="236">
        <f>IFERROR((SUMIFS('Recebimentos do dia '!$H:$H,'Recebimentos do dia '!$C:$C,'Tabela Base'!$B151)+SUMIFS('Estoque Atual'!$G:$G,'Estoque Atual'!$A:$A,'Tabela Base'!$B151))/(SUMIFS('Recebimentos do dia '!$E:$E,'Recebimentos do dia '!$C:$C,'Tabela Base'!$B151)+SUMIFS('Estoque Atual'!$E:$E,'Estoque Atual'!$A:$A,'Tabela Base'!$B151)),0)</f>
        <v>0</v>
      </c>
    </row>
    <row r="152" spans="1:16" s="246" customFormat="1" hidden="1">
      <c r="B152" s="355">
        <v>12313</v>
      </c>
      <c r="C152" s="254" t="s">
        <v>379</v>
      </c>
      <c r="D152" s="285" t="s">
        <v>73</v>
      </c>
      <c r="E152" s="231">
        <v>31.99</v>
      </c>
      <c r="F152" s="231">
        <v>31.99</v>
      </c>
      <c r="G152" s="356" t="s">
        <v>220</v>
      </c>
      <c r="H152" s="258">
        <f t="shared" si="24"/>
        <v>0</v>
      </c>
      <c r="J152" s="235">
        <f>SUMIFS('Estoque Atual'!$E:$E,'Estoque Atual'!$A:$A,'Tabela Base'!$B152)+SUMIFS('Recebimentos do dia '!$E:$E,'Recebimentos do dia '!$C:$C,'Tabela Base'!$B152)</f>
        <v>0</v>
      </c>
      <c r="K152" s="236">
        <f>IFERROR((SUMIFS('Estoque Atual'!I:I,'Estoque Atual'!A:A,'Tabela Base'!B152)+SUMIFS('Recebimentos do dia '!I:I,'Recebimentos do dia '!C:C,'Tabela Base'!B152))/
(SUMIFS('Estoque Atual'!G:G,'Estoque Atual'!A:A,'Tabela Base'!B152)+SUMIFS('Recebimentos do dia '!H:H,'Recebimentos do dia '!C:C,'Tabela Base'!B152)),0)</f>
        <v>0</v>
      </c>
      <c r="L152" s="237">
        <f t="shared" si="25"/>
        <v>31.99</v>
      </c>
      <c r="M152" s="237">
        <f t="shared" si="26"/>
        <v>31.99</v>
      </c>
      <c r="N152" s="236">
        <f>IFERROR((SUMIFS('Recebimentos do dia '!$H:$H,'Recebimentos do dia '!$C:$C,'Tabela Base'!$B152)+SUMIFS('Estoque Atual'!$G:$G,'Estoque Atual'!$A:$A,'Tabela Base'!$B152))/(SUMIFS('Recebimentos do dia '!$E:$E,'Recebimentos do dia '!$C:$C,'Tabela Base'!$B152)+SUMIFS('Estoque Atual'!$E:$E,'Estoque Atual'!$A:$A,'Tabela Base'!$B152)),0)</f>
        <v>0</v>
      </c>
      <c r="P152" s="262"/>
    </row>
    <row r="153" spans="1:16" s="246" customFormat="1" hidden="1">
      <c r="B153" s="277">
        <v>12276</v>
      </c>
      <c r="C153" s="248" t="s">
        <v>188</v>
      </c>
      <c r="D153" s="249" t="s">
        <v>73</v>
      </c>
      <c r="E153" s="231">
        <v>29.5</v>
      </c>
      <c r="F153" s="231">
        <v>29.5</v>
      </c>
      <c r="G153" s="250" t="s">
        <v>236</v>
      </c>
      <c r="H153" s="258">
        <f t="shared" si="24"/>
        <v>0</v>
      </c>
      <c r="J153" s="235">
        <f>SUMIFS('Estoque Atual'!$E:$E,'Estoque Atual'!$A:$A,'Tabela Base'!$B153)+SUMIFS('Recebimentos do dia '!$E:$E,'Recebimentos do dia '!$C:$C,'Tabela Base'!$B153)</f>
        <v>0</v>
      </c>
      <c r="K153" s="236">
        <f>IFERROR((SUMIFS('Estoque Atual'!I:I,'Estoque Atual'!A:A,'Tabela Base'!B153)+SUMIFS('Recebimentos do dia '!I:I,'Recebimentos do dia '!C:C,'Tabela Base'!B153))/
(SUMIFS('Estoque Atual'!G:G,'Estoque Atual'!A:A,'Tabela Base'!B153)+SUMIFS('Recebimentos do dia '!H:H,'Recebimentos do dia '!C:C,'Tabela Base'!B153)),0)</f>
        <v>0</v>
      </c>
      <c r="L153" s="237">
        <f t="shared" si="25"/>
        <v>29.5</v>
      </c>
      <c r="M153" s="237">
        <f t="shared" si="26"/>
        <v>29.5</v>
      </c>
      <c r="N153" s="236">
        <f>IFERROR((SUMIFS('Recebimentos do dia '!$H:$H,'Recebimentos do dia '!$C:$C,'Tabela Base'!$B153)+SUMIFS('Estoque Atual'!$G:$G,'Estoque Atual'!$A:$A,'Tabela Base'!$B153))/(SUMIFS('Recebimentos do dia '!$E:$E,'Recebimentos do dia '!$C:$C,'Tabela Base'!$B153)+SUMIFS('Estoque Atual'!$E:$E,'Estoque Atual'!$A:$A,'Tabela Base'!$B153)),0)</f>
        <v>0</v>
      </c>
    </row>
    <row r="154" spans="1:16" s="246" customFormat="1">
      <c r="B154" s="259">
        <v>22021</v>
      </c>
      <c r="C154" s="278" t="s">
        <v>380</v>
      </c>
      <c r="D154" s="288" t="s">
        <v>180</v>
      </c>
      <c r="E154" s="231">
        <v>29.69</v>
      </c>
      <c r="F154" s="231">
        <v>28.99</v>
      </c>
      <c r="G154" s="256" t="s">
        <v>220</v>
      </c>
      <c r="H154" s="233">
        <f>J154</f>
        <v>8</v>
      </c>
      <c r="I154" s="199"/>
      <c r="J154" s="235">
        <f>SUMIFS('Estoque Atual'!$E:$E,'Estoque Atual'!$A:$A,'Tabela Base'!$B154)+SUMIFS('Recebimentos do dia '!$E:$E,'Recebimentos do dia '!$C:$C,'Tabela Base'!$B154)</f>
        <v>8</v>
      </c>
      <c r="K154" s="236">
        <f>IFERROR((SUMIFS('Estoque Atual'!I:I,'Estoque Atual'!A:A,'Tabela Base'!B154)+SUMIFS('Recebimentos do dia '!I:I,'Recebimentos do dia '!C:C,'Tabela Base'!B154))/
(SUMIFS('Estoque Atual'!G:G,'Estoque Atual'!A:A,'Tabela Base'!B154)+SUMIFS('Recebimentos do dia '!H:H,'Recebimentos do dia '!C:C,'Tabela Base'!B154)),0)</f>
        <v>26.999999999999996</v>
      </c>
      <c r="L154" s="237">
        <f>E154-K154</f>
        <v>2.6900000000000048</v>
      </c>
      <c r="M154" s="237">
        <f t="shared" si="26"/>
        <v>1.990000000000002</v>
      </c>
      <c r="N154" s="236">
        <f>IFERROR((SUMIFS('Recebimentos do dia '!$H:$H,'Recebimentos do dia '!$C:$C,'Tabela Base'!$B154)+SUMIFS('Estoque Atual'!$G:$G,'Estoque Atual'!$A:$A,'Tabela Base'!$B154))/(SUMIFS('Recebimentos do dia '!$E:$E,'Recebimentos do dia '!$C:$C,'Tabela Base'!$B154)+SUMIFS('Estoque Atual'!$E:$E,'Estoque Atual'!$A:$A,'Tabela Base'!$B154)),0)</f>
        <v>10.720999999999998</v>
      </c>
    </row>
    <row r="155" spans="1:16">
      <c r="A155" s="199"/>
      <c r="B155" s="357">
        <v>12029</v>
      </c>
      <c r="C155" s="254" t="s">
        <v>416</v>
      </c>
      <c r="D155" s="255" t="s">
        <v>50</v>
      </c>
      <c r="E155" s="231">
        <v>31.69</v>
      </c>
      <c r="F155" s="231">
        <v>31.49</v>
      </c>
      <c r="G155" s="256" t="s">
        <v>220</v>
      </c>
      <c r="H155" s="233">
        <f>J155</f>
        <v>11</v>
      </c>
      <c r="J155" s="235">
        <f>SUMIFS('Estoque Atual'!$E:$E,'Estoque Atual'!$A:$A,'Tabela Base'!$B155)+SUMIFS('Recebimentos do dia '!$E:$E,'Recebimentos do dia '!$C:$C,'Tabela Base'!$B155)</f>
        <v>11</v>
      </c>
      <c r="K155" s="236">
        <f>IFERROR((SUMIFS('Estoque Atual'!I:I,'Estoque Atual'!A:A,'Tabela Base'!B155)+SUMIFS('Recebimentos do dia '!I:I,'Recebimentos do dia '!C:C,'Tabela Base'!B155))/
(SUMIFS('Estoque Atual'!G:G,'Estoque Atual'!A:A,'Tabela Base'!B155)+SUMIFS('Recebimentos do dia '!H:H,'Recebimentos do dia '!C:C,'Tabela Base'!B155)),0)</f>
        <v>28.18</v>
      </c>
      <c r="L155" s="237">
        <f t="shared" si="25"/>
        <v>3.5100000000000016</v>
      </c>
      <c r="M155" s="237">
        <f t="shared" si="26"/>
        <v>3.3099999999999987</v>
      </c>
      <c r="N155" s="236">
        <f>IFERROR((SUMIFS('Recebimentos do dia '!$H:$H,'Recebimentos do dia '!$C:$C,'Tabela Base'!$B155)+SUMIFS('Estoque Atual'!$G:$G,'Estoque Atual'!$A:$A,'Tabela Base'!$B155))/(SUMIFS('Recebimentos do dia '!$E:$E,'Recebimentos do dia '!$C:$C,'Tabela Base'!$B155)+SUMIFS('Estoque Atual'!$E:$E,'Estoque Atual'!$A:$A,'Tabela Base'!$B155)),0)</f>
        <v>21.957818181818183</v>
      </c>
      <c r="P155" s="238"/>
    </row>
    <row r="156" spans="1:16" s="246" customFormat="1" hidden="1">
      <c r="B156" s="277">
        <v>12215</v>
      </c>
      <c r="C156" s="248" t="s">
        <v>416</v>
      </c>
      <c r="D156" s="249" t="s">
        <v>333</v>
      </c>
      <c r="E156" s="231">
        <v>26.79</v>
      </c>
      <c r="F156" s="231">
        <v>26.99</v>
      </c>
      <c r="G156" s="250" t="s">
        <v>415</v>
      </c>
      <c r="H156" s="233">
        <f>J156</f>
        <v>0</v>
      </c>
      <c r="J156" s="235">
        <f>SUMIFS('Estoque Atual'!$E:$E,'Estoque Atual'!$A:$A,'Tabela Base'!$B156)+SUMIFS('Recebimentos do dia '!$E:$E,'Recebimentos do dia '!$C:$C,'Tabela Base'!$B156)</f>
        <v>0</v>
      </c>
      <c r="K156" s="236">
        <f>IFERROR((SUMIFS('Estoque Atual'!I:I,'Estoque Atual'!A:A,'Tabela Base'!B156)+SUMIFS('Recebimentos do dia '!I:I,'Recebimentos do dia '!C:C,'Tabela Base'!B156))/
(SUMIFS('Estoque Atual'!G:G,'Estoque Atual'!A:A,'Tabela Base'!B156)+SUMIFS('Recebimentos do dia '!H:H,'Recebimentos do dia '!C:C,'Tabela Base'!B156)),0)</f>
        <v>0</v>
      </c>
      <c r="L156" s="237">
        <f t="shared" si="25"/>
        <v>26.79</v>
      </c>
      <c r="M156" s="237">
        <f t="shared" si="26"/>
        <v>26.99</v>
      </c>
      <c r="N156" s="236">
        <f>IFERROR((SUMIFS('Recebimentos do dia '!$H:$H,'Recebimentos do dia '!$C:$C,'Tabela Base'!$B156)+SUMIFS('Estoque Atual'!$G:$G,'Estoque Atual'!$A:$A,'Tabela Base'!$B156))/(SUMIFS('Recebimentos do dia '!$E:$E,'Recebimentos do dia '!$C:$C,'Tabela Base'!$B156)+SUMIFS('Estoque Atual'!$E:$E,'Estoque Atual'!$A:$A,'Tabela Base'!$B156)),0)</f>
        <v>0</v>
      </c>
    </row>
    <row r="157" spans="1:16" s="246" customFormat="1" hidden="1">
      <c r="B157" s="259">
        <v>24223</v>
      </c>
      <c r="C157" s="278" t="s">
        <v>380</v>
      </c>
      <c r="D157" s="288" t="s">
        <v>50</v>
      </c>
      <c r="E157" s="231">
        <v>28.99</v>
      </c>
      <c r="F157" s="231">
        <v>28.99</v>
      </c>
      <c r="G157" s="323" t="s">
        <v>220</v>
      </c>
      <c r="H157" s="251">
        <f>J157</f>
        <v>0</v>
      </c>
      <c r="J157" s="235">
        <f>SUMIFS('Estoque Atual'!$E:$E,'Estoque Atual'!$A:$A,'Tabela Base'!$B157)+SUMIFS('Recebimentos do dia '!$E:$E,'Recebimentos do dia '!$C:$C,'Tabela Base'!$B157)</f>
        <v>0</v>
      </c>
      <c r="K157" s="236">
        <f>IFERROR((SUMIFS('Estoque Atual'!I:I,'Estoque Atual'!A:A,'Tabela Base'!B157)+SUMIFS('Recebimentos do dia '!I:I,'Recebimentos do dia '!C:C,'Tabela Base'!B157))/
(SUMIFS('Estoque Atual'!G:G,'Estoque Atual'!A:A,'Tabela Base'!B157)+SUMIFS('Recebimentos do dia '!H:H,'Recebimentos do dia '!C:C,'Tabela Base'!B157)),0)</f>
        <v>0</v>
      </c>
      <c r="L157" s="237">
        <f>E157-K157</f>
        <v>28.99</v>
      </c>
      <c r="M157" s="237">
        <f t="shared" si="26"/>
        <v>28.99</v>
      </c>
      <c r="N157" s="236">
        <f>IFERROR((SUMIFS('Recebimentos do dia '!$H:$H,'Recebimentos do dia '!$C:$C,'Tabela Base'!$B157)+SUMIFS('Estoque Atual'!$G:$G,'Estoque Atual'!$A:$A,'Tabela Base'!$B157))/(SUMIFS('Recebimentos do dia '!$E:$E,'Recebimentos do dia '!$C:$C,'Tabela Base'!$B157)+SUMIFS('Estoque Atual'!$E:$E,'Estoque Atual'!$A:$A,'Tabela Base'!$B157)),0)</f>
        <v>0</v>
      </c>
    </row>
    <row r="158" spans="1:16" hidden="1">
      <c r="A158" s="199"/>
      <c r="B158" s="358">
        <v>12232</v>
      </c>
      <c r="C158" s="359" t="s">
        <v>335</v>
      </c>
      <c r="D158" s="360" t="s">
        <v>73</v>
      </c>
      <c r="E158" s="231">
        <v>30.99</v>
      </c>
      <c r="F158" s="231">
        <v>30.99</v>
      </c>
      <c r="G158" s="361" t="s">
        <v>220</v>
      </c>
      <c r="H158" s="233">
        <f t="shared" ref="H158" si="27">J158</f>
        <v>0</v>
      </c>
      <c r="J158" s="235">
        <f>SUMIFS('Estoque Atual'!$E:$E,'Estoque Atual'!$A:$A,'Tabela Base'!$B158)+SUMIFS('Recebimentos do dia '!$E:$E,'Recebimentos do dia '!$C:$C,'Tabela Base'!$B158)</f>
        <v>0</v>
      </c>
      <c r="K158" s="236">
        <f>IFERROR((SUMIFS('Estoque Atual'!I:I,'Estoque Atual'!A:A,'Tabela Base'!B158)+SUMIFS('Recebimentos do dia '!I:I,'Recebimentos do dia '!C:C,'Tabela Base'!B158))/
(SUMIFS('Estoque Atual'!G:G,'Estoque Atual'!A:A,'Tabela Base'!B158)+SUMIFS('Recebimentos do dia '!H:H,'Recebimentos do dia '!C:C,'Tabela Base'!B158)),0)</f>
        <v>0</v>
      </c>
      <c r="L158" s="237">
        <f t="shared" ref="L158" si="28">E158-K158</f>
        <v>30.99</v>
      </c>
      <c r="M158" s="237">
        <f t="shared" si="26"/>
        <v>30.99</v>
      </c>
      <c r="N158" s="236">
        <f>IFERROR((SUMIFS('Recebimentos do dia '!$H:$H,'Recebimentos do dia '!$C:$C,'Tabela Base'!$B158)+SUMIFS('Estoque Atual'!$G:$G,'Estoque Atual'!$A:$A,'Tabela Base'!$B158))/(SUMIFS('Recebimentos do dia '!$E:$E,'Recebimentos do dia '!$C:$C,'Tabela Base'!$B158)+SUMIFS('Estoque Atual'!$E:$E,'Estoque Atual'!$A:$A,'Tabela Base'!$B158)),0)</f>
        <v>0</v>
      </c>
    </row>
    <row r="159" spans="1:16" hidden="1">
      <c r="A159" s="199"/>
      <c r="B159" s="279">
        <v>12028</v>
      </c>
      <c r="C159" s="280" t="s">
        <v>381</v>
      </c>
      <c r="D159" s="249" t="s">
        <v>50</v>
      </c>
      <c r="E159" s="231">
        <v>23.99</v>
      </c>
      <c r="F159" s="231">
        <v>23.99</v>
      </c>
      <c r="G159" s="264" t="s">
        <v>220</v>
      </c>
      <c r="H159" s="258">
        <f>J159</f>
        <v>0</v>
      </c>
      <c r="I159" s="246"/>
      <c r="J159" s="235">
        <f>SUMIFS('Estoque Atual'!$E:$E,'Estoque Atual'!$A:$A,'Tabela Base'!$B159)+SUMIFS('Recebimentos do dia '!$E:$E,'Recebimentos do dia '!$C:$C,'Tabela Base'!$B159)</f>
        <v>0</v>
      </c>
      <c r="K159" s="236">
        <f>IFERROR((SUMIFS('Estoque Atual'!I:I,'Estoque Atual'!A:A,'Tabela Base'!B159)+SUMIFS('Recebimentos do dia '!I:I,'Recebimentos do dia '!C:C,'Tabela Base'!B159))/
(SUMIFS('Estoque Atual'!G:G,'Estoque Atual'!A:A,'Tabela Base'!B159)+SUMIFS('Recebimentos do dia '!H:H,'Recebimentos do dia '!C:C,'Tabela Base'!B159)),0)</f>
        <v>0</v>
      </c>
      <c r="L159" s="237">
        <f>E159-K159</f>
        <v>23.99</v>
      </c>
      <c r="M159" s="237">
        <f t="shared" si="26"/>
        <v>23.99</v>
      </c>
      <c r="N159" s="236">
        <f>IFERROR((SUMIFS('Recebimentos do dia '!$H:$H,'Recebimentos do dia '!$C:$C,'Tabela Base'!$B159)+SUMIFS('Estoque Atual'!$G:$G,'Estoque Atual'!$A:$A,'Tabela Base'!$B159))/(SUMIFS('Recebimentos do dia '!$E:$E,'Recebimentos do dia '!$C:$C,'Tabela Base'!$B159)+SUMIFS('Estoque Atual'!$E:$E,'Estoque Atual'!$A:$A,'Tabela Base'!$B159)),0)</f>
        <v>0</v>
      </c>
    </row>
    <row r="160" spans="1:16" hidden="1">
      <c r="A160" s="199"/>
      <c r="B160" s="362">
        <v>22025</v>
      </c>
      <c r="C160" s="363" t="s">
        <v>382</v>
      </c>
      <c r="D160" s="341" t="s">
        <v>398</v>
      </c>
      <c r="E160" s="231">
        <v>24.99</v>
      </c>
      <c r="F160" s="231">
        <v>27.99</v>
      </c>
      <c r="G160" s="256" t="s">
        <v>220</v>
      </c>
      <c r="H160" s="233">
        <f>J160</f>
        <v>0</v>
      </c>
      <c r="I160" s="242"/>
      <c r="J160" s="235">
        <f>SUMIFS('Estoque Atual'!$E:$E,'Estoque Atual'!$A:$A,'Tabela Base'!$B160)+SUMIFS('Recebimentos do dia '!$E:$E,'Recebimentos do dia '!$C:$C,'Tabela Base'!$B160)</f>
        <v>0</v>
      </c>
      <c r="K160" s="236">
        <f>IFERROR((SUMIFS('Estoque Atual'!I:I,'Estoque Atual'!A:A,'Tabela Base'!B160)+SUMIFS('Recebimentos do dia '!I:I,'Recebimentos do dia '!C:C,'Tabela Base'!B160))/
(SUMIFS('Estoque Atual'!G:G,'Estoque Atual'!A:A,'Tabela Base'!B160)+SUMIFS('Recebimentos do dia '!H:H,'Recebimentos do dia '!C:C,'Tabela Base'!B160)),0)</f>
        <v>0</v>
      </c>
      <c r="L160" s="237">
        <f>E160-K160</f>
        <v>24.99</v>
      </c>
      <c r="M160" s="237">
        <f t="shared" si="26"/>
        <v>27.99</v>
      </c>
      <c r="N160" s="236">
        <f>IFERROR((SUMIFS('Recebimentos do dia '!$H:$H,'Recebimentos do dia '!$C:$C,'Tabela Base'!$B160)+SUMIFS('Estoque Atual'!$G:$G,'Estoque Atual'!$A:$A,'Tabela Base'!$B160))/(SUMIFS('Recebimentos do dia '!$E:$E,'Recebimentos do dia '!$C:$C,'Tabela Base'!$B160)+SUMIFS('Estoque Atual'!$E:$E,'Estoque Atual'!$A:$A,'Tabela Base'!$B160)),0)</f>
        <v>0</v>
      </c>
    </row>
    <row r="161" spans="1:18">
      <c r="A161" s="199"/>
      <c r="B161" s="357">
        <v>12017</v>
      </c>
      <c r="C161" s="254" t="s">
        <v>115</v>
      </c>
      <c r="D161" s="255" t="s">
        <v>334</v>
      </c>
      <c r="E161" s="231">
        <v>29.99</v>
      </c>
      <c r="F161" s="231">
        <v>29.79</v>
      </c>
      <c r="G161" s="256" t="s">
        <v>220</v>
      </c>
      <c r="H161" s="233">
        <f t="shared" si="24"/>
        <v>76</v>
      </c>
      <c r="J161" s="235">
        <f>SUMIFS('Estoque Atual'!$E:$E,'Estoque Atual'!$A:$A,'Tabela Base'!$B161)+SUMIFS('Recebimentos do dia '!$E:$E,'Recebimentos do dia '!$C:$C,'Tabela Base'!$B161)</f>
        <v>76</v>
      </c>
      <c r="K161" s="236">
        <f>IFERROR((SUMIFS('Estoque Atual'!I:I,'Estoque Atual'!A:A,'Tabela Base'!B161)+SUMIFS('Recebimentos do dia '!I:I,'Recebimentos do dia '!C:C,'Tabela Base'!B161))/
(SUMIFS('Estoque Atual'!G:G,'Estoque Atual'!A:A,'Tabela Base'!B161)+SUMIFS('Recebimentos do dia '!H:H,'Recebimentos do dia '!C:C,'Tabela Base'!B161)),0)</f>
        <v>27.98</v>
      </c>
      <c r="L161" s="237">
        <f t="shared" si="25"/>
        <v>2.009999999999998</v>
      </c>
      <c r="M161" s="237">
        <f t="shared" si="26"/>
        <v>1.8099999999999987</v>
      </c>
      <c r="N161" s="236">
        <f>IFERROR((SUMIFS('Recebimentos do dia '!$H:$H,'Recebimentos do dia '!$C:$C,'Tabela Base'!$B161)+SUMIFS('Estoque Atual'!$G:$G,'Estoque Atual'!$A:$A,'Tabela Base'!$B161))/(SUMIFS('Recebimentos do dia '!$E:$E,'Recebimentos do dia '!$C:$C,'Tabela Base'!$B161)+SUMIFS('Estoque Atual'!$E:$E,'Estoque Atual'!$A:$A,'Tabela Base'!$B161)),0)</f>
        <v>24.909105263157898</v>
      </c>
      <c r="P161" s="238"/>
    </row>
    <row r="162" spans="1:18" s="246" customFormat="1" hidden="1">
      <c r="B162" s="277">
        <v>12085</v>
      </c>
      <c r="C162" s="248" t="s">
        <v>115</v>
      </c>
      <c r="D162" s="249" t="s">
        <v>133</v>
      </c>
      <c r="E162" s="231"/>
      <c r="F162" s="231"/>
      <c r="G162" s="250" t="s">
        <v>220</v>
      </c>
      <c r="H162" s="258">
        <f t="shared" si="24"/>
        <v>0</v>
      </c>
      <c r="J162" s="235">
        <f>SUMIFS('Estoque Atual'!$E:$E,'Estoque Atual'!$A:$A,'Tabela Base'!$B162)+SUMIFS('Recebimentos do dia '!$E:$E,'Recebimentos do dia '!$C:$C,'Tabela Base'!$B162)</f>
        <v>0</v>
      </c>
      <c r="K162" s="236">
        <f>IFERROR((SUMIFS('Estoque Atual'!I:I,'Estoque Atual'!A:A,'Tabela Base'!B162)+SUMIFS('Recebimentos do dia '!I:I,'Recebimentos do dia '!C:C,'Tabela Base'!B162))/
(SUMIFS('Estoque Atual'!G:G,'Estoque Atual'!A:A,'Tabela Base'!B162)+SUMIFS('Recebimentos do dia '!H:H,'Recebimentos do dia '!C:C,'Tabela Base'!B162)),0)</f>
        <v>0</v>
      </c>
      <c r="L162" s="237">
        <f t="shared" si="25"/>
        <v>0</v>
      </c>
      <c r="M162" s="237">
        <f t="shared" si="26"/>
        <v>0</v>
      </c>
      <c r="N162" s="236">
        <f>IFERROR((SUMIFS('Recebimentos do dia '!$H:$H,'Recebimentos do dia '!$C:$C,'Tabela Base'!$B162)+SUMIFS('Estoque Atual'!$G:$G,'Estoque Atual'!$A:$A,'Tabela Base'!$B162))/(SUMIFS('Recebimentos do dia '!$E:$E,'Recebimentos do dia '!$C:$C,'Tabela Base'!$B162)+SUMIFS('Estoque Atual'!$E:$E,'Estoque Atual'!$A:$A,'Tabela Base'!$B162)),0)</f>
        <v>0</v>
      </c>
    </row>
    <row r="163" spans="1:18" s="246" customFormat="1" hidden="1">
      <c r="B163" s="364">
        <v>12145</v>
      </c>
      <c r="C163" s="354" t="s">
        <v>115</v>
      </c>
      <c r="D163" s="326" t="s">
        <v>51</v>
      </c>
      <c r="E163" s="231">
        <v>25.59</v>
      </c>
      <c r="F163" s="231">
        <v>25.99</v>
      </c>
      <c r="G163" s="264" t="s">
        <v>415</v>
      </c>
      <c r="H163" s="233">
        <f>J163</f>
        <v>0</v>
      </c>
      <c r="J163" s="235">
        <f>SUMIFS('Estoque Atual'!$E:$E,'Estoque Atual'!$A:$A,'Tabela Base'!$B163)+SUMIFS('Recebimentos do dia '!$E:$E,'Recebimentos do dia '!$C:$C,'Tabela Base'!$B163)</f>
        <v>0</v>
      </c>
      <c r="K163" s="236">
        <f>IFERROR((SUMIFS('Estoque Atual'!I:I,'Estoque Atual'!A:A,'Tabela Base'!B163)+SUMIFS('Recebimentos do dia '!I:I,'Recebimentos do dia '!C:C,'Tabela Base'!B163))/
(SUMIFS('Estoque Atual'!G:G,'Estoque Atual'!A:A,'Tabela Base'!B163)+SUMIFS('Recebimentos do dia '!H:H,'Recebimentos do dia '!C:C,'Tabela Base'!B163)),0)</f>
        <v>0</v>
      </c>
      <c r="L163" s="237">
        <f t="shared" si="25"/>
        <v>25.59</v>
      </c>
      <c r="M163" s="237">
        <f t="shared" si="26"/>
        <v>25.99</v>
      </c>
      <c r="N163" s="236">
        <f>IFERROR((SUMIFS('Recebimentos do dia '!$H:$H,'Recebimentos do dia '!$C:$C,'Tabela Base'!$B163)+SUMIFS('Estoque Atual'!$G:$G,'Estoque Atual'!$A:$A,'Tabela Base'!$B163))/(SUMIFS('Recebimentos do dia '!$E:$E,'Recebimentos do dia '!$C:$C,'Tabela Base'!$B163)+SUMIFS('Estoque Atual'!$E:$E,'Estoque Atual'!$A:$A,'Tabela Base'!$B163)),0)</f>
        <v>0</v>
      </c>
    </row>
    <row r="164" spans="1:18" s="246" customFormat="1" hidden="1">
      <c r="B164" s="357">
        <v>12243</v>
      </c>
      <c r="C164" s="254" t="s">
        <v>115</v>
      </c>
      <c r="D164" s="255" t="s">
        <v>334</v>
      </c>
      <c r="E164" s="231">
        <v>26.99</v>
      </c>
      <c r="F164" s="231">
        <v>26.99</v>
      </c>
      <c r="G164" s="365" t="s">
        <v>348</v>
      </c>
      <c r="H164" s="258">
        <f t="shared" si="24"/>
        <v>0</v>
      </c>
      <c r="J164" s="235">
        <f>SUMIFS('Estoque Atual'!$E:$E,'Estoque Atual'!$A:$A,'Tabela Base'!$B164)+SUMIFS('Recebimentos do dia '!$E:$E,'Recebimentos do dia '!$C:$C,'Tabela Base'!$B164)</f>
        <v>0</v>
      </c>
      <c r="K164" s="236">
        <f>IFERROR((SUMIFS('Estoque Atual'!I:I,'Estoque Atual'!A:A,'Tabela Base'!B164)+SUMIFS('Recebimentos do dia '!I:I,'Recebimentos do dia '!C:C,'Tabela Base'!B164))/
(SUMIFS('Estoque Atual'!G:G,'Estoque Atual'!A:A,'Tabela Base'!B164)+SUMIFS('Recebimentos do dia '!H:H,'Recebimentos do dia '!C:C,'Tabela Base'!B164)),0)</f>
        <v>0</v>
      </c>
      <c r="L164" s="237">
        <f t="shared" si="25"/>
        <v>26.99</v>
      </c>
      <c r="M164" s="237">
        <f t="shared" si="26"/>
        <v>26.99</v>
      </c>
      <c r="N164" s="236">
        <f>IFERROR((SUMIFS('Recebimentos do dia '!$H:$H,'Recebimentos do dia '!$C:$C,'Tabela Base'!$B164)+SUMIFS('Estoque Atual'!$G:$G,'Estoque Atual'!$A:$A,'Tabela Base'!$B164))/(SUMIFS('Recebimentos do dia '!$E:$E,'Recebimentos do dia '!$C:$C,'Tabela Base'!$B164)+SUMIFS('Estoque Atual'!$E:$E,'Estoque Atual'!$A:$A,'Tabela Base'!$B164)),0)</f>
        <v>0</v>
      </c>
    </row>
    <row r="165" spans="1:18" s="246" customFormat="1" hidden="1">
      <c r="B165" s="457">
        <v>12063</v>
      </c>
      <c r="C165" s="458" t="s">
        <v>115</v>
      </c>
      <c r="D165" s="459" t="s">
        <v>334</v>
      </c>
      <c r="E165" s="460">
        <v>24.99</v>
      </c>
      <c r="F165" s="460">
        <v>27.19</v>
      </c>
      <c r="G165" s="461" t="s">
        <v>254</v>
      </c>
      <c r="H165" s="462">
        <f t="shared" ref="H165" si="29">J165</f>
        <v>0</v>
      </c>
      <c r="J165" s="235">
        <f>SUMIFS('Estoque Atual'!$E:$E,'Estoque Atual'!$A:$A,'Tabela Base'!$B165)+SUMIFS('Recebimentos do dia '!$E:$E,'Recebimentos do dia '!$C:$C,'Tabela Base'!$B165)</f>
        <v>0</v>
      </c>
      <c r="K165" s="236">
        <f>IFERROR((SUMIFS('Estoque Atual'!I:I,'Estoque Atual'!A:A,'Tabela Base'!B165)+SUMIFS('Recebimentos do dia '!I:I,'Recebimentos do dia '!C:C,'Tabela Base'!B165))/
(SUMIFS('Estoque Atual'!G:G,'Estoque Atual'!A:A,'Tabela Base'!B165)+SUMIFS('Recebimentos do dia '!H:H,'Recebimentos do dia '!C:C,'Tabela Base'!B165)),0)</f>
        <v>0</v>
      </c>
      <c r="L165" s="237">
        <f t="shared" ref="L165" si="30">E165-K165</f>
        <v>24.99</v>
      </c>
      <c r="M165" s="237">
        <f t="shared" si="26"/>
        <v>27.19</v>
      </c>
      <c r="N165" s="236">
        <f>IFERROR((SUMIFS('Recebimentos do dia '!$H:$H,'Recebimentos do dia '!$C:$C,'Tabela Base'!$B165)+SUMIFS('Estoque Atual'!$G:$G,'Estoque Atual'!$A:$A,'Tabela Base'!$B165))/(SUMIFS('Recebimentos do dia '!$E:$E,'Recebimentos do dia '!$C:$C,'Tabela Base'!$B165)+SUMIFS('Estoque Atual'!$E:$E,'Estoque Atual'!$A:$A,'Tabela Base'!$B165)),0)</f>
        <v>0</v>
      </c>
    </row>
    <row r="166" spans="1:18" s="246" customFormat="1" hidden="1">
      <c r="B166" s="247">
        <v>12000</v>
      </c>
      <c r="C166" s="248" t="s">
        <v>383</v>
      </c>
      <c r="D166" s="249" t="s">
        <v>6</v>
      </c>
      <c r="E166" s="231">
        <v>28.59</v>
      </c>
      <c r="F166" s="231">
        <v>28.59</v>
      </c>
      <c r="G166" s="250" t="s">
        <v>220</v>
      </c>
      <c r="H166" s="258">
        <f t="shared" si="24"/>
        <v>0</v>
      </c>
      <c r="J166" s="235">
        <f>SUMIFS('Estoque Atual'!$E:$E,'Estoque Atual'!$A:$A,'Tabela Base'!$B166)+SUMIFS('Recebimentos do dia '!$E:$E,'Recebimentos do dia '!$C:$C,'Tabela Base'!$B166)</f>
        <v>0</v>
      </c>
      <c r="K166" s="236">
        <f>IFERROR((SUMIFS('Estoque Atual'!I:I,'Estoque Atual'!A:A,'Tabela Base'!B166)+SUMIFS('Recebimentos do dia '!I:I,'Recebimentos do dia '!C:C,'Tabela Base'!B166))/
(SUMIFS('Estoque Atual'!G:G,'Estoque Atual'!A:A,'Tabela Base'!B166)+SUMIFS('Recebimentos do dia '!H:H,'Recebimentos do dia '!C:C,'Tabela Base'!B166)),0)</f>
        <v>0</v>
      </c>
      <c r="L166" s="237">
        <f t="shared" si="25"/>
        <v>28.59</v>
      </c>
      <c r="M166" s="237">
        <f t="shared" si="26"/>
        <v>28.59</v>
      </c>
      <c r="N166" s="236">
        <f>IFERROR((SUMIFS('Recebimentos do dia '!$H:$H,'Recebimentos do dia '!$C:$C,'Tabela Base'!$B166)+SUMIFS('Estoque Atual'!$G:$G,'Estoque Atual'!$A:$A,'Tabela Base'!$B166))/(SUMIFS('Recebimentos do dia '!$E:$E,'Recebimentos do dia '!$C:$C,'Tabela Base'!$B166)+SUMIFS('Estoque Atual'!$E:$E,'Estoque Atual'!$A:$A,'Tabela Base'!$B166)),0)</f>
        <v>0</v>
      </c>
    </row>
    <row r="167" spans="1:18" s="246" customFormat="1" hidden="1">
      <c r="B167" s="247">
        <v>12316</v>
      </c>
      <c r="C167" s="248" t="s">
        <v>83</v>
      </c>
      <c r="D167" s="249" t="s">
        <v>6</v>
      </c>
      <c r="E167" s="231">
        <v>26.99</v>
      </c>
      <c r="F167" s="231">
        <v>26.99</v>
      </c>
      <c r="G167" s="250" t="s">
        <v>220</v>
      </c>
      <c r="H167" s="258">
        <f t="shared" si="24"/>
        <v>0</v>
      </c>
      <c r="J167" s="235">
        <f>SUMIFS('Estoque Atual'!$E:$E,'Estoque Atual'!$A:$A,'Tabela Base'!$B167)+SUMIFS('Recebimentos do dia '!$E:$E,'Recebimentos do dia '!$C:$C,'Tabela Base'!$B167)</f>
        <v>0</v>
      </c>
      <c r="K167" s="236">
        <f>IFERROR((SUMIFS('Estoque Atual'!I:I,'Estoque Atual'!A:A,'Tabela Base'!B167)+SUMIFS('Recebimentos do dia '!I:I,'Recebimentos do dia '!C:C,'Tabela Base'!B167))/
(SUMIFS('Estoque Atual'!G:G,'Estoque Atual'!A:A,'Tabela Base'!B167)+SUMIFS('Recebimentos do dia '!H:H,'Recebimentos do dia '!C:C,'Tabela Base'!B167)),0)</f>
        <v>0</v>
      </c>
      <c r="L167" s="237">
        <f t="shared" si="25"/>
        <v>26.99</v>
      </c>
      <c r="M167" s="237">
        <f t="shared" si="26"/>
        <v>26.99</v>
      </c>
      <c r="N167" s="236">
        <f>IFERROR((SUMIFS('Recebimentos do dia '!$H:$H,'Recebimentos do dia '!$C:$C,'Tabela Base'!$B167)+SUMIFS('Estoque Atual'!$G:$G,'Estoque Atual'!$A:$A,'Tabela Base'!$B167))/(SUMIFS('Recebimentos do dia '!$E:$E,'Recebimentos do dia '!$C:$C,'Tabela Base'!$B167)+SUMIFS('Estoque Atual'!$E:$E,'Estoque Atual'!$A:$A,'Tabela Base'!$B167)),0)</f>
        <v>0</v>
      </c>
    </row>
    <row r="168" spans="1:18" s="246" customFormat="1" hidden="1">
      <c r="B168" s="247">
        <v>12065</v>
      </c>
      <c r="C168" s="248" t="s">
        <v>83</v>
      </c>
      <c r="D168" s="249" t="s">
        <v>73</v>
      </c>
      <c r="E168" s="231">
        <v>22.99</v>
      </c>
      <c r="F168" s="231">
        <v>24.59</v>
      </c>
      <c r="G168" s="250" t="s">
        <v>415</v>
      </c>
      <c r="H168" s="233">
        <f>J168</f>
        <v>0</v>
      </c>
      <c r="J168" s="235">
        <f>SUMIFS('Estoque Atual'!$E:$E,'Estoque Atual'!$A:$A,'Tabela Base'!$B168)+SUMIFS('Recebimentos do dia '!$E:$E,'Recebimentos do dia '!$C:$C,'Tabela Base'!$B168)</f>
        <v>0</v>
      </c>
      <c r="K168" s="236">
        <f>IFERROR((SUMIFS('Estoque Atual'!I:I,'Estoque Atual'!A:A,'Tabela Base'!B168)+SUMIFS('Recebimentos do dia '!I:I,'Recebimentos do dia '!C:C,'Tabela Base'!B168))/
(SUMIFS('Estoque Atual'!G:G,'Estoque Atual'!A:A,'Tabela Base'!B168)+SUMIFS('Recebimentos do dia '!H:H,'Recebimentos do dia '!C:C,'Tabela Base'!B168)),0)</f>
        <v>0</v>
      </c>
      <c r="L168" s="237">
        <f t="shared" si="25"/>
        <v>22.99</v>
      </c>
      <c r="M168" s="237">
        <f t="shared" si="26"/>
        <v>24.59</v>
      </c>
      <c r="N168" s="236">
        <f>IFERROR((SUMIFS('Recebimentos do dia '!$H:$H,'Recebimentos do dia '!$C:$C,'Tabela Base'!$B168)+SUMIFS('Estoque Atual'!$G:$G,'Estoque Atual'!$A:$A,'Tabela Base'!$B168))/(SUMIFS('Recebimentos do dia '!$E:$E,'Recebimentos do dia '!$C:$C,'Tabela Base'!$B168)+SUMIFS('Estoque Atual'!$E:$E,'Estoque Atual'!$A:$A,'Tabela Base'!$B168)),0)</f>
        <v>0</v>
      </c>
    </row>
    <row r="169" spans="1:18">
      <c r="A169" s="367"/>
      <c r="B169" s="368"/>
      <c r="C169" s="368"/>
      <c r="D169" s="368"/>
      <c r="E169" s="368"/>
      <c r="F169" s="368"/>
      <c r="G169" s="369"/>
      <c r="H169" s="370"/>
      <c r="I169" s="242"/>
      <c r="J169" s="371"/>
      <c r="K169" s="216"/>
      <c r="L169" s="217"/>
      <c r="M169" s="217"/>
      <c r="N169" s="216"/>
      <c r="P169" s="238"/>
    </row>
    <row r="170" spans="1:18" s="224" customFormat="1" ht="23.25">
      <c r="A170" s="218"/>
      <c r="B170" s="219"/>
      <c r="C170" s="219"/>
      <c r="D170" s="220" t="s">
        <v>30</v>
      </c>
      <c r="E170" s="221"/>
      <c r="F170" s="221"/>
      <c r="G170" s="222"/>
      <c r="H170" s="223"/>
      <c r="J170" s="225"/>
      <c r="K170" s="226"/>
      <c r="L170" s="227"/>
      <c r="M170" s="227"/>
      <c r="N170" s="226"/>
      <c r="P170" s="238"/>
      <c r="R170" s="199"/>
    </row>
    <row r="171" spans="1:18" s="246" customFormat="1" hidden="1">
      <c r="B171" s="279">
        <v>25264</v>
      </c>
      <c r="C171" s="280" t="s">
        <v>169</v>
      </c>
      <c r="D171" s="287" t="s">
        <v>51</v>
      </c>
      <c r="E171" s="231">
        <v>10.9</v>
      </c>
      <c r="F171" s="231">
        <v>10.9</v>
      </c>
      <c r="G171" s="250" t="s">
        <v>220</v>
      </c>
      <c r="H171" s="258">
        <f t="shared" ref="H171:H199" si="31">J171</f>
        <v>0</v>
      </c>
      <c r="I171" s="252"/>
      <c r="J171" s="235">
        <f>SUMIFS('Estoque Atual'!$E:$E,'Estoque Atual'!$A:$A,'Tabela Base'!$B171)+SUMIFS('Recebimentos do dia '!$E:$E,'Recebimentos do dia '!$C:$C,'Tabela Base'!$B171)</f>
        <v>0</v>
      </c>
      <c r="K171" s="236">
        <f>IFERROR((SUMIFS('Estoque Atual'!I:I,'Estoque Atual'!A:A,'Tabela Base'!B171)+SUMIFS('Recebimentos do dia '!I:I,'Recebimentos do dia '!C:C,'Tabela Base'!B171))/
(SUMIFS('Estoque Atual'!G:G,'Estoque Atual'!A:A,'Tabela Base'!B171)+SUMIFS('Recebimentos do dia '!H:H,'Recebimentos do dia '!C:C,'Tabela Base'!B171)),0)</f>
        <v>0</v>
      </c>
      <c r="L171" s="237">
        <f t="shared" ref="L171:L199" si="32">E171-K171</f>
        <v>10.9</v>
      </c>
      <c r="M171" s="237">
        <f t="shared" ref="M171:M199" si="33">F171-K171</f>
        <v>10.9</v>
      </c>
      <c r="N171" s="236">
        <f>IFERROR((SUMIFS('Recebimentos do dia '!$H:$H,'Recebimentos do dia '!$C:$C,'Tabela Base'!$B171)+SUMIFS('Estoque Atual'!$G:$G,'Estoque Atual'!$A:$A,'Tabela Base'!$B171))/(SUMIFS('Recebimentos do dia '!$E:$E,'Recebimentos do dia '!$C:$C,'Tabela Base'!$B171)+SUMIFS('Estoque Atual'!$E:$E,'Estoque Atual'!$A:$A,'Tabela Base'!$B171)),0)</f>
        <v>0</v>
      </c>
    </row>
    <row r="172" spans="1:18" s="246" customFormat="1" hidden="1">
      <c r="B172" s="247">
        <v>32003</v>
      </c>
      <c r="C172" s="248" t="s">
        <v>38</v>
      </c>
      <c r="D172" s="249" t="s">
        <v>52</v>
      </c>
      <c r="E172" s="231">
        <v>18.989999999999998</v>
      </c>
      <c r="F172" s="231">
        <v>18.989999999999998</v>
      </c>
      <c r="G172" s="250" t="s">
        <v>220</v>
      </c>
      <c r="H172" s="258">
        <f t="shared" si="31"/>
        <v>0</v>
      </c>
      <c r="I172" s="352"/>
      <c r="J172" s="235">
        <f>SUMIFS('Estoque Atual'!$E:$E,'Estoque Atual'!$A:$A,'Tabela Base'!$B172)+SUMIFS('Recebimentos do dia '!$E:$E,'Recebimentos do dia '!$C:$C,'Tabela Base'!$B172)</f>
        <v>0</v>
      </c>
      <c r="K172" s="236">
        <f>IFERROR((SUMIFS('Estoque Atual'!I:I,'Estoque Atual'!A:A,'Tabela Base'!B172)+SUMIFS('Recebimentos do dia '!I:I,'Recebimentos do dia '!C:C,'Tabela Base'!B172))/
(SUMIFS('Estoque Atual'!G:G,'Estoque Atual'!A:A,'Tabela Base'!B172)+SUMIFS('Recebimentos do dia '!H:H,'Recebimentos do dia '!C:C,'Tabela Base'!B172)),0)</f>
        <v>0</v>
      </c>
      <c r="L172" s="237">
        <f t="shared" si="32"/>
        <v>18.989999999999998</v>
      </c>
      <c r="M172" s="237">
        <f t="shared" si="33"/>
        <v>18.989999999999998</v>
      </c>
      <c r="N172" s="236">
        <f>IFERROR((SUMIFS('Recebimentos do dia '!$H:$H,'Recebimentos do dia '!$C:$C,'Tabela Base'!$B172)+SUMIFS('Estoque Atual'!$G:$G,'Estoque Atual'!$A:$A,'Tabela Base'!$B172))/(SUMIFS('Recebimentos do dia '!$E:$E,'Recebimentos do dia '!$C:$C,'Tabela Base'!$B172)+SUMIFS('Estoque Atual'!$E:$E,'Estoque Atual'!$A:$A,'Tabela Base'!$B172)),0)</f>
        <v>0</v>
      </c>
    </row>
    <row r="173" spans="1:18" s="246" customFormat="1" hidden="1">
      <c r="B173" s="247">
        <v>32014</v>
      </c>
      <c r="C173" s="248" t="s">
        <v>195</v>
      </c>
      <c r="D173" s="249" t="s">
        <v>73</v>
      </c>
      <c r="E173" s="231">
        <v>9.99</v>
      </c>
      <c r="F173" s="231">
        <v>9.99</v>
      </c>
      <c r="G173" s="264" t="s">
        <v>220</v>
      </c>
      <c r="H173" s="258">
        <f t="shared" si="31"/>
        <v>0</v>
      </c>
      <c r="I173" s="352"/>
      <c r="J173" s="235">
        <f>SUMIFS('Estoque Atual'!$E:$E,'Estoque Atual'!$A:$A,'Tabela Base'!$B173)+SUMIFS('Recebimentos do dia '!$E:$E,'Recebimentos do dia '!$C:$C,'Tabela Base'!$B173)</f>
        <v>0</v>
      </c>
      <c r="K173" s="236">
        <f>IFERROR((SUMIFS('Estoque Atual'!I:I,'Estoque Atual'!A:A,'Tabela Base'!B173)+SUMIFS('Recebimentos do dia '!I:I,'Recebimentos do dia '!C:C,'Tabela Base'!B173))/
(SUMIFS('Estoque Atual'!G:G,'Estoque Atual'!A:A,'Tabela Base'!B173)+SUMIFS('Recebimentos do dia '!H:H,'Recebimentos do dia '!C:C,'Tabela Base'!B173)),0)</f>
        <v>0</v>
      </c>
      <c r="L173" s="237">
        <f t="shared" si="32"/>
        <v>9.99</v>
      </c>
      <c r="M173" s="237">
        <f t="shared" si="33"/>
        <v>9.99</v>
      </c>
      <c r="N173" s="236">
        <f>IFERROR((SUMIFS('Recebimentos do dia '!$H:$H,'Recebimentos do dia '!$C:$C,'Tabela Base'!$B173)+SUMIFS('Estoque Atual'!$G:$G,'Estoque Atual'!$A:$A,'Tabela Base'!$B173))/(SUMIFS('Recebimentos do dia '!$E:$E,'Recebimentos do dia '!$C:$C,'Tabela Base'!$B173)+SUMIFS('Estoque Atual'!$E:$E,'Estoque Atual'!$A:$A,'Tabela Base'!$B173)),0)</f>
        <v>0</v>
      </c>
    </row>
    <row r="174" spans="1:18" s="246" customFormat="1" hidden="1">
      <c r="B174" s="247">
        <v>32028</v>
      </c>
      <c r="C174" s="248" t="s">
        <v>38</v>
      </c>
      <c r="D174" s="249" t="s">
        <v>73</v>
      </c>
      <c r="E174" s="231">
        <v>9.9</v>
      </c>
      <c r="F174" s="231">
        <v>9.9</v>
      </c>
      <c r="G174" s="264" t="s">
        <v>174</v>
      </c>
      <c r="H174" s="258">
        <f t="shared" si="31"/>
        <v>0</v>
      </c>
      <c r="I174" s="352"/>
      <c r="J174" s="235">
        <f>SUMIFS('Estoque Atual'!$E:$E,'Estoque Atual'!$A:$A,'Tabela Base'!$B174)+SUMIFS('Recebimentos do dia '!$E:$E,'Recebimentos do dia '!$C:$C,'Tabela Base'!$B174)</f>
        <v>0</v>
      </c>
      <c r="K174" s="236">
        <f>IFERROR((SUMIFS('Estoque Atual'!I:I,'Estoque Atual'!A:A,'Tabela Base'!B174)+SUMIFS('Recebimentos do dia '!I:I,'Recebimentos do dia '!C:C,'Tabela Base'!B174))/
(SUMIFS('Estoque Atual'!G:G,'Estoque Atual'!A:A,'Tabela Base'!B174)+SUMIFS('Recebimentos do dia '!H:H,'Recebimentos do dia '!C:C,'Tabela Base'!B174)),0)</f>
        <v>0</v>
      </c>
      <c r="L174" s="237">
        <f t="shared" si="32"/>
        <v>9.9</v>
      </c>
      <c r="M174" s="237">
        <f t="shared" si="33"/>
        <v>9.9</v>
      </c>
      <c r="N174" s="236">
        <f>IFERROR((SUMIFS('Recebimentos do dia '!$H:$H,'Recebimentos do dia '!$C:$C,'Tabela Base'!$B174)+SUMIFS('Estoque Atual'!$G:$G,'Estoque Atual'!$A:$A,'Tabela Base'!$B174))/(SUMIFS('Recebimentos do dia '!$E:$E,'Recebimentos do dia '!$C:$C,'Tabela Base'!$B174)+SUMIFS('Estoque Atual'!$E:$E,'Estoque Atual'!$A:$A,'Tabela Base'!$B174)),0)</f>
        <v>0</v>
      </c>
    </row>
    <row r="175" spans="1:18" s="246" customFormat="1" hidden="1">
      <c r="B175" s="247">
        <v>32035</v>
      </c>
      <c r="C175" s="248" t="s">
        <v>38</v>
      </c>
      <c r="D175" s="249" t="s">
        <v>409</v>
      </c>
      <c r="E175" s="231">
        <v>13.99</v>
      </c>
      <c r="F175" s="231">
        <v>14.19</v>
      </c>
      <c r="G175" s="250" t="s">
        <v>408</v>
      </c>
      <c r="H175" s="258">
        <f t="shared" si="31"/>
        <v>0</v>
      </c>
      <c r="I175" s="352"/>
      <c r="J175" s="235">
        <f>SUMIFS('Estoque Atual'!$E:$E,'Estoque Atual'!$A:$A,'Tabela Base'!$B175)+SUMIFS('Recebimentos do dia '!$E:$E,'Recebimentos do dia '!$C:$C,'Tabela Base'!$B175)</f>
        <v>0</v>
      </c>
      <c r="K175" s="236">
        <f>IFERROR((SUMIFS('Estoque Atual'!I:I,'Estoque Atual'!A:A,'Tabela Base'!B175)+SUMIFS('Recebimentos do dia '!I:I,'Recebimentos do dia '!C:C,'Tabela Base'!B175))/
(SUMIFS('Estoque Atual'!G:G,'Estoque Atual'!A:A,'Tabela Base'!B175)+SUMIFS('Recebimentos do dia '!H:H,'Recebimentos do dia '!C:C,'Tabela Base'!B175)),0)</f>
        <v>0</v>
      </c>
      <c r="L175" s="237">
        <f t="shared" si="32"/>
        <v>13.99</v>
      </c>
      <c r="M175" s="237">
        <f t="shared" si="33"/>
        <v>14.19</v>
      </c>
      <c r="N175" s="236">
        <f>IFERROR((SUMIFS('Recebimentos do dia '!$H:$H,'Recebimentos do dia '!$C:$C,'Tabela Base'!$B175)+SUMIFS('Estoque Atual'!$G:$G,'Estoque Atual'!$A:$A,'Tabela Base'!$B175))/(SUMIFS('Recebimentos do dia '!$E:$E,'Recebimentos do dia '!$C:$C,'Tabela Base'!$B175)+SUMIFS('Estoque Atual'!$E:$E,'Estoque Atual'!$A:$A,'Tabela Base'!$B175)),0)</f>
        <v>0</v>
      </c>
    </row>
    <row r="176" spans="1:18" s="246" customFormat="1" hidden="1">
      <c r="B176" s="247">
        <v>32041</v>
      </c>
      <c r="C176" s="248" t="s">
        <v>38</v>
      </c>
      <c r="D176" s="249" t="s">
        <v>46</v>
      </c>
      <c r="E176" s="231">
        <v>13.99</v>
      </c>
      <c r="F176" s="231">
        <v>13.99</v>
      </c>
      <c r="G176" s="284" t="s">
        <v>174</v>
      </c>
      <c r="H176" s="233">
        <f t="shared" si="31"/>
        <v>0</v>
      </c>
      <c r="I176" s="352"/>
      <c r="J176" s="235">
        <f>SUMIFS('Estoque Atual'!$E:$E,'Estoque Atual'!$A:$A,'Tabela Base'!$B176)+SUMIFS('Recebimentos do dia '!$E:$E,'Recebimentos do dia '!$C:$C,'Tabela Base'!$B176)</f>
        <v>0</v>
      </c>
      <c r="K176" s="236">
        <f>IFERROR((SUMIFS('Estoque Atual'!I:I,'Estoque Atual'!A:A,'Tabela Base'!B176)+SUMIFS('Recebimentos do dia '!I:I,'Recebimentos do dia '!C:C,'Tabela Base'!B176))/
(SUMIFS('Estoque Atual'!G:G,'Estoque Atual'!A:A,'Tabela Base'!B176)+SUMIFS('Recebimentos do dia '!H:H,'Recebimentos do dia '!C:C,'Tabela Base'!B176)),0)</f>
        <v>0</v>
      </c>
      <c r="L176" s="237">
        <f t="shared" si="32"/>
        <v>13.99</v>
      </c>
      <c r="M176" s="237">
        <f t="shared" si="33"/>
        <v>13.99</v>
      </c>
      <c r="N176" s="236">
        <f>IFERROR((SUMIFS('Recebimentos do dia '!$H:$H,'Recebimentos do dia '!$C:$C,'Tabela Base'!$B176)+SUMIFS('Estoque Atual'!$G:$G,'Estoque Atual'!$A:$A,'Tabela Base'!$B176))/(SUMIFS('Recebimentos do dia '!$E:$E,'Recebimentos do dia '!$C:$C,'Tabela Base'!$B176)+SUMIFS('Estoque Atual'!$E:$E,'Estoque Atual'!$A:$A,'Tabela Base'!$B176)),0)</f>
        <v>0</v>
      </c>
    </row>
    <row r="177" spans="1:16" s="246" customFormat="1" hidden="1">
      <c r="B177" s="277">
        <v>32038</v>
      </c>
      <c r="C177" s="248" t="s">
        <v>61</v>
      </c>
      <c r="D177" s="249" t="s">
        <v>4</v>
      </c>
      <c r="E177" s="231">
        <v>13.5</v>
      </c>
      <c r="F177" s="231">
        <v>13.5</v>
      </c>
      <c r="G177" s="250" t="s">
        <v>220</v>
      </c>
      <c r="H177" s="258">
        <f t="shared" si="31"/>
        <v>0</v>
      </c>
      <c r="I177" s="252"/>
      <c r="J177" s="235">
        <f>SUMIFS('Estoque Atual'!$E:$E,'Estoque Atual'!$A:$A,'Tabela Base'!$B177)+SUMIFS('Recebimentos do dia '!$E:$E,'Recebimentos do dia '!$C:$C,'Tabela Base'!$B177)</f>
        <v>0</v>
      </c>
      <c r="K177" s="236">
        <f>IFERROR((SUMIFS('Estoque Atual'!I:I,'Estoque Atual'!A:A,'Tabela Base'!B177)+SUMIFS('Recebimentos do dia '!I:I,'Recebimentos do dia '!C:C,'Tabela Base'!B177))/
(SUMIFS('Estoque Atual'!G:G,'Estoque Atual'!A:A,'Tabela Base'!B177)+SUMIFS('Recebimentos do dia '!H:H,'Recebimentos do dia '!C:C,'Tabela Base'!B177)),0)</f>
        <v>0</v>
      </c>
      <c r="L177" s="237">
        <f t="shared" si="32"/>
        <v>13.5</v>
      </c>
      <c r="M177" s="237">
        <f t="shared" si="33"/>
        <v>13.5</v>
      </c>
      <c r="N177" s="236">
        <f>IFERROR((SUMIFS('Recebimentos do dia '!$H:$H,'Recebimentos do dia '!$C:$C,'Tabela Base'!$B177)+SUMIFS('Estoque Atual'!$G:$G,'Estoque Atual'!$A:$A,'Tabela Base'!$B177))/(SUMIFS('Recebimentos do dia '!$E:$E,'Recebimentos do dia '!$C:$C,'Tabela Base'!$B177)+SUMIFS('Estoque Atual'!$E:$E,'Estoque Atual'!$A:$A,'Tabela Base'!$B177)),0)</f>
        <v>0</v>
      </c>
    </row>
    <row r="178" spans="1:16" s="246" customFormat="1" hidden="1">
      <c r="B178" s="247">
        <v>52021</v>
      </c>
      <c r="C178" s="248" t="s">
        <v>61</v>
      </c>
      <c r="D178" s="249" t="s">
        <v>52</v>
      </c>
      <c r="E178" s="231"/>
      <c r="F178" s="231"/>
      <c r="G178" s="250" t="s">
        <v>220</v>
      </c>
      <c r="H178" s="258">
        <f t="shared" si="31"/>
        <v>0</v>
      </c>
      <c r="I178" s="352"/>
      <c r="J178" s="235">
        <f>SUMIFS('Estoque Atual'!$E:$E,'Estoque Atual'!$A:$A,'Tabela Base'!$B178)+SUMIFS('Recebimentos do dia '!$E:$E,'Recebimentos do dia '!$C:$C,'Tabela Base'!$B178)</f>
        <v>0</v>
      </c>
      <c r="K178" s="236">
        <f>IFERROR((SUMIFS('Estoque Atual'!I:I,'Estoque Atual'!A:A,'Tabela Base'!B178)+SUMIFS('Recebimentos do dia '!I:I,'Recebimentos do dia '!C:C,'Tabela Base'!B178))/
(SUMIFS('Estoque Atual'!G:G,'Estoque Atual'!A:A,'Tabela Base'!B178)+SUMIFS('Recebimentos do dia '!H:H,'Recebimentos do dia '!C:C,'Tabela Base'!B178)),0)</f>
        <v>0</v>
      </c>
      <c r="L178" s="237">
        <f t="shared" si="32"/>
        <v>0</v>
      </c>
      <c r="M178" s="237">
        <f t="shared" si="33"/>
        <v>0</v>
      </c>
      <c r="N178" s="236">
        <f>IFERROR((SUMIFS('Recebimentos do dia '!$H:$H,'Recebimentos do dia '!$C:$C,'Tabela Base'!$B178)+SUMIFS('Estoque Atual'!$G:$G,'Estoque Atual'!$A:$A,'Tabela Base'!$B178))/(SUMIFS('Recebimentos do dia '!$E:$E,'Recebimentos do dia '!$C:$C,'Tabela Base'!$B178)+SUMIFS('Estoque Atual'!$E:$E,'Estoque Atual'!$A:$A,'Tabela Base'!$B178)),0)</f>
        <v>0</v>
      </c>
    </row>
    <row r="179" spans="1:16" s="246" customFormat="1" hidden="1">
      <c r="B179" s="247">
        <v>52063</v>
      </c>
      <c r="C179" s="248" t="s">
        <v>173</v>
      </c>
      <c r="D179" s="249" t="s">
        <v>6</v>
      </c>
      <c r="E179" s="231">
        <v>14.5</v>
      </c>
      <c r="F179" s="231">
        <v>14.5</v>
      </c>
      <c r="G179" s="250" t="s">
        <v>220</v>
      </c>
      <c r="H179" s="258">
        <f t="shared" si="31"/>
        <v>0</v>
      </c>
      <c r="I179" s="352"/>
      <c r="J179" s="235">
        <f>SUMIFS('Estoque Atual'!$E:$E,'Estoque Atual'!$A:$A,'Tabela Base'!$B179)+SUMIFS('Recebimentos do dia '!$E:$E,'Recebimentos do dia '!$C:$C,'Tabela Base'!$B179)</f>
        <v>0</v>
      </c>
      <c r="K179" s="236">
        <f>IFERROR((SUMIFS('Estoque Atual'!I:I,'Estoque Atual'!A:A,'Tabela Base'!B179)+SUMIFS('Recebimentos do dia '!I:I,'Recebimentos do dia '!C:C,'Tabela Base'!B179))/
(SUMIFS('Estoque Atual'!G:G,'Estoque Atual'!A:A,'Tabela Base'!B179)+SUMIFS('Recebimentos do dia '!H:H,'Recebimentos do dia '!C:C,'Tabela Base'!B179)),0)</f>
        <v>0</v>
      </c>
      <c r="L179" s="237">
        <f t="shared" si="32"/>
        <v>14.5</v>
      </c>
      <c r="M179" s="237">
        <f t="shared" si="33"/>
        <v>14.5</v>
      </c>
      <c r="N179" s="236">
        <f>IFERROR((SUMIFS('Recebimentos do dia '!$H:$H,'Recebimentos do dia '!$C:$C,'Tabela Base'!$B179)+SUMIFS('Estoque Atual'!$G:$G,'Estoque Atual'!$A:$A,'Tabela Base'!$B179))/(SUMIFS('Recebimentos do dia '!$E:$E,'Recebimentos do dia '!$C:$C,'Tabela Base'!$B179)+SUMIFS('Estoque Atual'!$E:$E,'Estoque Atual'!$A:$A,'Tabela Base'!$B179)),0)</f>
        <v>0</v>
      </c>
    </row>
    <row r="180" spans="1:16" s="246" customFormat="1">
      <c r="B180" s="253">
        <v>52036</v>
      </c>
      <c r="C180" s="254" t="s">
        <v>61</v>
      </c>
      <c r="D180" s="255" t="s">
        <v>418</v>
      </c>
      <c r="E180" s="231">
        <v>17.79</v>
      </c>
      <c r="F180" s="231">
        <v>17.989999999999998</v>
      </c>
      <c r="G180" s="256" t="s">
        <v>220</v>
      </c>
      <c r="H180" s="233">
        <f>J180</f>
        <v>16</v>
      </c>
      <c r="I180" s="242"/>
      <c r="J180" s="235">
        <f>SUMIFS('Estoque Atual'!$E:$E,'Estoque Atual'!$A:$A,'Tabela Base'!$B180)+SUMIFS('Recebimentos do dia '!$E:$E,'Recebimentos do dia '!$C:$C,'Tabela Base'!$B180)</f>
        <v>16</v>
      </c>
      <c r="K180" s="236">
        <f>IFERROR((SUMIFS('Estoque Atual'!I:I,'Estoque Atual'!A:A,'Tabela Base'!B180)+SUMIFS('Recebimentos do dia '!I:I,'Recebimentos do dia '!C:C,'Tabela Base'!B180))/
(SUMIFS('Estoque Atual'!G:G,'Estoque Atual'!A:A,'Tabela Base'!B180)+SUMIFS('Recebimentos do dia '!H:H,'Recebimentos do dia '!C:C,'Tabela Base'!B180)),0)</f>
        <v>15.189999999999998</v>
      </c>
      <c r="L180" s="237">
        <f>E180-K180</f>
        <v>2.6000000000000014</v>
      </c>
      <c r="M180" s="237">
        <f t="shared" si="33"/>
        <v>2.8000000000000007</v>
      </c>
      <c r="N180" s="236">
        <f>IFERROR((SUMIFS('Recebimentos do dia '!$H:$H,'Recebimentos do dia '!$C:$C,'Tabela Base'!$B180)+SUMIFS('Estoque Atual'!$G:$G,'Estoque Atual'!$A:$A,'Tabela Base'!$B180))/(SUMIFS('Recebimentos do dia '!$E:$E,'Recebimentos do dia '!$C:$C,'Tabela Base'!$B180)+SUMIFS('Estoque Atual'!$E:$E,'Estoque Atual'!$A:$A,'Tabela Base'!$B180)),0)</f>
        <v>18.687000000000001</v>
      </c>
    </row>
    <row r="181" spans="1:16" s="246" customFormat="1" hidden="1">
      <c r="B181" s="247">
        <v>32005</v>
      </c>
      <c r="C181" s="248" t="s">
        <v>31</v>
      </c>
      <c r="D181" s="255" t="s">
        <v>418</v>
      </c>
      <c r="E181" s="231">
        <v>10.29</v>
      </c>
      <c r="F181" s="231">
        <v>10.59</v>
      </c>
      <c r="G181" s="250" t="s">
        <v>220</v>
      </c>
      <c r="H181" s="258">
        <f t="shared" si="31"/>
        <v>0</v>
      </c>
      <c r="I181" s="252"/>
      <c r="J181" s="235">
        <f>SUMIFS('Estoque Atual'!$E:$E,'Estoque Atual'!$A:$A,'Tabela Base'!$B181)+SUMIFS('Recebimentos do dia '!$E:$E,'Recebimentos do dia '!$C:$C,'Tabela Base'!$B181)</f>
        <v>0</v>
      </c>
      <c r="K181" s="236">
        <f>IFERROR((SUMIFS('Estoque Atual'!I:I,'Estoque Atual'!A:A,'Tabela Base'!B181)+SUMIFS('Recebimentos do dia '!I:I,'Recebimentos do dia '!C:C,'Tabela Base'!B181))/
(SUMIFS('Estoque Atual'!G:G,'Estoque Atual'!A:A,'Tabela Base'!B181)+SUMIFS('Recebimentos do dia '!H:H,'Recebimentos do dia '!C:C,'Tabela Base'!B181)),0)</f>
        <v>0</v>
      </c>
      <c r="L181" s="237">
        <f t="shared" si="32"/>
        <v>10.29</v>
      </c>
      <c r="M181" s="237">
        <f t="shared" si="33"/>
        <v>10.59</v>
      </c>
      <c r="N181" s="236">
        <f>IFERROR((SUMIFS('Recebimentos do dia '!$H:$H,'Recebimentos do dia '!$C:$C,'Tabela Base'!$B181)+SUMIFS('Estoque Atual'!$G:$G,'Estoque Atual'!$A:$A,'Tabela Base'!$B181))/(SUMIFS('Recebimentos do dia '!$E:$E,'Recebimentos do dia '!$C:$C,'Tabela Base'!$B181)+SUMIFS('Estoque Atual'!$E:$E,'Estoque Atual'!$A:$A,'Tabela Base'!$B181)),0)</f>
        <v>0</v>
      </c>
    </row>
    <row r="182" spans="1:16">
      <c r="A182" s="199"/>
      <c r="B182" s="300">
        <v>32001</v>
      </c>
      <c r="C182" s="301" t="s">
        <v>20</v>
      </c>
      <c r="D182" s="302" t="s">
        <v>73</v>
      </c>
      <c r="E182" s="231">
        <v>8.99</v>
      </c>
      <c r="F182" s="231">
        <v>8.99</v>
      </c>
      <c r="G182" s="256" t="s">
        <v>220</v>
      </c>
      <c r="H182" s="233">
        <f t="shared" si="31"/>
        <v>83</v>
      </c>
      <c r="I182" s="242"/>
      <c r="J182" s="235">
        <f>SUMIFS('Estoque Atual'!$E:$E,'Estoque Atual'!$A:$A,'Tabela Base'!$B182)+SUMIFS('Recebimentos do dia '!$E:$E,'Recebimentos do dia '!$C:$C,'Tabela Base'!$B182)</f>
        <v>83</v>
      </c>
      <c r="K182" s="236">
        <f>IFERROR((SUMIFS('Estoque Atual'!I:I,'Estoque Atual'!A:A,'Tabela Base'!B182)+SUMIFS('Recebimentos do dia '!I:I,'Recebimentos do dia '!C:C,'Tabela Base'!B182))/
(SUMIFS('Estoque Atual'!G:G,'Estoque Atual'!A:A,'Tabela Base'!B182)+SUMIFS('Recebimentos do dia '!H:H,'Recebimentos do dia '!C:C,'Tabela Base'!B182)),0)</f>
        <v>6.4999999999999991</v>
      </c>
      <c r="L182" s="237">
        <f t="shared" si="32"/>
        <v>2.4900000000000011</v>
      </c>
      <c r="M182" s="237">
        <f t="shared" si="33"/>
        <v>2.4900000000000011</v>
      </c>
      <c r="N182" s="236">
        <f>IFERROR((SUMIFS('Recebimentos do dia '!$H:$H,'Recebimentos do dia '!$C:$C,'Tabela Base'!$B182)+SUMIFS('Estoque Atual'!$G:$G,'Estoque Atual'!$A:$A,'Tabela Base'!$B182))/(SUMIFS('Recebimentos do dia '!$E:$E,'Recebimentos do dia '!$C:$C,'Tabela Base'!$B182)+SUMIFS('Estoque Atual'!$E:$E,'Estoque Atual'!$A:$A,'Tabela Base'!$B182)),0)</f>
        <v>24.140168674698796</v>
      </c>
      <c r="P182" s="238"/>
    </row>
    <row r="183" spans="1:16" s="246" customFormat="1" hidden="1">
      <c r="B183" s="277">
        <v>32018</v>
      </c>
      <c r="C183" s="270" t="s">
        <v>131</v>
      </c>
      <c r="D183" s="249" t="s">
        <v>52</v>
      </c>
      <c r="E183" s="231">
        <v>8.9</v>
      </c>
      <c r="F183" s="231">
        <v>8.9</v>
      </c>
      <c r="G183" s="250" t="s">
        <v>220</v>
      </c>
      <c r="H183" s="258">
        <f t="shared" si="31"/>
        <v>0</v>
      </c>
      <c r="J183" s="235">
        <f>SUMIFS('Estoque Atual'!$E:$E,'Estoque Atual'!$A:$A,'Tabela Base'!$B183)+SUMIFS('Recebimentos do dia '!$E:$E,'Recebimentos do dia '!$C:$C,'Tabela Base'!$B183)</f>
        <v>0</v>
      </c>
      <c r="K183" s="236">
        <f>IFERROR((SUMIFS('Estoque Atual'!I:I,'Estoque Atual'!A:A,'Tabela Base'!B183)+SUMIFS('Recebimentos do dia '!I:I,'Recebimentos do dia '!C:C,'Tabela Base'!B183))/
(SUMIFS('Estoque Atual'!G:G,'Estoque Atual'!A:A,'Tabela Base'!B183)+SUMIFS('Recebimentos do dia '!H:H,'Recebimentos do dia '!C:C,'Tabela Base'!B183)),0)</f>
        <v>0</v>
      </c>
      <c r="L183" s="237">
        <f t="shared" si="32"/>
        <v>8.9</v>
      </c>
      <c r="M183" s="237">
        <f t="shared" si="33"/>
        <v>8.9</v>
      </c>
      <c r="N183" s="236">
        <f>IFERROR((SUMIFS('Recebimentos do dia '!$H:$H,'Recebimentos do dia '!$C:$C,'Tabela Base'!$B183)+SUMIFS('Estoque Atual'!$G:$G,'Estoque Atual'!$A:$A,'Tabela Base'!$B183))/(SUMIFS('Recebimentos do dia '!$E:$E,'Recebimentos do dia '!$C:$C,'Tabela Base'!$B183)+SUMIFS('Estoque Atual'!$E:$E,'Estoque Atual'!$A:$A,'Tabela Base'!$B183)),0)</f>
        <v>0</v>
      </c>
    </row>
    <row r="184" spans="1:16" s="246" customFormat="1" hidden="1">
      <c r="B184" s="357">
        <v>32021</v>
      </c>
      <c r="C184" s="372" t="s">
        <v>26</v>
      </c>
      <c r="D184" s="295" t="s">
        <v>73</v>
      </c>
      <c r="E184" s="231">
        <v>13.5</v>
      </c>
      <c r="F184" s="231">
        <v>13.5</v>
      </c>
      <c r="G184" s="256" t="s">
        <v>220</v>
      </c>
      <c r="H184" s="258">
        <f t="shared" si="31"/>
        <v>0</v>
      </c>
      <c r="I184" s="252"/>
      <c r="J184" s="235">
        <f>SUMIFS('Estoque Atual'!$E:$E,'Estoque Atual'!$A:$A,'Tabela Base'!$B184)+SUMIFS('Recebimentos do dia '!$E:$E,'Recebimentos do dia '!$C:$C,'Tabela Base'!$B184)</f>
        <v>0</v>
      </c>
      <c r="K184" s="236">
        <f>IFERROR((SUMIFS('Estoque Atual'!I:I,'Estoque Atual'!A:A,'Tabela Base'!B184)+SUMIFS('Recebimentos do dia '!I:I,'Recebimentos do dia '!C:C,'Tabela Base'!B184))/
(SUMIFS('Estoque Atual'!G:G,'Estoque Atual'!A:A,'Tabela Base'!B184)+SUMIFS('Recebimentos do dia '!H:H,'Recebimentos do dia '!C:C,'Tabela Base'!B184)),0)</f>
        <v>0</v>
      </c>
      <c r="L184" s="237">
        <f t="shared" si="32"/>
        <v>13.5</v>
      </c>
      <c r="M184" s="237">
        <f t="shared" si="33"/>
        <v>13.5</v>
      </c>
      <c r="N184" s="236">
        <f>IFERROR((SUMIFS('Recebimentos do dia '!$H:$H,'Recebimentos do dia '!$C:$C,'Tabela Base'!$B184)+SUMIFS('Estoque Atual'!$G:$G,'Estoque Atual'!$A:$A,'Tabela Base'!$B184))/(SUMIFS('Recebimentos do dia '!$E:$E,'Recebimentos do dia '!$C:$C,'Tabela Base'!$B184)+SUMIFS('Estoque Atual'!$E:$E,'Estoque Atual'!$A:$A,'Tabela Base'!$B184)),0)</f>
        <v>0</v>
      </c>
    </row>
    <row r="185" spans="1:16">
      <c r="A185" s="199"/>
      <c r="B185" s="373">
        <v>32044</v>
      </c>
      <c r="C185" s="372" t="s">
        <v>26</v>
      </c>
      <c r="D185" s="295" t="s">
        <v>73</v>
      </c>
      <c r="E185" s="231">
        <v>21.99</v>
      </c>
      <c r="F185" s="231">
        <v>22.39</v>
      </c>
      <c r="G185" s="256" t="s">
        <v>220</v>
      </c>
      <c r="H185" s="233">
        <f t="shared" si="31"/>
        <v>89</v>
      </c>
      <c r="I185" s="242"/>
      <c r="J185" s="235">
        <f>SUMIFS('Estoque Atual'!$E:$E,'Estoque Atual'!$A:$A,'Tabela Base'!$B185)+SUMIFS('Recebimentos do dia '!$E:$E,'Recebimentos do dia '!$C:$C,'Tabela Base'!$B185)</f>
        <v>89</v>
      </c>
      <c r="K185" s="236">
        <f>IFERROR((SUMIFS('Estoque Atual'!I:I,'Estoque Atual'!A:A,'Tabela Base'!B185)+SUMIFS('Recebimentos do dia '!I:I,'Recebimentos do dia '!C:C,'Tabela Base'!B185))/
(SUMIFS('Estoque Atual'!G:G,'Estoque Atual'!A:A,'Tabela Base'!B185)+SUMIFS('Recebimentos do dia '!H:H,'Recebimentos do dia '!C:C,'Tabela Base'!B185)),0)</f>
        <v>19.93</v>
      </c>
      <c r="L185" s="237">
        <f t="shared" si="32"/>
        <v>2.0599999999999987</v>
      </c>
      <c r="M185" s="237">
        <f t="shared" si="33"/>
        <v>2.4600000000000009</v>
      </c>
      <c r="N185" s="236">
        <f>IFERROR((SUMIFS('Recebimentos do dia '!$H:$H,'Recebimentos do dia '!$C:$C,'Tabela Base'!$B185)+SUMIFS('Estoque Atual'!$G:$G,'Estoque Atual'!$A:$A,'Tabela Base'!$B185))/(SUMIFS('Recebimentos do dia '!$E:$E,'Recebimentos do dia '!$C:$C,'Tabela Base'!$B185)+SUMIFS('Estoque Atual'!$E:$E,'Estoque Atual'!$A:$A,'Tabela Base'!$B185)),0)</f>
        <v>25.175764044943815</v>
      </c>
      <c r="P185" s="238"/>
    </row>
    <row r="186" spans="1:16" s="246" customFormat="1" hidden="1">
      <c r="B186" s="247">
        <v>13002</v>
      </c>
      <c r="C186" s="248" t="s">
        <v>159</v>
      </c>
      <c r="D186" s="249" t="s">
        <v>46</v>
      </c>
      <c r="E186" s="231"/>
      <c r="F186" s="231"/>
      <c r="G186" s="250" t="s">
        <v>234</v>
      </c>
      <c r="H186" s="258">
        <f t="shared" si="31"/>
        <v>0</v>
      </c>
      <c r="J186" s="235">
        <f>SUMIFS('Estoque Atual'!$E:$E,'Estoque Atual'!$A:$A,'Tabela Base'!$B186)+SUMIFS('Recebimentos do dia '!$E:$E,'Recebimentos do dia '!$C:$C,'Tabela Base'!$B186)</f>
        <v>0</v>
      </c>
      <c r="K186" s="236">
        <f>IFERROR((SUMIFS('Estoque Atual'!I:I,'Estoque Atual'!A:A,'Tabela Base'!B186)+SUMIFS('Recebimentos do dia '!I:I,'Recebimentos do dia '!C:C,'Tabela Base'!B186))/
(SUMIFS('Estoque Atual'!G:G,'Estoque Atual'!A:A,'Tabela Base'!B186)+SUMIFS('Recebimentos do dia '!H:H,'Recebimentos do dia '!C:C,'Tabela Base'!B186)),0)</f>
        <v>0</v>
      </c>
      <c r="L186" s="237">
        <f t="shared" si="32"/>
        <v>0</v>
      </c>
      <c r="M186" s="237">
        <f t="shared" si="33"/>
        <v>0</v>
      </c>
      <c r="N186" s="236">
        <f>IFERROR((SUMIFS('Recebimentos do dia '!$H:$H,'Recebimentos do dia '!$C:$C,'Tabela Base'!$B186)+SUMIFS('Estoque Atual'!$G:$G,'Estoque Atual'!$A:$A,'Tabela Base'!$B186))/(SUMIFS('Recebimentos do dia '!$E:$E,'Recebimentos do dia '!$C:$C,'Tabela Base'!$B186)+SUMIFS('Estoque Atual'!$E:$E,'Estoque Atual'!$A:$A,'Tabela Base'!$B186)),0)</f>
        <v>0</v>
      </c>
    </row>
    <row r="187" spans="1:16" s="246" customFormat="1" hidden="1">
      <c r="B187" s="247">
        <v>32004</v>
      </c>
      <c r="C187" s="248" t="s">
        <v>59</v>
      </c>
      <c r="D187" s="249" t="s">
        <v>50</v>
      </c>
      <c r="E187" s="231">
        <v>13.5</v>
      </c>
      <c r="F187" s="231">
        <v>13.5</v>
      </c>
      <c r="G187" s="250" t="s">
        <v>220</v>
      </c>
      <c r="H187" s="258">
        <f t="shared" si="31"/>
        <v>0</v>
      </c>
      <c r="I187" s="352"/>
      <c r="J187" s="235">
        <f>SUMIFS('Estoque Atual'!$E:$E,'Estoque Atual'!$A:$A,'Tabela Base'!$B187)+SUMIFS('Recebimentos do dia '!$E:$E,'Recebimentos do dia '!$C:$C,'Tabela Base'!$B187)</f>
        <v>0</v>
      </c>
      <c r="K187" s="236">
        <f>IFERROR((SUMIFS('Estoque Atual'!I:I,'Estoque Atual'!A:A,'Tabela Base'!B187)+SUMIFS('Recebimentos do dia '!I:I,'Recebimentos do dia '!C:C,'Tabela Base'!B187))/
(SUMIFS('Estoque Atual'!G:G,'Estoque Atual'!A:A,'Tabela Base'!B187)+SUMIFS('Recebimentos do dia '!H:H,'Recebimentos do dia '!C:C,'Tabela Base'!B187)),0)</f>
        <v>0</v>
      </c>
      <c r="L187" s="237">
        <f t="shared" si="32"/>
        <v>13.5</v>
      </c>
      <c r="M187" s="237">
        <f t="shared" si="33"/>
        <v>13.5</v>
      </c>
      <c r="N187" s="236">
        <f>IFERROR((SUMIFS('Recebimentos do dia '!$H:$H,'Recebimentos do dia '!$C:$C,'Tabela Base'!$B187)+SUMIFS('Estoque Atual'!$G:$G,'Estoque Atual'!$A:$A,'Tabela Base'!$B187))/(SUMIFS('Recebimentos do dia '!$E:$E,'Recebimentos do dia '!$C:$C,'Tabela Base'!$B187)+SUMIFS('Estoque Atual'!$E:$E,'Estoque Atual'!$A:$A,'Tabela Base'!$B187)),0)</f>
        <v>0</v>
      </c>
    </row>
    <row r="188" spans="1:16" s="246" customFormat="1" hidden="1">
      <c r="B188" s="357">
        <v>32020</v>
      </c>
      <c r="C188" s="372" t="s">
        <v>25</v>
      </c>
      <c r="D188" s="374" t="s">
        <v>51</v>
      </c>
      <c r="E188" s="231">
        <v>14.5</v>
      </c>
      <c r="F188" s="231">
        <v>14.5</v>
      </c>
      <c r="G188" s="256" t="s">
        <v>220</v>
      </c>
      <c r="H188" s="258">
        <f t="shared" si="31"/>
        <v>0</v>
      </c>
      <c r="J188" s="235">
        <f>SUMIFS('Estoque Atual'!$E:$E,'Estoque Atual'!$A:$A,'Tabela Base'!$B188)+SUMIFS('Recebimentos do dia '!$E:$E,'Recebimentos do dia '!$C:$C,'Tabela Base'!$B188)</f>
        <v>0</v>
      </c>
      <c r="K188" s="236">
        <f>IFERROR((SUMIFS('Estoque Atual'!I:I,'Estoque Atual'!A:A,'Tabela Base'!B188)+SUMIFS('Recebimentos do dia '!I:I,'Recebimentos do dia '!C:C,'Tabela Base'!B188))/
(SUMIFS('Estoque Atual'!G:G,'Estoque Atual'!A:A,'Tabela Base'!B188)+SUMIFS('Recebimentos do dia '!H:H,'Recebimentos do dia '!C:C,'Tabela Base'!B188)),0)</f>
        <v>0</v>
      </c>
      <c r="L188" s="237">
        <f t="shared" si="32"/>
        <v>14.5</v>
      </c>
      <c r="M188" s="237">
        <f t="shared" si="33"/>
        <v>14.5</v>
      </c>
      <c r="N188" s="236">
        <f>IFERROR((SUMIFS('Recebimentos do dia '!$H:$H,'Recebimentos do dia '!$C:$C,'Tabela Base'!$B188)+SUMIFS('Estoque Atual'!$G:$G,'Estoque Atual'!$A:$A,'Tabela Base'!$B188))/(SUMIFS('Recebimentos do dia '!$E:$E,'Recebimentos do dia '!$C:$C,'Tabela Base'!$B188)+SUMIFS('Estoque Atual'!$E:$E,'Estoque Atual'!$A:$A,'Tabela Base'!$B188)),0)</f>
        <v>0</v>
      </c>
    </row>
    <row r="189" spans="1:16" s="246" customFormat="1" hidden="1">
      <c r="B189" s="366">
        <v>25251</v>
      </c>
      <c r="C189" s="372" t="s">
        <v>25</v>
      </c>
      <c r="D189" s="374" t="s">
        <v>51</v>
      </c>
      <c r="E189" s="231">
        <v>18.489999999999998</v>
      </c>
      <c r="F189" s="231">
        <v>18.489999999999998</v>
      </c>
      <c r="G189" s="256" t="s">
        <v>220</v>
      </c>
      <c r="H189" s="258">
        <f t="shared" ref="H189" si="34">J189</f>
        <v>0</v>
      </c>
      <c r="J189" s="235">
        <f>SUMIFS('Estoque Atual'!$E:$E,'Estoque Atual'!$A:$A,'Tabela Base'!$B189)+SUMIFS('Recebimentos do dia '!$E:$E,'Recebimentos do dia '!$C:$C,'Tabela Base'!$B189)</f>
        <v>0</v>
      </c>
      <c r="K189" s="236">
        <f>IFERROR((SUMIFS('Estoque Atual'!I:I,'Estoque Atual'!A:A,'Tabela Base'!B189)+SUMIFS('Recebimentos do dia '!I:I,'Recebimentos do dia '!C:C,'Tabela Base'!B189))/
(SUMIFS('Estoque Atual'!G:G,'Estoque Atual'!A:A,'Tabela Base'!B189)+SUMIFS('Recebimentos do dia '!H:H,'Recebimentos do dia '!C:C,'Tabela Base'!B189)),0)</f>
        <v>0</v>
      </c>
      <c r="L189" s="237">
        <f t="shared" si="32"/>
        <v>18.489999999999998</v>
      </c>
      <c r="M189" s="237">
        <f t="shared" si="33"/>
        <v>18.489999999999998</v>
      </c>
      <c r="N189" s="236">
        <f>IFERROR((SUMIFS('Recebimentos do dia '!$H:$H,'Recebimentos do dia '!$C:$C,'Tabela Base'!$B189)+SUMIFS('Estoque Atual'!$G:$G,'Estoque Atual'!$A:$A,'Tabela Base'!$B189))/(SUMIFS('Recebimentos do dia '!$E:$E,'Recebimentos do dia '!$C:$C,'Tabela Base'!$B189)+SUMIFS('Estoque Atual'!$E:$E,'Estoque Atual'!$A:$A,'Tabela Base'!$B189)),0)</f>
        <v>0</v>
      </c>
    </row>
    <row r="190" spans="1:16" s="246" customFormat="1" hidden="1">
      <c r="B190" s="260">
        <v>25227</v>
      </c>
      <c r="C190" s="261" t="s">
        <v>59</v>
      </c>
      <c r="D190" s="285" t="s">
        <v>452</v>
      </c>
      <c r="E190" s="231">
        <v>8.99</v>
      </c>
      <c r="F190" s="231">
        <v>9.49</v>
      </c>
      <c r="G190" s="256" t="s">
        <v>220</v>
      </c>
      <c r="H190" s="233">
        <f t="shared" ref="H190" si="35">J190</f>
        <v>0</v>
      </c>
      <c r="I190" s="242"/>
      <c r="J190" s="235">
        <f>SUMIFS('Estoque Atual'!$E:$E,'Estoque Atual'!$A:$A,'Tabela Base'!$B190)+SUMIFS('Recebimentos do dia '!$E:$E,'Recebimentos do dia '!$C:$C,'Tabela Base'!$B190)</f>
        <v>0</v>
      </c>
      <c r="K190" s="236">
        <f>IFERROR((SUMIFS('Estoque Atual'!I:I,'Estoque Atual'!A:A,'Tabela Base'!B190)+SUMIFS('Recebimentos do dia '!I:I,'Recebimentos do dia '!C:C,'Tabela Base'!B190))/
(SUMIFS('Estoque Atual'!G:G,'Estoque Atual'!A:A,'Tabela Base'!B190)+SUMIFS('Recebimentos do dia '!H:H,'Recebimentos do dia '!C:C,'Tabela Base'!B190)),0)</f>
        <v>0</v>
      </c>
      <c r="L190" s="237">
        <f t="shared" ref="L190" si="36">E190-K190</f>
        <v>8.99</v>
      </c>
      <c r="M190" s="237">
        <f t="shared" si="33"/>
        <v>9.49</v>
      </c>
      <c r="N190" s="236">
        <f>IFERROR((SUMIFS('Recebimentos do dia '!$H:$H,'Recebimentos do dia '!$C:$C,'Tabela Base'!$B190)+SUMIFS('Estoque Atual'!$G:$G,'Estoque Atual'!$A:$A,'Tabela Base'!$B190))/(SUMIFS('Recebimentos do dia '!$E:$E,'Recebimentos do dia '!$C:$C,'Tabela Base'!$B190)+SUMIFS('Estoque Atual'!$E:$E,'Estoque Atual'!$A:$A,'Tabela Base'!$B190)),0)</f>
        <v>0</v>
      </c>
    </row>
    <row r="191" spans="1:16">
      <c r="A191" s="199"/>
      <c r="B191" s="355">
        <v>32043</v>
      </c>
      <c r="C191" s="375" t="s">
        <v>25</v>
      </c>
      <c r="D191" s="376" t="s">
        <v>333</v>
      </c>
      <c r="E191" s="231">
        <v>22.99</v>
      </c>
      <c r="F191" s="231">
        <v>23.19</v>
      </c>
      <c r="G191" s="256" t="s">
        <v>220</v>
      </c>
      <c r="H191" s="233">
        <f t="shared" si="31"/>
        <v>35</v>
      </c>
      <c r="J191" s="235">
        <f>SUMIFS('Estoque Atual'!$E:$E,'Estoque Atual'!$A:$A,'Tabela Base'!$B191)+SUMIFS('Recebimentos do dia '!$E:$E,'Recebimentos do dia '!$C:$C,'Tabela Base'!$B191)</f>
        <v>35</v>
      </c>
      <c r="K191" s="236">
        <f>IFERROR((SUMIFS('Estoque Atual'!I:I,'Estoque Atual'!A:A,'Tabela Base'!B191)+SUMIFS('Recebimentos do dia '!I:I,'Recebimentos do dia '!C:C,'Tabela Base'!B191))/
(SUMIFS('Estoque Atual'!G:G,'Estoque Atual'!A:A,'Tabela Base'!B191)+SUMIFS('Recebimentos do dia '!H:H,'Recebimentos do dia '!C:C,'Tabela Base'!B191)),0)</f>
        <v>19.760000000000002</v>
      </c>
      <c r="L191" s="237">
        <f t="shared" si="32"/>
        <v>3.2299999999999969</v>
      </c>
      <c r="M191" s="237">
        <f t="shared" si="33"/>
        <v>3.4299999999999997</v>
      </c>
      <c r="N191" s="236">
        <f>IFERROR((SUMIFS('Recebimentos do dia '!$H:$H,'Recebimentos do dia '!$C:$C,'Tabela Base'!$B191)+SUMIFS('Estoque Atual'!$G:$G,'Estoque Atual'!$A:$A,'Tabela Base'!$B191))/(SUMIFS('Recebimentos do dia '!$E:$E,'Recebimentos do dia '!$C:$C,'Tabela Base'!$B191)+SUMIFS('Estoque Atual'!$E:$E,'Estoque Atual'!$A:$A,'Tabela Base'!$B191)),0)</f>
        <v>25.539285714285715</v>
      </c>
      <c r="P191" s="238"/>
    </row>
    <row r="192" spans="1:16" s="246" customFormat="1">
      <c r="B192" s="355">
        <v>32017</v>
      </c>
      <c r="C192" s="375" t="s">
        <v>404</v>
      </c>
      <c r="D192" s="376" t="s">
        <v>52</v>
      </c>
      <c r="E192" s="231">
        <v>10.99</v>
      </c>
      <c r="F192" s="231">
        <v>11.29</v>
      </c>
      <c r="G192" s="232" t="s">
        <v>174</v>
      </c>
      <c r="H192" s="233">
        <f t="shared" si="31"/>
        <v>18</v>
      </c>
      <c r="J192" s="235">
        <f>SUMIFS('Estoque Atual'!$E:$E,'Estoque Atual'!$A:$A,'Tabela Base'!$B192)+SUMIFS('Recebimentos do dia '!$E:$E,'Recebimentos do dia '!$C:$C,'Tabela Base'!$B192)</f>
        <v>18</v>
      </c>
      <c r="K192" s="236">
        <f>IFERROR((SUMIFS('Estoque Atual'!I:I,'Estoque Atual'!A:A,'Tabela Base'!B192)+SUMIFS('Recebimentos do dia '!I:I,'Recebimentos do dia '!C:C,'Tabela Base'!B192))/
(SUMIFS('Estoque Atual'!G:G,'Estoque Atual'!A:A,'Tabela Base'!B192)+SUMIFS('Recebimentos do dia '!H:H,'Recebimentos do dia '!C:C,'Tabela Base'!B192)),0)</f>
        <v>9</v>
      </c>
      <c r="L192" s="237">
        <f t="shared" si="32"/>
        <v>1.9900000000000002</v>
      </c>
      <c r="M192" s="237">
        <f t="shared" si="33"/>
        <v>2.2899999999999991</v>
      </c>
      <c r="N192" s="236">
        <f>IFERROR((SUMIFS('Recebimentos do dia '!$H:$H,'Recebimentos do dia '!$C:$C,'Tabela Base'!$B192)+SUMIFS('Estoque Atual'!$G:$G,'Estoque Atual'!$A:$A,'Tabela Base'!$B192))/(SUMIFS('Recebimentos do dia '!$E:$E,'Recebimentos do dia '!$C:$C,'Tabela Base'!$B192)+SUMIFS('Estoque Atual'!$E:$E,'Estoque Atual'!$A:$A,'Tabela Base'!$B192)),0)</f>
        <v>20.234166666666667</v>
      </c>
      <c r="P192" s="262"/>
    </row>
    <row r="193" spans="1:16" s="246" customFormat="1">
      <c r="B193" s="247">
        <v>32040</v>
      </c>
      <c r="C193" s="248" t="s">
        <v>384</v>
      </c>
      <c r="D193" s="249" t="s">
        <v>67</v>
      </c>
      <c r="E193" s="231">
        <v>10.69</v>
      </c>
      <c r="F193" s="231">
        <v>10.99</v>
      </c>
      <c r="G193" s="250" t="s">
        <v>408</v>
      </c>
      <c r="H193" s="258">
        <f t="shared" si="31"/>
        <v>74</v>
      </c>
      <c r="I193" s="352"/>
      <c r="J193" s="235">
        <f>SUMIFS('Estoque Atual'!$E:$E,'Estoque Atual'!$A:$A,'Tabela Base'!$B193)+SUMIFS('Recebimentos do dia '!$E:$E,'Recebimentos do dia '!$C:$C,'Tabela Base'!$B193)</f>
        <v>74</v>
      </c>
      <c r="K193" s="236">
        <f>IFERROR((SUMIFS('Estoque Atual'!I:I,'Estoque Atual'!A:A,'Tabela Base'!B193)+SUMIFS('Recebimentos do dia '!I:I,'Recebimentos do dia '!C:C,'Tabela Base'!B193))/
(SUMIFS('Estoque Atual'!G:G,'Estoque Atual'!A:A,'Tabela Base'!B193)+SUMIFS('Recebimentos do dia '!H:H,'Recebimentos do dia '!C:C,'Tabela Base'!B193)),0)</f>
        <v>8.5</v>
      </c>
      <c r="L193" s="237">
        <f t="shared" si="32"/>
        <v>2.1899999999999995</v>
      </c>
      <c r="M193" s="237">
        <f t="shared" si="33"/>
        <v>2.4900000000000002</v>
      </c>
      <c r="N193" s="236">
        <f>IFERROR((SUMIFS('Recebimentos do dia '!$H:$H,'Recebimentos do dia '!$C:$C,'Tabela Base'!$B193)+SUMIFS('Estoque Atual'!$G:$G,'Estoque Atual'!$A:$A,'Tabela Base'!$B193))/(SUMIFS('Recebimentos do dia '!$E:$E,'Recebimentos do dia '!$C:$C,'Tabela Base'!$B193)+SUMIFS('Estoque Atual'!$E:$E,'Estoque Atual'!$A:$A,'Tabela Base'!$B193)),0)</f>
        <v>17.870810810810813</v>
      </c>
    </row>
    <row r="194" spans="1:16">
      <c r="A194" s="199"/>
      <c r="B194" s="293">
        <v>32002</v>
      </c>
      <c r="C194" s="254" t="s">
        <v>29</v>
      </c>
      <c r="D194" s="255" t="s">
        <v>333</v>
      </c>
      <c r="E194" s="231">
        <v>21.49</v>
      </c>
      <c r="F194" s="231">
        <v>21.99</v>
      </c>
      <c r="G194" s="256" t="s">
        <v>220</v>
      </c>
      <c r="H194" s="233">
        <f t="shared" si="31"/>
        <v>77</v>
      </c>
      <c r="I194" s="377"/>
      <c r="J194" s="235">
        <f>SUMIFS('Estoque Atual'!$E:$E,'Estoque Atual'!$A:$A,'Tabela Base'!$B194)+SUMIFS('Recebimentos do dia '!$E:$E,'Recebimentos do dia '!$C:$C,'Tabela Base'!$B194)</f>
        <v>77</v>
      </c>
      <c r="K194" s="236">
        <f>IFERROR((SUMIFS('Estoque Atual'!I:I,'Estoque Atual'!A:A,'Tabela Base'!B194)+SUMIFS('Recebimentos do dia '!I:I,'Recebimentos do dia '!C:C,'Tabela Base'!B194))/
(SUMIFS('Estoque Atual'!G:G,'Estoque Atual'!A:A,'Tabela Base'!B194)+SUMIFS('Recebimentos do dia '!H:H,'Recebimentos do dia '!C:C,'Tabela Base'!B194)),0)</f>
        <v>19.07</v>
      </c>
      <c r="L194" s="237">
        <f t="shared" si="32"/>
        <v>2.4199999999999982</v>
      </c>
      <c r="M194" s="237">
        <f t="shared" si="33"/>
        <v>2.9199999999999982</v>
      </c>
      <c r="N194" s="236">
        <f>IFERROR((SUMIFS('Recebimentos do dia '!$H:$H,'Recebimentos do dia '!$C:$C,'Tabela Base'!$B194)+SUMIFS('Estoque Atual'!$G:$G,'Estoque Atual'!$A:$A,'Tabela Base'!$B194))/(SUMIFS('Recebimentos do dia '!$E:$E,'Recebimentos do dia '!$C:$C,'Tabela Base'!$B194)+SUMIFS('Estoque Atual'!$E:$E,'Estoque Atual'!$A:$A,'Tabela Base'!$B194)),0)</f>
        <v>21.9425974025974</v>
      </c>
      <c r="P194" s="238"/>
    </row>
    <row r="195" spans="1:16" s="246" customFormat="1" hidden="1">
      <c r="B195" s="247">
        <v>32039</v>
      </c>
      <c r="C195" s="248" t="s">
        <v>29</v>
      </c>
      <c r="D195" s="249" t="s">
        <v>4</v>
      </c>
      <c r="E195" s="231">
        <v>19</v>
      </c>
      <c r="F195" s="231">
        <v>19</v>
      </c>
      <c r="G195" s="250" t="s">
        <v>235</v>
      </c>
      <c r="H195" s="258">
        <f t="shared" si="31"/>
        <v>0</v>
      </c>
      <c r="J195" s="235">
        <f>SUMIFS('Estoque Atual'!$E:$E,'Estoque Atual'!$A:$A,'Tabela Base'!$B195)+SUMIFS('Recebimentos do dia '!$E:$E,'Recebimentos do dia '!$C:$C,'Tabela Base'!$B195)</f>
        <v>0</v>
      </c>
      <c r="K195" s="236">
        <f>IFERROR((SUMIFS('Estoque Atual'!I:I,'Estoque Atual'!A:A,'Tabela Base'!B195)+SUMIFS('Recebimentos do dia '!I:I,'Recebimentos do dia '!C:C,'Tabela Base'!B195))/
(SUMIFS('Estoque Atual'!G:G,'Estoque Atual'!A:A,'Tabela Base'!B195)+SUMIFS('Recebimentos do dia '!H:H,'Recebimentos do dia '!C:C,'Tabela Base'!B195)),0)</f>
        <v>0</v>
      </c>
      <c r="L195" s="237">
        <f t="shared" si="32"/>
        <v>19</v>
      </c>
      <c r="M195" s="237">
        <f t="shared" si="33"/>
        <v>19</v>
      </c>
      <c r="N195" s="236">
        <f>IFERROR((SUMIFS('Recebimentos do dia '!$H:$H,'Recebimentos do dia '!$C:$C,'Tabela Base'!$B195)+SUMIFS('Estoque Atual'!$G:$G,'Estoque Atual'!$A:$A,'Tabela Base'!$B195))/(SUMIFS('Recebimentos do dia '!$E:$E,'Recebimentos do dia '!$C:$C,'Tabela Base'!$B195)+SUMIFS('Estoque Atual'!$E:$E,'Estoque Atual'!$A:$A,'Tabela Base'!$B195)),0)</f>
        <v>0</v>
      </c>
    </row>
    <row r="196" spans="1:16" s="246" customFormat="1" hidden="1">
      <c r="B196" s="277">
        <v>32019</v>
      </c>
      <c r="C196" s="270" t="s">
        <v>29</v>
      </c>
      <c r="D196" s="249" t="s">
        <v>119</v>
      </c>
      <c r="E196" s="231">
        <v>20</v>
      </c>
      <c r="F196" s="231">
        <v>20</v>
      </c>
      <c r="G196" s="250" t="s">
        <v>220</v>
      </c>
      <c r="H196" s="258">
        <f t="shared" si="31"/>
        <v>0</v>
      </c>
      <c r="I196" s="252"/>
      <c r="J196" s="235">
        <f>SUMIFS('Estoque Atual'!$E:$E,'Estoque Atual'!$A:$A,'Tabela Base'!$B196)+SUMIFS('Recebimentos do dia '!$E:$E,'Recebimentos do dia '!$C:$C,'Tabela Base'!$B196)</f>
        <v>0</v>
      </c>
      <c r="K196" s="236">
        <f>IFERROR((SUMIFS('Estoque Atual'!I:I,'Estoque Atual'!A:A,'Tabela Base'!B196)+SUMIFS('Recebimentos do dia '!I:I,'Recebimentos do dia '!C:C,'Tabela Base'!B196))/
(SUMIFS('Estoque Atual'!G:G,'Estoque Atual'!A:A,'Tabela Base'!B196)+SUMIFS('Recebimentos do dia '!H:H,'Recebimentos do dia '!C:C,'Tabela Base'!B196)),0)</f>
        <v>0</v>
      </c>
      <c r="L196" s="237">
        <f t="shared" si="32"/>
        <v>20</v>
      </c>
      <c r="M196" s="237">
        <f t="shared" si="33"/>
        <v>20</v>
      </c>
      <c r="N196" s="236">
        <f>IFERROR((SUMIFS('Recebimentos do dia '!$H:$H,'Recebimentos do dia '!$C:$C,'Tabela Base'!$B196)+SUMIFS('Estoque Atual'!$G:$G,'Estoque Atual'!$A:$A,'Tabela Base'!$B196))/(SUMIFS('Recebimentos do dia '!$E:$E,'Recebimentos do dia '!$C:$C,'Tabela Base'!$B196)+SUMIFS('Estoque Atual'!$E:$E,'Estoque Atual'!$A:$A,'Tabela Base'!$B196)),0)</f>
        <v>0</v>
      </c>
    </row>
    <row r="197" spans="1:16" s="246" customFormat="1" hidden="1">
      <c r="B197" s="277">
        <v>13004</v>
      </c>
      <c r="C197" s="270" t="s">
        <v>160</v>
      </c>
      <c r="D197" s="249" t="s">
        <v>161</v>
      </c>
      <c r="E197" s="231">
        <v>16.5</v>
      </c>
      <c r="F197" s="231">
        <v>16.5</v>
      </c>
      <c r="G197" s="250" t="s">
        <v>220</v>
      </c>
      <c r="H197" s="258">
        <f t="shared" si="31"/>
        <v>0</v>
      </c>
      <c r="I197" s="252"/>
      <c r="J197" s="235">
        <f>SUMIFS('Estoque Atual'!$E:$E,'Estoque Atual'!$A:$A,'Tabela Base'!$B197)+SUMIFS('Recebimentos do dia '!$E:$E,'Recebimentos do dia '!$C:$C,'Tabela Base'!$B197)</f>
        <v>0</v>
      </c>
      <c r="K197" s="236">
        <f>IFERROR((SUMIFS('Estoque Atual'!I:I,'Estoque Atual'!A:A,'Tabela Base'!B197)+SUMIFS('Recebimentos do dia '!I:I,'Recebimentos do dia '!C:C,'Tabela Base'!B197))/
(SUMIFS('Estoque Atual'!G:G,'Estoque Atual'!A:A,'Tabela Base'!B197)+SUMIFS('Recebimentos do dia '!H:H,'Recebimentos do dia '!C:C,'Tabela Base'!B197)),0)</f>
        <v>0</v>
      </c>
      <c r="L197" s="237">
        <f t="shared" si="32"/>
        <v>16.5</v>
      </c>
      <c r="M197" s="237">
        <f t="shared" si="33"/>
        <v>16.5</v>
      </c>
      <c r="N197" s="236">
        <f>IFERROR((SUMIFS('Recebimentos do dia '!$H:$H,'Recebimentos do dia '!$C:$C,'Tabela Base'!$B197)+SUMIFS('Estoque Atual'!$G:$G,'Estoque Atual'!$A:$A,'Tabela Base'!$B197))/(SUMIFS('Recebimentos do dia '!$E:$E,'Recebimentos do dia '!$C:$C,'Tabela Base'!$B197)+SUMIFS('Estoque Atual'!$E:$E,'Estoque Atual'!$A:$A,'Tabela Base'!$B197)),0)</f>
        <v>0</v>
      </c>
    </row>
    <row r="198" spans="1:16" s="246" customFormat="1" hidden="1">
      <c r="B198" s="247">
        <v>52024</v>
      </c>
      <c r="C198" s="248" t="s">
        <v>60</v>
      </c>
      <c r="D198" s="249" t="s">
        <v>46</v>
      </c>
      <c r="E198" s="231"/>
      <c r="F198" s="231"/>
      <c r="G198" s="250" t="s">
        <v>220</v>
      </c>
      <c r="H198" s="258">
        <f t="shared" si="31"/>
        <v>0</v>
      </c>
      <c r="I198" s="252"/>
      <c r="J198" s="235">
        <f>SUMIFS('Estoque Atual'!$E:$E,'Estoque Atual'!$A:$A,'Tabela Base'!$B198)+SUMIFS('Recebimentos do dia '!$E:$E,'Recebimentos do dia '!$C:$C,'Tabela Base'!$B198)</f>
        <v>0</v>
      </c>
      <c r="K198" s="236">
        <f>IFERROR((SUMIFS('Estoque Atual'!I:I,'Estoque Atual'!A:A,'Tabela Base'!B198)+SUMIFS('Recebimentos do dia '!I:I,'Recebimentos do dia '!C:C,'Tabela Base'!B198))/
(SUMIFS('Estoque Atual'!G:G,'Estoque Atual'!A:A,'Tabela Base'!B198)+SUMIFS('Recebimentos do dia '!H:H,'Recebimentos do dia '!C:C,'Tabela Base'!B198)),0)</f>
        <v>0</v>
      </c>
      <c r="L198" s="237">
        <f t="shared" si="32"/>
        <v>0</v>
      </c>
      <c r="M198" s="237">
        <f t="shared" si="33"/>
        <v>0</v>
      </c>
      <c r="N198" s="236">
        <f>IFERROR((SUMIFS('Recebimentos do dia '!$H:$H,'Recebimentos do dia '!$C:$C,'Tabela Base'!$B198)+SUMIFS('Estoque Atual'!$G:$G,'Estoque Atual'!$A:$A,'Tabela Base'!$B198))/(SUMIFS('Recebimentos do dia '!$E:$E,'Recebimentos do dia '!$C:$C,'Tabela Base'!$B198)+SUMIFS('Estoque Atual'!$E:$E,'Estoque Atual'!$A:$A,'Tabela Base'!$B198)),0)</f>
        <v>0</v>
      </c>
    </row>
    <row r="199" spans="1:16" hidden="1">
      <c r="A199" s="199"/>
      <c r="B199" s="253">
        <v>52033</v>
      </c>
      <c r="C199" s="254" t="s">
        <v>60</v>
      </c>
      <c r="D199" s="255" t="s">
        <v>46</v>
      </c>
      <c r="E199" s="231">
        <v>19.39</v>
      </c>
      <c r="F199" s="231">
        <v>19.39</v>
      </c>
      <c r="G199" s="256" t="s">
        <v>220</v>
      </c>
      <c r="H199" s="233">
        <f t="shared" si="31"/>
        <v>0</v>
      </c>
      <c r="I199" s="242"/>
      <c r="J199" s="235">
        <f>SUMIFS('Estoque Atual'!$E:$E,'Estoque Atual'!$A:$A,'Tabela Base'!$B199)+SUMIFS('Recebimentos do dia '!$E:$E,'Recebimentos do dia '!$C:$C,'Tabela Base'!$B199)</f>
        <v>0</v>
      </c>
      <c r="K199" s="236">
        <f>IFERROR((SUMIFS('Estoque Atual'!I:I,'Estoque Atual'!A:A,'Tabela Base'!B199)+SUMIFS('Recebimentos do dia '!I:I,'Recebimentos do dia '!C:C,'Tabela Base'!B199))/
(SUMIFS('Estoque Atual'!G:G,'Estoque Atual'!A:A,'Tabela Base'!B199)+SUMIFS('Recebimentos do dia '!H:H,'Recebimentos do dia '!C:C,'Tabela Base'!B199)),0)</f>
        <v>0</v>
      </c>
      <c r="L199" s="237">
        <f t="shared" si="32"/>
        <v>19.39</v>
      </c>
      <c r="M199" s="237">
        <f t="shared" si="33"/>
        <v>19.39</v>
      </c>
      <c r="N199" s="236">
        <f>IFERROR((SUMIFS('Recebimentos do dia '!$H:$H,'Recebimentos do dia '!$C:$C,'Tabela Base'!$B199)+SUMIFS('Estoque Atual'!$G:$G,'Estoque Atual'!$A:$A,'Tabela Base'!$B199))/(SUMIFS('Recebimentos do dia '!$E:$E,'Recebimentos do dia '!$C:$C,'Tabela Base'!$B199)+SUMIFS('Estoque Atual'!$E:$E,'Estoque Atual'!$A:$A,'Tabela Base'!$B199)),0)</f>
        <v>0</v>
      </c>
    </row>
    <row r="200" spans="1:16">
      <c r="A200" s="199"/>
      <c r="B200" s="209"/>
      <c r="C200" s="210"/>
      <c r="D200" s="211"/>
      <c r="E200" s="212"/>
      <c r="F200" s="212"/>
      <c r="G200" s="243"/>
      <c r="H200" s="214"/>
      <c r="I200" s="242"/>
      <c r="J200" s="215"/>
      <c r="K200" s="216"/>
      <c r="L200" s="217"/>
      <c r="M200" s="217"/>
      <c r="N200" s="216"/>
      <c r="P200" s="238"/>
    </row>
    <row r="201" spans="1:16" s="224" customFormat="1" ht="23.25">
      <c r="A201" s="218"/>
      <c r="B201" s="225"/>
      <c r="C201" s="225"/>
      <c r="D201" s="336" t="s">
        <v>164</v>
      </c>
      <c r="E201" s="337"/>
      <c r="F201" s="337"/>
      <c r="G201" s="338"/>
      <c r="H201" s="339"/>
      <c r="J201" s="225"/>
      <c r="K201" s="226"/>
      <c r="L201" s="340"/>
      <c r="M201" s="340"/>
      <c r="N201" s="226"/>
    </row>
    <row r="202" spans="1:16" hidden="1">
      <c r="A202" s="199"/>
      <c r="B202" s="247">
        <v>35030</v>
      </c>
      <c r="C202" s="248" t="s">
        <v>338</v>
      </c>
      <c r="D202" s="249" t="s">
        <v>191</v>
      </c>
      <c r="E202" s="231">
        <v>22.59</v>
      </c>
      <c r="F202" s="231">
        <v>22.59</v>
      </c>
      <c r="G202" s="250" t="s">
        <v>226</v>
      </c>
      <c r="H202" s="233">
        <f>J202</f>
        <v>0</v>
      </c>
      <c r="I202" s="252"/>
      <c r="J202" s="235">
        <f>SUMIFS('Estoque Atual'!$E:$E,'Estoque Atual'!$A:$A,'Tabela Base'!$B202)+SUMIFS('Recebimentos do dia '!$E:$E,'Recebimentos do dia '!$C:$C,'Tabela Base'!$B202)</f>
        <v>0</v>
      </c>
      <c r="K202" s="236">
        <f>IFERROR((SUMIFS('Estoque Atual'!I:I,'Estoque Atual'!A:A,'Tabela Base'!B202)+SUMIFS('Recebimentos do dia '!I:I,'Recebimentos do dia '!C:C,'Tabela Base'!B202))/
(SUMIFS('Estoque Atual'!G:G,'Estoque Atual'!A:A,'Tabela Base'!B202)+SUMIFS('Recebimentos do dia '!H:H,'Recebimentos do dia '!C:C,'Tabela Base'!B202)),0)</f>
        <v>0</v>
      </c>
      <c r="L202" s="237">
        <f>E202-K202</f>
        <v>22.59</v>
      </c>
      <c r="M202" s="237">
        <f t="shared" ref="M202:M217" si="37">F202-K202</f>
        <v>22.59</v>
      </c>
      <c r="N202" s="236">
        <f>IFERROR((SUMIFS('Recebimentos do dia '!$H:$H,'Recebimentos do dia '!$C:$C,'Tabela Base'!$B202)+SUMIFS('Estoque Atual'!$G:$G,'Estoque Atual'!$A:$A,'Tabela Base'!$B202))/(SUMIFS('Recebimentos do dia '!$E:$E,'Recebimentos do dia '!$C:$C,'Tabela Base'!$B202)+SUMIFS('Estoque Atual'!$E:$E,'Estoque Atual'!$A:$A,'Tabela Base'!$B202)),0)</f>
        <v>0</v>
      </c>
    </row>
    <row r="203" spans="1:16" s="246" customFormat="1">
      <c r="B203" s="247">
        <v>35012</v>
      </c>
      <c r="C203" s="248" t="s">
        <v>385</v>
      </c>
      <c r="D203" s="249" t="s">
        <v>119</v>
      </c>
      <c r="E203" s="231">
        <v>20.69</v>
      </c>
      <c r="F203" s="231">
        <v>19.989999999999998</v>
      </c>
      <c r="G203" s="250" t="s">
        <v>420</v>
      </c>
      <c r="H203" s="258">
        <f t="shared" ref="H203:H217" si="38">J203</f>
        <v>27</v>
      </c>
      <c r="I203" s="352"/>
      <c r="J203" s="235">
        <f>SUMIFS('Estoque Atual'!$E:$E,'Estoque Atual'!$A:$A,'Tabela Base'!$B203)+SUMIFS('Recebimentos do dia '!$E:$E,'Recebimentos do dia '!$C:$C,'Tabela Base'!$B203)</f>
        <v>27</v>
      </c>
      <c r="K203" s="236">
        <f>IFERROR((SUMIFS('Estoque Atual'!I:I,'Estoque Atual'!A:A,'Tabela Base'!B203)+SUMIFS('Recebimentos do dia '!I:I,'Recebimentos do dia '!C:C,'Tabela Base'!B203))/
(SUMIFS('Estoque Atual'!G:G,'Estoque Atual'!A:A,'Tabela Base'!B203)+SUMIFS('Recebimentos do dia '!H:H,'Recebimentos do dia '!C:C,'Tabela Base'!B203)),0)</f>
        <v>18</v>
      </c>
      <c r="L203" s="237">
        <f>E203-K203</f>
        <v>2.6900000000000013</v>
      </c>
      <c r="M203" s="237">
        <f t="shared" si="37"/>
        <v>1.9899999999999984</v>
      </c>
      <c r="N203" s="236">
        <f>IFERROR((SUMIFS('Recebimentos do dia '!$H:$H,'Recebimentos do dia '!$C:$C,'Tabela Base'!$B203)+SUMIFS('Estoque Atual'!$G:$G,'Estoque Atual'!$A:$A,'Tabela Base'!$B203))/(SUMIFS('Recebimentos do dia '!$E:$E,'Recebimentos do dia '!$C:$C,'Tabela Base'!$B203)+SUMIFS('Estoque Atual'!$E:$E,'Estoque Atual'!$A:$A,'Tabela Base'!$B203)),0)</f>
        <v>21.75322222222222</v>
      </c>
    </row>
    <row r="204" spans="1:16" s="246" customFormat="1" hidden="1">
      <c r="B204" s="247">
        <v>35021</v>
      </c>
      <c r="C204" s="248" t="s">
        <v>109</v>
      </c>
      <c r="D204" s="249" t="s">
        <v>11</v>
      </c>
      <c r="E204" s="231">
        <v>21.59</v>
      </c>
      <c r="F204" s="231">
        <v>21.59</v>
      </c>
      <c r="G204" s="296" t="s">
        <v>226</v>
      </c>
      <c r="H204" s="258">
        <f t="shared" si="38"/>
        <v>0</v>
      </c>
      <c r="I204" s="252"/>
      <c r="J204" s="235">
        <f>SUMIFS('Estoque Atual'!$E:$E,'Estoque Atual'!$A:$A,'Tabela Base'!$B204)+SUMIFS('Recebimentos do dia '!$E:$E,'Recebimentos do dia '!$C:$C,'Tabela Base'!$B204)</f>
        <v>0</v>
      </c>
      <c r="K204" s="236">
        <f>IFERROR((SUMIFS('Estoque Atual'!I:I,'Estoque Atual'!A:A,'Tabela Base'!B204)+SUMIFS('Recebimentos do dia '!I:I,'Recebimentos do dia '!C:C,'Tabela Base'!B204))/
(SUMIFS('Estoque Atual'!G:G,'Estoque Atual'!A:A,'Tabela Base'!B204)+SUMIFS('Recebimentos do dia '!H:H,'Recebimentos do dia '!C:C,'Tabela Base'!B204)),0)</f>
        <v>0</v>
      </c>
      <c r="L204" s="237">
        <f t="shared" ref="L204:L217" si="39">E204-K204</f>
        <v>21.59</v>
      </c>
      <c r="M204" s="237">
        <f t="shared" si="37"/>
        <v>21.59</v>
      </c>
      <c r="N204" s="236">
        <f>IFERROR((SUMIFS('Recebimentos do dia '!$H:$H,'Recebimentos do dia '!$C:$C,'Tabela Base'!$B204)+SUMIFS('Estoque Atual'!$G:$G,'Estoque Atual'!$A:$A,'Tabela Base'!$B204))/(SUMIFS('Recebimentos do dia '!$E:$E,'Recebimentos do dia '!$C:$C,'Tabela Base'!$B204)+SUMIFS('Estoque Atual'!$E:$E,'Estoque Atual'!$A:$A,'Tabela Base'!$B204)),0)</f>
        <v>0</v>
      </c>
    </row>
    <row r="205" spans="1:16" s="246" customFormat="1" hidden="1">
      <c r="B205" s="247">
        <v>35013</v>
      </c>
      <c r="C205" s="248" t="s">
        <v>10</v>
      </c>
      <c r="D205" s="249" t="s">
        <v>67</v>
      </c>
      <c r="E205" s="231">
        <v>15.5</v>
      </c>
      <c r="F205" s="231">
        <v>15.5</v>
      </c>
      <c r="G205" s="250" t="s">
        <v>240</v>
      </c>
      <c r="H205" s="258">
        <f t="shared" si="38"/>
        <v>0</v>
      </c>
      <c r="J205" s="235">
        <f>SUMIFS('Estoque Atual'!$E:$E,'Estoque Atual'!$A:$A,'Tabela Base'!$B205)+SUMIFS('Recebimentos do dia '!$E:$E,'Recebimentos do dia '!$C:$C,'Tabela Base'!$B205)</f>
        <v>0</v>
      </c>
      <c r="K205" s="236">
        <f>IFERROR((SUMIFS('Estoque Atual'!I:I,'Estoque Atual'!A:A,'Tabela Base'!B205)+SUMIFS('Recebimentos do dia '!I:I,'Recebimentos do dia '!C:C,'Tabela Base'!B205))/
(SUMIFS('Estoque Atual'!G:G,'Estoque Atual'!A:A,'Tabela Base'!B205)+SUMIFS('Recebimentos do dia '!H:H,'Recebimentos do dia '!C:C,'Tabela Base'!B205)),0)</f>
        <v>0</v>
      </c>
      <c r="L205" s="237">
        <f t="shared" si="39"/>
        <v>15.5</v>
      </c>
      <c r="M205" s="237">
        <f t="shared" si="37"/>
        <v>15.5</v>
      </c>
      <c r="N205" s="236">
        <f>IFERROR((SUMIFS('Recebimentos do dia '!$H:$H,'Recebimentos do dia '!$C:$C,'Tabela Base'!$B205)+SUMIFS('Estoque Atual'!$G:$G,'Estoque Atual'!$A:$A,'Tabela Base'!$B205))/(SUMIFS('Recebimentos do dia '!$E:$E,'Recebimentos do dia '!$C:$C,'Tabela Base'!$B205)+SUMIFS('Estoque Atual'!$E:$E,'Estoque Atual'!$A:$A,'Tabela Base'!$B205)),0)</f>
        <v>0</v>
      </c>
    </row>
    <row r="206" spans="1:16" hidden="1">
      <c r="A206" s="199"/>
      <c r="B206" s="247">
        <v>35037</v>
      </c>
      <c r="C206" s="248" t="s">
        <v>10</v>
      </c>
      <c r="D206" s="249" t="s">
        <v>67</v>
      </c>
      <c r="E206" s="231">
        <v>16.989999999999998</v>
      </c>
      <c r="F206" s="231">
        <v>16.989999999999998</v>
      </c>
      <c r="G206" s="250" t="s">
        <v>278</v>
      </c>
      <c r="H206" s="233">
        <f t="shared" si="38"/>
        <v>0</v>
      </c>
      <c r="I206" s="242"/>
      <c r="J206" s="235">
        <f>SUMIFS('Estoque Atual'!$E:$E,'Estoque Atual'!$A:$A,'Tabela Base'!$B206)+SUMIFS('Recebimentos do dia '!$E:$E,'Recebimentos do dia '!$C:$C,'Tabela Base'!$B206)</f>
        <v>0</v>
      </c>
      <c r="K206" s="236">
        <f>IFERROR((SUMIFS('Estoque Atual'!I:I,'Estoque Atual'!A:A,'Tabela Base'!B206)+SUMIFS('Recebimentos do dia '!I:I,'Recebimentos do dia '!C:C,'Tabela Base'!B206))/
(SUMIFS('Estoque Atual'!G:G,'Estoque Atual'!A:A,'Tabela Base'!B206)+SUMIFS('Recebimentos do dia '!H:H,'Recebimentos do dia '!C:C,'Tabela Base'!B206)),0)</f>
        <v>0</v>
      </c>
      <c r="L206" s="237">
        <f>E206-K206</f>
        <v>16.989999999999998</v>
      </c>
      <c r="M206" s="237">
        <f t="shared" si="37"/>
        <v>16.989999999999998</v>
      </c>
      <c r="N206" s="236">
        <f>IFERROR((SUMIFS('Recebimentos do dia '!$H:$H,'Recebimentos do dia '!$C:$C,'Tabela Base'!$B206)+SUMIFS('Estoque Atual'!$G:$G,'Estoque Atual'!$A:$A,'Tabela Base'!$B206))/(SUMIFS('Recebimentos do dia '!$E:$E,'Recebimentos do dia '!$C:$C,'Tabela Base'!$B206)+SUMIFS('Estoque Atual'!$E:$E,'Estoque Atual'!$A:$A,'Tabela Base'!$B206)),0)</f>
        <v>0</v>
      </c>
    </row>
    <row r="207" spans="1:16" s="246" customFormat="1" hidden="1">
      <c r="B207" s="247">
        <v>35032</v>
      </c>
      <c r="C207" s="248" t="s">
        <v>118</v>
      </c>
      <c r="D207" s="249" t="s">
        <v>7</v>
      </c>
      <c r="E207" s="231">
        <v>10.5</v>
      </c>
      <c r="F207" s="231">
        <v>10.5</v>
      </c>
      <c r="G207" s="250" t="s">
        <v>224</v>
      </c>
      <c r="H207" s="258">
        <f t="shared" si="38"/>
        <v>0</v>
      </c>
      <c r="I207" s="252"/>
      <c r="J207" s="235">
        <f>SUMIFS('Estoque Atual'!$E:$E,'Estoque Atual'!$A:$A,'Tabela Base'!$B207)+SUMIFS('Recebimentos do dia '!$E:$E,'Recebimentos do dia '!$C:$C,'Tabela Base'!$B207)</f>
        <v>0</v>
      </c>
      <c r="K207" s="236">
        <f>IFERROR((SUMIFS('Estoque Atual'!I:I,'Estoque Atual'!A:A,'Tabela Base'!B207)+SUMIFS('Recebimentos do dia '!I:I,'Recebimentos do dia '!C:C,'Tabela Base'!B207))/
(SUMIFS('Estoque Atual'!G:G,'Estoque Atual'!A:A,'Tabela Base'!B207)+SUMIFS('Recebimentos do dia '!H:H,'Recebimentos do dia '!C:C,'Tabela Base'!B207)),0)</f>
        <v>0</v>
      </c>
      <c r="L207" s="237">
        <f t="shared" si="39"/>
        <v>10.5</v>
      </c>
      <c r="M207" s="237">
        <f t="shared" si="37"/>
        <v>10.5</v>
      </c>
      <c r="N207" s="236">
        <f>IFERROR((SUMIFS('Recebimentos do dia '!$H:$H,'Recebimentos do dia '!$C:$C,'Tabela Base'!$B207)+SUMIFS('Estoque Atual'!$G:$G,'Estoque Atual'!$A:$A,'Tabela Base'!$B207))/(SUMIFS('Recebimentos do dia '!$E:$E,'Recebimentos do dia '!$C:$C,'Tabela Base'!$B207)+SUMIFS('Estoque Atual'!$E:$E,'Estoque Atual'!$A:$A,'Tabela Base'!$B207)),0)</f>
        <v>0</v>
      </c>
    </row>
    <row r="208" spans="1:16" s="246" customFormat="1" hidden="1">
      <c r="B208" s="247">
        <v>35020</v>
      </c>
      <c r="C208" s="248" t="s">
        <v>124</v>
      </c>
      <c r="D208" s="249" t="s">
        <v>52</v>
      </c>
      <c r="E208" s="231">
        <v>12.9</v>
      </c>
      <c r="F208" s="231">
        <v>12.9</v>
      </c>
      <c r="G208" s="250" t="s">
        <v>224</v>
      </c>
      <c r="H208" s="258">
        <f t="shared" si="38"/>
        <v>0</v>
      </c>
      <c r="I208" s="252"/>
      <c r="J208" s="235">
        <f>SUMIFS('Estoque Atual'!$E:$E,'Estoque Atual'!$A:$A,'Tabela Base'!$B208)+SUMIFS('Recebimentos do dia '!$E:$E,'Recebimentos do dia '!$C:$C,'Tabela Base'!$B208)</f>
        <v>0</v>
      </c>
      <c r="K208" s="236">
        <f>IFERROR((SUMIFS('Estoque Atual'!I:I,'Estoque Atual'!A:A,'Tabela Base'!B208)+SUMIFS('Recebimentos do dia '!I:I,'Recebimentos do dia '!C:C,'Tabela Base'!B208))/
(SUMIFS('Estoque Atual'!G:G,'Estoque Atual'!A:A,'Tabela Base'!B208)+SUMIFS('Recebimentos do dia '!H:H,'Recebimentos do dia '!C:C,'Tabela Base'!B208)),0)</f>
        <v>0</v>
      </c>
      <c r="L208" s="237">
        <f t="shared" si="39"/>
        <v>12.9</v>
      </c>
      <c r="M208" s="237">
        <f t="shared" si="37"/>
        <v>12.9</v>
      </c>
      <c r="N208" s="236">
        <f>IFERROR((SUMIFS('Recebimentos do dia '!$H:$H,'Recebimentos do dia '!$C:$C,'Tabela Base'!$B208)+SUMIFS('Estoque Atual'!$G:$G,'Estoque Atual'!$A:$A,'Tabela Base'!$B208))/(SUMIFS('Recebimentos do dia '!$E:$E,'Recebimentos do dia '!$C:$C,'Tabela Base'!$B208)+SUMIFS('Estoque Atual'!$E:$E,'Estoque Atual'!$A:$A,'Tabela Base'!$B208)),0)</f>
        <v>0</v>
      </c>
    </row>
    <row r="209" spans="1:18" s="246" customFormat="1" hidden="1">
      <c r="B209" s="247">
        <v>35031</v>
      </c>
      <c r="C209" s="248" t="s">
        <v>117</v>
      </c>
      <c r="D209" s="249" t="s">
        <v>50</v>
      </c>
      <c r="E209" s="231">
        <v>15.9</v>
      </c>
      <c r="F209" s="231">
        <v>15.9</v>
      </c>
      <c r="G209" s="250" t="s">
        <v>224</v>
      </c>
      <c r="H209" s="258">
        <f t="shared" si="38"/>
        <v>0</v>
      </c>
      <c r="I209" s="252"/>
      <c r="J209" s="235">
        <f>SUMIFS('Estoque Atual'!$E:$E,'Estoque Atual'!$A:$A,'Tabela Base'!$B209)+SUMIFS('Recebimentos do dia '!$E:$E,'Recebimentos do dia '!$C:$C,'Tabela Base'!$B209)</f>
        <v>0</v>
      </c>
      <c r="K209" s="236">
        <f>IFERROR((SUMIFS('Estoque Atual'!I:I,'Estoque Atual'!A:A,'Tabela Base'!B209)+SUMIFS('Recebimentos do dia '!I:I,'Recebimentos do dia '!C:C,'Tabela Base'!B209))/
(SUMIFS('Estoque Atual'!G:G,'Estoque Atual'!A:A,'Tabela Base'!B209)+SUMIFS('Recebimentos do dia '!H:H,'Recebimentos do dia '!C:C,'Tabela Base'!B209)),0)</f>
        <v>0</v>
      </c>
      <c r="L209" s="237">
        <f t="shared" si="39"/>
        <v>15.9</v>
      </c>
      <c r="M209" s="237">
        <f t="shared" si="37"/>
        <v>15.9</v>
      </c>
      <c r="N209" s="236">
        <f>IFERROR((SUMIFS('Recebimentos do dia '!$H:$H,'Recebimentos do dia '!$C:$C,'Tabela Base'!$B209)+SUMIFS('Estoque Atual'!$G:$G,'Estoque Atual'!$A:$A,'Tabela Base'!$B209))/(SUMIFS('Recebimentos do dia '!$E:$E,'Recebimentos do dia '!$C:$C,'Tabela Base'!$B209)+SUMIFS('Estoque Atual'!$E:$E,'Estoque Atual'!$A:$A,'Tabela Base'!$B209)),0)</f>
        <v>0</v>
      </c>
    </row>
    <row r="210" spans="1:18" hidden="1">
      <c r="A210" s="199"/>
      <c r="B210" s="247">
        <v>35014</v>
      </c>
      <c r="C210" s="248" t="s">
        <v>108</v>
      </c>
      <c r="D210" s="249" t="s">
        <v>309</v>
      </c>
      <c r="E210" s="231">
        <v>18.29</v>
      </c>
      <c r="F210" s="231">
        <v>18.29</v>
      </c>
      <c r="G210" s="250" t="s">
        <v>228</v>
      </c>
      <c r="H210" s="233">
        <f>J210</f>
        <v>0</v>
      </c>
      <c r="J210" s="235">
        <f>SUMIFS('Estoque Atual'!$E:$E,'Estoque Atual'!$A:$A,'Tabela Base'!$B210)+SUMIFS('Recebimentos do dia '!$E:$E,'Recebimentos do dia '!$C:$C,'Tabela Base'!$B210)</f>
        <v>0</v>
      </c>
      <c r="K210" s="236">
        <f>IFERROR((SUMIFS('Estoque Atual'!I:I,'Estoque Atual'!A:A,'Tabela Base'!B210)+SUMIFS('Recebimentos do dia '!I:I,'Recebimentos do dia '!C:C,'Tabela Base'!B210))/
(SUMIFS('Estoque Atual'!G:G,'Estoque Atual'!A:A,'Tabela Base'!B210)+SUMIFS('Recebimentos do dia '!H:H,'Recebimentos do dia '!C:C,'Tabela Base'!B210)),0)</f>
        <v>0</v>
      </c>
      <c r="L210" s="237">
        <f>E210-K210</f>
        <v>18.29</v>
      </c>
      <c r="M210" s="237">
        <f t="shared" si="37"/>
        <v>18.29</v>
      </c>
      <c r="N210" s="236">
        <f>IFERROR((SUMIFS('Recebimentos do dia '!$H:$H,'Recebimentos do dia '!$C:$C,'Tabela Base'!$B210)+SUMIFS('Estoque Atual'!$G:$G,'Estoque Atual'!$A:$A,'Tabela Base'!$B210))/(SUMIFS('Recebimentos do dia '!$E:$E,'Recebimentos do dia '!$C:$C,'Tabela Base'!$B210)+SUMIFS('Estoque Atual'!$E:$E,'Estoque Atual'!$A:$A,'Tabela Base'!$B210)),0)</f>
        <v>0</v>
      </c>
    </row>
    <row r="211" spans="1:18" s="246" customFormat="1">
      <c r="B211" s="247">
        <v>35038</v>
      </c>
      <c r="C211" s="248" t="s">
        <v>9</v>
      </c>
      <c r="D211" s="249" t="s">
        <v>67</v>
      </c>
      <c r="E211" s="231">
        <v>20.99</v>
      </c>
      <c r="F211" s="231">
        <v>20.99</v>
      </c>
      <c r="G211" s="250" t="s">
        <v>420</v>
      </c>
      <c r="H211" s="258">
        <f t="shared" si="38"/>
        <v>28</v>
      </c>
      <c r="I211" s="252"/>
      <c r="J211" s="235">
        <f>SUMIFS('Estoque Atual'!$E:$E,'Estoque Atual'!$A:$A,'Tabela Base'!$B211)+SUMIFS('Recebimentos do dia '!$E:$E,'Recebimentos do dia '!$C:$C,'Tabela Base'!$B211)</f>
        <v>28</v>
      </c>
      <c r="K211" s="236">
        <f>IFERROR((SUMIFS('Estoque Atual'!I:I,'Estoque Atual'!A:A,'Tabela Base'!B211)+SUMIFS('Recebimentos do dia '!I:I,'Recebimentos do dia '!C:C,'Tabela Base'!B211))/
(SUMIFS('Estoque Atual'!G:G,'Estoque Atual'!A:A,'Tabela Base'!B211)+SUMIFS('Recebimentos do dia '!H:H,'Recebimentos do dia '!C:C,'Tabela Base'!B211)),0)</f>
        <v>18.399999999999999</v>
      </c>
      <c r="L211" s="237">
        <f t="shared" si="39"/>
        <v>2.59</v>
      </c>
      <c r="M211" s="237">
        <f t="shared" si="37"/>
        <v>2.59</v>
      </c>
      <c r="N211" s="236">
        <f>IFERROR((SUMIFS('Recebimentos do dia '!$H:$H,'Recebimentos do dia '!$C:$C,'Tabela Base'!$B211)+SUMIFS('Estoque Atual'!$G:$G,'Estoque Atual'!$A:$A,'Tabela Base'!$B211))/(SUMIFS('Recebimentos do dia '!$E:$E,'Recebimentos do dia '!$C:$C,'Tabela Base'!$B211)+SUMIFS('Estoque Atual'!$E:$E,'Estoque Atual'!$A:$A,'Tabela Base'!$B211)),0)</f>
        <v>15.135714285714286</v>
      </c>
    </row>
    <row r="212" spans="1:18" s="246" customFormat="1" hidden="1">
      <c r="B212" s="247">
        <v>35005</v>
      </c>
      <c r="C212" s="248" t="s">
        <v>47</v>
      </c>
      <c r="D212" s="249" t="s">
        <v>7</v>
      </c>
      <c r="E212" s="231"/>
      <c r="F212" s="231"/>
      <c r="G212" s="250" t="s">
        <v>226</v>
      </c>
      <c r="H212" s="258">
        <f t="shared" si="38"/>
        <v>0</v>
      </c>
      <c r="I212" s="252"/>
      <c r="J212" s="235">
        <f>SUMIFS('Estoque Atual'!$E:$E,'Estoque Atual'!$A:$A,'Tabela Base'!$B212)+SUMIFS('Recebimentos do dia '!$E:$E,'Recebimentos do dia '!$C:$C,'Tabela Base'!$B212)</f>
        <v>0</v>
      </c>
      <c r="K212" s="236">
        <f>IFERROR((SUMIFS('Estoque Atual'!I:I,'Estoque Atual'!A:A,'Tabela Base'!B212)+SUMIFS('Recebimentos do dia '!I:I,'Recebimentos do dia '!C:C,'Tabela Base'!B212))/
(SUMIFS('Estoque Atual'!G:G,'Estoque Atual'!A:A,'Tabela Base'!B212)+SUMIFS('Recebimentos do dia '!H:H,'Recebimentos do dia '!C:C,'Tabela Base'!B212)),0)</f>
        <v>0</v>
      </c>
      <c r="L212" s="237">
        <f t="shared" si="39"/>
        <v>0</v>
      </c>
      <c r="M212" s="237">
        <f t="shared" si="37"/>
        <v>0</v>
      </c>
      <c r="N212" s="236">
        <f>IFERROR((SUMIFS('Recebimentos do dia '!$H:$H,'Recebimentos do dia '!$C:$C,'Tabela Base'!$B212)+SUMIFS('Estoque Atual'!$G:$G,'Estoque Atual'!$A:$A,'Tabela Base'!$B212))/(SUMIFS('Recebimentos do dia '!$E:$E,'Recebimentos do dia '!$C:$C,'Tabela Base'!$B212)+SUMIFS('Estoque Atual'!$E:$E,'Estoque Atual'!$A:$A,'Tabela Base'!$B212)),0)</f>
        <v>0</v>
      </c>
    </row>
    <row r="213" spans="1:18" s="246" customFormat="1" hidden="1">
      <c r="B213" s="247">
        <v>35016</v>
      </c>
      <c r="C213" s="248" t="s">
        <v>123</v>
      </c>
      <c r="D213" s="249" t="s">
        <v>4</v>
      </c>
      <c r="E213" s="231">
        <v>15.9</v>
      </c>
      <c r="F213" s="231">
        <v>15.9</v>
      </c>
      <c r="G213" s="250" t="s">
        <v>224</v>
      </c>
      <c r="H213" s="258">
        <f t="shared" si="38"/>
        <v>0</v>
      </c>
      <c r="I213" s="252"/>
      <c r="J213" s="235">
        <f>SUMIFS('Estoque Atual'!$E:$E,'Estoque Atual'!$A:$A,'Tabela Base'!$B213)+SUMIFS('Recebimentos do dia '!$E:$E,'Recebimentos do dia '!$C:$C,'Tabela Base'!$B213)</f>
        <v>0</v>
      </c>
      <c r="K213" s="236">
        <f>IFERROR((SUMIFS('Estoque Atual'!I:I,'Estoque Atual'!A:A,'Tabela Base'!B213)+SUMIFS('Recebimentos do dia '!I:I,'Recebimentos do dia '!C:C,'Tabela Base'!B213))/
(SUMIFS('Estoque Atual'!G:G,'Estoque Atual'!A:A,'Tabela Base'!B213)+SUMIFS('Recebimentos do dia '!H:H,'Recebimentos do dia '!C:C,'Tabela Base'!B213)),0)</f>
        <v>0</v>
      </c>
      <c r="L213" s="237">
        <f t="shared" si="39"/>
        <v>15.9</v>
      </c>
      <c r="M213" s="237">
        <f t="shared" si="37"/>
        <v>15.9</v>
      </c>
      <c r="N213" s="236">
        <f>IFERROR((SUMIFS('Recebimentos do dia '!$H:$H,'Recebimentos do dia '!$C:$C,'Tabela Base'!$B213)+SUMIFS('Estoque Atual'!$G:$G,'Estoque Atual'!$A:$A,'Tabela Base'!$B213))/(SUMIFS('Recebimentos do dia '!$E:$E,'Recebimentos do dia '!$C:$C,'Tabela Base'!$B213)+SUMIFS('Estoque Atual'!$E:$E,'Estoque Atual'!$A:$A,'Tabela Base'!$B213)),0)</f>
        <v>0</v>
      </c>
    </row>
    <row r="214" spans="1:18" s="246" customFormat="1" hidden="1">
      <c r="B214" s="247">
        <v>35022</v>
      </c>
      <c r="C214" s="248" t="s">
        <v>151</v>
      </c>
      <c r="D214" s="249" t="s">
        <v>119</v>
      </c>
      <c r="E214" s="231">
        <v>13.99</v>
      </c>
      <c r="F214" s="231">
        <v>13.99</v>
      </c>
      <c r="G214" s="250" t="s">
        <v>224</v>
      </c>
      <c r="H214" s="258">
        <f t="shared" si="38"/>
        <v>0</v>
      </c>
      <c r="I214" s="252"/>
      <c r="J214" s="235">
        <f>SUMIFS('Estoque Atual'!$E:$E,'Estoque Atual'!$A:$A,'Tabela Base'!$B214)+SUMIFS('Recebimentos do dia '!$E:$E,'Recebimentos do dia '!$C:$C,'Tabela Base'!$B214)</f>
        <v>0</v>
      </c>
      <c r="K214" s="236">
        <f>IFERROR((SUMIFS('Estoque Atual'!I:I,'Estoque Atual'!A:A,'Tabela Base'!B214)+SUMIFS('Recebimentos do dia '!I:I,'Recebimentos do dia '!C:C,'Tabela Base'!B214))/
(SUMIFS('Estoque Atual'!G:G,'Estoque Atual'!A:A,'Tabela Base'!B214)+SUMIFS('Recebimentos do dia '!H:H,'Recebimentos do dia '!C:C,'Tabela Base'!B214)),0)</f>
        <v>0</v>
      </c>
      <c r="L214" s="237">
        <f t="shared" si="39"/>
        <v>13.99</v>
      </c>
      <c r="M214" s="237">
        <f t="shared" si="37"/>
        <v>13.99</v>
      </c>
      <c r="N214" s="236">
        <f>IFERROR((SUMIFS('Recebimentos do dia '!$H:$H,'Recebimentos do dia '!$C:$C,'Tabela Base'!$B214)+SUMIFS('Estoque Atual'!$G:$G,'Estoque Atual'!$A:$A,'Tabela Base'!$B214))/(SUMIFS('Recebimentos do dia '!$E:$E,'Recebimentos do dia '!$C:$C,'Tabela Base'!$B214)+SUMIFS('Estoque Atual'!$E:$E,'Estoque Atual'!$A:$A,'Tabela Base'!$B214)),0)</f>
        <v>0</v>
      </c>
    </row>
    <row r="215" spans="1:18" s="246" customFormat="1" hidden="1">
      <c r="B215" s="247">
        <v>35011</v>
      </c>
      <c r="C215" s="248" t="s">
        <v>9</v>
      </c>
      <c r="D215" s="249" t="s">
        <v>67</v>
      </c>
      <c r="E215" s="231">
        <v>19.989999999999998</v>
      </c>
      <c r="F215" s="231">
        <v>19.989999999999998</v>
      </c>
      <c r="G215" s="250" t="s">
        <v>278</v>
      </c>
      <c r="H215" s="233">
        <f>J215</f>
        <v>0</v>
      </c>
      <c r="I215" s="242"/>
      <c r="J215" s="235">
        <f>SUMIFS('Estoque Atual'!$E:$E,'Estoque Atual'!$A:$A,'Tabela Base'!$B215)+SUMIFS('Recebimentos do dia '!$E:$E,'Recebimentos do dia '!$C:$C,'Tabela Base'!$B215)</f>
        <v>0</v>
      </c>
      <c r="K215" s="236">
        <f>IFERROR((SUMIFS('Estoque Atual'!I:I,'Estoque Atual'!A:A,'Tabela Base'!B215)+SUMIFS('Recebimentos do dia '!I:I,'Recebimentos do dia '!C:C,'Tabela Base'!B215))/
(SUMIFS('Estoque Atual'!G:G,'Estoque Atual'!A:A,'Tabela Base'!B215)+SUMIFS('Recebimentos do dia '!H:H,'Recebimentos do dia '!C:C,'Tabela Base'!B215)),0)</f>
        <v>0</v>
      </c>
      <c r="L215" s="237">
        <f>E215-K215</f>
        <v>19.989999999999998</v>
      </c>
      <c r="M215" s="237">
        <f t="shared" si="37"/>
        <v>19.989999999999998</v>
      </c>
      <c r="N215" s="236">
        <f>IFERROR((SUMIFS('Recebimentos do dia '!$H:$H,'Recebimentos do dia '!$C:$C,'Tabela Base'!$B215)+SUMIFS('Estoque Atual'!$G:$G,'Estoque Atual'!$A:$A,'Tabela Base'!$B215))/(SUMIFS('Recebimentos do dia '!$E:$E,'Recebimentos do dia '!$C:$C,'Tabela Base'!$B215)+SUMIFS('Estoque Atual'!$E:$E,'Estoque Atual'!$A:$A,'Tabela Base'!$B215)),0)</f>
        <v>0</v>
      </c>
    </row>
    <row r="216" spans="1:18" s="246" customFormat="1" hidden="1">
      <c r="B216" s="247">
        <v>35003</v>
      </c>
      <c r="C216" s="248" t="s">
        <v>110</v>
      </c>
      <c r="D216" s="249" t="s">
        <v>67</v>
      </c>
      <c r="E216" s="231">
        <v>19.489999999999998</v>
      </c>
      <c r="F216" s="231">
        <v>19.489999999999998</v>
      </c>
      <c r="G216" s="250" t="s">
        <v>240</v>
      </c>
      <c r="H216" s="258">
        <f t="shared" si="38"/>
        <v>0</v>
      </c>
      <c r="I216" s="252"/>
      <c r="J216" s="235">
        <f>SUMIFS('Estoque Atual'!$E:$E,'Estoque Atual'!$A:$A,'Tabela Base'!$B216)+SUMIFS('Recebimentos do dia '!$E:$E,'Recebimentos do dia '!$C:$C,'Tabela Base'!$B216)</f>
        <v>0</v>
      </c>
      <c r="K216" s="236">
        <f>IFERROR((SUMIFS('Estoque Atual'!I:I,'Estoque Atual'!A:A,'Tabela Base'!B216)+SUMIFS('Recebimentos do dia '!I:I,'Recebimentos do dia '!C:C,'Tabela Base'!B216))/
(SUMIFS('Estoque Atual'!G:G,'Estoque Atual'!A:A,'Tabela Base'!B216)+SUMIFS('Recebimentos do dia '!H:H,'Recebimentos do dia '!C:C,'Tabela Base'!B216)),0)</f>
        <v>0</v>
      </c>
      <c r="L216" s="237">
        <f t="shared" si="39"/>
        <v>19.489999999999998</v>
      </c>
      <c r="M216" s="237">
        <f t="shared" si="37"/>
        <v>19.489999999999998</v>
      </c>
      <c r="N216" s="236">
        <f>IFERROR((SUMIFS('Recebimentos do dia '!$H:$H,'Recebimentos do dia '!$C:$C,'Tabela Base'!$B216)+SUMIFS('Estoque Atual'!$G:$G,'Estoque Atual'!$A:$A,'Tabela Base'!$B216))/(SUMIFS('Recebimentos do dia '!$E:$E,'Recebimentos do dia '!$C:$C,'Tabela Base'!$B216)+SUMIFS('Estoque Atual'!$E:$E,'Estoque Atual'!$A:$A,'Tabela Base'!$B216)),0)</f>
        <v>0</v>
      </c>
    </row>
    <row r="217" spans="1:18" s="246" customFormat="1">
      <c r="B217" s="247">
        <v>35002</v>
      </c>
      <c r="C217" s="248" t="s">
        <v>120</v>
      </c>
      <c r="D217" s="249" t="s">
        <v>67</v>
      </c>
      <c r="E217" s="231">
        <v>13.99</v>
      </c>
      <c r="F217" s="231">
        <v>14.49</v>
      </c>
      <c r="G217" s="250" t="s">
        <v>226</v>
      </c>
      <c r="H217" s="233">
        <f t="shared" si="38"/>
        <v>11</v>
      </c>
      <c r="I217" s="252"/>
      <c r="J217" s="235">
        <f>SUMIFS('Estoque Atual'!$E:$E,'Estoque Atual'!$A:$A,'Tabela Base'!$B217)+SUMIFS('Recebimentos do dia '!$E:$E,'Recebimentos do dia '!$C:$C,'Tabela Base'!$B217)</f>
        <v>11</v>
      </c>
      <c r="K217" s="236">
        <f>IFERROR((SUMIFS('Estoque Atual'!I:I,'Estoque Atual'!A:A,'Tabela Base'!B217)+SUMIFS('Recebimentos do dia '!I:I,'Recebimentos do dia '!C:C,'Tabela Base'!B217))/
(SUMIFS('Estoque Atual'!G:G,'Estoque Atual'!A:A,'Tabela Base'!B217)+SUMIFS('Recebimentos do dia '!H:H,'Recebimentos do dia '!C:C,'Tabela Base'!B217)),0)</f>
        <v>11.5</v>
      </c>
      <c r="L217" s="237">
        <f t="shared" si="39"/>
        <v>2.4900000000000002</v>
      </c>
      <c r="M217" s="237">
        <f t="shared" si="37"/>
        <v>2.99</v>
      </c>
      <c r="N217" s="236">
        <f>IFERROR((SUMIFS('Recebimentos do dia '!$H:$H,'Recebimentos do dia '!$C:$C,'Tabela Base'!$B217)+SUMIFS('Estoque Atual'!$G:$G,'Estoque Atual'!$A:$A,'Tabela Base'!$B217))/(SUMIFS('Recebimentos do dia '!$E:$E,'Recebimentos do dia '!$C:$C,'Tabela Base'!$B217)+SUMIFS('Estoque Atual'!$E:$E,'Estoque Atual'!$A:$A,'Tabela Base'!$B217)),0)</f>
        <v>18.516363636363636</v>
      </c>
    </row>
    <row r="218" spans="1:18">
      <c r="A218" s="199"/>
      <c r="B218" s="343"/>
      <c r="C218" s="378"/>
      <c r="D218" s="345"/>
      <c r="E218" s="346"/>
      <c r="F218" s="346"/>
      <c r="G218" s="245"/>
      <c r="H218" s="347"/>
      <c r="I218" s="242"/>
      <c r="J218" s="215"/>
      <c r="K218" s="216"/>
      <c r="L218" s="379"/>
      <c r="M218" s="379"/>
      <c r="N218" s="216"/>
      <c r="P218" s="238"/>
    </row>
    <row r="219" spans="1:18" s="224" customFormat="1" ht="23.25" hidden="1">
      <c r="A219" s="218"/>
      <c r="B219" s="225"/>
      <c r="C219" s="225"/>
      <c r="D219" s="336" t="s">
        <v>305</v>
      </c>
      <c r="E219" s="337"/>
      <c r="F219" s="337"/>
      <c r="G219" s="338"/>
      <c r="H219" s="339">
        <v>0</v>
      </c>
      <c r="J219" s="225"/>
      <c r="K219" s="380"/>
      <c r="L219" s="381"/>
      <c r="M219" s="381"/>
      <c r="N219" s="380"/>
    </row>
    <row r="220" spans="1:18" hidden="1">
      <c r="A220" s="199"/>
      <c r="B220" s="259">
        <v>70005</v>
      </c>
      <c r="C220" s="278" t="s">
        <v>386</v>
      </c>
      <c r="D220" s="288" t="s">
        <v>23</v>
      </c>
      <c r="E220" s="231">
        <v>345</v>
      </c>
      <c r="F220" s="231">
        <v>345</v>
      </c>
      <c r="G220" s="323" t="s">
        <v>220</v>
      </c>
      <c r="H220" s="382">
        <f t="shared" ref="H220:H222" si="40">J220</f>
        <v>0</v>
      </c>
      <c r="I220" s="242"/>
      <c r="J220" s="235">
        <f>SUMIFS('Estoque Atual'!$E:$E,'Estoque Atual'!$A:$A,'Tabela Base'!$B220)+SUMIFS('Recebimentos do dia '!$E:$E,'Recebimentos do dia '!$C:$C,'Tabela Base'!$B220)</f>
        <v>0</v>
      </c>
      <c r="K220" s="236">
        <f>IFERROR((SUMIFS('Estoque Atual'!I:I,'Estoque Atual'!A:A,'Tabela Base'!B220)+SUMIFS('Recebimentos do dia '!I:I,'Recebimentos do dia '!C:C,'Tabela Base'!B220))/
(SUMIFS('Estoque Atual'!E:E,'Estoque Atual'!A:A,'Tabela Base'!B220)+SUMIFS('Recebimentos do dia '!E:E,'Recebimentos do dia '!C:C,'Tabela Base'!B220)),0)</f>
        <v>0</v>
      </c>
      <c r="L220" s="237">
        <f>E220-K220</f>
        <v>345</v>
      </c>
      <c r="M220" s="237">
        <f t="shared" ref="M220:M222" si="41">F220-K220</f>
        <v>345</v>
      </c>
      <c r="N220" s="236">
        <f>IFERROR((SUMIFS('Recebimentos do dia '!$H:$H,'Recebimentos do dia '!$C:$C,'Tabela Base'!$B220)+SUMIFS('Estoque Atual'!$G:$G,'Estoque Atual'!$A:$A,'Tabela Base'!$B220))/(SUMIFS('Recebimentos do dia '!$E:$E,'Recebimentos do dia '!$C:$C,'Tabela Base'!$B220)+SUMIFS('Estoque Atual'!$E:$E,'Estoque Atual'!$A:$A,'Tabela Base'!$B220)),0)</f>
        <v>0</v>
      </c>
    </row>
    <row r="221" spans="1:18" hidden="1">
      <c r="A221" s="199"/>
      <c r="B221" s="259">
        <v>70006</v>
      </c>
      <c r="C221" s="278" t="s">
        <v>387</v>
      </c>
      <c r="D221" s="288" t="s">
        <v>23</v>
      </c>
      <c r="E221" s="231">
        <v>310</v>
      </c>
      <c r="F221" s="231">
        <v>310</v>
      </c>
      <c r="G221" s="323" t="s">
        <v>220</v>
      </c>
      <c r="H221" s="382">
        <f t="shared" si="40"/>
        <v>0</v>
      </c>
      <c r="I221" s="242"/>
      <c r="J221" s="235">
        <f>SUMIFS('Estoque Atual'!$E:$E,'Estoque Atual'!$A:$A,'Tabela Base'!$B221)+SUMIFS('Recebimentos do dia '!$E:$E,'Recebimentos do dia '!$C:$C,'Tabela Base'!$B221)</f>
        <v>0</v>
      </c>
      <c r="K221" s="236">
        <f>IFERROR((SUMIFS('Estoque Atual'!I:I,'Estoque Atual'!A:A,'Tabela Base'!B221)+SUMIFS('Recebimentos do dia '!I:I,'Recebimentos do dia '!C:C,'Tabela Base'!B221))/
(SUMIFS('Estoque Atual'!E:E,'Estoque Atual'!A:A,'Tabela Base'!B221)+SUMIFS('Recebimentos do dia '!E:E,'Recebimentos do dia '!C:C,'Tabela Base'!B221)),0)</f>
        <v>0</v>
      </c>
      <c r="L221" s="237">
        <f>E221-K221</f>
        <v>310</v>
      </c>
      <c r="M221" s="237">
        <f t="shared" si="41"/>
        <v>310</v>
      </c>
      <c r="N221" s="236">
        <f>IFERROR((SUMIFS('Recebimentos do dia '!$H:$H,'Recebimentos do dia '!$C:$C,'Tabela Base'!$B221)+SUMIFS('Estoque Atual'!$G:$G,'Estoque Atual'!$A:$A,'Tabela Base'!$B221))/(SUMIFS('Recebimentos do dia '!$E:$E,'Recebimentos do dia '!$C:$C,'Tabela Base'!$B221)+SUMIFS('Estoque Atual'!$E:$E,'Estoque Atual'!$A:$A,'Tabela Base'!$B221)),0)</f>
        <v>0</v>
      </c>
    </row>
    <row r="222" spans="1:18" hidden="1">
      <c r="A222" s="199"/>
      <c r="B222" s="259">
        <v>70008</v>
      </c>
      <c r="C222" s="278" t="s">
        <v>388</v>
      </c>
      <c r="D222" s="288" t="s">
        <v>23</v>
      </c>
      <c r="E222" s="231">
        <v>295</v>
      </c>
      <c r="F222" s="231">
        <v>295</v>
      </c>
      <c r="G222" s="323" t="s">
        <v>220</v>
      </c>
      <c r="H222" s="382">
        <f t="shared" si="40"/>
        <v>0</v>
      </c>
      <c r="I222" s="242"/>
      <c r="J222" s="235">
        <f>SUMIFS('Estoque Atual'!$E:$E,'Estoque Atual'!$A:$A,'Tabela Base'!$B222)+SUMIFS('Recebimentos do dia '!$E:$E,'Recebimentos do dia '!$C:$C,'Tabela Base'!$B222)</f>
        <v>0</v>
      </c>
      <c r="K222" s="236">
        <f>IFERROR((SUMIFS('Estoque Atual'!I:I,'Estoque Atual'!A:A,'Tabela Base'!B222)+SUMIFS('Recebimentos do dia '!I:I,'Recebimentos do dia '!C:C,'Tabela Base'!B222))/
(SUMIFS('Estoque Atual'!E:E,'Estoque Atual'!A:A,'Tabela Base'!B222)+SUMIFS('Recebimentos do dia '!E:E,'Recebimentos do dia '!C:C,'Tabela Base'!B222)),0)</f>
        <v>0</v>
      </c>
      <c r="L222" s="237">
        <f>E222-K222</f>
        <v>295</v>
      </c>
      <c r="M222" s="237">
        <f t="shared" si="41"/>
        <v>295</v>
      </c>
      <c r="N222" s="236">
        <f>IFERROR((SUMIFS('Recebimentos do dia '!$H:$H,'Recebimentos do dia '!$C:$C,'Tabela Base'!$B222)+SUMIFS('Estoque Atual'!$G:$G,'Estoque Atual'!$A:$A,'Tabela Base'!$B222))/(SUMIFS('Recebimentos do dia '!$E:$E,'Recebimentos do dia '!$C:$C,'Tabela Base'!$B222)+SUMIFS('Estoque Atual'!$E:$E,'Estoque Atual'!$A:$A,'Tabela Base'!$B222)),0)</f>
        <v>0</v>
      </c>
    </row>
    <row r="223" spans="1:18" s="224" customFormat="1" ht="23.25">
      <c r="A223" s="218"/>
      <c r="B223" s="219"/>
      <c r="C223" s="219"/>
      <c r="D223" s="220" t="s">
        <v>276</v>
      </c>
      <c r="E223" s="221"/>
      <c r="F223" s="221"/>
      <c r="G223" s="222"/>
      <c r="H223" s="383"/>
      <c r="J223" s="225"/>
      <c r="K223" s="226"/>
      <c r="L223" s="227"/>
      <c r="M223" s="227"/>
      <c r="N223" s="226"/>
      <c r="P223" s="238"/>
      <c r="R223" s="199"/>
    </row>
    <row r="224" spans="1:18" s="246" customFormat="1" hidden="1">
      <c r="B224" s="260">
        <v>29001</v>
      </c>
      <c r="C224" s="261" t="s">
        <v>286</v>
      </c>
      <c r="D224" s="285" t="s">
        <v>18</v>
      </c>
      <c r="E224" s="231">
        <v>13.79</v>
      </c>
      <c r="F224" s="231">
        <v>13.79</v>
      </c>
      <c r="G224" s="256" t="s">
        <v>227</v>
      </c>
      <c r="H224" s="258">
        <f t="shared" ref="H224:H225" si="42">J224</f>
        <v>0</v>
      </c>
      <c r="I224" s="352"/>
      <c r="J224" s="235">
        <f>SUMIFS('Estoque Atual'!$E:$E,'Estoque Atual'!$A:$A,'Tabela Base'!$B224)+SUMIFS('Recebimentos do dia '!$E:$E,'Recebimentos do dia '!$C:$C,'Tabela Base'!$B224)</f>
        <v>0</v>
      </c>
      <c r="K224" s="236">
        <f>IFERROR((SUMIFS('Estoque Atual'!I:I,'Estoque Atual'!A:A,'Tabela Base'!B224)+SUMIFS('Recebimentos do dia '!I:I,'Recebimentos do dia '!C:C,'Tabela Base'!B224))/
(SUMIFS('Estoque Atual'!G:G,'Estoque Atual'!A:A,'Tabela Base'!B224)+SUMIFS('Recebimentos do dia '!H:H,'Recebimentos do dia '!C:C,'Tabela Base'!B224)),0)</f>
        <v>0</v>
      </c>
      <c r="L224" s="237">
        <f>E224-K224</f>
        <v>13.79</v>
      </c>
      <c r="M224" s="237">
        <f t="shared" ref="M224:M226" si="43">F224-K224</f>
        <v>13.79</v>
      </c>
      <c r="N224" s="236">
        <f>IFERROR((SUMIFS('Recebimentos do dia '!$H:$H,'Recebimentos do dia '!$C:$C,'Tabela Base'!$B224)+SUMIFS('Estoque Atual'!$G:$G,'Estoque Atual'!$A:$A,'Tabela Base'!$B224))/(SUMIFS('Recebimentos do dia '!$E:$E,'Recebimentos do dia '!$C:$C,'Tabela Base'!$B224)+SUMIFS('Estoque Atual'!$E:$E,'Estoque Atual'!$A:$A,'Tabela Base'!$B224)),0)</f>
        <v>0</v>
      </c>
      <c r="P224" s="262"/>
    </row>
    <row r="225" spans="1:16">
      <c r="A225" s="199"/>
      <c r="B225" s="384">
        <v>29000</v>
      </c>
      <c r="C225" s="385" t="s">
        <v>356</v>
      </c>
      <c r="D225" s="386" t="s">
        <v>18</v>
      </c>
      <c r="E225" s="231">
        <v>21.49</v>
      </c>
      <c r="F225" s="231">
        <v>21.49</v>
      </c>
      <c r="G225" s="388" t="s">
        <v>227</v>
      </c>
      <c r="H225" s="389">
        <f t="shared" si="42"/>
        <v>73</v>
      </c>
      <c r="I225" s="377"/>
      <c r="J225" s="235">
        <f>SUMIFS('Estoque Atual'!$E:$E,'Estoque Atual'!$A:$A,'Tabela Base'!$B225)+SUMIFS('Recebimentos do dia '!$E:$E,'Recebimentos do dia '!$C:$C,'Tabela Base'!$B225)</f>
        <v>73</v>
      </c>
      <c r="K225" s="236">
        <f>IFERROR((SUMIFS('Estoque Atual'!I:I,'Estoque Atual'!A:A,'Tabela Base'!B225)+SUMIFS('Recebimentos do dia '!I:I,'Recebimentos do dia '!C:C,'Tabela Base'!B225))/
(SUMIFS('Estoque Atual'!G:G,'Estoque Atual'!A:A,'Tabela Base'!B225)+SUMIFS('Recebimentos do dia '!H:H,'Recebimentos do dia '!C:C,'Tabela Base'!B225)),0)</f>
        <v>18.43</v>
      </c>
      <c r="L225" s="237">
        <f>E225-K225</f>
        <v>3.0599999999999987</v>
      </c>
      <c r="M225" s="237">
        <f t="shared" si="43"/>
        <v>3.0599999999999987</v>
      </c>
      <c r="N225" s="236">
        <f>IFERROR((SUMIFS('Recebimentos do dia '!$H:$H,'Recebimentos do dia '!$C:$C,'Tabela Base'!$B225)+SUMIFS('Estoque Atual'!$G:$G,'Estoque Atual'!$A:$A,'Tabela Base'!$B225))/(SUMIFS('Recebimentos do dia '!$E:$E,'Recebimentos do dia '!$C:$C,'Tabela Base'!$B225)+SUMIFS('Estoque Atual'!$E:$E,'Estoque Atual'!$A:$A,'Tabela Base'!$B225)),0)</f>
        <v>10</v>
      </c>
      <c r="P225" s="238"/>
    </row>
    <row r="226" spans="1:16">
      <c r="A226" s="199"/>
      <c r="B226" s="384">
        <v>29010</v>
      </c>
      <c r="C226" s="385" t="s">
        <v>357</v>
      </c>
      <c r="D226" s="386" t="s">
        <v>355</v>
      </c>
      <c r="E226" s="231">
        <v>14.9</v>
      </c>
      <c r="F226" s="231">
        <v>14.9</v>
      </c>
      <c r="G226" s="388" t="s">
        <v>227</v>
      </c>
      <c r="H226" s="389">
        <f t="shared" ref="H226" si="44">J226</f>
        <v>11</v>
      </c>
      <c r="I226" s="377"/>
      <c r="J226" s="235">
        <f>SUMIFS('Estoque Atual'!$E:$E,'Estoque Atual'!$A:$A,'Tabela Base'!$B226)+SUMIFS('Recebimentos do dia '!$E:$E,'Recebimentos do dia '!$C:$C,'Tabela Base'!$B226)</f>
        <v>11</v>
      </c>
      <c r="K226" s="236">
        <f>IFERROR((SUMIFS('Estoque Atual'!I:I,'Estoque Atual'!A:A,'Tabela Base'!B226)+SUMIFS('Recebimentos do dia '!I:I,'Recebimentos do dia '!C:C,'Tabela Base'!B226))/
(SUMIFS('Estoque Atual'!G:G,'Estoque Atual'!A:A,'Tabela Base'!B226)+SUMIFS('Recebimentos do dia '!H:H,'Recebimentos do dia '!C:C,'Tabela Base'!B226)),0)</f>
        <v>11.3</v>
      </c>
      <c r="L226" s="237">
        <f>E226-K226</f>
        <v>3.5999999999999996</v>
      </c>
      <c r="M226" s="237">
        <f t="shared" si="43"/>
        <v>3.5999999999999996</v>
      </c>
      <c r="N226" s="236">
        <f>IFERROR((SUMIFS('Recebimentos do dia '!$H:$H,'Recebimentos do dia '!$C:$C,'Tabela Base'!$B226)+SUMIFS('Estoque Atual'!$G:$G,'Estoque Atual'!$A:$A,'Tabela Base'!$B226))/(SUMIFS('Recebimentos do dia '!$E:$E,'Recebimentos do dia '!$C:$C,'Tabela Base'!$B226)+SUMIFS('Estoque Atual'!$E:$E,'Estoque Atual'!$A:$A,'Tabela Base'!$B226)),0)</f>
        <v>9.7999999999999989</v>
      </c>
      <c r="P226" s="238"/>
    </row>
    <row r="227" spans="1:16">
      <c r="A227" s="199"/>
      <c r="B227" s="343"/>
      <c r="C227" s="378"/>
      <c r="D227" s="345"/>
      <c r="E227" s="390"/>
      <c r="F227" s="390"/>
      <c r="G227" s="245"/>
      <c r="H227" s="347"/>
      <c r="I227" s="377"/>
      <c r="J227" s="334"/>
      <c r="K227" s="334"/>
      <c r="L227" s="335"/>
      <c r="M227" s="335"/>
      <c r="N227" s="334"/>
      <c r="P227" s="238"/>
    </row>
    <row r="228" spans="1:16" ht="23.25" hidden="1">
      <c r="B228" s="219"/>
      <c r="C228" s="219"/>
      <c r="D228" s="392" t="s">
        <v>275</v>
      </c>
      <c r="E228" s="392"/>
      <c r="F228" s="392"/>
      <c r="G228" s="393"/>
      <c r="H228" s="223">
        <v>0</v>
      </c>
      <c r="J228" s="225"/>
      <c r="K228" s="380"/>
      <c r="L228" s="381"/>
      <c r="M228" s="381"/>
      <c r="N228" s="380"/>
    </row>
    <row r="229" spans="1:16" hidden="1">
      <c r="B229" s="353">
        <v>30008</v>
      </c>
      <c r="C229" s="354" t="s">
        <v>389</v>
      </c>
      <c r="D229" s="326" t="s">
        <v>5</v>
      </c>
      <c r="E229" s="231">
        <v>11.99</v>
      </c>
      <c r="F229" s="231">
        <v>11.99</v>
      </c>
      <c r="G229" s="296" t="s">
        <v>241</v>
      </c>
      <c r="H229" s="394">
        <f>J229</f>
        <v>0</v>
      </c>
      <c r="I229" s="377"/>
      <c r="J229" s="235">
        <f>SUMIFS('Estoque Atual'!$E:$E,'Estoque Atual'!$A:$A,'Tabela Base'!$B229)+SUMIFS('Recebimentos do dia '!$E:$E,'Recebimentos do dia '!$C:$C,'Tabela Base'!$B229)</f>
        <v>0</v>
      </c>
      <c r="K229" s="236">
        <f>IFERROR((SUMIFS('Estoque Atual'!I:I,'Estoque Atual'!A:A,'Tabela Base'!B229)+SUMIFS('Recebimentos do dia '!I:I,'Recebimentos do dia '!C:C,'Tabela Base'!B229))/
(SUMIFS('Estoque Atual'!G:G,'Estoque Atual'!A:A,'Tabela Base'!B229)+SUMIFS('Recebimentos do dia '!H:H,'Recebimentos do dia '!C:C,'Tabela Base'!B229)),0)</f>
        <v>0</v>
      </c>
      <c r="L229" s="237">
        <f>E229-K229</f>
        <v>11.99</v>
      </c>
      <c r="M229" s="237">
        <f t="shared" ref="M229:M231" si="45">F229-K229</f>
        <v>11.99</v>
      </c>
      <c r="N229" s="236">
        <f>IFERROR((SUMIFS('Recebimentos do dia '!$H:$H,'Recebimentos do dia '!$C:$C,'Tabela Base'!$B229)+SUMIFS('Estoque Atual'!$G:$G,'Estoque Atual'!$A:$A,'Tabela Base'!$B229))/(SUMIFS('Recebimentos do dia '!$E:$E,'Recebimentos do dia '!$C:$C,'Tabela Base'!$B229)+SUMIFS('Estoque Atual'!$E:$E,'Estoque Atual'!$A:$A,'Tabela Base'!$B229)),0)</f>
        <v>0</v>
      </c>
    </row>
    <row r="230" spans="1:16" s="246" customFormat="1" hidden="1">
      <c r="A230" s="395"/>
      <c r="B230" s="353">
        <v>29007</v>
      </c>
      <c r="C230" s="354" t="s">
        <v>390</v>
      </c>
      <c r="D230" s="326" t="s">
        <v>18</v>
      </c>
      <c r="E230" s="231">
        <v>11.99</v>
      </c>
      <c r="F230" s="231">
        <v>11.99</v>
      </c>
      <c r="G230" s="296" t="s">
        <v>281</v>
      </c>
      <c r="H230" s="396">
        <f t="shared" ref="H230:H231" si="46">J230</f>
        <v>0</v>
      </c>
      <c r="I230" s="377"/>
      <c r="J230" s="235">
        <f>SUMIFS('Estoque Atual'!$E:$E,'Estoque Atual'!$A:$A,'Tabela Base'!$B230)+SUMIFS('Recebimentos do dia '!$E:$E,'Recebimentos do dia '!$C:$C,'Tabela Base'!$B230)</f>
        <v>0</v>
      </c>
      <c r="K230" s="236">
        <f>IFERROR((SUMIFS('Estoque Atual'!I:I,'Estoque Atual'!A:A,'Tabela Base'!B230)+SUMIFS('Recebimentos do dia '!I:I,'Recebimentos do dia '!C:C,'Tabela Base'!B230))/
(SUMIFS('Estoque Atual'!G:G,'Estoque Atual'!A:A,'Tabela Base'!B230)+SUMIFS('Recebimentos do dia '!H:H,'Recebimentos do dia '!C:C,'Tabela Base'!B230)),0)</f>
        <v>0</v>
      </c>
      <c r="L230" s="237">
        <f>E230-K230</f>
        <v>11.99</v>
      </c>
      <c r="M230" s="237">
        <f t="shared" si="45"/>
        <v>11.99</v>
      </c>
      <c r="N230" s="236">
        <f>IFERROR((SUMIFS('Recebimentos do dia '!$H:$H,'Recebimentos do dia '!$C:$C,'Tabela Base'!$B230)+SUMIFS('Estoque Atual'!$G:$G,'Estoque Atual'!$A:$A,'Tabela Base'!$B230))/(SUMIFS('Recebimentos do dia '!$E:$E,'Recebimentos do dia '!$C:$C,'Tabela Base'!$B230)+SUMIFS('Estoque Atual'!$E:$E,'Estoque Atual'!$A:$A,'Tabela Base'!$B230)),0)</f>
        <v>0</v>
      </c>
    </row>
    <row r="231" spans="1:16" hidden="1">
      <c r="B231" s="353">
        <v>29008</v>
      </c>
      <c r="C231" s="354" t="s">
        <v>391</v>
      </c>
      <c r="D231" s="326" t="s">
        <v>18</v>
      </c>
      <c r="E231" s="231">
        <v>9.99</v>
      </c>
      <c r="F231" s="231">
        <v>9.99</v>
      </c>
      <c r="G231" s="296" t="s">
        <v>281</v>
      </c>
      <c r="H231" s="382">
        <f t="shared" si="46"/>
        <v>0</v>
      </c>
      <c r="I231" s="377"/>
      <c r="J231" s="235">
        <f>SUMIFS('Estoque Atual'!$E:$E,'Estoque Atual'!$A:$A,'Tabela Base'!$B231)+SUMIFS('Recebimentos do dia '!$E:$E,'Recebimentos do dia '!$C:$C,'Tabela Base'!$B231)</f>
        <v>0</v>
      </c>
      <c r="K231" s="236">
        <f>IFERROR((SUMIFS('Estoque Atual'!I:I,'Estoque Atual'!A:A,'Tabela Base'!B231)+SUMIFS('Recebimentos do dia '!I:I,'Recebimentos do dia '!C:C,'Tabela Base'!B231))/
(SUMIFS('Estoque Atual'!G:G,'Estoque Atual'!A:A,'Tabela Base'!B231)+SUMIFS('Recebimentos do dia '!H:H,'Recebimentos do dia '!C:C,'Tabela Base'!B231)),0)</f>
        <v>0</v>
      </c>
      <c r="L231" s="237">
        <f>E231-K231</f>
        <v>9.99</v>
      </c>
      <c r="M231" s="237">
        <f t="shared" si="45"/>
        <v>9.99</v>
      </c>
      <c r="N231" s="236">
        <f>IFERROR((SUMIFS('Recebimentos do dia '!$H:$H,'Recebimentos do dia '!$C:$C,'Tabela Base'!$B231)+SUMIFS('Estoque Atual'!$G:$G,'Estoque Atual'!$A:$A,'Tabela Base'!$B231))/(SUMIFS('Recebimentos do dia '!$E:$E,'Recebimentos do dia '!$C:$C,'Tabela Base'!$B231)+SUMIFS('Estoque Atual'!$E:$E,'Estoque Atual'!$A:$A,'Tabela Base'!$B231)),0)</f>
        <v>0</v>
      </c>
    </row>
    <row r="232" spans="1:16" s="246" customFormat="1" ht="23.25" hidden="1">
      <c r="A232" s="395"/>
      <c r="B232" s="219"/>
      <c r="C232" s="219"/>
      <c r="D232" s="220" t="s">
        <v>277</v>
      </c>
      <c r="E232" s="397"/>
      <c r="F232" s="397"/>
      <c r="G232" s="222"/>
      <c r="H232" s="219">
        <v>0</v>
      </c>
      <c r="J232" s="225"/>
      <c r="K232" s="380"/>
      <c r="L232" s="381"/>
      <c r="M232" s="381"/>
      <c r="N232" s="380"/>
    </row>
    <row r="233" spans="1:16" s="246" customFormat="1" hidden="1">
      <c r="A233" s="395"/>
      <c r="B233" s="314">
        <v>29006</v>
      </c>
      <c r="C233" s="315" t="s">
        <v>274</v>
      </c>
      <c r="D233" s="317" t="s">
        <v>18</v>
      </c>
      <c r="E233" s="286">
        <v>13.59</v>
      </c>
      <c r="F233" s="286">
        <v>13.59</v>
      </c>
      <c r="G233" s="318" t="s">
        <v>228</v>
      </c>
      <c r="H233" s="398">
        <f t="shared" ref="H233:H234" si="47">J233</f>
        <v>0</v>
      </c>
      <c r="J233" s="235">
        <f>SUMIFS('Estoque Atual'!$E:$E,'Estoque Atual'!$A:$A,'Tabela Base'!$B233)+SUMIFS('Recebimentos do dia '!$E:$E,'Recebimentos do dia '!$C:$C,'Tabela Base'!$B233)</f>
        <v>0</v>
      </c>
      <c r="K233" s="236">
        <f>IFERROR((SUMIFS('Estoque Atual'!I:I,'Estoque Atual'!A:A,'Tabela Base'!B233)+SUMIFS('Recebimentos do dia '!I:I,'Recebimentos do dia '!C:C,'Tabela Base'!B233))/
(SUMIFS('Estoque Atual'!G:G,'Estoque Atual'!A:A,'Tabela Base'!B233)+SUMIFS('Recebimentos do dia '!H:H,'Recebimentos do dia '!C:C,'Tabela Base'!B233)),0)</f>
        <v>0</v>
      </c>
      <c r="L233" s="237">
        <f>E233-K233</f>
        <v>13.59</v>
      </c>
      <c r="M233" s="237">
        <f t="shared" ref="M233:M234" si="48">F233-K233</f>
        <v>13.59</v>
      </c>
      <c r="N233" s="236">
        <f>IFERROR((SUMIFS('Recebimentos do dia '!$H:$H,'Recebimentos do dia '!$C:$C,'Tabela Base'!$B233)+SUMIFS('Estoque Atual'!$G:$G,'Estoque Atual'!$A:$A,'Tabela Base'!$B233))/(SUMIFS('Recebimentos do dia '!$E:$E,'Recebimentos do dia '!$C:$C,'Tabela Base'!$B233)+SUMIFS('Estoque Atual'!$E:$E,'Estoque Atual'!$A:$A,'Tabela Base'!$B233)),0)</f>
        <v>0</v>
      </c>
    </row>
    <row r="234" spans="1:16" s="246" customFormat="1" hidden="1">
      <c r="A234" s="395"/>
      <c r="B234" s="362">
        <v>29005</v>
      </c>
      <c r="C234" s="363" t="s">
        <v>192</v>
      </c>
      <c r="D234" s="341" t="s">
        <v>191</v>
      </c>
      <c r="E234" s="286">
        <v>13.7</v>
      </c>
      <c r="F234" s="286">
        <v>13.7</v>
      </c>
      <c r="G234" s="399" t="s">
        <v>228</v>
      </c>
      <c r="H234" s="258">
        <f t="shared" si="47"/>
        <v>0</v>
      </c>
      <c r="J234" s="235">
        <f>SUMIFS('Estoque Atual'!$E:$E,'Estoque Atual'!$A:$A,'Tabela Base'!$B234)+SUMIFS('Recebimentos do dia '!$E:$E,'Recebimentos do dia '!$C:$C,'Tabela Base'!$B234)</f>
        <v>0</v>
      </c>
      <c r="K234" s="236">
        <f>IFERROR((SUMIFS('Estoque Atual'!I:I,'Estoque Atual'!A:A,'Tabela Base'!B234)+SUMIFS('Recebimentos do dia '!I:I,'Recebimentos do dia '!C:C,'Tabela Base'!B234))/
(SUMIFS('Estoque Atual'!G:G,'Estoque Atual'!A:A,'Tabela Base'!B234)+SUMIFS('Recebimentos do dia '!H:H,'Recebimentos do dia '!C:C,'Tabela Base'!B234)),0)</f>
        <v>0</v>
      </c>
      <c r="L234" s="237">
        <f>E234-K234</f>
        <v>13.7</v>
      </c>
      <c r="M234" s="237">
        <f t="shared" si="48"/>
        <v>13.7</v>
      </c>
      <c r="N234" s="236">
        <f>IFERROR((SUMIFS('Recebimentos do dia '!$H:$H,'Recebimentos do dia '!$C:$C,'Tabela Base'!$B234)+SUMIFS('Estoque Atual'!$G:$G,'Estoque Atual'!$A:$A,'Tabela Base'!$B234))/(SUMIFS('Recebimentos do dia '!$E:$E,'Recebimentos do dia '!$C:$C,'Tabela Base'!$B234)+SUMIFS('Estoque Atual'!$E:$E,'Estoque Atual'!$A:$A,'Tabela Base'!$B234)),0)</f>
        <v>0</v>
      </c>
    </row>
    <row r="235" spans="1:16" ht="23.25">
      <c r="B235" s="219"/>
      <c r="C235" s="219"/>
      <c r="D235" s="220" t="s">
        <v>282</v>
      </c>
      <c r="E235" s="221"/>
      <c r="F235" s="221"/>
      <c r="G235" s="222"/>
      <c r="H235" s="223"/>
      <c r="I235" s="224"/>
      <c r="J235" s="225"/>
      <c r="K235" s="226"/>
      <c r="L235" s="227"/>
      <c r="M235" s="227"/>
      <c r="N235" s="226"/>
    </row>
    <row r="236" spans="1:16">
      <c r="B236" s="384">
        <v>20208</v>
      </c>
      <c r="C236" s="385" t="s">
        <v>392</v>
      </c>
      <c r="D236" s="386" t="s">
        <v>284</v>
      </c>
      <c r="E236" s="387">
        <v>24.59</v>
      </c>
      <c r="F236" s="387">
        <v>24.99</v>
      </c>
      <c r="G236" s="388" t="s">
        <v>312</v>
      </c>
      <c r="H236" s="389">
        <f>J236</f>
        <v>19</v>
      </c>
      <c r="I236" s="377"/>
      <c r="J236" s="235">
        <f>SUMIFS('Estoque Atual'!$E:$E,'Estoque Atual'!$A:$A,'Tabela Base'!$B236)+SUMIFS('Recebimentos do dia '!$E:$E,'Recebimentos do dia '!$C:$C,'Tabela Base'!$B236)</f>
        <v>19</v>
      </c>
      <c r="K236" s="236">
        <f>IFERROR((SUMIFS('Estoque Atual'!I:I,'Estoque Atual'!A:A,'Tabela Base'!B236)+SUMIFS('Recebimentos do dia '!I:I,'Recebimentos do dia '!C:C,'Tabela Base'!B236))/
(SUMIFS('Estoque Atual'!G:G,'Estoque Atual'!A:A,'Tabela Base'!B236)+SUMIFS('Recebimentos do dia '!H:H,'Recebimentos do dia '!C:C,'Tabela Base'!B236)),0)</f>
        <v>21.5</v>
      </c>
      <c r="L236" s="237">
        <f t="shared" ref="L236:M239" si="49">E236-K236</f>
        <v>3.09</v>
      </c>
      <c r="M236" s="237">
        <f>F236-K236</f>
        <v>3.4899999999999984</v>
      </c>
      <c r="N236" s="236">
        <f>IFERROR((SUMIFS('Recebimentos do dia '!$H:$H,'Recebimentos do dia '!$C:$C,'Tabela Base'!$B236)+SUMIFS('Estoque Atual'!$G:$G,'Estoque Atual'!$A:$A,'Tabela Base'!$B236))/(SUMIFS('Recebimentos do dia '!$E:$E,'Recebimentos do dia '!$C:$C,'Tabela Base'!$B236)+SUMIFS('Estoque Atual'!$E:$E,'Estoque Atual'!$A:$A,'Tabela Base'!$B236)),0)</f>
        <v>21</v>
      </c>
    </row>
    <row r="237" spans="1:16">
      <c r="B237" s="384">
        <v>20203</v>
      </c>
      <c r="C237" s="385" t="s">
        <v>393</v>
      </c>
      <c r="D237" s="386" t="s">
        <v>119</v>
      </c>
      <c r="E237" s="387">
        <v>25.49</v>
      </c>
      <c r="F237" s="387">
        <v>25.99</v>
      </c>
      <c r="G237" s="388" t="s">
        <v>283</v>
      </c>
      <c r="H237" s="389">
        <f>J237</f>
        <v>4</v>
      </c>
      <c r="I237" s="377"/>
      <c r="J237" s="235">
        <f>SUMIFS('Estoque Atual'!$E:$E,'Estoque Atual'!$A:$A,'Tabela Base'!$B237)+SUMIFS('Recebimentos do dia '!$E:$E,'Recebimentos do dia '!$C:$C,'Tabela Base'!$B237)</f>
        <v>4</v>
      </c>
      <c r="K237" s="236">
        <f>IFERROR((SUMIFS('Estoque Atual'!I:I,'Estoque Atual'!A:A,'Tabela Base'!B237)+SUMIFS('Recebimentos do dia '!I:I,'Recebimentos do dia '!C:C,'Tabela Base'!B237))/
(SUMIFS('Estoque Atual'!G:G,'Estoque Atual'!A:A,'Tabela Base'!B237)+SUMIFS('Recebimentos do dia '!H:H,'Recebimentos do dia '!C:C,'Tabela Base'!B237)),0)</f>
        <v>21.7</v>
      </c>
      <c r="L237" s="237">
        <f t="shared" si="49"/>
        <v>3.7899999999999991</v>
      </c>
      <c r="M237" s="237">
        <f>F237-K237</f>
        <v>4.2899999999999991</v>
      </c>
      <c r="N237" s="236">
        <f>IFERROR((SUMIFS('Recebimentos do dia '!$H:$H,'Recebimentos do dia '!$C:$C,'Tabela Base'!$B237)+SUMIFS('Estoque Atual'!$G:$G,'Estoque Atual'!$A:$A,'Tabela Base'!$B237))/(SUMIFS('Recebimentos do dia '!$E:$E,'Recebimentos do dia '!$C:$C,'Tabela Base'!$B237)+SUMIFS('Estoque Atual'!$E:$E,'Estoque Atual'!$A:$A,'Tabela Base'!$B237)),0)</f>
        <v>15</v>
      </c>
    </row>
    <row r="238" spans="1:16" hidden="1">
      <c r="B238" s="384">
        <v>20202</v>
      </c>
      <c r="C238" s="385" t="s">
        <v>394</v>
      </c>
      <c r="D238" s="386" t="s">
        <v>18</v>
      </c>
      <c r="E238" s="387">
        <v>65.989999999999995</v>
      </c>
      <c r="F238" s="387">
        <v>66.989999999999995</v>
      </c>
      <c r="G238" s="388" t="s">
        <v>312</v>
      </c>
      <c r="H238" s="389">
        <f t="shared" ref="H238" si="50">J238</f>
        <v>0</v>
      </c>
      <c r="I238" s="377"/>
      <c r="J238" s="235">
        <f>SUMIFS('Estoque Atual'!$E:$E,'Estoque Atual'!$A:$A,'Tabela Base'!$B238)+SUMIFS('Recebimentos do dia '!$E:$E,'Recebimentos do dia '!$C:$C,'Tabela Base'!$B238)</f>
        <v>0</v>
      </c>
      <c r="K238" s="236">
        <f>IFERROR((SUMIFS('Estoque Atual'!I:I,'Estoque Atual'!A:A,'Tabela Base'!B238)+SUMIFS('Recebimentos do dia '!I:I,'Recebimentos do dia '!C:C,'Tabela Base'!B238))/
(SUMIFS('Estoque Atual'!G:G,'Estoque Atual'!A:A,'Tabela Base'!B238)+SUMIFS('Recebimentos do dia '!H:H,'Recebimentos do dia '!C:C,'Tabela Base'!B238)),0)</f>
        <v>0</v>
      </c>
      <c r="L238" s="237">
        <f t="shared" si="49"/>
        <v>65.989999999999995</v>
      </c>
      <c r="M238" s="237">
        <f>F238-K238</f>
        <v>66.989999999999995</v>
      </c>
      <c r="N238" s="236">
        <f>IFERROR((SUMIFS('Recebimentos do dia '!$H:$H,'Recebimentos do dia '!$C:$C,'Tabela Base'!$B238)+SUMIFS('Estoque Atual'!$G:$G,'Estoque Atual'!$A:$A,'Tabela Base'!$B238))/(SUMIFS('Recebimentos do dia '!$E:$E,'Recebimentos do dia '!$C:$C,'Tabela Base'!$B238)+SUMIFS('Estoque Atual'!$E:$E,'Estoque Atual'!$A:$A,'Tabela Base'!$B238)),0)</f>
        <v>0</v>
      </c>
    </row>
    <row r="239" spans="1:16" hidden="1">
      <c r="B239" s="384">
        <v>20206</v>
      </c>
      <c r="C239" s="385" t="s">
        <v>395</v>
      </c>
      <c r="D239" s="386" t="s">
        <v>119</v>
      </c>
      <c r="E239" s="387">
        <v>65.989999999999995</v>
      </c>
      <c r="F239" s="387">
        <v>65.989999999999995</v>
      </c>
      <c r="G239" s="388" t="s">
        <v>312</v>
      </c>
      <c r="H239" s="389">
        <f t="shared" ref="H239" si="51">J239</f>
        <v>0</v>
      </c>
      <c r="I239" s="377"/>
      <c r="J239" s="235">
        <f>SUMIFS('Estoque Atual'!$E:$E,'Estoque Atual'!$A:$A,'Tabela Base'!$B239)+SUMIFS('Recebimentos do dia '!$E:$E,'Recebimentos do dia '!$C:$C,'Tabela Base'!$B239)</f>
        <v>0</v>
      </c>
      <c r="K239" s="236">
        <f>IFERROR((SUMIFS('Estoque Atual'!I:I,'Estoque Atual'!A:A,'Tabela Base'!B239)+SUMIFS('Recebimentos do dia '!I:I,'Recebimentos do dia '!C:C,'Tabela Base'!B239))/
(SUMIFS('Estoque Atual'!G:G,'Estoque Atual'!A:A,'Tabela Base'!B239)+SUMIFS('Recebimentos do dia '!H:H,'Recebimentos do dia '!C:C,'Tabela Base'!B239)),0)</f>
        <v>0</v>
      </c>
      <c r="L239" s="237">
        <f t="shared" si="49"/>
        <v>65.989999999999995</v>
      </c>
      <c r="M239" s="237">
        <f t="shared" si="49"/>
        <v>0</v>
      </c>
      <c r="N239" s="236">
        <f>IFERROR((SUMIFS('Recebimentos do dia '!$H:$H,'Recebimentos do dia '!$C:$C,'Tabela Base'!$B239)+SUMIFS('Estoque Atual'!$G:$G,'Estoque Atual'!$A:$A,'Tabela Base'!$B239))/(SUMIFS('Recebimentos do dia '!$E:$E,'Recebimentos do dia '!$C:$C,'Tabela Base'!$B239)+SUMIFS('Estoque Atual'!$E:$E,'Estoque Atual'!$A:$A,'Tabela Base'!$B239)),0)</f>
        <v>0</v>
      </c>
    </row>
    <row r="240" spans="1:16">
      <c r="E240" s="390"/>
      <c r="F240" s="390"/>
    </row>
    <row r="241" spans="1:14" ht="23.25" hidden="1">
      <c r="B241" s="225"/>
      <c r="C241" s="225"/>
      <c r="D241" s="406" t="s">
        <v>116</v>
      </c>
      <c r="E241" s="406"/>
      <c r="F241" s="406"/>
      <c r="G241" s="407"/>
      <c r="H241" s="339">
        <v>0</v>
      </c>
      <c r="I241" s="224"/>
      <c r="J241" s="225"/>
      <c r="K241" s="226"/>
      <c r="L241" s="340"/>
      <c r="M241" s="340"/>
      <c r="N241" s="226"/>
    </row>
    <row r="242" spans="1:14" s="246" customFormat="1" hidden="1">
      <c r="A242" s="395"/>
      <c r="B242" s="277">
        <v>21001</v>
      </c>
      <c r="C242" s="248" t="s">
        <v>183</v>
      </c>
      <c r="D242" s="249" t="s">
        <v>73</v>
      </c>
      <c r="E242" s="286">
        <v>15.99</v>
      </c>
      <c r="F242" s="286">
        <v>15.99</v>
      </c>
      <c r="G242" s="250" t="s">
        <v>223</v>
      </c>
      <c r="H242" s="258">
        <f t="shared" ref="H242:H245" si="52">J242</f>
        <v>0</v>
      </c>
      <c r="I242" s="352"/>
      <c r="J242" s="235">
        <f>SUMIFS('Estoque Atual'!$E:$E,'Estoque Atual'!$A:$A,'Tabela Base'!$B242)+SUMIFS('Recebimentos do dia '!$E:$E,'Recebimentos do dia '!$C:$C,'Tabela Base'!$B242)</f>
        <v>0</v>
      </c>
      <c r="K242" s="236">
        <f>IFERROR((SUMIFS('Estoque Atual'!I:I,'Estoque Atual'!A:A,'Tabela Base'!B242)+SUMIFS('Recebimentos do dia '!I:I,'Recebimentos do dia '!C:C,'Tabela Base'!B242))/
(SUMIFS('Estoque Atual'!G:G,'Estoque Atual'!A:A,'Tabela Base'!B242)+SUMIFS('Recebimentos do dia '!H:H,'Recebimentos do dia '!C:C,'Tabela Base'!B242)),0)</f>
        <v>0</v>
      </c>
      <c r="L242" s="237">
        <f>E242-K242</f>
        <v>15.99</v>
      </c>
      <c r="M242" s="237">
        <f t="shared" ref="M242:M245" si="53">F242-K242</f>
        <v>15.99</v>
      </c>
      <c r="N242" s="236">
        <f>IFERROR((SUMIFS('Recebimentos do dia '!$H:$H,'Recebimentos do dia '!$C:$C,'Tabela Base'!$B242)+SUMIFS('Estoque Atual'!$G:$G,'Estoque Atual'!$A:$A,'Tabela Base'!$B242))/(SUMIFS('Recebimentos do dia '!$E:$E,'Recebimentos do dia '!$C:$C,'Tabela Base'!$B242)+SUMIFS('Estoque Atual'!$E:$E,'Estoque Atual'!$A:$A,'Tabela Base'!$B242)),0)</f>
        <v>0</v>
      </c>
    </row>
    <row r="243" spans="1:14" hidden="1">
      <c r="B243" s="277">
        <v>21005</v>
      </c>
      <c r="C243" s="248" t="s">
        <v>184</v>
      </c>
      <c r="D243" s="249" t="s">
        <v>133</v>
      </c>
      <c r="E243" s="231">
        <v>19.989999999999998</v>
      </c>
      <c r="F243" s="231">
        <v>19.989999999999998</v>
      </c>
      <c r="G243" s="250" t="s">
        <v>220</v>
      </c>
      <c r="H243" s="233">
        <f t="shared" si="52"/>
        <v>0</v>
      </c>
      <c r="J243" s="235">
        <f>SUMIFS('Estoque Atual'!$E:$E,'Estoque Atual'!$A:$A,'Tabela Base'!$B243)+SUMIFS('Recebimentos do dia '!$E:$E,'Recebimentos do dia '!$C:$C,'Tabela Base'!$B243)</f>
        <v>0</v>
      </c>
      <c r="K243" s="236">
        <f>IFERROR((SUMIFS('Estoque Atual'!I:I,'Estoque Atual'!A:A,'Tabela Base'!B243)+SUMIFS('Recebimentos do dia '!I:I,'Recebimentos do dia '!C:C,'Tabela Base'!B243))/
(SUMIFS('Estoque Atual'!G:G,'Estoque Atual'!A:A,'Tabela Base'!B243)+SUMIFS('Recebimentos do dia '!H:H,'Recebimentos do dia '!C:C,'Tabela Base'!B243)),0)</f>
        <v>0</v>
      </c>
      <c r="L243" s="237">
        <f>E243-K243</f>
        <v>19.989999999999998</v>
      </c>
      <c r="M243" s="237">
        <f t="shared" si="53"/>
        <v>19.989999999999998</v>
      </c>
      <c r="N243" s="236">
        <f>IFERROR((SUMIFS('Recebimentos do dia '!$H:$H,'Recebimentos do dia '!$C:$C,'Tabela Base'!$B243)+SUMIFS('Estoque Atual'!$G:$G,'Estoque Atual'!$A:$A,'Tabela Base'!$B243))/(SUMIFS('Recebimentos do dia '!$E:$E,'Recebimentos do dia '!$C:$C,'Tabela Base'!$B243)+SUMIFS('Estoque Atual'!$E:$E,'Estoque Atual'!$A:$A,'Tabela Base'!$B243)),0)</f>
        <v>0</v>
      </c>
    </row>
    <row r="244" spans="1:14" s="246" customFormat="1" hidden="1">
      <c r="A244" s="395"/>
      <c r="B244" s="277">
        <v>21012</v>
      </c>
      <c r="C244" s="248" t="s">
        <v>184</v>
      </c>
      <c r="D244" s="249" t="s">
        <v>73</v>
      </c>
      <c r="E244" s="286">
        <v>20.9</v>
      </c>
      <c r="F244" s="286">
        <v>20.9</v>
      </c>
      <c r="G244" s="250" t="s">
        <v>235</v>
      </c>
      <c r="H244" s="258">
        <f t="shared" si="52"/>
        <v>0</v>
      </c>
      <c r="J244" s="235">
        <f>SUMIFS('Estoque Atual'!$E:$E,'Estoque Atual'!$A:$A,'Tabela Base'!$B244)+SUMIFS('Recebimentos do dia '!$E:$E,'Recebimentos do dia '!$C:$C,'Tabela Base'!$B244)</f>
        <v>0</v>
      </c>
      <c r="K244" s="236">
        <f>IFERROR((SUMIFS('Estoque Atual'!I:I,'Estoque Atual'!A:A,'Tabela Base'!B244)+SUMIFS('Recebimentos do dia '!I:I,'Recebimentos do dia '!C:C,'Tabela Base'!B244))/
(SUMIFS('Estoque Atual'!G:G,'Estoque Atual'!A:A,'Tabela Base'!B244)+SUMIFS('Recebimentos do dia '!H:H,'Recebimentos do dia '!C:C,'Tabela Base'!B244)),0)</f>
        <v>0</v>
      </c>
      <c r="L244" s="237">
        <f>E244-K244</f>
        <v>20.9</v>
      </c>
      <c r="M244" s="237">
        <f t="shared" si="53"/>
        <v>20.9</v>
      </c>
      <c r="N244" s="236">
        <f>IFERROR((SUMIFS('Recebimentos do dia '!$H:$H,'Recebimentos do dia '!$C:$C,'Tabela Base'!$B244)+SUMIFS('Estoque Atual'!$G:$G,'Estoque Atual'!$A:$A,'Tabela Base'!$B244))/(SUMIFS('Recebimentos do dia '!$E:$E,'Recebimentos do dia '!$C:$C,'Tabela Base'!$B244)+SUMIFS('Estoque Atual'!$E:$E,'Estoque Atual'!$A:$A,'Tabela Base'!$B244)),0)</f>
        <v>0</v>
      </c>
    </row>
    <row r="245" spans="1:14" hidden="1">
      <c r="B245" s="277">
        <v>21003</v>
      </c>
      <c r="C245" s="248" t="s">
        <v>185</v>
      </c>
      <c r="D245" s="249" t="s">
        <v>46</v>
      </c>
      <c r="E245" s="231">
        <v>21.49</v>
      </c>
      <c r="F245" s="231">
        <v>21.49</v>
      </c>
      <c r="G245" s="250" t="s">
        <v>220</v>
      </c>
      <c r="H245" s="233">
        <f t="shared" si="52"/>
        <v>0</v>
      </c>
      <c r="J245" s="235">
        <f>SUMIFS('Estoque Atual'!$E:$E,'Estoque Atual'!$A:$A,'Tabela Base'!$B245)+SUMIFS('Recebimentos do dia '!$E:$E,'Recebimentos do dia '!$C:$C,'Tabela Base'!$B245)</f>
        <v>0</v>
      </c>
      <c r="K245" s="236">
        <f>IFERROR((SUMIFS('Estoque Atual'!I:I,'Estoque Atual'!A:A,'Tabela Base'!B245)+SUMIFS('Recebimentos do dia '!I:I,'Recebimentos do dia '!C:C,'Tabela Base'!B245))/
(SUMIFS('Estoque Atual'!G:G,'Estoque Atual'!A:A,'Tabela Base'!B245)+SUMIFS('Recebimentos do dia '!H:H,'Recebimentos do dia '!C:C,'Tabela Base'!B245)),0)</f>
        <v>0</v>
      </c>
      <c r="L245" s="237">
        <f>E245-K245</f>
        <v>21.49</v>
      </c>
      <c r="M245" s="237">
        <f t="shared" si="53"/>
        <v>21.49</v>
      </c>
      <c r="N245" s="236">
        <f>IFERROR((SUMIFS('Recebimentos do dia '!$H:$H,'Recebimentos do dia '!$C:$C,'Tabela Base'!$B245)+SUMIFS('Estoque Atual'!$G:$G,'Estoque Atual'!$A:$A,'Tabela Base'!$B245))/(SUMIFS('Recebimentos do dia '!$E:$E,'Recebimentos do dia '!$C:$C,'Tabela Base'!$B245)+SUMIFS('Estoque Atual'!$E:$E,'Estoque Atual'!$A:$A,'Tabela Base'!$B245)),0)</f>
        <v>0</v>
      </c>
    </row>
    <row r="247" spans="1:14" s="246" customFormat="1" ht="23.25" hidden="1">
      <c r="A247" s="395"/>
      <c r="B247" s="225"/>
      <c r="C247" s="225"/>
      <c r="D247" s="336" t="s">
        <v>63</v>
      </c>
      <c r="E247" s="349"/>
      <c r="F247" s="349"/>
      <c r="G247" s="338"/>
      <c r="H247" s="408">
        <v>0</v>
      </c>
      <c r="I247" s="224"/>
      <c r="J247" s="225">
        <v>0</v>
      </c>
      <c r="K247" s="226"/>
      <c r="L247" s="340"/>
      <c r="M247" s="340"/>
      <c r="N247" s="226"/>
    </row>
    <row r="248" spans="1:14" s="246" customFormat="1" hidden="1">
      <c r="A248" s="395"/>
      <c r="B248" s="277">
        <v>20004</v>
      </c>
      <c r="C248" s="270" t="s">
        <v>66</v>
      </c>
      <c r="D248" s="409" t="s">
        <v>65</v>
      </c>
      <c r="E248" s="231">
        <v>12.5</v>
      </c>
      <c r="F248" s="231">
        <v>12.5</v>
      </c>
      <c r="G248" s="250" t="s">
        <v>172</v>
      </c>
      <c r="H248" s="258">
        <f t="shared" ref="H248:H272" si="54">J248</f>
        <v>0</v>
      </c>
      <c r="J248" s="235">
        <f>SUMIFS('Estoque Atual'!$E:$E,'Estoque Atual'!$A:$A,'Tabela Base'!$B248)+SUMIFS('Recebimentos do dia '!$E:$E,'Recebimentos do dia '!$C:$C,'Tabela Base'!$B248)</f>
        <v>0</v>
      </c>
      <c r="K248" s="236">
        <f>IFERROR((SUMIFS('Estoque Atual'!I:I,'Estoque Atual'!A:A,'Tabela Base'!B248)+SUMIFS('Recebimentos do dia '!I:I,'Recebimentos do dia '!C:C,'Tabela Base'!B248))/
(SUMIFS('Estoque Atual'!G:G,'Estoque Atual'!A:A,'Tabela Base'!B248)+SUMIFS('Recebimentos do dia '!H:H,'Recebimentos do dia '!C:C,'Tabela Base'!B248)),0)</f>
        <v>0</v>
      </c>
      <c r="L248" s="237">
        <f t="shared" ref="L248:L272" si="55">E248-K248</f>
        <v>12.5</v>
      </c>
      <c r="M248" s="237">
        <f t="shared" ref="M248:M272" si="56">F248-K248</f>
        <v>12.5</v>
      </c>
      <c r="N248" s="236">
        <f>IFERROR((SUMIFS('Recebimentos do dia '!$H:$H,'Recebimentos do dia '!$C:$C,'Tabela Base'!$B248)+SUMIFS('Estoque Atual'!$G:$G,'Estoque Atual'!$A:$A,'Tabela Base'!$B248))/(SUMIFS('Recebimentos do dia '!$E:$E,'Recebimentos do dia '!$C:$C,'Tabela Base'!$B248)+SUMIFS('Estoque Atual'!$E:$E,'Estoque Atual'!$A:$A,'Tabela Base'!$B248)),0)</f>
        <v>0</v>
      </c>
    </row>
    <row r="249" spans="1:14" s="246" customFormat="1" hidden="1">
      <c r="A249" s="395"/>
      <c r="B249" s="277">
        <v>20015</v>
      </c>
      <c r="C249" s="270" t="s">
        <v>86</v>
      </c>
      <c r="D249" s="409" t="s">
        <v>67</v>
      </c>
      <c r="E249" s="231">
        <v>11.9</v>
      </c>
      <c r="F249" s="231">
        <v>11.9</v>
      </c>
      <c r="G249" s="250" t="s">
        <v>225</v>
      </c>
      <c r="H249" s="258">
        <f t="shared" si="54"/>
        <v>0</v>
      </c>
      <c r="J249" s="235">
        <f>SUMIFS('Estoque Atual'!$E:$E,'Estoque Atual'!$A:$A,'Tabela Base'!$B249)+SUMIFS('Recebimentos do dia '!$E:$E,'Recebimentos do dia '!$C:$C,'Tabela Base'!$B249)</f>
        <v>0</v>
      </c>
      <c r="K249" s="236">
        <f>IFERROR((SUMIFS('Estoque Atual'!I:I,'Estoque Atual'!A:A,'Tabela Base'!B249)+SUMIFS('Recebimentos do dia '!I:I,'Recebimentos do dia '!C:C,'Tabela Base'!B249))/
(SUMIFS('Estoque Atual'!G:G,'Estoque Atual'!A:A,'Tabela Base'!B249)+SUMIFS('Recebimentos do dia '!H:H,'Recebimentos do dia '!C:C,'Tabela Base'!B249)),0)</f>
        <v>0</v>
      </c>
      <c r="L249" s="237">
        <f t="shared" si="55"/>
        <v>11.9</v>
      </c>
      <c r="M249" s="237">
        <f t="shared" si="56"/>
        <v>11.9</v>
      </c>
      <c r="N249" s="236">
        <f>IFERROR((SUMIFS('Recebimentos do dia '!$H:$H,'Recebimentos do dia '!$C:$C,'Tabela Base'!$B249)+SUMIFS('Estoque Atual'!$G:$G,'Estoque Atual'!$A:$A,'Tabela Base'!$B249))/(SUMIFS('Recebimentos do dia '!$E:$E,'Recebimentos do dia '!$C:$C,'Tabela Base'!$B249)+SUMIFS('Estoque Atual'!$E:$E,'Estoque Atual'!$A:$A,'Tabela Base'!$B249)),0)</f>
        <v>0</v>
      </c>
    </row>
    <row r="250" spans="1:14" s="246" customFormat="1" hidden="1">
      <c r="A250" s="395"/>
      <c r="B250" s="277">
        <v>20022</v>
      </c>
      <c r="C250" s="270" t="s">
        <v>100</v>
      </c>
      <c r="D250" s="409" t="s">
        <v>5</v>
      </c>
      <c r="E250" s="231">
        <v>8.99</v>
      </c>
      <c r="F250" s="231">
        <v>8.99</v>
      </c>
      <c r="G250" s="410" t="s">
        <v>225</v>
      </c>
      <c r="H250" s="258">
        <f t="shared" si="54"/>
        <v>0</v>
      </c>
      <c r="I250" s="252"/>
      <c r="J250" s="235">
        <f>SUMIFS('Estoque Atual'!$E:$E,'Estoque Atual'!$A:$A,'Tabela Base'!$B250)+SUMIFS('Recebimentos do dia '!$E:$E,'Recebimentos do dia '!$C:$C,'Tabela Base'!$B250)</f>
        <v>0</v>
      </c>
      <c r="K250" s="236">
        <f>IFERROR((SUMIFS('Estoque Atual'!I:I,'Estoque Atual'!A:A,'Tabela Base'!B250)+SUMIFS('Recebimentos do dia '!I:I,'Recebimentos do dia '!C:C,'Tabela Base'!B250))/
(SUMIFS('Estoque Atual'!G:G,'Estoque Atual'!A:A,'Tabela Base'!B250)+SUMIFS('Recebimentos do dia '!H:H,'Recebimentos do dia '!C:C,'Tabela Base'!B250)),0)</f>
        <v>0</v>
      </c>
      <c r="L250" s="237">
        <f t="shared" si="55"/>
        <v>8.99</v>
      </c>
      <c r="M250" s="237">
        <f t="shared" si="56"/>
        <v>8.99</v>
      </c>
      <c r="N250" s="236">
        <f>IFERROR((SUMIFS('Recebimentos do dia '!$H:$H,'Recebimentos do dia '!$C:$C,'Tabela Base'!$B250)+SUMIFS('Estoque Atual'!$G:$G,'Estoque Atual'!$A:$A,'Tabela Base'!$B250))/(SUMIFS('Recebimentos do dia '!$E:$E,'Recebimentos do dia '!$C:$C,'Tabela Base'!$B250)+SUMIFS('Estoque Atual'!$E:$E,'Estoque Atual'!$A:$A,'Tabela Base'!$B250)),0)</f>
        <v>0</v>
      </c>
    </row>
    <row r="251" spans="1:14" s="246" customFormat="1" hidden="1">
      <c r="A251" s="395"/>
      <c r="B251" s="277">
        <v>20024</v>
      </c>
      <c r="C251" s="270" t="s">
        <v>100</v>
      </c>
      <c r="D251" s="409" t="s">
        <v>5</v>
      </c>
      <c r="E251" s="231">
        <v>8.99</v>
      </c>
      <c r="F251" s="231">
        <v>8.99</v>
      </c>
      <c r="G251" s="250" t="s">
        <v>225</v>
      </c>
      <c r="H251" s="258">
        <f t="shared" si="54"/>
        <v>0</v>
      </c>
      <c r="I251" s="252"/>
      <c r="J251" s="235">
        <f>SUMIFS('Estoque Atual'!$E:$E,'Estoque Atual'!$A:$A,'Tabela Base'!$B251)+SUMIFS('Recebimentos do dia '!$E:$E,'Recebimentos do dia '!$C:$C,'Tabela Base'!$B251)</f>
        <v>0</v>
      </c>
      <c r="K251" s="236">
        <f>IFERROR((SUMIFS('Estoque Atual'!I:I,'Estoque Atual'!A:A,'Tabela Base'!B251)+SUMIFS('Recebimentos do dia '!I:I,'Recebimentos do dia '!C:C,'Tabela Base'!B251))/
(SUMIFS('Estoque Atual'!G:G,'Estoque Atual'!A:A,'Tabela Base'!B251)+SUMIFS('Recebimentos do dia '!H:H,'Recebimentos do dia '!C:C,'Tabela Base'!B251)),0)</f>
        <v>0</v>
      </c>
      <c r="L251" s="237">
        <f t="shared" si="55"/>
        <v>8.99</v>
      </c>
      <c r="M251" s="237">
        <f t="shared" si="56"/>
        <v>8.99</v>
      </c>
      <c r="N251" s="236">
        <f>IFERROR((SUMIFS('Recebimentos do dia '!$H:$H,'Recebimentos do dia '!$C:$C,'Tabela Base'!$B251)+SUMIFS('Estoque Atual'!$G:$G,'Estoque Atual'!$A:$A,'Tabela Base'!$B251))/(SUMIFS('Recebimentos do dia '!$E:$E,'Recebimentos do dia '!$C:$C,'Tabela Base'!$B251)+SUMIFS('Estoque Atual'!$E:$E,'Estoque Atual'!$A:$A,'Tabela Base'!$B251)),0)</f>
        <v>0</v>
      </c>
    </row>
    <row r="252" spans="1:14" s="246" customFormat="1" hidden="1">
      <c r="A252" s="395"/>
      <c r="B252" s="277">
        <v>20014</v>
      </c>
      <c r="C252" s="270" t="s">
        <v>135</v>
      </c>
      <c r="D252" s="409" t="s">
        <v>65</v>
      </c>
      <c r="E252" s="231">
        <v>20.5</v>
      </c>
      <c r="F252" s="231">
        <v>20.5</v>
      </c>
      <c r="G252" s="410" t="s">
        <v>242</v>
      </c>
      <c r="H252" s="258">
        <f t="shared" si="54"/>
        <v>0</v>
      </c>
      <c r="J252" s="235">
        <f>SUMIFS('Estoque Atual'!$E:$E,'Estoque Atual'!$A:$A,'Tabela Base'!$B252)+SUMIFS('Recebimentos do dia '!$E:$E,'Recebimentos do dia '!$C:$C,'Tabela Base'!$B252)</f>
        <v>0</v>
      </c>
      <c r="K252" s="236">
        <f>IFERROR((SUMIFS('Estoque Atual'!I:I,'Estoque Atual'!A:A,'Tabela Base'!B252)+SUMIFS('Recebimentos do dia '!I:I,'Recebimentos do dia '!C:C,'Tabela Base'!B252))/
(SUMIFS('Estoque Atual'!G:G,'Estoque Atual'!A:A,'Tabela Base'!B252)+SUMIFS('Recebimentos do dia '!H:H,'Recebimentos do dia '!C:C,'Tabela Base'!B252)),0)</f>
        <v>0</v>
      </c>
      <c r="L252" s="237">
        <f t="shared" si="55"/>
        <v>20.5</v>
      </c>
      <c r="M252" s="237">
        <f t="shared" si="56"/>
        <v>20.5</v>
      </c>
      <c r="N252" s="236">
        <f>IFERROR((SUMIFS('Recebimentos do dia '!$H:$H,'Recebimentos do dia '!$C:$C,'Tabela Base'!$B252)+SUMIFS('Estoque Atual'!$G:$G,'Estoque Atual'!$A:$A,'Tabela Base'!$B252))/(SUMIFS('Recebimentos do dia '!$E:$E,'Recebimentos do dia '!$C:$C,'Tabela Base'!$B252)+SUMIFS('Estoque Atual'!$E:$E,'Estoque Atual'!$A:$A,'Tabela Base'!$B252)),0)</f>
        <v>0</v>
      </c>
    </row>
    <row r="253" spans="1:14" s="246" customFormat="1" hidden="1">
      <c r="A253" s="395"/>
      <c r="B253" s="247">
        <v>20027</v>
      </c>
      <c r="C253" s="248" t="s">
        <v>106</v>
      </c>
      <c r="D253" s="249" t="s">
        <v>65</v>
      </c>
      <c r="E253" s="231">
        <v>6.99</v>
      </c>
      <c r="F253" s="231">
        <v>6.99</v>
      </c>
      <c r="G253" s="250" t="s">
        <v>229</v>
      </c>
      <c r="H253" s="258">
        <f t="shared" si="54"/>
        <v>0</v>
      </c>
      <c r="J253" s="235">
        <f>SUMIFS('Estoque Atual'!$E:$E,'Estoque Atual'!$A:$A,'Tabela Base'!$B253)+SUMIFS('Recebimentos do dia '!$E:$E,'Recebimentos do dia '!$C:$C,'Tabela Base'!$B253)</f>
        <v>0</v>
      </c>
      <c r="K253" s="236">
        <f>IFERROR((SUMIFS('Estoque Atual'!I:I,'Estoque Atual'!A:A,'Tabela Base'!B253)+SUMIFS('Recebimentos do dia '!I:I,'Recebimentos do dia '!C:C,'Tabela Base'!B253))/
(SUMIFS('Estoque Atual'!G:G,'Estoque Atual'!A:A,'Tabela Base'!B253)+SUMIFS('Recebimentos do dia '!H:H,'Recebimentos do dia '!C:C,'Tabela Base'!B253)),0)</f>
        <v>0</v>
      </c>
      <c r="L253" s="237">
        <f t="shared" si="55"/>
        <v>6.99</v>
      </c>
      <c r="M253" s="237">
        <f t="shared" si="56"/>
        <v>6.99</v>
      </c>
      <c r="N253" s="236">
        <f>IFERROR((SUMIFS('Recebimentos do dia '!$H:$H,'Recebimentos do dia '!$C:$C,'Tabela Base'!$B253)+SUMIFS('Estoque Atual'!$G:$G,'Estoque Atual'!$A:$A,'Tabela Base'!$B253))/(SUMIFS('Recebimentos do dia '!$E:$E,'Recebimentos do dia '!$C:$C,'Tabela Base'!$B253)+SUMIFS('Estoque Atual'!$E:$E,'Estoque Atual'!$A:$A,'Tabela Base'!$B253)),0)</f>
        <v>0</v>
      </c>
    </row>
    <row r="254" spans="1:14" s="246" customFormat="1" hidden="1">
      <c r="A254" s="395"/>
      <c r="B254" s="277">
        <v>20029</v>
      </c>
      <c r="C254" s="270" t="s">
        <v>106</v>
      </c>
      <c r="D254" s="409" t="s">
        <v>65</v>
      </c>
      <c r="E254" s="231">
        <v>6.99</v>
      </c>
      <c r="F254" s="231">
        <v>6.99</v>
      </c>
      <c r="G254" s="250" t="s">
        <v>225</v>
      </c>
      <c r="H254" s="258">
        <f t="shared" si="54"/>
        <v>0</v>
      </c>
      <c r="J254" s="235">
        <f>SUMIFS('Estoque Atual'!$E:$E,'Estoque Atual'!$A:$A,'Tabela Base'!$B254)+SUMIFS('Recebimentos do dia '!$E:$E,'Recebimentos do dia '!$C:$C,'Tabela Base'!$B254)</f>
        <v>0</v>
      </c>
      <c r="K254" s="236">
        <f>IFERROR((SUMIFS('Estoque Atual'!I:I,'Estoque Atual'!A:A,'Tabela Base'!B254)+SUMIFS('Recebimentos do dia '!I:I,'Recebimentos do dia '!C:C,'Tabela Base'!B254))/
(SUMIFS('Estoque Atual'!G:G,'Estoque Atual'!A:A,'Tabela Base'!B254)+SUMIFS('Recebimentos do dia '!H:H,'Recebimentos do dia '!C:C,'Tabela Base'!B254)),0)</f>
        <v>0</v>
      </c>
      <c r="L254" s="237">
        <f t="shared" si="55"/>
        <v>6.99</v>
      </c>
      <c r="M254" s="237">
        <f t="shared" si="56"/>
        <v>6.99</v>
      </c>
      <c r="N254" s="236">
        <f>IFERROR((SUMIFS('Recebimentos do dia '!$H:$H,'Recebimentos do dia '!$C:$C,'Tabela Base'!$B254)+SUMIFS('Estoque Atual'!$G:$G,'Estoque Atual'!$A:$A,'Tabela Base'!$B254))/(SUMIFS('Recebimentos do dia '!$E:$E,'Recebimentos do dia '!$C:$C,'Tabela Base'!$B254)+SUMIFS('Estoque Atual'!$E:$E,'Estoque Atual'!$A:$A,'Tabela Base'!$B254)),0)</f>
        <v>0</v>
      </c>
    </row>
    <row r="255" spans="1:14" s="246" customFormat="1" hidden="1">
      <c r="A255" s="395"/>
      <c r="B255" s="277">
        <v>20030</v>
      </c>
      <c r="C255" s="270" t="s">
        <v>122</v>
      </c>
      <c r="D255" s="409" t="s">
        <v>67</v>
      </c>
      <c r="E255" s="231"/>
      <c r="F255" s="231"/>
      <c r="G255" s="250" t="s">
        <v>242</v>
      </c>
      <c r="H255" s="258">
        <f t="shared" si="54"/>
        <v>0</v>
      </c>
      <c r="I255" s="252"/>
      <c r="J255" s="235">
        <f>SUMIFS('Estoque Atual'!$E:$E,'Estoque Atual'!$A:$A,'Tabela Base'!$B255)+SUMIFS('Recebimentos do dia '!$E:$E,'Recebimentos do dia '!$C:$C,'Tabela Base'!$B255)</f>
        <v>0</v>
      </c>
      <c r="K255" s="236">
        <f>IFERROR((SUMIFS('Estoque Atual'!I:I,'Estoque Atual'!A:A,'Tabela Base'!B255)+SUMIFS('Recebimentos do dia '!I:I,'Recebimentos do dia '!C:C,'Tabela Base'!B255))/
(SUMIFS('Estoque Atual'!G:G,'Estoque Atual'!A:A,'Tabela Base'!B255)+SUMIFS('Recebimentos do dia '!H:H,'Recebimentos do dia '!C:C,'Tabela Base'!B255)),0)</f>
        <v>0</v>
      </c>
      <c r="L255" s="237">
        <f t="shared" si="55"/>
        <v>0</v>
      </c>
      <c r="M255" s="237">
        <f t="shared" si="56"/>
        <v>0</v>
      </c>
      <c r="N255" s="236">
        <f>IFERROR((SUMIFS('Recebimentos do dia '!$H:$H,'Recebimentos do dia '!$C:$C,'Tabela Base'!$B255)+SUMIFS('Estoque Atual'!$G:$G,'Estoque Atual'!$A:$A,'Tabela Base'!$B255))/(SUMIFS('Recebimentos do dia '!$E:$E,'Recebimentos do dia '!$C:$C,'Tabela Base'!$B255)+SUMIFS('Estoque Atual'!$E:$E,'Estoque Atual'!$A:$A,'Tabela Base'!$B255)),0)</f>
        <v>0</v>
      </c>
    </row>
    <row r="256" spans="1:14" s="246" customFormat="1" hidden="1">
      <c r="A256" s="395"/>
      <c r="B256" s="247">
        <v>20021</v>
      </c>
      <c r="C256" s="248" t="s">
        <v>68</v>
      </c>
      <c r="D256" s="409" t="s">
        <v>52</v>
      </c>
      <c r="E256" s="231">
        <v>9.1999999999999993</v>
      </c>
      <c r="F256" s="231">
        <v>9.1999999999999993</v>
      </c>
      <c r="G256" s="250" t="s">
        <v>242</v>
      </c>
      <c r="H256" s="258">
        <f t="shared" si="54"/>
        <v>0</v>
      </c>
      <c r="I256" s="252"/>
      <c r="J256" s="235">
        <f>SUMIFS('Estoque Atual'!$E:$E,'Estoque Atual'!$A:$A,'Tabela Base'!$B256)+SUMIFS('Recebimentos do dia '!$E:$E,'Recebimentos do dia '!$C:$C,'Tabela Base'!$B256)</f>
        <v>0</v>
      </c>
      <c r="K256" s="236">
        <f>IFERROR((SUMIFS('Estoque Atual'!I:I,'Estoque Atual'!A:A,'Tabela Base'!B256)+SUMIFS('Recebimentos do dia '!I:I,'Recebimentos do dia '!C:C,'Tabela Base'!B256))/
(SUMIFS('Estoque Atual'!G:G,'Estoque Atual'!A:A,'Tabela Base'!B256)+SUMIFS('Recebimentos do dia '!H:H,'Recebimentos do dia '!C:C,'Tabela Base'!B256)),0)</f>
        <v>0</v>
      </c>
      <c r="L256" s="237">
        <f t="shared" si="55"/>
        <v>9.1999999999999993</v>
      </c>
      <c r="M256" s="237">
        <f t="shared" si="56"/>
        <v>9.1999999999999993</v>
      </c>
      <c r="N256" s="236">
        <f>IFERROR((SUMIFS('Recebimentos do dia '!$H:$H,'Recebimentos do dia '!$C:$C,'Tabela Base'!$B256)+SUMIFS('Estoque Atual'!$G:$G,'Estoque Atual'!$A:$A,'Tabela Base'!$B256))/(SUMIFS('Recebimentos do dia '!$E:$E,'Recebimentos do dia '!$C:$C,'Tabela Base'!$B256)+SUMIFS('Estoque Atual'!$E:$E,'Estoque Atual'!$A:$A,'Tabela Base'!$B256)),0)</f>
        <v>0</v>
      </c>
    </row>
    <row r="257" spans="1:14" s="246" customFormat="1" hidden="1">
      <c r="A257" s="395"/>
      <c r="B257" s="247">
        <v>20006</v>
      </c>
      <c r="C257" s="248" t="s">
        <v>97</v>
      </c>
      <c r="D257" s="249" t="s">
        <v>67</v>
      </c>
      <c r="E257" s="231">
        <v>8.5</v>
      </c>
      <c r="F257" s="231">
        <v>8.5</v>
      </c>
      <c r="G257" s="250" t="s">
        <v>242</v>
      </c>
      <c r="H257" s="258">
        <f t="shared" si="54"/>
        <v>0</v>
      </c>
      <c r="I257" s="252"/>
      <c r="J257" s="235">
        <f>SUMIFS('Estoque Atual'!$E:$E,'Estoque Atual'!$A:$A,'Tabela Base'!$B257)+SUMIFS('Recebimentos do dia '!$E:$E,'Recebimentos do dia '!$C:$C,'Tabela Base'!$B257)</f>
        <v>0</v>
      </c>
      <c r="K257" s="236">
        <f>IFERROR((SUMIFS('Estoque Atual'!I:I,'Estoque Atual'!A:A,'Tabela Base'!B257)+SUMIFS('Recebimentos do dia '!I:I,'Recebimentos do dia '!C:C,'Tabela Base'!B257))/
(SUMIFS('Estoque Atual'!G:G,'Estoque Atual'!A:A,'Tabela Base'!B257)+SUMIFS('Recebimentos do dia '!H:H,'Recebimentos do dia '!C:C,'Tabela Base'!B257)),0)</f>
        <v>0</v>
      </c>
      <c r="L257" s="237">
        <f t="shared" si="55"/>
        <v>8.5</v>
      </c>
      <c r="M257" s="237">
        <f t="shared" si="56"/>
        <v>8.5</v>
      </c>
      <c r="N257" s="236">
        <f>IFERROR((SUMIFS('Recebimentos do dia '!$H:$H,'Recebimentos do dia '!$C:$C,'Tabela Base'!$B257)+SUMIFS('Estoque Atual'!$G:$G,'Estoque Atual'!$A:$A,'Tabela Base'!$B257))/(SUMIFS('Recebimentos do dia '!$E:$E,'Recebimentos do dia '!$C:$C,'Tabela Base'!$B257)+SUMIFS('Estoque Atual'!$E:$E,'Estoque Atual'!$A:$A,'Tabela Base'!$B257)),0)</f>
        <v>0</v>
      </c>
    </row>
    <row r="258" spans="1:14" s="246" customFormat="1" hidden="1">
      <c r="A258" s="395"/>
      <c r="B258" s="247">
        <v>20005</v>
      </c>
      <c r="C258" s="270" t="s">
        <v>137</v>
      </c>
      <c r="D258" s="249" t="s">
        <v>67</v>
      </c>
      <c r="E258" s="231">
        <v>9.9</v>
      </c>
      <c r="F258" s="231">
        <v>9.9</v>
      </c>
      <c r="G258" s="250" t="s">
        <v>230</v>
      </c>
      <c r="H258" s="258">
        <f t="shared" si="54"/>
        <v>0</v>
      </c>
      <c r="I258" s="252"/>
      <c r="J258" s="235">
        <f>SUMIFS('Estoque Atual'!$E:$E,'Estoque Atual'!$A:$A,'Tabela Base'!$B258)+SUMIFS('Recebimentos do dia '!$E:$E,'Recebimentos do dia '!$C:$C,'Tabela Base'!$B258)</f>
        <v>0</v>
      </c>
      <c r="K258" s="236">
        <f>IFERROR((SUMIFS('Estoque Atual'!I:I,'Estoque Atual'!A:A,'Tabela Base'!B258)+SUMIFS('Recebimentos do dia '!I:I,'Recebimentos do dia '!C:C,'Tabela Base'!B258))/
(SUMIFS('Estoque Atual'!G:G,'Estoque Atual'!A:A,'Tabela Base'!B258)+SUMIFS('Recebimentos do dia '!H:H,'Recebimentos do dia '!C:C,'Tabela Base'!B258)),0)</f>
        <v>0</v>
      </c>
      <c r="L258" s="237">
        <f t="shared" si="55"/>
        <v>9.9</v>
      </c>
      <c r="M258" s="237">
        <f t="shared" si="56"/>
        <v>9.9</v>
      </c>
      <c r="N258" s="236">
        <f>IFERROR((SUMIFS('Recebimentos do dia '!$H:$H,'Recebimentos do dia '!$C:$C,'Tabela Base'!$B258)+SUMIFS('Estoque Atual'!$G:$G,'Estoque Atual'!$A:$A,'Tabela Base'!$B258))/(SUMIFS('Recebimentos do dia '!$E:$E,'Recebimentos do dia '!$C:$C,'Tabela Base'!$B258)+SUMIFS('Estoque Atual'!$E:$E,'Estoque Atual'!$A:$A,'Tabela Base'!$B258)),0)</f>
        <v>0</v>
      </c>
    </row>
    <row r="259" spans="1:14" s="246" customFormat="1" hidden="1">
      <c r="A259" s="395"/>
      <c r="B259" s="247">
        <v>20016</v>
      </c>
      <c r="C259" s="248" t="s">
        <v>96</v>
      </c>
      <c r="D259" s="249" t="s">
        <v>52</v>
      </c>
      <c r="E259" s="231">
        <v>11.5</v>
      </c>
      <c r="F259" s="231">
        <v>11.5</v>
      </c>
      <c r="G259" s="250" t="s">
        <v>242</v>
      </c>
      <c r="H259" s="258">
        <f t="shared" si="54"/>
        <v>0</v>
      </c>
      <c r="I259" s="252"/>
      <c r="J259" s="235">
        <f>SUMIFS('Estoque Atual'!$E:$E,'Estoque Atual'!$A:$A,'Tabela Base'!$B259)+SUMIFS('Recebimentos do dia '!$E:$E,'Recebimentos do dia '!$C:$C,'Tabela Base'!$B259)</f>
        <v>0</v>
      </c>
      <c r="K259" s="236">
        <f>IFERROR((SUMIFS('Estoque Atual'!I:I,'Estoque Atual'!A:A,'Tabela Base'!B259)+SUMIFS('Recebimentos do dia '!I:I,'Recebimentos do dia '!C:C,'Tabela Base'!B259))/
(SUMIFS('Estoque Atual'!G:G,'Estoque Atual'!A:A,'Tabela Base'!B259)+SUMIFS('Recebimentos do dia '!H:H,'Recebimentos do dia '!C:C,'Tabela Base'!B259)),0)</f>
        <v>0</v>
      </c>
      <c r="L259" s="237">
        <f t="shared" si="55"/>
        <v>11.5</v>
      </c>
      <c r="M259" s="237">
        <f t="shared" si="56"/>
        <v>11.5</v>
      </c>
      <c r="N259" s="236">
        <f>IFERROR((SUMIFS('Recebimentos do dia '!$H:$H,'Recebimentos do dia '!$C:$C,'Tabela Base'!$B259)+SUMIFS('Estoque Atual'!$G:$G,'Estoque Atual'!$A:$A,'Tabela Base'!$B259))/(SUMIFS('Recebimentos do dia '!$E:$E,'Recebimentos do dia '!$C:$C,'Tabela Base'!$B259)+SUMIFS('Estoque Atual'!$E:$E,'Estoque Atual'!$A:$A,'Tabela Base'!$B259)),0)</f>
        <v>0</v>
      </c>
    </row>
    <row r="260" spans="1:14" s="246" customFormat="1" hidden="1">
      <c r="A260" s="395"/>
      <c r="B260" s="247">
        <v>20028</v>
      </c>
      <c r="C260" s="248" t="s">
        <v>107</v>
      </c>
      <c r="D260" s="409" t="s">
        <v>65</v>
      </c>
      <c r="E260" s="231">
        <v>12.99</v>
      </c>
      <c r="F260" s="231">
        <v>12.99</v>
      </c>
      <c r="G260" s="250" t="s">
        <v>242</v>
      </c>
      <c r="H260" s="258">
        <f t="shared" si="54"/>
        <v>0</v>
      </c>
      <c r="I260" s="252"/>
      <c r="J260" s="235">
        <f>SUMIFS('Estoque Atual'!$E:$E,'Estoque Atual'!$A:$A,'Tabela Base'!$B260)+SUMIFS('Recebimentos do dia '!$E:$E,'Recebimentos do dia '!$C:$C,'Tabela Base'!$B260)</f>
        <v>0</v>
      </c>
      <c r="K260" s="236">
        <f>IFERROR((SUMIFS('Estoque Atual'!I:I,'Estoque Atual'!A:A,'Tabela Base'!B260)+SUMIFS('Recebimentos do dia '!I:I,'Recebimentos do dia '!C:C,'Tabela Base'!B260))/
(SUMIFS('Estoque Atual'!G:G,'Estoque Atual'!A:A,'Tabela Base'!B260)+SUMIFS('Recebimentos do dia '!H:H,'Recebimentos do dia '!C:C,'Tabela Base'!B260)),0)</f>
        <v>0</v>
      </c>
      <c r="L260" s="237">
        <f t="shared" si="55"/>
        <v>12.99</v>
      </c>
      <c r="M260" s="237">
        <f t="shared" si="56"/>
        <v>12.99</v>
      </c>
      <c r="N260" s="236">
        <f>IFERROR((SUMIFS('Recebimentos do dia '!$H:$H,'Recebimentos do dia '!$C:$C,'Tabela Base'!$B260)+SUMIFS('Estoque Atual'!$G:$G,'Estoque Atual'!$A:$A,'Tabela Base'!$B260))/(SUMIFS('Recebimentos do dia '!$E:$E,'Recebimentos do dia '!$C:$C,'Tabela Base'!$B260)+SUMIFS('Estoque Atual'!$E:$E,'Estoque Atual'!$A:$A,'Tabela Base'!$B260)),0)</f>
        <v>0</v>
      </c>
    </row>
    <row r="261" spans="1:14" s="246" customFormat="1" hidden="1">
      <c r="A261" s="395"/>
      <c r="B261" s="247">
        <v>20017</v>
      </c>
      <c r="C261" s="248" t="s">
        <v>136</v>
      </c>
      <c r="D261" s="409" t="s">
        <v>67</v>
      </c>
      <c r="E261" s="231">
        <v>11.5</v>
      </c>
      <c r="F261" s="231">
        <v>11.5</v>
      </c>
      <c r="G261" s="250" t="s">
        <v>242</v>
      </c>
      <c r="H261" s="258">
        <f t="shared" si="54"/>
        <v>0</v>
      </c>
      <c r="I261" s="252"/>
      <c r="J261" s="235">
        <f>SUMIFS('Estoque Atual'!$E:$E,'Estoque Atual'!$A:$A,'Tabela Base'!$B261)+SUMIFS('Recebimentos do dia '!$E:$E,'Recebimentos do dia '!$C:$C,'Tabela Base'!$B261)</f>
        <v>0</v>
      </c>
      <c r="K261" s="236">
        <f>IFERROR((SUMIFS('Estoque Atual'!I:I,'Estoque Atual'!A:A,'Tabela Base'!B261)+SUMIFS('Recebimentos do dia '!I:I,'Recebimentos do dia '!C:C,'Tabela Base'!B261))/
(SUMIFS('Estoque Atual'!G:G,'Estoque Atual'!A:A,'Tabela Base'!B261)+SUMIFS('Recebimentos do dia '!H:H,'Recebimentos do dia '!C:C,'Tabela Base'!B261)),0)</f>
        <v>0</v>
      </c>
      <c r="L261" s="237">
        <f t="shared" si="55"/>
        <v>11.5</v>
      </c>
      <c r="M261" s="237">
        <f t="shared" si="56"/>
        <v>11.5</v>
      </c>
      <c r="N261" s="236">
        <f>IFERROR((SUMIFS('Recebimentos do dia '!$H:$H,'Recebimentos do dia '!$C:$C,'Tabela Base'!$B261)+SUMIFS('Estoque Atual'!$G:$G,'Estoque Atual'!$A:$A,'Tabela Base'!$B261))/(SUMIFS('Recebimentos do dia '!$E:$E,'Recebimentos do dia '!$C:$C,'Tabela Base'!$B261)+SUMIFS('Estoque Atual'!$E:$E,'Estoque Atual'!$A:$A,'Tabela Base'!$B261)),0)</f>
        <v>0</v>
      </c>
    </row>
    <row r="262" spans="1:14" s="246" customFormat="1" hidden="1">
      <c r="A262" s="395"/>
      <c r="B262" s="247">
        <v>20010</v>
      </c>
      <c r="C262" s="248" t="s">
        <v>93</v>
      </c>
      <c r="D262" s="409" t="s">
        <v>52</v>
      </c>
      <c r="E262" s="231">
        <v>16.5</v>
      </c>
      <c r="F262" s="231">
        <v>16.5</v>
      </c>
      <c r="G262" s="250" t="s">
        <v>242</v>
      </c>
      <c r="H262" s="258">
        <f t="shared" si="54"/>
        <v>0</v>
      </c>
      <c r="I262" s="252"/>
      <c r="J262" s="235">
        <f>SUMIFS('Estoque Atual'!$E:$E,'Estoque Atual'!$A:$A,'Tabela Base'!$B262)+SUMIFS('Recebimentos do dia '!$E:$E,'Recebimentos do dia '!$C:$C,'Tabela Base'!$B262)</f>
        <v>0</v>
      </c>
      <c r="K262" s="236">
        <f>IFERROR((SUMIFS('Estoque Atual'!I:I,'Estoque Atual'!A:A,'Tabela Base'!B262)+SUMIFS('Recebimentos do dia '!I:I,'Recebimentos do dia '!C:C,'Tabela Base'!B262))/
(SUMIFS('Estoque Atual'!G:G,'Estoque Atual'!A:A,'Tabela Base'!B262)+SUMIFS('Recebimentos do dia '!H:H,'Recebimentos do dia '!C:C,'Tabela Base'!B262)),0)</f>
        <v>0</v>
      </c>
      <c r="L262" s="237">
        <f t="shared" si="55"/>
        <v>16.5</v>
      </c>
      <c r="M262" s="237">
        <f t="shared" si="56"/>
        <v>16.5</v>
      </c>
      <c r="N262" s="236">
        <f>IFERROR((SUMIFS('Recebimentos do dia '!$H:$H,'Recebimentos do dia '!$C:$C,'Tabela Base'!$B262)+SUMIFS('Estoque Atual'!$G:$G,'Estoque Atual'!$A:$A,'Tabela Base'!$B262))/(SUMIFS('Recebimentos do dia '!$E:$E,'Recebimentos do dia '!$C:$C,'Tabela Base'!$B262)+SUMIFS('Estoque Atual'!$E:$E,'Estoque Atual'!$A:$A,'Tabela Base'!$B262)),0)</f>
        <v>0</v>
      </c>
    </row>
    <row r="263" spans="1:14" s="246" customFormat="1" hidden="1">
      <c r="A263" s="395"/>
      <c r="B263" s="247">
        <v>20026</v>
      </c>
      <c r="C263" s="248" t="s">
        <v>105</v>
      </c>
      <c r="D263" s="249" t="s">
        <v>67</v>
      </c>
      <c r="E263" s="231">
        <v>6.99</v>
      </c>
      <c r="F263" s="231">
        <v>6.99</v>
      </c>
      <c r="G263" s="250" t="s">
        <v>230</v>
      </c>
      <c r="H263" s="258">
        <f t="shared" si="54"/>
        <v>0</v>
      </c>
      <c r="I263" s="252"/>
      <c r="J263" s="235">
        <f>SUMIFS('Estoque Atual'!$E:$E,'Estoque Atual'!$A:$A,'Tabela Base'!$B263)+SUMIFS('Recebimentos do dia '!$E:$E,'Recebimentos do dia '!$C:$C,'Tabela Base'!$B263)</f>
        <v>0</v>
      </c>
      <c r="K263" s="236">
        <f>IFERROR((SUMIFS('Estoque Atual'!I:I,'Estoque Atual'!A:A,'Tabela Base'!B263)+SUMIFS('Recebimentos do dia '!I:I,'Recebimentos do dia '!C:C,'Tabela Base'!B263))/
(SUMIFS('Estoque Atual'!G:G,'Estoque Atual'!A:A,'Tabela Base'!B263)+SUMIFS('Recebimentos do dia '!H:H,'Recebimentos do dia '!C:C,'Tabela Base'!B263)),0)</f>
        <v>0</v>
      </c>
      <c r="L263" s="237">
        <f t="shared" si="55"/>
        <v>6.99</v>
      </c>
      <c r="M263" s="237">
        <f t="shared" si="56"/>
        <v>6.99</v>
      </c>
      <c r="N263" s="236">
        <f>IFERROR((SUMIFS('Recebimentos do dia '!$H:$H,'Recebimentos do dia '!$C:$C,'Tabela Base'!$B263)+SUMIFS('Estoque Atual'!$G:$G,'Estoque Atual'!$A:$A,'Tabela Base'!$B263))/(SUMIFS('Recebimentos do dia '!$E:$E,'Recebimentos do dia '!$C:$C,'Tabela Base'!$B263)+SUMIFS('Estoque Atual'!$E:$E,'Estoque Atual'!$A:$A,'Tabela Base'!$B263)),0)</f>
        <v>0</v>
      </c>
    </row>
    <row r="264" spans="1:14" s="246" customFormat="1" hidden="1">
      <c r="A264" s="395"/>
      <c r="B264" s="247">
        <v>20023</v>
      </c>
      <c r="C264" s="248" t="s">
        <v>98</v>
      </c>
      <c r="D264" s="409" t="s">
        <v>65</v>
      </c>
      <c r="E264" s="231">
        <v>7.99</v>
      </c>
      <c r="F264" s="231">
        <v>7.99</v>
      </c>
      <c r="G264" s="250" t="s">
        <v>172</v>
      </c>
      <c r="H264" s="258">
        <f t="shared" si="54"/>
        <v>0</v>
      </c>
      <c r="I264" s="252"/>
      <c r="J264" s="235">
        <f>SUMIFS('Estoque Atual'!$E:$E,'Estoque Atual'!$A:$A,'Tabela Base'!$B264)+SUMIFS('Recebimentos do dia '!$E:$E,'Recebimentos do dia '!$C:$C,'Tabela Base'!$B264)</f>
        <v>0</v>
      </c>
      <c r="K264" s="236">
        <f>IFERROR((SUMIFS('Estoque Atual'!I:I,'Estoque Atual'!A:A,'Tabela Base'!B264)+SUMIFS('Recebimentos do dia '!I:I,'Recebimentos do dia '!C:C,'Tabela Base'!B264))/
(SUMIFS('Estoque Atual'!G:G,'Estoque Atual'!A:A,'Tabela Base'!B264)+SUMIFS('Recebimentos do dia '!H:H,'Recebimentos do dia '!C:C,'Tabela Base'!B264)),0)</f>
        <v>0</v>
      </c>
      <c r="L264" s="237">
        <f t="shared" si="55"/>
        <v>7.99</v>
      </c>
      <c r="M264" s="237">
        <f t="shared" si="56"/>
        <v>7.99</v>
      </c>
      <c r="N264" s="236">
        <f>IFERROR((SUMIFS('Recebimentos do dia '!$H:$H,'Recebimentos do dia '!$C:$C,'Tabela Base'!$B264)+SUMIFS('Estoque Atual'!$G:$G,'Estoque Atual'!$A:$A,'Tabela Base'!$B264))/(SUMIFS('Recebimentos do dia '!$E:$E,'Recebimentos do dia '!$C:$C,'Tabela Base'!$B264)+SUMIFS('Estoque Atual'!$E:$E,'Estoque Atual'!$A:$A,'Tabela Base'!$B264)),0)</f>
        <v>0</v>
      </c>
    </row>
    <row r="265" spans="1:14" s="246" customFormat="1" hidden="1">
      <c r="A265" s="395"/>
      <c r="B265" s="247">
        <v>20001</v>
      </c>
      <c r="C265" s="248" t="s">
        <v>64</v>
      </c>
      <c r="D265" s="409" t="s">
        <v>65</v>
      </c>
      <c r="E265" s="231">
        <v>9.4</v>
      </c>
      <c r="F265" s="231">
        <v>9.4</v>
      </c>
      <c r="G265" s="250" t="s">
        <v>242</v>
      </c>
      <c r="H265" s="258">
        <f t="shared" si="54"/>
        <v>0</v>
      </c>
      <c r="I265" s="252"/>
      <c r="J265" s="235">
        <f>SUMIFS('Estoque Atual'!$E:$E,'Estoque Atual'!$A:$A,'Tabela Base'!$B265)+SUMIFS('Recebimentos do dia '!$E:$E,'Recebimentos do dia '!$C:$C,'Tabela Base'!$B265)</f>
        <v>0</v>
      </c>
      <c r="K265" s="236">
        <f>IFERROR((SUMIFS('Estoque Atual'!I:I,'Estoque Atual'!A:A,'Tabela Base'!B265)+SUMIFS('Recebimentos do dia '!I:I,'Recebimentos do dia '!C:C,'Tabela Base'!B265))/
(SUMIFS('Estoque Atual'!G:G,'Estoque Atual'!A:A,'Tabela Base'!B265)+SUMIFS('Recebimentos do dia '!H:H,'Recebimentos do dia '!C:C,'Tabela Base'!B265)),0)</f>
        <v>0</v>
      </c>
      <c r="L265" s="237">
        <f t="shared" si="55"/>
        <v>9.4</v>
      </c>
      <c r="M265" s="237">
        <f t="shared" si="56"/>
        <v>9.4</v>
      </c>
      <c r="N265" s="236">
        <f>IFERROR((SUMIFS('Recebimentos do dia '!$H:$H,'Recebimentos do dia '!$C:$C,'Tabela Base'!$B265)+SUMIFS('Estoque Atual'!$G:$G,'Estoque Atual'!$A:$A,'Tabela Base'!$B265))/(SUMIFS('Recebimentos do dia '!$E:$E,'Recebimentos do dia '!$C:$C,'Tabela Base'!$B265)+SUMIFS('Estoque Atual'!$E:$E,'Estoque Atual'!$A:$A,'Tabela Base'!$B265)),0)</f>
        <v>0</v>
      </c>
    </row>
    <row r="266" spans="1:14" s="246" customFormat="1" hidden="1">
      <c r="A266" s="395"/>
      <c r="B266" s="247">
        <v>20018</v>
      </c>
      <c r="C266" s="248" t="s">
        <v>64</v>
      </c>
      <c r="D266" s="409" t="s">
        <v>65</v>
      </c>
      <c r="E266" s="231">
        <v>8.5</v>
      </c>
      <c r="F266" s="231">
        <v>8.5</v>
      </c>
      <c r="G266" s="250" t="s">
        <v>172</v>
      </c>
      <c r="H266" s="258">
        <f t="shared" si="54"/>
        <v>0</v>
      </c>
      <c r="I266" s="252"/>
      <c r="J266" s="235">
        <f>SUMIFS('Estoque Atual'!$E:$E,'Estoque Atual'!$A:$A,'Tabela Base'!$B266)+SUMIFS('Recebimentos do dia '!$E:$E,'Recebimentos do dia '!$C:$C,'Tabela Base'!$B266)</f>
        <v>0</v>
      </c>
      <c r="K266" s="236">
        <f>IFERROR((SUMIFS('Estoque Atual'!I:I,'Estoque Atual'!A:A,'Tabela Base'!B266)+SUMIFS('Recebimentos do dia '!I:I,'Recebimentos do dia '!C:C,'Tabela Base'!B266))/
(SUMIFS('Estoque Atual'!G:G,'Estoque Atual'!A:A,'Tabela Base'!B266)+SUMIFS('Recebimentos do dia '!H:H,'Recebimentos do dia '!C:C,'Tabela Base'!B266)),0)</f>
        <v>0</v>
      </c>
      <c r="L266" s="237">
        <f t="shared" si="55"/>
        <v>8.5</v>
      </c>
      <c r="M266" s="237">
        <f t="shared" si="56"/>
        <v>8.5</v>
      </c>
      <c r="N266" s="236">
        <f>IFERROR((SUMIFS('Recebimentos do dia '!$H:$H,'Recebimentos do dia '!$C:$C,'Tabela Base'!$B266)+SUMIFS('Estoque Atual'!$G:$G,'Estoque Atual'!$A:$A,'Tabela Base'!$B266))/(SUMIFS('Recebimentos do dia '!$E:$E,'Recebimentos do dia '!$C:$C,'Tabela Base'!$B266)+SUMIFS('Estoque Atual'!$E:$E,'Estoque Atual'!$A:$A,'Tabela Base'!$B266)),0)</f>
        <v>0</v>
      </c>
    </row>
    <row r="267" spans="1:14" s="246" customFormat="1" hidden="1">
      <c r="A267" s="395"/>
      <c r="B267" s="247">
        <v>20009</v>
      </c>
      <c r="C267" s="248" t="s">
        <v>84</v>
      </c>
      <c r="D267" s="409" t="s">
        <v>67</v>
      </c>
      <c r="E267" s="231">
        <v>5.99</v>
      </c>
      <c r="F267" s="231">
        <v>5.99</v>
      </c>
      <c r="G267" s="250" t="s">
        <v>231</v>
      </c>
      <c r="H267" s="258">
        <f t="shared" si="54"/>
        <v>0</v>
      </c>
      <c r="I267" s="252"/>
      <c r="J267" s="235">
        <f>SUMIFS('Estoque Atual'!$E:$E,'Estoque Atual'!$A:$A,'Tabela Base'!$B267)+SUMIFS('Recebimentos do dia '!$E:$E,'Recebimentos do dia '!$C:$C,'Tabela Base'!$B267)</f>
        <v>0</v>
      </c>
      <c r="K267" s="236">
        <f>IFERROR((SUMIFS('Estoque Atual'!I:I,'Estoque Atual'!A:A,'Tabela Base'!B267)+SUMIFS('Recebimentos do dia '!I:I,'Recebimentos do dia '!C:C,'Tabela Base'!B267))/
(SUMIFS('Estoque Atual'!G:G,'Estoque Atual'!A:A,'Tabela Base'!B267)+SUMIFS('Recebimentos do dia '!H:H,'Recebimentos do dia '!C:C,'Tabela Base'!B267)),0)</f>
        <v>0</v>
      </c>
      <c r="L267" s="237">
        <f t="shared" si="55"/>
        <v>5.99</v>
      </c>
      <c r="M267" s="237">
        <f t="shared" si="56"/>
        <v>5.99</v>
      </c>
      <c r="N267" s="236">
        <f>IFERROR((SUMIFS('Recebimentos do dia '!$H:$H,'Recebimentos do dia '!$C:$C,'Tabela Base'!$B267)+SUMIFS('Estoque Atual'!$G:$G,'Estoque Atual'!$A:$A,'Tabela Base'!$B267))/(SUMIFS('Recebimentos do dia '!$E:$E,'Recebimentos do dia '!$C:$C,'Tabela Base'!$B267)+SUMIFS('Estoque Atual'!$E:$E,'Estoque Atual'!$A:$A,'Tabela Base'!$B267)),0)</f>
        <v>0</v>
      </c>
    </row>
    <row r="268" spans="1:14" s="246" customFormat="1" hidden="1">
      <c r="A268" s="395"/>
      <c r="B268" s="247">
        <v>20019</v>
      </c>
      <c r="C268" s="248" t="s">
        <v>84</v>
      </c>
      <c r="D268" s="409" t="s">
        <v>65</v>
      </c>
      <c r="E268" s="231">
        <v>6.9</v>
      </c>
      <c r="F268" s="231">
        <v>6.9</v>
      </c>
      <c r="G268" s="250" t="s">
        <v>242</v>
      </c>
      <c r="H268" s="258">
        <f t="shared" si="54"/>
        <v>0</v>
      </c>
      <c r="I268" s="252"/>
      <c r="J268" s="235">
        <f>SUMIFS('Estoque Atual'!$E:$E,'Estoque Atual'!$A:$A,'Tabela Base'!$B268)+SUMIFS('Recebimentos do dia '!$E:$E,'Recebimentos do dia '!$C:$C,'Tabela Base'!$B268)</f>
        <v>0</v>
      </c>
      <c r="K268" s="236">
        <f>IFERROR((SUMIFS('Estoque Atual'!I:I,'Estoque Atual'!A:A,'Tabela Base'!B268)+SUMIFS('Recebimentos do dia '!I:I,'Recebimentos do dia '!C:C,'Tabela Base'!B268))/
(SUMIFS('Estoque Atual'!G:G,'Estoque Atual'!A:A,'Tabela Base'!B268)+SUMIFS('Recebimentos do dia '!H:H,'Recebimentos do dia '!C:C,'Tabela Base'!B268)),0)</f>
        <v>0</v>
      </c>
      <c r="L268" s="237">
        <f t="shared" si="55"/>
        <v>6.9</v>
      </c>
      <c r="M268" s="237">
        <f t="shared" si="56"/>
        <v>6.9</v>
      </c>
      <c r="N268" s="236">
        <f>IFERROR((SUMIFS('Recebimentos do dia '!$H:$H,'Recebimentos do dia '!$C:$C,'Tabela Base'!$B268)+SUMIFS('Estoque Atual'!$G:$G,'Estoque Atual'!$A:$A,'Tabela Base'!$B268))/(SUMIFS('Recebimentos do dia '!$E:$E,'Recebimentos do dia '!$C:$C,'Tabela Base'!$B268)+SUMIFS('Estoque Atual'!$E:$E,'Estoque Atual'!$A:$A,'Tabela Base'!$B268)),0)</f>
        <v>0</v>
      </c>
    </row>
    <row r="269" spans="1:14" s="246" customFormat="1" hidden="1">
      <c r="A269" s="395"/>
      <c r="B269" s="247">
        <v>20031</v>
      </c>
      <c r="C269" s="248" t="s">
        <v>134</v>
      </c>
      <c r="D269" s="409" t="s">
        <v>67</v>
      </c>
      <c r="E269" s="231">
        <v>14.9</v>
      </c>
      <c r="F269" s="231">
        <v>14.9</v>
      </c>
      <c r="G269" s="250" t="s">
        <v>242</v>
      </c>
      <c r="H269" s="258">
        <f t="shared" si="54"/>
        <v>0</v>
      </c>
      <c r="I269" s="252"/>
      <c r="J269" s="235">
        <f>SUMIFS('Estoque Atual'!$E:$E,'Estoque Atual'!$A:$A,'Tabela Base'!$B269)+SUMIFS('Recebimentos do dia '!$E:$E,'Recebimentos do dia '!$C:$C,'Tabela Base'!$B269)</f>
        <v>0</v>
      </c>
      <c r="K269" s="236">
        <f>IFERROR((SUMIFS('Estoque Atual'!I:I,'Estoque Atual'!A:A,'Tabela Base'!B269)+SUMIFS('Recebimentos do dia '!I:I,'Recebimentos do dia '!C:C,'Tabela Base'!B269))/
(SUMIFS('Estoque Atual'!G:G,'Estoque Atual'!A:A,'Tabela Base'!B269)+SUMIFS('Recebimentos do dia '!H:H,'Recebimentos do dia '!C:C,'Tabela Base'!B269)),0)</f>
        <v>0</v>
      </c>
      <c r="L269" s="237">
        <f t="shared" si="55"/>
        <v>14.9</v>
      </c>
      <c r="M269" s="237">
        <f t="shared" si="56"/>
        <v>14.9</v>
      </c>
      <c r="N269" s="236">
        <f>IFERROR((SUMIFS('Recebimentos do dia '!$H:$H,'Recebimentos do dia '!$C:$C,'Tabela Base'!$B269)+SUMIFS('Estoque Atual'!$G:$G,'Estoque Atual'!$A:$A,'Tabela Base'!$B269))/(SUMIFS('Recebimentos do dia '!$E:$E,'Recebimentos do dia '!$C:$C,'Tabela Base'!$B269)+SUMIFS('Estoque Atual'!$E:$E,'Estoque Atual'!$A:$A,'Tabela Base'!$B269)),0)</f>
        <v>0</v>
      </c>
    </row>
    <row r="270" spans="1:14" s="246" customFormat="1" hidden="1">
      <c r="A270" s="395"/>
      <c r="B270" s="247">
        <v>20002</v>
      </c>
      <c r="C270" s="248" t="s">
        <v>111</v>
      </c>
      <c r="D270" s="409" t="s">
        <v>67</v>
      </c>
      <c r="E270" s="231">
        <v>11.9</v>
      </c>
      <c r="F270" s="231">
        <v>11.9</v>
      </c>
      <c r="G270" s="250" t="s">
        <v>225</v>
      </c>
      <c r="H270" s="258">
        <f t="shared" si="54"/>
        <v>0</v>
      </c>
      <c r="I270" s="252"/>
      <c r="J270" s="235">
        <f>SUMIFS('Estoque Atual'!$E:$E,'Estoque Atual'!$A:$A,'Tabela Base'!$B270)+SUMIFS('Recebimentos do dia '!$E:$E,'Recebimentos do dia '!$C:$C,'Tabela Base'!$B270)</f>
        <v>0</v>
      </c>
      <c r="K270" s="236">
        <f>IFERROR((SUMIFS('Estoque Atual'!I:I,'Estoque Atual'!A:A,'Tabela Base'!B270)+SUMIFS('Recebimentos do dia '!I:I,'Recebimentos do dia '!C:C,'Tabela Base'!B270))/
(SUMIFS('Estoque Atual'!G:G,'Estoque Atual'!A:A,'Tabela Base'!B270)+SUMIFS('Recebimentos do dia '!H:H,'Recebimentos do dia '!C:C,'Tabela Base'!B270)),0)</f>
        <v>0</v>
      </c>
      <c r="L270" s="237">
        <f t="shared" si="55"/>
        <v>11.9</v>
      </c>
      <c r="M270" s="237">
        <f t="shared" si="56"/>
        <v>11.9</v>
      </c>
      <c r="N270" s="236">
        <f>IFERROR((SUMIFS('Recebimentos do dia '!$H:$H,'Recebimentos do dia '!$C:$C,'Tabela Base'!$B270)+SUMIFS('Estoque Atual'!$G:$G,'Estoque Atual'!$A:$A,'Tabela Base'!$B270))/(SUMIFS('Recebimentos do dia '!$E:$E,'Recebimentos do dia '!$C:$C,'Tabela Base'!$B270)+SUMIFS('Estoque Atual'!$E:$E,'Estoque Atual'!$A:$A,'Tabela Base'!$B270)),0)</f>
        <v>0</v>
      </c>
    </row>
    <row r="271" spans="1:14" s="246" customFormat="1" hidden="1">
      <c r="A271" s="395"/>
      <c r="B271" s="247">
        <v>20020</v>
      </c>
      <c r="C271" s="248" t="s">
        <v>85</v>
      </c>
      <c r="D271" s="249" t="s">
        <v>65</v>
      </c>
      <c r="E271" s="231">
        <v>9.5</v>
      </c>
      <c r="F271" s="231">
        <v>9.5</v>
      </c>
      <c r="G271" s="250" t="s">
        <v>242</v>
      </c>
      <c r="H271" s="258">
        <f t="shared" si="54"/>
        <v>0</v>
      </c>
      <c r="I271" s="252"/>
      <c r="J271" s="235">
        <f>SUMIFS('Estoque Atual'!$E:$E,'Estoque Atual'!$A:$A,'Tabela Base'!$B271)+SUMIFS('Recebimentos do dia '!$E:$E,'Recebimentos do dia '!$C:$C,'Tabela Base'!$B271)</f>
        <v>0</v>
      </c>
      <c r="K271" s="236">
        <f>IFERROR((SUMIFS('Estoque Atual'!I:I,'Estoque Atual'!A:A,'Tabela Base'!B271)+SUMIFS('Recebimentos do dia '!I:I,'Recebimentos do dia '!C:C,'Tabela Base'!B271))/
(SUMIFS('Estoque Atual'!G:G,'Estoque Atual'!A:A,'Tabela Base'!B271)+SUMIFS('Recebimentos do dia '!H:H,'Recebimentos do dia '!C:C,'Tabela Base'!B271)),0)</f>
        <v>0</v>
      </c>
      <c r="L271" s="237">
        <f t="shared" si="55"/>
        <v>9.5</v>
      </c>
      <c r="M271" s="237">
        <f t="shared" si="56"/>
        <v>9.5</v>
      </c>
      <c r="N271" s="236">
        <f>IFERROR((SUMIFS('Recebimentos do dia '!$H:$H,'Recebimentos do dia '!$C:$C,'Tabela Base'!$B271)+SUMIFS('Estoque Atual'!$G:$G,'Estoque Atual'!$A:$A,'Tabela Base'!$B271))/(SUMIFS('Recebimentos do dia '!$E:$E,'Recebimentos do dia '!$C:$C,'Tabela Base'!$B271)+SUMIFS('Estoque Atual'!$E:$E,'Estoque Atual'!$A:$A,'Tabela Base'!$B271)),0)</f>
        <v>0</v>
      </c>
    </row>
    <row r="272" spans="1:14" s="246" customFormat="1" hidden="1">
      <c r="A272" s="395"/>
      <c r="B272" s="247">
        <v>20025</v>
      </c>
      <c r="C272" s="248" t="s">
        <v>99</v>
      </c>
      <c r="D272" s="249" t="s">
        <v>65</v>
      </c>
      <c r="E272" s="231"/>
      <c r="F272" s="231"/>
      <c r="G272" s="250" t="s">
        <v>225</v>
      </c>
      <c r="H272" s="258">
        <f t="shared" si="54"/>
        <v>0</v>
      </c>
      <c r="I272" s="252"/>
      <c r="J272" s="235">
        <f>SUMIFS('Estoque Atual'!$E:$E,'Estoque Atual'!$A:$A,'Tabela Base'!$B272)+SUMIFS('Recebimentos do dia '!$E:$E,'Recebimentos do dia '!$C:$C,'Tabela Base'!$B272)</f>
        <v>0</v>
      </c>
      <c r="K272" s="236">
        <f>IFERROR((SUMIFS('Estoque Atual'!I:I,'Estoque Atual'!A:A,'Tabela Base'!B272)+SUMIFS('Recebimentos do dia '!I:I,'Recebimentos do dia '!C:C,'Tabela Base'!B272))/
(SUMIFS('Estoque Atual'!G:G,'Estoque Atual'!A:A,'Tabela Base'!B272)+SUMIFS('Recebimentos do dia '!H:H,'Recebimentos do dia '!C:C,'Tabela Base'!B272)),0)</f>
        <v>0</v>
      </c>
      <c r="L272" s="237">
        <f t="shared" si="55"/>
        <v>0</v>
      </c>
      <c r="M272" s="237">
        <f t="shared" si="56"/>
        <v>0</v>
      </c>
      <c r="N272" s="236">
        <f>IFERROR((SUMIFS('Recebimentos do dia '!$H:$H,'Recebimentos do dia '!$C:$C,'Tabela Base'!$B272)+SUMIFS('Estoque Atual'!$G:$G,'Estoque Atual'!$A:$A,'Tabela Base'!$B272))/(SUMIFS('Recebimentos do dia '!$E:$E,'Recebimentos do dia '!$C:$C,'Tabela Base'!$B272)+SUMIFS('Estoque Atual'!$E:$E,'Estoque Atual'!$A:$A,'Tabela Base'!$B272)),0)</f>
        <v>0</v>
      </c>
    </row>
    <row r="273" spans="1:14" ht="15">
      <c r="B273" s="257"/>
      <c r="C273" s="199"/>
      <c r="D273" s="411"/>
      <c r="E273" s="412"/>
      <c r="F273" s="412"/>
      <c r="G273" s="413"/>
      <c r="H273" s="414"/>
      <c r="I273" s="242"/>
      <c r="J273" s="415"/>
      <c r="K273" s="416"/>
      <c r="L273" s="379"/>
      <c r="M273" s="379"/>
      <c r="N273" s="416"/>
    </row>
    <row r="274" spans="1:14" s="246" customFormat="1" ht="23.25" hidden="1">
      <c r="A274" s="395"/>
      <c r="B274" s="225"/>
      <c r="C274" s="225"/>
      <c r="D274" s="336" t="s">
        <v>0</v>
      </c>
      <c r="E274" s="349"/>
      <c r="F274" s="349"/>
      <c r="G274" s="338"/>
      <c r="H274" s="408">
        <v>0</v>
      </c>
      <c r="I274" s="224"/>
      <c r="J274" s="225">
        <f>SUMIFS('Estoque Atual'!E:E,'Estoque Atual'!A:A,'Tabela Base'!B274)+SUMIFS('Recebimentos do dia '!E:E,'Recebimentos do dia '!C:C,'Tabela Base'!B274)</f>
        <v>0</v>
      </c>
      <c r="K274" s="380"/>
      <c r="L274" s="381"/>
      <c r="M274" s="381"/>
      <c r="N274" s="380"/>
    </row>
    <row r="275" spans="1:14" s="246" customFormat="1" hidden="1">
      <c r="A275" s="395"/>
      <c r="B275" s="247">
        <v>82007</v>
      </c>
      <c r="C275" s="248" t="s">
        <v>21</v>
      </c>
      <c r="D275" s="249" t="s">
        <v>24</v>
      </c>
      <c r="E275" s="286"/>
      <c r="F275" s="286"/>
      <c r="G275" s="250" t="s">
        <v>232</v>
      </c>
      <c r="H275" s="258">
        <f t="shared" ref="H275:H282" si="57">J275</f>
        <v>0</v>
      </c>
      <c r="I275" s="252"/>
      <c r="J275" s="235">
        <f>SUMIFS('Estoque Atual'!$E:$E,'Estoque Atual'!$A:$A,'Tabela Base'!$B275)+SUMIFS('Recebimentos do dia '!$E:$E,'Recebimentos do dia '!$C:$C,'Tabela Base'!$B275)</f>
        <v>0</v>
      </c>
      <c r="K275" s="236">
        <f>IFERROR((SUMIFS('Estoque Atual'!I:I,'Estoque Atual'!A:A,'Tabela Base'!B275)+SUMIFS('Recebimentos do dia '!I:I,'Recebimentos do dia '!C:C,'Tabela Base'!B275))/
(SUMIFS('Estoque Atual'!G:G,'Estoque Atual'!A:A,'Tabela Base'!B275)+SUMIFS('Recebimentos do dia '!H:H,'Recebimentos do dia '!C:C,'Tabela Base'!B275)),0)</f>
        <v>0</v>
      </c>
      <c r="L275" s="237">
        <f t="shared" ref="L275:L282" si="58">E275-K275</f>
        <v>0</v>
      </c>
      <c r="M275" s="237">
        <f t="shared" ref="M275:M282" si="59">F275-K275</f>
        <v>0</v>
      </c>
      <c r="N275" s="236">
        <f>IFERROR((SUMIFS('Recebimentos do dia '!$H:$H,'Recebimentos do dia '!$C:$C,'Tabela Base'!$B275)+SUMIFS('Estoque Atual'!$G:$G,'Estoque Atual'!$A:$A,'Tabela Base'!$B275))/(SUMIFS('Recebimentos do dia '!$E:$E,'Recebimentos do dia '!$C:$C,'Tabela Base'!$B275)+SUMIFS('Estoque Atual'!$E:$E,'Estoque Atual'!$A:$A,'Tabela Base'!$B275)),0)</f>
        <v>0</v>
      </c>
    </row>
    <row r="276" spans="1:14" s="246" customFormat="1" hidden="1">
      <c r="A276" s="395"/>
      <c r="B276" s="247">
        <v>82008</v>
      </c>
      <c r="C276" s="248" t="s">
        <v>22</v>
      </c>
      <c r="D276" s="249" t="s">
        <v>24</v>
      </c>
      <c r="E276" s="286"/>
      <c r="F276" s="286"/>
      <c r="G276" s="250" t="s">
        <v>232</v>
      </c>
      <c r="H276" s="258">
        <f t="shared" si="57"/>
        <v>0</v>
      </c>
      <c r="I276" s="252"/>
      <c r="J276" s="235">
        <f>SUMIFS('Estoque Atual'!$E:$E,'Estoque Atual'!$A:$A,'Tabela Base'!$B276)+SUMIFS('Recebimentos do dia '!$E:$E,'Recebimentos do dia '!$C:$C,'Tabela Base'!$B276)</f>
        <v>0</v>
      </c>
      <c r="K276" s="236">
        <f>IFERROR((SUMIFS('Estoque Atual'!I:I,'Estoque Atual'!A:A,'Tabela Base'!B276)+SUMIFS('Recebimentos do dia '!I:I,'Recebimentos do dia '!C:C,'Tabela Base'!B276))/
(SUMIFS('Estoque Atual'!G:G,'Estoque Atual'!A:A,'Tabela Base'!B276)+SUMIFS('Recebimentos do dia '!H:H,'Recebimentos do dia '!C:C,'Tabela Base'!B276)),0)</f>
        <v>0</v>
      </c>
      <c r="L276" s="237">
        <f t="shared" si="58"/>
        <v>0</v>
      </c>
      <c r="M276" s="237">
        <f t="shared" si="59"/>
        <v>0</v>
      </c>
      <c r="N276" s="236">
        <f>IFERROR((SUMIFS('Recebimentos do dia '!$H:$H,'Recebimentos do dia '!$C:$C,'Tabela Base'!$B276)+SUMIFS('Estoque Atual'!$G:$G,'Estoque Atual'!$A:$A,'Tabela Base'!$B276))/(SUMIFS('Recebimentos do dia '!$E:$E,'Recebimentos do dia '!$C:$C,'Tabela Base'!$B276)+SUMIFS('Estoque Atual'!$E:$E,'Estoque Atual'!$A:$A,'Tabela Base'!$B276)),0)</f>
        <v>0</v>
      </c>
    </row>
    <row r="277" spans="1:14" s="246" customFormat="1" hidden="1">
      <c r="A277" s="395"/>
      <c r="B277" s="247">
        <v>82006</v>
      </c>
      <c r="C277" s="248" t="s">
        <v>57</v>
      </c>
      <c r="D277" s="249" t="s">
        <v>24</v>
      </c>
      <c r="E277" s="286"/>
      <c r="F277" s="286"/>
      <c r="G277" s="250" t="s">
        <v>232</v>
      </c>
      <c r="H277" s="258">
        <f t="shared" si="57"/>
        <v>0</v>
      </c>
      <c r="I277" s="252"/>
      <c r="J277" s="235">
        <f>SUMIFS('Estoque Atual'!$E:$E,'Estoque Atual'!$A:$A,'Tabela Base'!$B277)+SUMIFS('Recebimentos do dia '!$E:$E,'Recebimentos do dia '!$C:$C,'Tabela Base'!$B277)</f>
        <v>0</v>
      </c>
      <c r="K277" s="236">
        <f>IFERROR((SUMIFS('Estoque Atual'!I:I,'Estoque Atual'!A:A,'Tabela Base'!B277)+SUMIFS('Recebimentos do dia '!I:I,'Recebimentos do dia '!C:C,'Tabela Base'!B277))/
(SUMIFS('Estoque Atual'!G:G,'Estoque Atual'!A:A,'Tabela Base'!B277)+SUMIFS('Recebimentos do dia '!H:H,'Recebimentos do dia '!C:C,'Tabela Base'!B277)),0)</f>
        <v>0</v>
      </c>
      <c r="L277" s="237">
        <f t="shared" si="58"/>
        <v>0</v>
      </c>
      <c r="M277" s="237">
        <f t="shared" si="59"/>
        <v>0</v>
      </c>
      <c r="N277" s="236">
        <f>IFERROR((SUMIFS('Recebimentos do dia '!$H:$H,'Recebimentos do dia '!$C:$C,'Tabela Base'!$B277)+SUMIFS('Estoque Atual'!$G:$G,'Estoque Atual'!$A:$A,'Tabela Base'!$B277))/(SUMIFS('Recebimentos do dia '!$E:$E,'Recebimentos do dia '!$C:$C,'Tabela Base'!$B277)+SUMIFS('Estoque Atual'!$E:$E,'Estoque Atual'!$A:$A,'Tabela Base'!$B277)),0)</f>
        <v>0</v>
      </c>
    </row>
    <row r="278" spans="1:14" s="246" customFormat="1" hidden="1">
      <c r="A278" s="395"/>
      <c r="B278" s="247">
        <v>82005</v>
      </c>
      <c r="C278" s="248" t="s">
        <v>77</v>
      </c>
      <c r="D278" s="249" t="s">
        <v>23</v>
      </c>
      <c r="E278" s="286"/>
      <c r="F278" s="286"/>
      <c r="G278" s="250" t="s">
        <v>232</v>
      </c>
      <c r="H278" s="258">
        <f t="shared" si="57"/>
        <v>0</v>
      </c>
      <c r="I278" s="252"/>
      <c r="J278" s="235">
        <f>SUMIFS('Estoque Atual'!$E:$E,'Estoque Atual'!$A:$A,'Tabela Base'!$B278)+SUMIFS('Recebimentos do dia '!$E:$E,'Recebimentos do dia '!$C:$C,'Tabela Base'!$B278)</f>
        <v>0</v>
      </c>
      <c r="K278" s="236">
        <f>IFERROR((SUMIFS('Estoque Atual'!I:I,'Estoque Atual'!A:A,'Tabela Base'!B278)+SUMIFS('Recebimentos do dia '!I:I,'Recebimentos do dia '!C:C,'Tabela Base'!B278))/
(SUMIFS('Estoque Atual'!G:G,'Estoque Atual'!A:A,'Tabela Base'!B278)+SUMIFS('Recebimentos do dia '!H:H,'Recebimentos do dia '!C:C,'Tabela Base'!B278)),0)</f>
        <v>0</v>
      </c>
      <c r="L278" s="237">
        <f t="shared" si="58"/>
        <v>0</v>
      </c>
      <c r="M278" s="237">
        <f t="shared" si="59"/>
        <v>0</v>
      </c>
      <c r="N278" s="236">
        <f>IFERROR((SUMIFS('Recebimentos do dia '!$H:$H,'Recebimentos do dia '!$C:$C,'Tabela Base'!$B278)+SUMIFS('Estoque Atual'!$G:$G,'Estoque Atual'!$A:$A,'Tabela Base'!$B278))/(SUMIFS('Recebimentos do dia '!$E:$E,'Recebimentos do dia '!$C:$C,'Tabela Base'!$B278)+SUMIFS('Estoque Atual'!$E:$E,'Estoque Atual'!$A:$A,'Tabela Base'!$B278)),0)</f>
        <v>0</v>
      </c>
    </row>
    <row r="279" spans="1:14" s="246" customFormat="1" hidden="1">
      <c r="A279" s="395"/>
      <c r="B279" s="247">
        <v>82000</v>
      </c>
      <c r="C279" s="248" t="s">
        <v>39</v>
      </c>
      <c r="D279" s="249" t="s">
        <v>23</v>
      </c>
      <c r="E279" s="286"/>
      <c r="F279" s="286"/>
      <c r="G279" s="250" t="s">
        <v>233</v>
      </c>
      <c r="H279" s="258">
        <f t="shared" si="57"/>
        <v>0</v>
      </c>
      <c r="I279" s="252"/>
      <c r="J279" s="235">
        <f>SUMIFS('Estoque Atual'!$E:$E,'Estoque Atual'!$A:$A,'Tabela Base'!$B279)+SUMIFS('Recebimentos do dia '!$E:$E,'Recebimentos do dia '!$C:$C,'Tabela Base'!$B279)</f>
        <v>0</v>
      </c>
      <c r="K279" s="236">
        <f>IFERROR((SUMIFS('Estoque Atual'!I:I,'Estoque Atual'!A:A,'Tabela Base'!B279)+SUMIFS('Recebimentos do dia '!I:I,'Recebimentos do dia '!C:C,'Tabela Base'!B279))/
(SUMIFS('Estoque Atual'!G:G,'Estoque Atual'!A:A,'Tabela Base'!B279)+SUMIFS('Recebimentos do dia '!H:H,'Recebimentos do dia '!C:C,'Tabela Base'!B279)),0)</f>
        <v>0</v>
      </c>
      <c r="L279" s="237">
        <f t="shared" si="58"/>
        <v>0</v>
      </c>
      <c r="M279" s="237">
        <f t="shared" si="59"/>
        <v>0</v>
      </c>
      <c r="N279" s="236">
        <f>IFERROR((SUMIFS('Recebimentos do dia '!$H:$H,'Recebimentos do dia '!$C:$C,'Tabela Base'!$B279)+SUMIFS('Estoque Atual'!$G:$G,'Estoque Atual'!$A:$A,'Tabela Base'!$B279))/(SUMIFS('Recebimentos do dia '!$E:$E,'Recebimentos do dia '!$C:$C,'Tabela Base'!$B279)+SUMIFS('Estoque Atual'!$E:$E,'Estoque Atual'!$A:$A,'Tabela Base'!$B279)),0)</f>
        <v>0</v>
      </c>
    </row>
    <row r="280" spans="1:14" s="246" customFormat="1" hidden="1">
      <c r="A280" s="395"/>
      <c r="B280" s="247">
        <v>82002</v>
      </c>
      <c r="C280" s="248" t="s">
        <v>76</v>
      </c>
      <c r="D280" s="249" t="s">
        <v>23</v>
      </c>
      <c r="E280" s="286"/>
      <c r="F280" s="286"/>
      <c r="G280" s="250" t="s">
        <v>233</v>
      </c>
      <c r="H280" s="258">
        <f t="shared" si="57"/>
        <v>0</v>
      </c>
      <c r="I280" s="252"/>
      <c r="J280" s="235">
        <f>SUMIFS('Estoque Atual'!$E:$E,'Estoque Atual'!$A:$A,'Tabela Base'!$B280)+SUMIFS('Recebimentos do dia '!$E:$E,'Recebimentos do dia '!$C:$C,'Tabela Base'!$B280)</f>
        <v>0</v>
      </c>
      <c r="K280" s="236">
        <f>IFERROR((SUMIFS('Estoque Atual'!I:I,'Estoque Atual'!A:A,'Tabela Base'!B280)+SUMIFS('Recebimentos do dia '!I:I,'Recebimentos do dia '!C:C,'Tabela Base'!B280))/
(SUMIFS('Estoque Atual'!G:G,'Estoque Atual'!A:A,'Tabela Base'!B280)+SUMIFS('Recebimentos do dia '!H:H,'Recebimentos do dia '!C:C,'Tabela Base'!B280)),0)</f>
        <v>0</v>
      </c>
      <c r="L280" s="237">
        <f t="shared" si="58"/>
        <v>0</v>
      </c>
      <c r="M280" s="237">
        <f t="shared" si="59"/>
        <v>0</v>
      </c>
      <c r="N280" s="236">
        <f>IFERROR((SUMIFS('Recebimentos do dia '!$H:$H,'Recebimentos do dia '!$C:$C,'Tabela Base'!$B280)+SUMIFS('Estoque Atual'!$G:$G,'Estoque Atual'!$A:$A,'Tabela Base'!$B280))/(SUMIFS('Recebimentos do dia '!$E:$E,'Recebimentos do dia '!$C:$C,'Tabela Base'!$B280)+SUMIFS('Estoque Atual'!$E:$E,'Estoque Atual'!$A:$A,'Tabela Base'!$B280)),0)</f>
        <v>0</v>
      </c>
    </row>
    <row r="281" spans="1:14" s="246" customFormat="1" hidden="1">
      <c r="A281" s="395"/>
      <c r="B281" s="247">
        <v>82004</v>
      </c>
      <c r="C281" s="248" t="s">
        <v>74</v>
      </c>
      <c r="D281" s="249" t="s">
        <v>23</v>
      </c>
      <c r="E281" s="286"/>
      <c r="F281" s="286"/>
      <c r="G281" s="250" t="s">
        <v>232</v>
      </c>
      <c r="H281" s="258">
        <f t="shared" si="57"/>
        <v>0</v>
      </c>
      <c r="I281" s="252"/>
      <c r="J281" s="235">
        <f>SUMIFS('Estoque Atual'!$E:$E,'Estoque Atual'!$A:$A,'Tabela Base'!$B281)+SUMIFS('Recebimentos do dia '!$E:$E,'Recebimentos do dia '!$C:$C,'Tabela Base'!$B281)</f>
        <v>0</v>
      </c>
      <c r="K281" s="236">
        <f>IFERROR((SUMIFS('Estoque Atual'!I:I,'Estoque Atual'!A:A,'Tabela Base'!B281)+SUMIFS('Recebimentos do dia '!I:I,'Recebimentos do dia '!C:C,'Tabela Base'!B281))/
(SUMIFS('Estoque Atual'!G:G,'Estoque Atual'!A:A,'Tabela Base'!B281)+SUMIFS('Recebimentos do dia '!H:H,'Recebimentos do dia '!C:C,'Tabela Base'!B281)),0)</f>
        <v>0</v>
      </c>
      <c r="L281" s="237">
        <f t="shared" si="58"/>
        <v>0</v>
      </c>
      <c r="M281" s="237">
        <f t="shared" si="59"/>
        <v>0</v>
      </c>
      <c r="N281" s="236">
        <f>IFERROR((SUMIFS('Recebimentos do dia '!$H:$H,'Recebimentos do dia '!$C:$C,'Tabela Base'!$B281)+SUMIFS('Estoque Atual'!$G:$G,'Estoque Atual'!$A:$A,'Tabela Base'!$B281))/(SUMIFS('Recebimentos do dia '!$E:$E,'Recebimentos do dia '!$C:$C,'Tabela Base'!$B281)+SUMIFS('Estoque Atual'!$E:$E,'Estoque Atual'!$A:$A,'Tabela Base'!$B281)),0)</f>
        <v>0</v>
      </c>
    </row>
    <row r="282" spans="1:14" s="246" customFormat="1" hidden="1">
      <c r="A282" s="395"/>
      <c r="B282" s="247">
        <v>82001</v>
      </c>
      <c r="C282" s="248" t="s">
        <v>75</v>
      </c>
      <c r="D282" s="249" t="s">
        <v>23</v>
      </c>
      <c r="E282" s="286"/>
      <c r="F282" s="286"/>
      <c r="G282" s="250" t="s">
        <v>233</v>
      </c>
      <c r="H282" s="258">
        <f t="shared" si="57"/>
        <v>0</v>
      </c>
      <c r="I282" s="252"/>
      <c r="J282" s="235">
        <f>SUMIFS('Estoque Atual'!$E:$E,'Estoque Atual'!$A:$A,'Tabela Base'!$B282)+SUMIFS('Recebimentos do dia '!$E:$E,'Recebimentos do dia '!$C:$C,'Tabela Base'!$B282)</f>
        <v>0</v>
      </c>
      <c r="K282" s="236">
        <f>IFERROR((SUMIFS('Estoque Atual'!I:I,'Estoque Atual'!A:A,'Tabela Base'!B282)+SUMIFS('Recebimentos do dia '!I:I,'Recebimentos do dia '!C:C,'Tabela Base'!B282))/
(SUMIFS('Estoque Atual'!G:G,'Estoque Atual'!A:A,'Tabela Base'!B282)+SUMIFS('Recebimentos do dia '!H:H,'Recebimentos do dia '!C:C,'Tabela Base'!B282)),0)</f>
        <v>0</v>
      </c>
      <c r="L282" s="237">
        <f t="shared" si="58"/>
        <v>0</v>
      </c>
      <c r="M282" s="237">
        <f t="shared" si="59"/>
        <v>0</v>
      </c>
      <c r="N282" s="236">
        <f>IFERROR((SUMIFS('Recebimentos do dia '!$H:$H,'Recebimentos do dia '!$C:$C,'Tabela Base'!$B282)+SUMIFS('Estoque Atual'!$G:$G,'Estoque Atual'!$A:$A,'Tabela Base'!$B282))/(SUMIFS('Recebimentos do dia '!$E:$E,'Recebimentos do dia '!$C:$C,'Tabela Base'!$B282)+SUMIFS('Estoque Atual'!$E:$E,'Estoque Atual'!$A:$A,'Tabela Base'!$B282)),0)</f>
        <v>0</v>
      </c>
    </row>
    <row r="283" spans="1:14" ht="15">
      <c r="B283" s="257"/>
      <c r="C283" s="199"/>
      <c r="D283" s="411"/>
      <c r="E283" s="412"/>
      <c r="F283" s="412"/>
      <c r="G283" s="413"/>
      <c r="H283" s="414"/>
      <c r="I283" s="242"/>
      <c r="J283" s="415"/>
      <c r="K283" s="416"/>
      <c r="L283" s="379"/>
      <c r="M283" s="379"/>
      <c r="N283" s="416"/>
    </row>
  </sheetData>
  <sheetProtection formatCells="0" formatColumns="0" formatRows="0" insertColumns="0" insertRows="0" sort="0" autoFilter="0"/>
  <autoFilter ref="B9:N282">
    <filterColumn colId="6">
      <filters blank="1">
        <filter val="1"/>
        <filter val="11"/>
        <filter val="12"/>
        <filter val="120"/>
        <filter val="126"/>
        <filter val="13"/>
        <filter val="16"/>
        <filter val="17"/>
        <filter val="18"/>
        <filter val="19"/>
        <filter val="2"/>
        <filter val="210"/>
        <filter val="233"/>
        <filter val="27"/>
        <filter val="28"/>
        <filter val="35"/>
        <filter val="37"/>
        <filter val="4"/>
        <filter val="44"/>
        <filter val="46"/>
        <filter val="47"/>
        <filter val="51"/>
        <filter val="52"/>
        <filter val="53"/>
        <filter val="56"/>
        <filter val="59"/>
        <filter val="65"/>
        <filter val="73"/>
        <filter val="74"/>
        <filter val="76"/>
        <filter val="77"/>
        <filter val="78"/>
        <filter val="8"/>
        <filter val="83"/>
        <filter val="84"/>
        <filter val="87"/>
        <filter val="88"/>
        <filter val="89"/>
        <filter val="90"/>
        <filter val="92"/>
      </filters>
    </filterColumn>
  </autoFilter>
  <sortState ref="B64:N125">
    <sortCondition ref="C64:C125"/>
  </sortState>
  <phoneticPr fontId="10" type="noConversion"/>
  <conditionalFormatting sqref="B29:B30">
    <cfRule type="duplicateValues" dxfId="115" priority="148"/>
    <cfRule type="duplicateValues" dxfId="114" priority="145"/>
  </conditionalFormatting>
  <conditionalFormatting sqref="B35">
    <cfRule type="duplicateValues" dxfId="113" priority="131"/>
    <cfRule type="duplicateValues" dxfId="112" priority="134"/>
  </conditionalFormatting>
  <conditionalFormatting sqref="B44">
    <cfRule type="duplicateValues" dxfId="111" priority="220"/>
    <cfRule type="duplicateValues" dxfId="110" priority="217"/>
  </conditionalFormatting>
  <conditionalFormatting sqref="B49">
    <cfRule type="duplicateValues" dxfId="109" priority="85"/>
    <cfRule type="duplicateValues" dxfId="108" priority="82"/>
  </conditionalFormatting>
  <conditionalFormatting sqref="B51">
    <cfRule type="duplicateValues" dxfId="107" priority="62"/>
    <cfRule type="duplicateValues" dxfId="106" priority="66"/>
  </conditionalFormatting>
  <conditionalFormatting sqref="B54">
    <cfRule type="duplicateValues" dxfId="105" priority="126"/>
    <cfRule type="duplicateValues" dxfId="104" priority="129"/>
  </conditionalFormatting>
  <conditionalFormatting sqref="B55">
    <cfRule type="duplicateValues" dxfId="103" priority="186"/>
    <cfRule type="duplicateValues" dxfId="102" priority="189"/>
  </conditionalFormatting>
  <conditionalFormatting sqref="B73">
    <cfRule type="duplicateValues" dxfId="101" priority="1688"/>
    <cfRule type="duplicateValues" dxfId="100" priority="1689"/>
  </conditionalFormatting>
  <conditionalFormatting sqref="B77">
    <cfRule type="duplicateValues" dxfId="99" priority="1715"/>
    <cfRule type="duplicateValues" dxfId="98" priority="1716"/>
  </conditionalFormatting>
  <conditionalFormatting sqref="B89">
    <cfRule type="duplicateValues" dxfId="97" priority="273"/>
  </conditionalFormatting>
  <conditionalFormatting sqref="B94">
    <cfRule type="duplicateValues" dxfId="96" priority="76"/>
    <cfRule type="duplicateValues" dxfId="95" priority="80"/>
  </conditionalFormatting>
  <conditionalFormatting sqref="B109">
    <cfRule type="duplicateValues" dxfId="94" priority="159"/>
    <cfRule type="duplicateValues" dxfId="93" priority="164"/>
  </conditionalFormatting>
  <conditionalFormatting sqref="B146">
    <cfRule type="duplicateValues" dxfId="92" priority="1659"/>
    <cfRule type="duplicateValues" dxfId="91" priority="1660"/>
  </conditionalFormatting>
  <conditionalFormatting sqref="B147">
    <cfRule type="duplicateValues" dxfId="90" priority="214"/>
    <cfRule type="duplicateValues" dxfId="89" priority="211"/>
  </conditionalFormatting>
  <conditionalFormatting sqref="B148">
    <cfRule type="duplicateValues" dxfId="88" priority="99"/>
    <cfRule type="duplicateValues" dxfId="87" priority="102"/>
  </conditionalFormatting>
  <conditionalFormatting sqref="B152">
    <cfRule type="duplicateValues" dxfId="86" priority="121"/>
    <cfRule type="duplicateValues" dxfId="85" priority="124"/>
  </conditionalFormatting>
  <conditionalFormatting sqref="B164:B165">
    <cfRule type="duplicateValues" dxfId="84" priority="116"/>
    <cfRule type="duplicateValues" dxfId="83" priority="119"/>
  </conditionalFormatting>
  <conditionalFormatting sqref="B166">
    <cfRule type="duplicateValues" dxfId="82" priority="143"/>
    <cfRule type="duplicateValues" dxfId="81" priority="140"/>
  </conditionalFormatting>
  <conditionalFormatting sqref="B169">
    <cfRule type="duplicateValues" dxfId="80" priority="135"/>
    <cfRule type="duplicateValues" dxfId="79" priority="138"/>
  </conditionalFormatting>
  <conditionalFormatting sqref="B171">
    <cfRule type="duplicateValues" dxfId="78" priority="282"/>
  </conditionalFormatting>
  <conditionalFormatting sqref="B173">
    <cfRule type="duplicateValues" dxfId="77" priority="57"/>
    <cfRule type="duplicateValues" dxfId="76" priority="59"/>
  </conditionalFormatting>
  <conditionalFormatting sqref="B175">
    <cfRule type="duplicateValues" dxfId="75" priority="184"/>
    <cfRule type="duplicateValues" dxfId="74" priority="181"/>
  </conditionalFormatting>
  <conditionalFormatting sqref="B180">
    <cfRule type="duplicateValues" dxfId="73" priority="207"/>
    <cfRule type="duplicateValues" dxfId="72" priority="210"/>
  </conditionalFormatting>
  <conditionalFormatting sqref="B191">
    <cfRule type="duplicateValues" dxfId="71" priority="34"/>
    <cfRule type="duplicateValues" dxfId="70" priority="33"/>
  </conditionalFormatting>
  <conditionalFormatting sqref="B210">
    <cfRule type="duplicateValues" dxfId="69" priority="291"/>
  </conditionalFormatting>
  <conditionalFormatting sqref="B233">
    <cfRule type="duplicateValues" dxfId="68" priority="24"/>
    <cfRule type="duplicateValues" dxfId="67" priority="23"/>
  </conditionalFormatting>
  <conditionalFormatting sqref="B244">
    <cfRule type="duplicateValues" dxfId="66" priority="12"/>
    <cfRule type="duplicateValues" dxfId="65" priority="13"/>
  </conditionalFormatting>
  <conditionalFormatting sqref="B245:B1048576 B45:B48 B149:B151 B170:B172 B167:B168 B36:B43 B176:B179 B110:B145 B50 B52:B53 B153:B163 B174 B74:B76 B78:B93 B95:B108 B181:B190 B234:B243 B56:B72 B31:B34 B1:B28 B192:B232">
    <cfRule type="duplicateValues" dxfId="64" priority="1748"/>
  </conditionalFormatting>
  <conditionalFormatting sqref="B245:B1048576 B172 B45:B48 B149:B151 B170 B90:B93 B167:B168 B36:B43 B176:B179 B110:B145 B50 B52:B53 B153:B163 B174 B74:B76 B78:B88 B95:B108 B181:B190 B192:B209 B234:B243 B56:B72 B31:B34 B1:B28 B211:B232">
    <cfRule type="duplicateValues" dxfId="63" priority="1770"/>
  </conditionalFormatting>
  <conditionalFormatting sqref="C7">
    <cfRule type="duplicateValues" dxfId="62" priority="902"/>
  </conditionalFormatting>
  <conditionalFormatting sqref="D11">
    <cfRule type="duplicateValues" dxfId="61" priority="563"/>
    <cfRule type="duplicateValues" dxfId="60" priority="564"/>
    <cfRule type="duplicateValues" dxfId="59" priority="565"/>
  </conditionalFormatting>
  <conditionalFormatting sqref="D22">
    <cfRule type="duplicateValues" dxfId="58" priority="109"/>
    <cfRule type="duplicateValues" dxfId="57" priority="108"/>
    <cfRule type="duplicateValues" dxfId="56" priority="107"/>
  </conditionalFormatting>
  <conditionalFormatting sqref="D64">
    <cfRule type="duplicateValues" dxfId="55" priority="251"/>
    <cfRule type="duplicateValues" dxfId="54" priority="252"/>
    <cfRule type="duplicateValues" dxfId="53" priority="253"/>
  </conditionalFormatting>
  <conditionalFormatting sqref="D129">
    <cfRule type="duplicateValues" dxfId="52" priority="178"/>
    <cfRule type="duplicateValues" dxfId="51" priority="179"/>
    <cfRule type="duplicateValues" dxfId="50" priority="177"/>
  </conditionalFormatting>
  <conditionalFormatting sqref="D138">
    <cfRule type="duplicateValues" dxfId="49" priority="245"/>
    <cfRule type="duplicateValues" dxfId="48" priority="247"/>
    <cfRule type="duplicateValues" dxfId="47" priority="246"/>
  </conditionalFormatting>
  <conditionalFormatting sqref="D143">
    <cfRule type="duplicateValues" dxfId="46" priority="242"/>
    <cfRule type="duplicateValues" dxfId="45" priority="243"/>
    <cfRule type="duplicateValues" dxfId="44" priority="244"/>
  </conditionalFormatting>
  <conditionalFormatting sqref="D170">
    <cfRule type="duplicateValues" dxfId="43" priority="237"/>
    <cfRule type="duplicateValues" dxfId="42" priority="238"/>
    <cfRule type="duplicateValues" dxfId="41" priority="236"/>
  </conditionalFormatting>
  <conditionalFormatting sqref="D201">
    <cfRule type="duplicateValues" dxfId="40" priority="233"/>
    <cfRule type="duplicateValues" dxfId="39" priority="234"/>
    <cfRule type="duplicateValues" dxfId="38" priority="235"/>
  </conditionalFormatting>
  <conditionalFormatting sqref="D219">
    <cfRule type="duplicateValues" dxfId="37" priority="230"/>
    <cfRule type="duplicateValues" dxfId="36" priority="231"/>
    <cfRule type="duplicateValues" dxfId="35" priority="232"/>
  </conditionalFormatting>
  <conditionalFormatting sqref="D223">
    <cfRule type="duplicateValues" dxfId="34" priority="227"/>
    <cfRule type="duplicateValues" dxfId="33" priority="228"/>
    <cfRule type="duplicateValues" dxfId="32" priority="229"/>
  </conditionalFormatting>
  <conditionalFormatting sqref="D228">
    <cfRule type="duplicateValues" dxfId="31" priority="30"/>
    <cfRule type="duplicateValues" dxfId="30" priority="29"/>
    <cfRule type="duplicateValues" dxfId="29" priority="28"/>
  </conditionalFormatting>
  <conditionalFormatting sqref="D232">
    <cfRule type="duplicateValues" dxfId="28" priority="27"/>
    <cfRule type="duplicateValues" dxfId="27" priority="26"/>
    <cfRule type="duplicateValues" dxfId="26" priority="25"/>
  </conditionalFormatting>
  <conditionalFormatting sqref="D235">
    <cfRule type="duplicateValues" dxfId="25" priority="11"/>
    <cfRule type="duplicateValues" dxfId="24" priority="10"/>
    <cfRule type="duplicateValues" dxfId="23" priority="9"/>
  </conditionalFormatting>
  <conditionalFormatting sqref="D241">
    <cfRule type="duplicateValues" dxfId="22" priority="15"/>
    <cfRule type="duplicateValues" dxfId="21" priority="14"/>
    <cfRule type="duplicateValues" dxfId="20" priority="16"/>
  </conditionalFormatting>
  <conditionalFormatting sqref="D247">
    <cfRule type="duplicateValues" dxfId="19" priority="5"/>
    <cfRule type="duplicateValues" dxfId="18" priority="4"/>
    <cfRule type="duplicateValues" dxfId="17" priority="6"/>
  </conditionalFormatting>
  <conditionalFormatting sqref="D274">
    <cfRule type="duplicateValues" dxfId="16" priority="1"/>
    <cfRule type="duplicateValues" dxfId="15" priority="3"/>
    <cfRule type="duplicateValues" dxfId="14" priority="2"/>
  </conditionalFormatting>
  <conditionalFormatting sqref="I60">
    <cfRule type="duplicateValues" dxfId="13" priority="367"/>
  </conditionalFormatting>
  <conditionalFormatting sqref="I61:I62 I24">
    <cfRule type="duplicateValues" dxfId="12" priority="1061"/>
  </conditionalFormatting>
  <printOptions horizontalCentered="1" verticalCentered="1"/>
  <pageMargins left="0" right="0" top="0" bottom="0" header="0" footer="0"/>
  <pageSetup paperSize="9" scale="55" firstPageNumber="0" fitToWidth="0" orientation="portrait" r:id="rId1"/>
  <rowBreaks count="1" manualBreakCount="1">
    <brk id="245" max="6" man="1"/>
  </rowBreaks>
  <ignoredErrors>
    <ignoredError sqref="H128 H138 H63:H64 H143 H169:H170 H20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"/>
  <sheetViews>
    <sheetView showGridLines="0" zoomScaleNormal="100" workbookViewId="0">
      <selection sqref="A1:XFD1048576"/>
    </sheetView>
  </sheetViews>
  <sheetFormatPr defaultRowHeight="15"/>
  <cols>
    <col min="2" max="2" width="1.5703125" customWidth="1"/>
    <col min="3" max="3" width="48.42578125" customWidth="1"/>
    <col min="6" max="6" width="12.5703125" customWidth="1"/>
    <col min="7" max="7" width="21.28515625" customWidth="1"/>
    <col min="8" max="8" width="12.5703125" customWidth="1"/>
    <col min="9" max="9" width="15.7109375" customWidth="1"/>
    <col min="10" max="10" width="15.42578125" customWidth="1"/>
    <col min="11" max="11" width="19.140625" customWidth="1"/>
    <col min="12" max="12" width="21.140625" customWidth="1"/>
    <col min="13" max="13" width="20" bestFit="1" customWidth="1"/>
    <col min="14" max="14" width="17.140625" customWidth="1"/>
    <col min="15" max="15" width="20.85546875" customWidth="1"/>
  </cols>
  <sheetData>
    <row r="1" spans="1:16" ht="20.25">
      <c r="A1" s="470" t="s">
        <v>197</v>
      </c>
      <c r="B1" s="470"/>
      <c r="C1" s="470"/>
      <c r="D1" s="470"/>
      <c r="E1" s="470"/>
      <c r="F1" s="470"/>
      <c r="G1" s="470"/>
      <c r="H1" s="470"/>
      <c r="I1" s="470"/>
    </row>
    <row r="2" spans="1:16">
      <c r="A2" s="471" t="s">
        <v>198</v>
      </c>
      <c r="B2" s="471"/>
      <c r="C2" s="472" t="s">
        <v>199</v>
      </c>
      <c r="D2" s="472"/>
      <c r="E2" s="472"/>
      <c r="F2" s="472"/>
      <c r="G2" s="472"/>
      <c r="H2" s="473" t="s">
        <v>200</v>
      </c>
      <c r="I2" s="474">
        <v>45898</v>
      </c>
      <c r="P2" t="s">
        <v>400</v>
      </c>
    </row>
    <row r="3" spans="1:16" ht="15" customHeight="1">
      <c r="A3" s="471" t="s">
        <v>201</v>
      </c>
      <c r="B3" s="471"/>
      <c r="C3" s="475" t="s">
        <v>469</v>
      </c>
      <c r="D3" s="475"/>
      <c r="E3" s="475"/>
      <c r="F3" s="475"/>
      <c r="G3" s="475"/>
      <c r="H3" s="473" t="s">
        <v>202</v>
      </c>
      <c r="I3" s="476">
        <v>0.34900462962962964</v>
      </c>
      <c r="P3" s="419" t="s">
        <v>401</v>
      </c>
    </row>
    <row r="4" spans="1:16">
      <c r="A4" s="477"/>
      <c r="B4" s="477"/>
      <c r="C4" s="475"/>
      <c r="D4" s="475"/>
      <c r="E4" s="475"/>
      <c r="F4" s="475"/>
      <c r="G4" s="475"/>
      <c r="H4" s="475"/>
      <c r="I4" s="478"/>
    </row>
    <row r="6" spans="1:16">
      <c r="A6" s="479" t="s">
        <v>8</v>
      </c>
      <c r="B6" s="479"/>
      <c r="C6" s="479"/>
      <c r="D6" s="480" t="s">
        <v>203</v>
      </c>
      <c r="E6" s="480" t="s">
        <v>204</v>
      </c>
      <c r="F6" s="480" t="s">
        <v>205</v>
      </c>
      <c r="G6" s="480" t="s">
        <v>27</v>
      </c>
      <c r="H6" s="480" t="s">
        <v>206</v>
      </c>
      <c r="I6" s="481" t="s">
        <v>28</v>
      </c>
      <c r="K6" s="132" t="s">
        <v>299</v>
      </c>
      <c r="L6" s="132" t="s">
        <v>300</v>
      </c>
      <c r="M6" s="132" t="s">
        <v>301</v>
      </c>
      <c r="N6" s="132" t="s">
        <v>302</v>
      </c>
    </row>
    <row r="7" spans="1:16">
      <c r="A7" s="482" t="s">
        <v>265</v>
      </c>
      <c r="B7" s="482"/>
      <c r="C7" s="483" t="s">
        <v>293</v>
      </c>
      <c r="D7" s="484"/>
      <c r="E7" s="484"/>
      <c r="F7" s="484"/>
      <c r="G7" s="484"/>
      <c r="H7" s="484"/>
      <c r="I7" s="484"/>
      <c r="K7" s="131" t="e">
        <f>SUMIFS('[1]Estoque Anterior'!$I:$I,'[1]Estoque Anterior'!$A:$A,'[1]Estoque Dia'!$A7)+SUMIFS('[1]Recebimento do Dia'!$N:$N,'[1]Recebimento do Dia'!$E:$E,'[1]Estoque Dia'!$A7)</f>
        <v>#VALUE!</v>
      </c>
      <c r="L7" s="131" t="e">
        <f>IF(LEFT(A7,2)="70",SUMIFS('[1]Estoque Anterior'!$E:$E,'[1]Estoque Anterior'!$A:$A,'[1]Estoque Dia'!$A7)+SUMIFS('[1]Recebimento do Dia'!$F:$F,'[1]Recebimento do Dia'!$E:$E,'[1]Estoque Dia'!$A7),SUMIFS('[1]Estoque Anterior'!$G:$G,'[1]Estoque Anterior'!$A:$A,'[1]Estoque Dia'!$A7)+SUMIFS('[1]Recebimento do Dia'!$G:$G,'[1]Recebimento do Dia'!$E:$E,'[1]Estoque Dia'!$A7))</f>
        <v>#VALUE!</v>
      </c>
      <c r="M7" s="131" t="str">
        <f t="shared" ref="M7:M66" si="0">IFERROR(ROUND(K7/L7,2),"")</f>
        <v/>
      </c>
      <c r="N7" s="133" t="str">
        <f t="shared" ref="N7:N66" si="1">IFERROR(IF(M7=H7,"VALOR CORRETO","CORRIGIR VALOR"),"")</f>
        <v>VALOR CORRETO</v>
      </c>
    </row>
    <row r="8" spans="1:16">
      <c r="A8">
        <v>22021</v>
      </c>
      <c r="C8" s="485" t="s">
        <v>454</v>
      </c>
      <c r="D8" s="1" t="s">
        <v>95</v>
      </c>
      <c r="E8" s="161">
        <v>8</v>
      </c>
      <c r="F8" s="161">
        <v>32</v>
      </c>
      <c r="G8" s="486">
        <v>85.767999999999986</v>
      </c>
      <c r="H8" s="487">
        <v>27</v>
      </c>
      <c r="I8" s="487">
        <f>H8*G8</f>
        <v>2315.7359999999994</v>
      </c>
      <c r="K8" s="131" t="e">
        <f>SUMIFS('[1]Estoque Anterior'!$I:$I,'[1]Estoque Anterior'!$A:$A,'[1]Estoque Dia'!$A8)+SUMIFS('[1]Recebimento do Dia'!$N:$N,'[1]Recebimento do Dia'!$E:$E,'[1]Estoque Dia'!$A8)</f>
        <v>#VALUE!</v>
      </c>
      <c r="L8" s="131" t="e">
        <f>IF(LEFT(A8,2)="70",SUMIFS('[1]Estoque Anterior'!$E:$E,'[1]Estoque Anterior'!$A:$A,'[1]Estoque Dia'!$A8)+SUMIFS('[1]Recebimento do Dia'!$F:$F,'[1]Recebimento do Dia'!$E:$E,'[1]Estoque Dia'!$A8),SUMIFS('[1]Estoque Anterior'!$G:$G,'[1]Estoque Anterior'!$A:$A,'[1]Estoque Dia'!$A8)+SUMIFS('[1]Recebimento do Dia'!$G:$G,'[1]Recebimento do Dia'!$E:$E,'[1]Estoque Dia'!$A8))</f>
        <v>#VALUE!</v>
      </c>
      <c r="M8" s="131" t="str">
        <f t="shared" si="0"/>
        <v/>
      </c>
      <c r="N8" s="133" t="str">
        <f t="shared" si="1"/>
        <v>CORRIGIR VALOR</v>
      </c>
    </row>
    <row r="9" spans="1:16">
      <c r="A9">
        <v>22042</v>
      </c>
      <c r="C9" s="485" t="s">
        <v>470</v>
      </c>
      <c r="D9" s="1" t="s">
        <v>95</v>
      </c>
      <c r="E9" s="161">
        <v>84</v>
      </c>
      <c r="F9" s="161">
        <v>84</v>
      </c>
      <c r="G9" s="486">
        <v>2021.9099999999999</v>
      </c>
      <c r="H9" s="487">
        <v>29</v>
      </c>
      <c r="I9" s="487">
        <f>H9*G9</f>
        <v>58635.39</v>
      </c>
      <c r="K9" s="131" t="e">
        <f>SUMIFS('[1]Estoque Anterior'!$I:$I,'[1]Estoque Anterior'!$A:$A,'[1]Estoque Dia'!$A9)+SUMIFS('[1]Recebimento do Dia'!$N:$N,'[1]Recebimento do Dia'!$E:$E,'[1]Estoque Dia'!$A9)</f>
        <v>#VALUE!</v>
      </c>
      <c r="L9" s="131" t="e">
        <f>IF(LEFT(A9,2)="70",SUMIFS('[1]Estoque Anterior'!$E:$E,'[1]Estoque Anterior'!$A:$A,'[1]Estoque Dia'!$A9)+SUMIFS('[1]Recebimento do Dia'!$F:$F,'[1]Recebimento do Dia'!$E:$E,'[1]Estoque Dia'!$A9),SUMIFS('[1]Estoque Anterior'!$G:$G,'[1]Estoque Anterior'!$A:$A,'[1]Estoque Dia'!$A9)+SUMIFS('[1]Recebimento do Dia'!$G:$G,'[1]Recebimento do Dia'!$E:$E,'[1]Estoque Dia'!$A9))</f>
        <v>#VALUE!</v>
      </c>
      <c r="M9" s="131" t="str">
        <f t="shared" si="0"/>
        <v/>
      </c>
      <c r="N9" s="133" t="str">
        <f t="shared" si="1"/>
        <v>CORRIGIR VALOR</v>
      </c>
    </row>
    <row r="10" spans="1:16">
      <c r="A10" s="482"/>
      <c r="B10" s="482"/>
      <c r="C10" s="482"/>
      <c r="D10" s="488"/>
      <c r="E10" s="489">
        <v>92</v>
      </c>
      <c r="F10" s="490">
        <v>116</v>
      </c>
      <c r="G10" s="482">
        <v>2107.6779999999999</v>
      </c>
      <c r="H10" s="491"/>
      <c r="I10" s="491">
        <f>SUM(I8:I9)</f>
        <v>60951.125999999997</v>
      </c>
      <c r="K10" s="131" t="e">
        <f>SUMIFS('[1]Estoque Anterior'!$I:$I,'[1]Estoque Anterior'!$A:$A,'[1]Estoque Dia'!$A10)+SUMIFS('[1]Recebimento do Dia'!$N:$N,'[1]Recebimento do Dia'!$E:$E,'[1]Estoque Dia'!$A10)</f>
        <v>#VALUE!</v>
      </c>
      <c r="L10" s="131" t="e">
        <f>IF(LEFT(A10,2)="70",SUMIFS('[1]Estoque Anterior'!$E:$E,'[1]Estoque Anterior'!$A:$A,'[1]Estoque Dia'!$A10)+SUMIFS('[1]Recebimento do Dia'!$F:$F,'[1]Recebimento do Dia'!$E:$E,'[1]Estoque Dia'!$A10),SUMIFS('[1]Estoque Anterior'!$G:$G,'[1]Estoque Anterior'!$A:$A,'[1]Estoque Dia'!$A10)+SUMIFS('[1]Recebimento do Dia'!$G:$G,'[1]Recebimento do Dia'!$E:$E,'[1]Estoque Dia'!$A10))</f>
        <v>#VALUE!</v>
      </c>
      <c r="M10" s="131" t="str">
        <f t="shared" si="0"/>
        <v/>
      </c>
      <c r="N10" s="133" t="str">
        <f t="shared" si="1"/>
        <v>VALOR CORRETO</v>
      </c>
    </row>
    <row r="11" spans="1:16">
      <c r="A11" s="482" t="s">
        <v>265</v>
      </c>
      <c r="B11" s="482"/>
      <c r="C11" s="483" t="s">
        <v>304</v>
      </c>
      <c r="D11" s="484"/>
      <c r="E11" s="484"/>
      <c r="F11" s="484"/>
      <c r="G11" s="484"/>
      <c r="H11" s="484"/>
      <c r="I11" s="484"/>
      <c r="K11" s="131" t="e">
        <f>SUMIFS('[1]Estoque Anterior'!$I:$I,'[1]Estoque Anterior'!$A:$A,'[1]Estoque Dia'!$A11)+SUMIFS('[1]Recebimento do Dia'!$N:$N,'[1]Recebimento do Dia'!$E:$E,'[1]Estoque Dia'!$A11)</f>
        <v>#VALUE!</v>
      </c>
      <c r="L11" s="131" t="e">
        <f>IF(LEFT(A11,2)="70",SUMIFS('[1]Estoque Anterior'!$E:$E,'[1]Estoque Anterior'!$A:$A,'[1]Estoque Dia'!$A11)+SUMIFS('[1]Recebimento do Dia'!$F:$F,'[1]Recebimento do Dia'!$E:$E,'[1]Estoque Dia'!$A11),SUMIFS('[1]Estoque Anterior'!$G:$G,'[1]Estoque Anterior'!$A:$A,'[1]Estoque Dia'!$A11)+SUMIFS('[1]Recebimento do Dia'!$G:$G,'[1]Recebimento do Dia'!$E:$E,'[1]Estoque Dia'!$A11))</f>
        <v>#VALUE!</v>
      </c>
      <c r="M11" s="131" t="str">
        <f t="shared" si="0"/>
        <v/>
      </c>
      <c r="N11" s="133" t="str">
        <f t="shared" si="1"/>
        <v>VALOR CORRETO</v>
      </c>
    </row>
    <row r="12" spans="1:16">
      <c r="A12">
        <v>35002</v>
      </c>
      <c r="C12" s="485" t="s">
        <v>407</v>
      </c>
      <c r="D12" s="1" t="s">
        <v>95</v>
      </c>
      <c r="E12" s="161">
        <v>11</v>
      </c>
      <c r="F12" s="161">
        <v>11</v>
      </c>
      <c r="G12" s="486">
        <v>203.68</v>
      </c>
      <c r="H12" s="487">
        <v>11.5</v>
      </c>
      <c r="I12" s="487">
        <f t="shared" ref="I12:I14" si="2">H12*G12</f>
        <v>2342.3200000000002</v>
      </c>
      <c r="K12" s="131" t="e">
        <f>SUMIFS('[1]Estoque Anterior'!$I:$I,'[1]Estoque Anterior'!$A:$A,'[1]Estoque Dia'!$A12)+SUMIFS('[1]Recebimento do Dia'!$N:$N,'[1]Recebimento do Dia'!$E:$E,'[1]Estoque Dia'!$A12)</f>
        <v>#VALUE!</v>
      </c>
      <c r="L12" s="131" t="e">
        <f>IF(LEFT(A12,2)="70",SUMIFS('[1]Estoque Anterior'!$E:$E,'[1]Estoque Anterior'!$A:$A,'[1]Estoque Dia'!$A12)+SUMIFS('[1]Recebimento do Dia'!$F:$F,'[1]Recebimento do Dia'!$E:$E,'[1]Estoque Dia'!$A12),SUMIFS('[1]Estoque Anterior'!$G:$G,'[1]Estoque Anterior'!$A:$A,'[1]Estoque Dia'!$A12)+SUMIFS('[1]Recebimento do Dia'!$G:$G,'[1]Recebimento do Dia'!$E:$E,'[1]Estoque Dia'!$A12))</f>
        <v>#VALUE!</v>
      </c>
      <c r="M12" s="131" t="str">
        <f t="shared" si="0"/>
        <v/>
      </c>
      <c r="N12" s="133" t="str">
        <f t="shared" si="1"/>
        <v>CORRIGIR VALOR</v>
      </c>
    </row>
    <row r="13" spans="1:16">
      <c r="A13">
        <v>35012</v>
      </c>
      <c r="C13" s="485" t="s">
        <v>456</v>
      </c>
      <c r="D13" s="1" t="s">
        <v>95</v>
      </c>
      <c r="E13" s="161">
        <v>27</v>
      </c>
      <c r="F13" s="161">
        <v>27</v>
      </c>
      <c r="G13" s="486">
        <v>587.33699999999999</v>
      </c>
      <c r="H13" s="487">
        <v>18</v>
      </c>
      <c r="I13" s="487">
        <f t="shared" si="2"/>
        <v>10572.065999999999</v>
      </c>
      <c r="K13" s="131" t="e">
        <f>SUMIFS('[1]Estoque Anterior'!$I:$I,'[1]Estoque Anterior'!$A:$A,'[1]Estoque Dia'!$A13)+SUMIFS('[1]Recebimento do Dia'!$N:$N,'[1]Recebimento do Dia'!$E:$E,'[1]Estoque Dia'!$A13)</f>
        <v>#VALUE!</v>
      </c>
      <c r="L13" s="131" t="e">
        <f>IF(LEFT(A13,2)="70",SUMIFS('[1]Estoque Anterior'!$E:$E,'[1]Estoque Anterior'!$A:$A,'[1]Estoque Dia'!$A13)+SUMIFS('[1]Recebimento do Dia'!$F:$F,'[1]Recebimento do Dia'!$E:$E,'[1]Estoque Dia'!$A13),SUMIFS('[1]Estoque Anterior'!$G:$G,'[1]Estoque Anterior'!$A:$A,'[1]Estoque Dia'!$A13)+SUMIFS('[1]Recebimento do Dia'!$G:$G,'[1]Recebimento do Dia'!$E:$E,'[1]Estoque Dia'!$A13))</f>
        <v>#VALUE!</v>
      </c>
      <c r="M13" s="131" t="str">
        <f t="shared" si="0"/>
        <v/>
      </c>
      <c r="N13" s="133" t="str">
        <f>IFERROR(IF(M13=H13,"VALOR CORRETO","CORRIGIR VALOR"),"")</f>
        <v>CORRIGIR VALOR</v>
      </c>
    </row>
    <row r="14" spans="1:16">
      <c r="A14">
        <v>35038</v>
      </c>
      <c r="C14" s="485" t="s">
        <v>9</v>
      </c>
      <c r="D14" s="1" t="s">
        <v>95</v>
      </c>
      <c r="E14" s="161">
        <v>28</v>
      </c>
      <c r="F14" s="161">
        <v>28</v>
      </c>
      <c r="G14" s="486">
        <v>423.8</v>
      </c>
      <c r="H14" s="487">
        <v>18.399999999999999</v>
      </c>
      <c r="I14" s="487">
        <f t="shared" si="2"/>
        <v>7797.9199999999992</v>
      </c>
      <c r="K14" s="131" t="e">
        <f>SUMIFS('[1]Estoque Anterior'!$I:$I,'[1]Estoque Anterior'!$A:$A,'[1]Estoque Dia'!$A14)+SUMIFS('[1]Recebimento do Dia'!$N:$N,'[1]Recebimento do Dia'!$E:$E,'[1]Estoque Dia'!$A14)</f>
        <v>#VALUE!</v>
      </c>
      <c r="L14" s="131" t="e">
        <f>IF(LEFT(A14,2)="70",SUMIFS('[1]Estoque Anterior'!$E:$E,'[1]Estoque Anterior'!$A:$A,'[1]Estoque Dia'!$A14)+SUMIFS('[1]Recebimento do Dia'!$F:$F,'[1]Recebimento do Dia'!$E:$E,'[1]Estoque Dia'!$A14),SUMIFS('[1]Estoque Anterior'!$G:$G,'[1]Estoque Anterior'!$A:$A,'[1]Estoque Dia'!$A14)+SUMIFS('[1]Recebimento do Dia'!$G:$G,'[1]Recebimento do Dia'!$E:$E,'[1]Estoque Dia'!$A14))</f>
        <v>#VALUE!</v>
      </c>
      <c r="M14" s="131" t="str">
        <f t="shared" si="0"/>
        <v/>
      </c>
      <c r="N14" s="133" t="str">
        <f t="shared" si="1"/>
        <v>CORRIGIR VALOR</v>
      </c>
    </row>
    <row r="15" spans="1:16">
      <c r="A15" s="482"/>
      <c r="B15" s="482"/>
      <c r="C15" s="482"/>
      <c r="D15" s="488"/>
      <c r="E15" s="489">
        <v>66</v>
      </c>
      <c r="F15" s="490">
        <v>66</v>
      </c>
      <c r="G15" s="482">
        <v>1214.817</v>
      </c>
      <c r="H15" s="491"/>
      <c r="I15" s="491">
        <f>SUM(I12:I14)</f>
        <v>20712.305999999997</v>
      </c>
      <c r="K15" s="131" t="e">
        <f>SUMIFS('[1]Estoque Anterior'!$I:$I,'[1]Estoque Anterior'!$A:$A,'[1]Estoque Dia'!$A15)+SUMIFS('[1]Recebimento do Dia'!$N:$N,'[1]Recebimento do Dia'!$E:$E,'[1]Estoque Dia'!$A15)</f>
        <v>#VALUE!</v>
      </c>
      <c r="L15" s="131" t="e">
        <f>IF(LEFT(A15,2)="70",SUMIFS('[1]Estoque Anterior'!$E:$E,'[1]Estoque Anterior'!$A:$A,'[1]Estoque Dia'!$A15)+SUMIFS('[1]Recebimento do Dia'!$F:$F,'[1]Recebimento do Dia'!$E:$E,'[1]Estoque Dia'!$A15),SUMIFS('[1]Estoque Anterior'!$G:$G,'[1]Estoque Anterior'!$A:$A,'[1]Estoque Dia'!$A15)+SUMIFS('[1]Recebimento do Dia'!$G:$G,'[1]Recebimento do Dia'!$E:$E,'[1]Estoque Dia'!$A15))</f>
        <v>#VALUE!</v>
      </c>
      <c r="M15" s="131" t="str">
        <f t="shared" si="0"/>
        <v/>
      </c>
      <c r="N15" s="133" t="str">
        <f t="shared" si="1"/>
        <v>VALOR CORRETO</v>
      </c>
    </row>
    <row r="16" spans="1:16">
      <c r="A16" s="482" t="s">
        <v>265</v>
      </c>
      <c r="B16" s="482"/>
      <c r="C16" s="483" t="s">
        <v>294</v>
      </c>
      <c r="D16" s="484"/>
      <c r="E16" s="484"/>
      <c r="F16" s="484"/>
      <c r="G16" s="484"/>
      <c r="H16" s="484"/>
      <c r="I16" s="484"/>
      <c r="K16" s="131" t="e">
        <f>SUMIFS('[1]Estoque Anterior'!$I:$I,'[1]Estoque Anterior'!$A:$A,'[1]Estoque Dia'!$A16)+SUMIFS('[1]Recebimento do Dia'!$N:$N,'[1]Recebimento do Dia'!$E:$E,'[1]Estoque Dia'!$A16)</f>
        <v>#VALUE!</v>
      </c>
      <c r="L16" s="131" t="e">
        <f>IF(LEFT(A16,2)="70",SUMIFS('[1]Estoque Anterior'!$E:$E,'[1]Estoque Anterior'!$A:$A,'[1]Estoque Dia'!$A16)+SUMIFS('[1]Recebimento do Dia'!$F:$F,'[1]Recebimento do Dia'!$E:$E,'[1]Estoque Dia'!$A16),SUMIFS('[1]Estoque Anterior'!$G:$G,'[1]Estoque Anterior'!$A:$A,'[1]Estoque Dia'!$A16)+SUMIFS('[1]Recebimento do Dia'!$G:$G,'[1]Recebimento do Dia'!$E:$E,'[1]Estoque Dia'!$A16))</f>
        <v>#VALUE!</v>
      </c>
      <c r="M16" s="131" t="str">
        <f t="shared" si="0"/>
        <v/>
      </c>
      <c r="N16" s="133" t="str">
        <f t="shared" si="1"/>
        <v>VALOR CORRETO</v>
      </c>
    </row>
    <row r="17" spans="1:14">
      <c r="A17">
        <v>11000</v>
      </c>
      <c r="C17" s="485" t="s">
        <v>421</v>
      </c>
      <c r="D17" s="1" t="s">
        <v>95</v>
      </c>
      <c r="E17" s="161">
        <v>17</v>
      </c>
      <c r="F17" s="161">
        <v>17</v>
      </c>
      <c r="G17" s="486">
        <v>1182.5999999999999</v>
      </c>
      <c r="H17" s="487">
        <v>23.31</v>
      </c>
      <c r="I17" s="487">
        <f t="shared" ref="I17:I20" si="3">H17*G17</f>
        <v>27566.405999999995</v>
      </c>
      <c r="K17" s="131" t="e">
        <f>SUMIFS('[1]Estoque Anterior'!$I:$I,'[1]Estoque Anterior'!$A:$A,'[1]Estoque Dia'!$A17)+SUMIFS('[1]Recebimento do Dia'!$N:$N,'[1]Recebimento do Dia'!$E:$E,'[1]Estoque Dia'!$A17)</f>
        <v>#VALUE!</v>
      </c>
      <c r="L17" s="131" t="e">
        <f>IF(LEFT(A17,2)="70",SUMIFS('[1]Estoque Anterior'!$E:$E,'[1]Estoque Anterior'!$A:$A,'[1]Estoque Dia'!$A17)+SUMIFS('[1]Recebimento do Dia'!$F:$F,'[1]Recebimento do Dia'!$E:$E,'[1]Estoque Dia'!$A17),SUMIFS('[1]Estoque Anterior'!$G:$G,'[1]Estoque Anterior'!$A:$A,'[1]Estoque Dia'!$A17)+SUMIFS('[1]Recebimento do Dia'!$G:$G,'[1]Recebimento do Dia'!$E:$E,'[1]Estoque Dia'!$A17))</f>
        <v>#VALUE!</v>
      </c>
      <c r="M17" s="131" t="str">
        <f t="shared" si="0"/>
        <v/>
      </c>
      <c r="N17" s="133" t="str">
        <f t="shared" si="1"/>
        <v>CORRIGIR VALOR</v>
      </c>
    </row>
    <row r="18" spans="1:14">
      <c r="A18">
        <v>11001</v>
      </c>
      <c r="C18" s="485" t="s">
        <v>424</v>
      </c>
      <c r="D18" s="1" t="s">
        <v>95</v>
      </c>
      <c r="E18" s="161">
        <v>130</v>
      </c>
      <c r="F18" s="161">
        <v>130</v>
      </c>
      <c r="G18" s="486">
        <v>8184.7</v>
      </c>
      <c r="H18" s="487">
        <v>18.11</v>
      </c>
      <c r="I18" s="487">
        <f t="shared" si="3"/>
        <v>148224.91699999999</v>
      </c>
      <c r="K18" s="131" t="e">
        <f>SUMIFS('[1]Estoque Anterior'!$I:$I,'[1]Estoque Anterior'!$A:$A,'[1]Estoque Dia'!$A18)+SUMIFS('[1]Recebimento do Dia'!$N:$N,'[1]Recebimento do Dia'!$E:$E,'[1]Estoque Dia'!$A18)</f>
        <v>#VALUE!</v>
      </c>
      <c r="L18" s="131" t="e">
        <f>IF(LEFT(A18,2)="70",SUMIFS('[1]Estoque Anterior'!$E:$E,'[1]Estoque Anterior'!$A:$A,'[1]Estoque Dia'!$A18)+SUMIFS('[1]Recebimento do Dia'!$F:$F,'[1]Recebimento do Dia'!$E:$E,'[1]Estoque Dia'!$A18),SUMIFS('[1]Estoque Anterior'!$G:$G,'[1]Estoque Anterior'!$A:$A,'[1]Estoque Dia'!$A18)+SUMIFS('[1]Recebimento do Dia'!$G:$G,'[1]Recebimento do Dia'!$E:$E,'[1]Estoque Dia'!$A18))</f>
        <v>#VALUE!</v>
      </c>
      <c r="M18" s="131" t="str">
        <f t="shared" si="0"/>
        <v/>
      </c>
      <c r="N18" s="133" t="str">
        <f t="shared" si="1"/>
        <v>CORRIGIR VALOR</v>
      </c>
    </row>
    <row r="19" spans="1:14">
      <c r="A19">
        <v>11004</v>
      </c>
      <c r="C19" s="485" t="s">
        <v>426</v>
      </c>
      <c r="D19" s="1" t="s">
        <v>95</v>
      </c>
      <c r="E19" s="161">
        <v>86</v>
      </c>
      <c r="F19" s="161">
        <v>86</v>
      </c>
      <c r="G19" s="486">
        <v>1907.5</v>
      </c>
      <c r="H19" s="487">
        <v>17.29</v>
      </c>
      <c r="I19" s="487">
        <f t="shared" si="3"/>
        <v>32980.674999999996</v>
      </c>
      <c r="K19" s="131" t="e">
        <f>SUMIFS('[1]Estoque Anterior'!$I:$I,'[1]Estoque Anterior'!$A:$A,'[1]Estoque Dia'!$A19)+SUMIFS('[1]Recebimento do Dia'!$N:$N,'[1]Recebimento do Dia'!$E:$E,'[1]Estoque Dia'!$A19)</f>
        <v>#VALUE!</v>
      </c>
      <c r="L19" s="131" t="e">
        <f>IF(LEFT(A19,2)="70",SUMIFS('[1]Estoque Anterior'!$E:$E,'[1]Estoque Anterior'!$A:$A,'[1]Estoque Dia'!$A19)+SUMIFS('[1]Recebimento do Dia'!$F:$F,'[1]Recebimento do Dia'!$E:$E,'[1]Estoque Dia'!$A19),SUMIFS('[1]Estoque Anterior'!$G:$G,'[1]Estoque Anterior'!$A:$A,'[1]Estoque Dia'!$A19)+SUMIFS('[1]Recebimento do Dia'!$G:$G,'[1]Recebimento do Dia'!$E:$E,'[1]Estoque Dia'!$A19))</f>
        <v>#VALUE!</v>
      </c>
      <c r="M19" s="131" t="str">
        <f t="shared" si="0"/>
        <v/>
      </c>
      <c r="N19" s="133" t="str">
        <f t="shared" si="1"/>
        <v>CORRIGIR VALOR</v>
      </c>
    </row>
    <row r="20" spans="1:14">
      <c r="A20">
        <v>11007</v>
      </c>
      <c r="C20" s="485" t="s">
        <v>463</v>
      </c>
      <c r="D20" s="1" t="s">
        <v>95</v>
      </c>
      <c r="E20" s="161">
        <v>11</v>
      </c>
      <c r="F20" s="161">
        <v>11</v>
      </c>
      <c r="G20" s="486">
        <v>240.4</v>
      </c>
      <c r="H20" s="492">
        <v>27.14</v>
      </c>
      <c r="I20" s="487">
        <f t="shared" si="3"/>
        <v>6524.4560000000001</v>
      </c>
      <c r="K20" s="131" t="e">
        <f>SUMIFS('[1]Estoque Anterior'!$I:$I,'[1]Estoque Anterior'!$A:$A,'[1]Estoque Dia'!$A20)+SUMIFS('[1]Recebimento do Dia'!$N:$N,'[1]Recebimento do Dia'!$E:$E,'[1]Estoque Dia'!$A20)</f>
        <v>#VALUE!</v>
      </c>
      <c r="L20" s="131" t="e">
        <f>IF(LEFT(A20,2)="70",SUMIFS('[1]Estoque Anterior'!$E:$E,'[1]Estoque Anterior'!$A:$A,'[1]Estoque Dia'!$A20)+SUMIFS('[1]Recebimento do Dia'!$F:$F,'[1]Recebimento do Dia'!$E:$E,'[1]Estoque Dia'!$A20),SUMIFS('[1]Estoque Anterior'!$G:$G,'[1]Estoque Anterior'!$A:$A,'[1]Estoque Dia'!$A20)+SUMIFS('[1]Recebimento do Dia'!$G:$G,'[1]Recebimento do Dia'!$E:$E,'[1]Estoque Dia'!$A20))</f>
        <v>#VALUE!</v>
      </c>
      <c r="M20" s="131" t="str">
        <f t="shared" si="0"/>
        <v/>
      </c>
      <c r="N20" s="133" t="str">
        <f t="shared" si="1"/>
        <v>CORRIGIR VALOR</v>
      </c>
    </row>
    <row r="21" spans="1:14">
      <c r="A21" s="482"/>
      <c r="B21" s="482"/>
      <c r="C21" s="482"/>
      <c r="D21" s="488"/>
      <c r="E21" s="489">
        <v>244</v>
      </c>
      <c r="F21" s="490">
        <v>244</v>
      </c>
      <c r="G21" s="482">
        <v>11515.199999999999</v>
      </c>
      <c r="H21" s="491"/>
      <c r="I21" s="491">
        <f>SUM(I17:I20)</f>
        <v>215296.45399999997</v>
      </c>
      <c r="K21" s="131" t="e">
        <f>SUMIFS('[1]Estoque Anterior'!$I:$I,'[1]Estoque Anterior'!$A:$A,'[1]Estoque Dia'!$A21)+SUMIFS('[1]Recebimento do Dia'!$N:$N,'[1]Recebimento do Dia'!$E:$E,'[1]Estoque Dia'!$A21)</f>
        <v>#VALUE!</v>
      </c>
      <c r="L21" s="131" t="e">
        <f>IF(LEFT(A21,2)="70",SUMIFS('[1]Estoque Anterior'!$E:$E,'[1]Estoque Anterior'!$A:$A,'[1]Estoque Dia'!$A21)+SUMIFS('[1]Recebimento do Dia'!$F:$F,'[1]Recebimento do Dia'!$E:$E,'[1]Estoque Dia'!$A21),SUMIFS('[1]Estoque Anterior'!$G:$G,'[1]Estoque Anterior'!$A:$A,'[1]Estoque Dia'!$A21)+SUMIFS('[1]Recebimento do Dia'!$G:$G,'[1]Recebimento do Dia'!$E:$E,'[1]Estoque Dia'!$A21))</f>
        <v>#VALUE!</v>
      </c>
      <c r="M21" s="131" t="str">
        <f t="shared" si="0"/>
        <v/>
      </c>
      <c r="N21" s="133" t="str">
        <f t="shared" si="1"/>
        <v>VALOR CORRETO</v>
      </c>
    </row>
    <row r="22" spans="1:14">
      <c r="A22" s="482" t="s">
        <v>265</v>
      </c>
      <c r="B22" s="482"/>
      <c r="C22" s="483" t="s">
        <v>295</v>
      </c>
      <c r="D22" s="484"/>
      <c r="E22" s="484"/>
      <c r="F22" s="484"/>
      <c r="G22" s="484"/>
      <c r="H22" s="484"/>
      <c r="I22" s="484"/>
      <c r="K22" s="131" t="e">
        <f>SUMIFS('[1]Estoque Anterior'!$I:$I,'[1]Estoque Anterior'!$A:$A,'[1]Estoque Dia'!$A22)+SUMIFS('[1]Recebimento do Dia'!$N:$N,'[1]Recebimento do Dia'!$E:$E,'[1]Estoque Dia'!$A22)</f>
        <v>#VALUE!</v>
      </c>
      <c r="L22" s="131" t="e">
        <f>IF(LEFT(A22,2)="70",SUMIFS('[1]Estoque Anterior'!$E:$E,'[1]Estoque Anterior'!$A:$A,'[1]Estoque Dia'!$A22)+SUMIFS('[1]Recebimento do Dia'!$F:$F,'[1]Recebimento do Dia'!$E:$E,'[1]Estoque Dia'!$A22),SUMIFS('[1]Estoque Anterior'!$G:$G,'[1]Estoque Anterior'!$A:$A,'[1]Estoque Dia'!$A22)+SUMIFS('[1]Recebimento do Dia'!$G:$G,'[1]Recebimento do Dia'!$E:$E,'[1]Estoque Dia'!$A22))</f>
        <v>#VALUE!</v>
      </c>
      <c r="M22" s="131" t="str">
        <f t="shared" si="0"/>
        <v/>
      </c>
      <c r="N22" s="133" t="str">
        <f t="shared" si="1"/>
        <v>VALOR CORRETO</v>
      </c>
    </row>
    <row r="23" spans="1:14">
      <c r="A23">
        <v>12001</v>
      </c>
      <c r="C23" s="485" t="s">
        <v>465</v>
      </c>
      <c r="D23" s="1" t="s">
        <v>95</v>
      </c>
      <c r="E23" s="161">
        <v>17</v>
      </c>
      <c r="F23" s="161">
        <v>62</v>
      </c>
      <c r="G23" s="486">
        <v>412.92200000000003</v>
      </c>
      <c r="H23" s="487">
        <v>48</v>
      </c>
      <c r="I23" s="487">
        <f t="shared" ref="I23:I46" si="4">H23*G23</f>
        <v>19820.256000000001</v>
      </c>
      <c r="K23" s="131" t="e">
        <f>SUMIFS('[1]Estoque Anterior'!$I:$I,'[1]Estoque Anterior'!$A:$A,'[1]Estoque Dia'!$A23)+SUMIFS('[1]Recebimento do Dia'!$N:$N,'[1]Recebimento do Dia'!$E:$E,'[1]Estoque Dia'!$A23)</f>
        <v>#VALUE!</v>
      </c>
      <c r="L23" s="131" t="e">
        <f>IF(LEFT(A23,2)="70",SUMIFS('[1]Estoque Anterior'!$E:$E,'[1]Estoque Anterior'!$A:$A,'[1]Estoque Dia'!$A23)+SUMIFS('[1]Recebimento do Dia'!$F:$F,'[1]Recebimento do Dia'!$E:$E,'[1]Estoque Dia'!$A23),SUMIFS('[1]Estoque Anterior'!$G:$G,'[1]Estoque Anterior'!$A:$A,'[1]Estoque Dia'!$A23)+SUMIFS('[1]Recebimento do Dia'!$G:$G,'[1]Recebimento do Dia'!$E:$E,'[1]Estoque Dia'!$A23))</f>
        <v>#VALUE!</v>
      </c>
      <c r="M23" s="131" t="str">
        <f t="shared" si="0"/>
        <v/>
      </c>
      <c r="N23" s="133" t="str">
        <f t="shared" si="1"/>
        <v>CORRIGIR VALOR</v>
      </c>
    </row>
    <row r="24" spans="1:14">
      <c r="A24">
        <v>12007</v>
      </c>
      <c r="C24" s="485" t="s">
        <v>458</v>
      </c>
      <c r="D24" s="1" t="s">
        <v>95</v>
      </c>
      <c r="E24" s="161">
        <v>53</v>
      </c>
      <c r="F24" s="161">
        <v>179</v>
      </c>
      <c r="G24" s="486">
        <v>1042.181</v>
      </c>
      <c r="H24" s="487">
        <v>30</v>
      </c>
      <c r="I24" s="487">
        <f t="shared" si="4"/>
        <v>31265.43</v>
      </c>
      <c r="K24" s="131" t="e">
        <f>SUMIFS('[1]Estoque Anterior'!$I:$I,'[1]Estoque Anterior'!$A:$A,'[1]Estoque Dia'!$A24)+SUMIFS('[1]Recebimento do Dia'!$N:$N,'[1]Recebimento do Dia'!$E:$E,'[1]Estoque Dia'!$A24)</f>
        <v>#VALUE!</v>
      </c>
      <c r="L24" s="131" t="e">
        <f>IF(LEFT(A24,2)="70",SUMIFS('[1]Estoque Anterior'!$E:$E,'[1]Estoque Anterior'!$A:$A,'[1]Estoque Dia'!$A24)+SUMIFS('[1]Recebimento do Dia'!$F:$F,'[1]Recebimento do Dia'!$E:$E,'[1]Estoque Dia'!$A24),SUMIFS('[1]Estoque Anterior'!$G:$G,'[1]Estoque Anterior'!$A:$A,'[1]Estoque Dia'!$A24)+SUMIFS('[1]Recebimento do Dia'!$G:$G,'[1]Recebimento do Dia'!$E:$E,'[1]Estoque Dia'!$A24))</f>
        <v>#VALUE!</v>
      </c>
      <c r="M24" s="131" t="str">
        <f t="shared" si="0"/>
        <v/>
      </c>
      <c r="N24" s="133" t="str">
        <f t="shared" si="1"/>
        <v>CORRIGIR VALOR</v>
      </c>
    </row>
    <row r="25" spans="1:14">
      <c r="A25">
        <v>12009</v>
      </c>
      <c r="C25" s="485" t="s">
        <v>443</v>
      </c>
      <c r="D25" s="1" t="s">
        <v>95</v>
      </c>
      <c r="E25" s="161">
        <v>90</v>
      </c>
      <c r="F25" s="161">
        <v>383</v>
      </c>
      <c r="G25" s="486">
        <v>2081.2359999999999</v>
      </c>
      <c r="H25" s="487">
        <v>34.369999999999997</v>
      </c>
      <c r="I25" s="487">
        <f t="shared" si="4"/>
        <v>71532.081319999998</v>
      </c>
      <c r="K25" s="131" t="e">
        <f>SUMIFS('[1]Estoque Anterior'!$I:$I,'[1]Estoque Anterior'!$A:$A,'[1]Estoque Dia'!$A25)+SUMIFS('[1]Recebimento do Dia'!$N:$N,'[1]Recebimento do Dia'!$E:$E,'[1]Estoque Dia'!$A25)</f>
        <v>#VALUE!</v>
      </c>
      <c r="L25" s="131" t="e">
        <f>IF(LEFT(A25,2)="70",SUMIFS('[1]Estoque Anterior'!$E:$E,'[1]Estoque Anterior'!$A:$A,'[1]Estoque Dia'!$A25)+SUMIFS('[1]Recebimento do Dia'!$F:$F,'[1]Recebimento do Dia'!$E:$E,'[1]Estoque Dia'!$A25),SUMIFS('[1]Estoque Anterior'!$G:$G,'[1]Estoque Anterior'!$A:$A,'[1]Estoque Dia'!$A25)+SUMIFS('[1]Recebimento do Dia'!$G:$G,'[1]Recebimento do Dia'!$E:$E,'[1]Estoque Dia'!$A25))</f>
        <v>#VALUE!</v>
      </c>
      <c r="M25" s="131" t="str">
        <f t="shared" si="0"/>
        <v/>
      </c>
      <c r="N25" s="133" t="str">
        <f t="shared" si="1"/>
        <v>CORRIGIR VALOR</v>
      </c>
    </row>
    <row r="26" spans="1:14">
      <c r="A26">
        <v>12010</v>
      </c>
      <c r="C26" s="485" t="s">
        <v>464</v>
      </c>
      <c r="D26" s="1" t="s">
        <v>95</v>
      </c>
      <c r="E26" s="161">
        <v>2</v>
      </c>
      <c r="F26" s="161">
        <v>10</v>
      </c>
      <c r="G26" s="486">
        <v>48.66</v>
      </c>
      <c r="H26" s="487">
        <v>26.5</v>
      </c>
      <c r="I26" s="487">
        <f t="shared" si="4"/>
        <v>1289.49</v>
      </c>
      <c r="K26" s="131" t="e">
        <f>SUMIFS('[1]Estoque Anterior'!$I:$I,'[1]Estoque Anterior'!$A:$A,'[1]Estoque Dia'!$A26)+SUMIFS('[1]Recebimento do Dia'!$N:$N,'[1]Recebimento do Dia'!$E:$E,'[1]Estoque Dia'!$A26)</f>
        <v>#VALUE!</v>
      </c>
      <c r="L26" s="131" t="e">
        <f>IF(LEFT(A26,2)="70",SUMIFS('[1]Estoque Anterior'!$E:$E,'[1]Estoque Anterior'!$A:$A,'[1]Estoque Dia'!$A26)+SUMIFS('[1]Recebimento do Dia'!$F:$F,'[1]Recebimento do Dia'!$E:$E,'[1]Estoque Dia'!$A26),SUMIFS('[1]Estoque Anterior'!$G:$G,'[1]Estoque Anterior'!$A:$A,'[1]Estoque Dia'!$A26)+SUMIFS('[1]Recebimento do Dia'!$G:$G,'[1]Recebimento do Dia'!$E:$E,'[1]Estoque Dia'!$A26))</f>
        <v>#VALUE!</v>
      </c>
      <c r="M26" s="131" t="str">
        <f t="shared" si="0"/>
        <v/>
      </c>
      <c r="N26" s="133" t="str">
        <f t="shared" si="1"/>
        <v>CORRIGIR VALOR</v>
      </c>
    </row>
    <row r="27" spans="1:14">
      <c r="A27">
        <v>12012</v>
      </c>
      <c r="C27" s="485" t="s">
        <v>457</v>
      </c>
      <c r="D27" s="1" t="s">
        <v>95</v>
      </c>
      <c r="E27" s="161">
        <v>37</v>
      </c>
      <c r="F27" s="161">
        <v>281</v>
      </c>
      <c r="G27" s="486">
        <v>915.70699999999999</v>
      </c>
      <c r="H27" s="487">
        <v>28.61</v>
      </c>
      <c r="I27" s="487">
        <f t="shared" si="4"/>
        <v>26198.377270000001</v>
      </c>
      <c r="K27" s="131" t="e">
        <f>SUMIFS('[1]Estoque Anterior'!$I:$I,'[1]Estoque Anterior'!$A:$A,'[1]Estoque Dia'!$A27)+SUMIFS('[1]Recebimento do Dia'!$N:$N,'[1]Recebimento do Dia'!$E:$E,'[1]Estoque Dia'!$A27)</f>
        <v>#VALUE!</v>
      </c>
      <c r="L27" s="131" t="e">
        <f>IF(LEFT(A27,2)="70",SUMIFS('[1]Estoque Anterior'!$E:$E,'[1]Estoque Anterior'!$A:$A,'[1]Estoque Dia'!$A27)+SUMIFS('[1]Recebimento do Dia'!$F:$F,'[1]Recebimento do Dia'!$E:$E,'[1]Estoque Dia'!$A27),SUMIFS('[1]Estoque Anterior'!$G:$G,'[1]Estoque Anterior'!$A:$A,'[1]Estoque Dia'!$A27)+SUMIFS('[1]Recebimento do Dia'!$G:$G,'[1]Recebimento do Dia'!$E:$E,'[1]Estoque Dia'!$A27))</f>
        <v>#VALUE!</v>
      </c>
      <c r="M27" s="131" t="str">
        <f t="shared" si="0"/>
        <v/>
      </c>
      <c r="N27" s="133" t="str">
        <f t="shared" si="1"/>
        <v>CORRIGIR VALOR</v>
      </c>
    </row>
    <row r="28" spans="1:14">
      <c r="A28">
        <v>12017</v>
      </c>
      <c r="C28" s="485" t="s">
        <v>444</v>
      </c>
      <c r="D28" s="1" t="s">
        <v>95</v>
      </c>
      <c r="E28" s="161">
        <v>76</v>
      </c>
      <c r="F28" s="161">
        <v>132</v>
      </c>
      <c r="G28" s="486">
        <v>1893.0920000000001</v>
      </c>
      <c r="H28" s="487">
        <v>27.98</v>
      </c>
      <c r="I28" s="487">
        <f t="shared" si="4"/>
        <v>52968.714160000003</v>
      </c>
      <c r="K28" s="131" t="e">
        <f>SUMIFS('[1]Estoque Anterior'!$I:$I,'[1]Estoque Anterior'!$A:$A,'[1]Estoque Dia'!$A28)+SUMIFS('[1]Recebimento do Dia'!$N:$N,'[1]Recebimento do Dia'!$E:$E,'[1]Estoque Dia'!$A28)</f>
        <v>#VALUE!</v>
      </c>
      <c r="L28" s="131" t="e">
        <f>IF(LEFT(A28,2)="70",SUMIFS('[1]Estoque Anterior'!$E:$E,'[1]Estoque Anterior'!$A:$A,'[1]Estoque Dia'!$A28)+SUMIFS('[1]Recebimento do Dia'!$F:$F,'[1]Recebimento do Dia'!$E:$E,'[1]Estoque Dia'!$A28),SUMIFS('[1]Estoque Anterior'!$G:$G,'[1]Estoque Anterior'!$A:$A,'[1]Estoque Dia'!$A28)+SUMIFS('[1]Recebimento do Dia'!$G:$G,'[1]Recebimento do Dia'!$E:$E,'[1]Estoque Dia'!$A28))</f>
        <v>#VALUE!</v>
      </c>
      <c r="M28" s="131" t="str">
        <f>IFERROR(ROUND(K28/L28,2),"")</f>
        <v/>
      </c>
      <c r="N28" s="133" t="str">
        <f t="shared" si="1"/>
        <v>CORRIGIR VALOR</v>
      </c>
    </row>
    <row r="29" spans="1:14">
      <c r="A29">
        <v>12018</v>
      </c>
      <c r="C29" s="485" t="s">
        <v>445</v>
      </c>
      <c r="D29" s="1" t="s">
        <v>95</v>
      </c>
      <c r="E29" s="161">
        <v>210</v>
      </c>
      <c r="F29" s="161">
        <v>1214</v>
      </c>
      <c r="G29" s="486">
        <v>5202.5360000000001</v>
      </c>
      <c r="H29" s="487">
        <v>32.99</v>
      </c>
      <c r="I29" s="487">
        <f t="shared" si="4"/>
        <v>171631.66264000002</v>
      </c>
      <c r="K29" s="131" t="e">
        <f>SUMIFS('[1]Estoque Anterior'!$I:$I,'[1]Estoque Anterior'!$A:$A,'[1]Estoque Dia'!$A29)+SUMIFS('[1]Recebimento do Dia'!$N:$N,'[1]Recebimento do Dia'!$E:$E,'[1]Estoque Dia'!$A29)</f>
        <v>#VALUE!</v>
      </c>
      <c r="L29" s="131" t="e">
        <f>IF(LEFT(A29,2)="70",SUMIFS('[1]Estoque Anterior'!$E:$E,'[1]Estoque Anterior'!$A:$A,'[1]Estoque Dia'!$A29)+SUMIFS('[1]Recebimento do Dia'!$F:$F,'[1]Recebimento do Dia'!$E:$E,'[1]Estoque Dia'!$A29),SUMIFS('[1]Estoque Anterior'!$G:$G,'[1]Estoque Anterior'!$A:$A,'[1]Estoque Dia'!$A29)+SUMIFS('[1]Recebimento do Dia'!$G:$G,'[1]Recebimento do Dia'!$E:$E,'[1]Estoque Dia'!$A29))</f>
        <v>#VALUE!</v>
      </c>
      <c r="M29" s="131" t="str">
        <f t="shared" si="0"/>
        <v/>
      </c>
      <c r="N29" s="133" t="str">
        <f t="shared" si="1"/>
        <v>CORRIGIR VALOR</v>
      </c>
    </row>
    <row r="30" spans="1:14">
      <c r="A30">
        <v>12020</v>
      </c>
      <c r="C30" s="485" t="s">
        <v>446</v>
      </c>
      <c r="D30" s="1" t="s">
        <v>95</v>
      </c>
      <c r="E30" s="161">
        <v>56</v>
      </c>
      <c r="F30" s="161">
        <v>865</v>
      </c>
      <c r="G30" s="486">
        <v>1273.4750000000001</v>
      </c>
      <c r="H30" s="487">
        <v>32.479999999999997</v>
      </c>
      <c r="I30" s="487">
        <f t="shared" si="4"/>
        <v>41362.468000000001</v>
      </c>
      <c r="K30" s="131" t="e">
        <f>SUMIFS('[1]Estoque Anterior'!$I:$I,'[1]Estoque Anterior'!$A:$A,'[1]Estoque Dia'!$A30)+SUMIFS('[1]Recebimento do Dia'!$N:$N,'[1]Recebimento do Dia'!$E:$E,'[1]Estoque Dia'!$A30)</f>
        <v>#VALUE!</v>
      </c>
      <c r="L30" s="131" t="e">
        <f>IF(LEFT(A30,2)="70",SUMIFS('[1]Estoque Anterior'!$E:$E,'[1]Estoque Anterior'!$A:$A,'[1]Estoque Dia'!$A30)+SUMIFS('[1]Recebimento do Dia'!$F:$F,'[1]Recebimento do Dia'!$E:$E,'[1]Estoque Dia'!$A30),SUMIFS('[1]Estoque Anterior'!$G:$G,'[1]Estoque Anterior'!$A:$A,'[1]Estoque Dia'!$A30)+SUMIFS('[1]Recebimento do Dia'!$G:$G,'[1]Recebimento do Dia'!$E:$E,'[1]Estoque Dia'!$A30))</f>
        <v>#VALUE!</v>
      </c>
      <c r="M30" s="131" t="str">
        <f t="shared" si="0"/>
        <v/>
      </c>
      <c r="N30" s="133" t="str">
        <f t="shared" si="1"/>
        <v>CORRIGIR VALOR</v>
      </c>
    </row>
    <row r="31" spans="1:14">
      <c r="A31">
        <v>12029</v>
      </c>
      <c r="C31" s="485" t="s">
        <v>447</v>
      </c>
      <c r="D31" s="1" t="s">
        <v>95</v>
      </c>
      <c r="E31" s="161">
        <v>11</v>
      </c>
      <c r="F31" s="161">
        <v>79</v>
      </c>
      <c r="G31" s="486">
        <v>241.536</v>
      </c>
      <c r="H31" s="487">
        <v>28.18</v>
      </c>
      <c r="I31" s="487">
        <f t="shared" si="4"/>
        <v>6806.4844800000001</v>
      </c>
      <c r="K31" s="131" t="e">
        <f>SUMIFS('[1]Estoque Anterior'!$I:$I,'[1]Estoque Anterior'!$A:$A,'[1]Estoque Dia'!$A31)+SUMIFS('[1]Recebimento do Dia'!$N:$N,'[1]Recebimento do Dia'!$E:$E,'[1]Estoque Dia'!$A31)</f>
        <v>#VALUE!</v>
      </c>
      <c r="L31" s="131" t="e">
        <f>IF(LEFT(A31,2)="70",SUMIFS('[1]Estoque Anterior'!$E:$E,'[1]Estoque Anterior'!$A:$A,'[1]Estoque Dia'!$A31)+SUMIFS('[1]Recebimento do Dia'!$F:$F,'[1]Recebimento do Dia'!$E:$E,'[1]Estoque Dia'!$A31),SUMIFS('[1]Estoque Anterior'!$G:$G,'[1]Estoque Anterior'!$A:$A,'[1]Estoque Dia'!$A31)+SUMIFS('[1]Recebimento do Dia'!$G:$G,'[1]Recebimento do Dia'!$E:$E,'[1]Estoque Dia'!$A31))</f>
        <v>#VALUE!</v>
      </c>
      <c r="M31" s="131" t="str">
        <f t="shared" si="0"/>
        <v/>
      </c>
      <c r="N31" s="133" t="str">
        <f>IFERROR(IF(M31=H31,"VALOR CORRETO","CORRIGIR VALOR"),"")</f>
        <v>CORRIGIR VALOR</v>
      </c>
    </row>
    <row r="32" spans="1:14">
      <c r="A32">
        <v>12039</v>
      </c>
      <c r="C32" s="485" t="s">
        <v>459</v>
      </c>
      <c r="D32" s="1" t="s">
        <v>95</v>
      </c>
      <c r="E32" s="161">
        <v>78</v>
      </c>
      <c r="F32" s="161">
        <v>306</v>
      </c>
      <c r="G32" s="486">
        <v>1877.646</v>
      </c>
      <c r="H32" s="487">
        <v>38</v>
      </c>
      <c r="I32" s="487">
        <f t="shared" si="4"/>
        <v>71350.547999999995</v>
      </c>
      <c r="K32" s="131" t="e">
        <f>SUMIFS('[1]Estoque Anterior'!$I:$I,'[1]Estoque Anterior'!$A:$A,'[1]Estoque Dia'!$A32)+SUMIFS('[1]Recebimento do Dia'!$N:$N,'[1]Recebimento do Dia'!$E:$E,'[1]Estoque Dia'!$A32)</f>
        <v>#VALUE!</v>
      </c>
      <c r="L32" s="131" t="e">
        <f>IF(LEFT(A32,2)="70",SUMIFS('[1]Estoque Anterior'!$E:$E,'[1]Estoque Anterior'!$A:$A,'[1]Estoque Dia'!$A32)+SUMIFS('[1]Recebimento do Dia'!$F:$F,'[1]Recebimento do Dia'!$E:$E,'[1]Estoque Dia'!$A32),SUMIFS('[1]Estoque Anterior'!$G:$G,'[1]Estoque Anterior'!$A:$A,'[1]Estoque Dia'!$A32)+SUMIFS('[1]Recebimento do Dia'!$G:$G,'[1]Recebimento do Dia'!$E:$E,'[1]Estoque Dia'!$A32))</f>
        <v>#VALUE!</v>
      </c>
      <c r="M32" s="131" t="str">
        <f t="shared" si="0"/>
        <v/>
      </c>
      <c r="N32" s="133" t="str">
        <f t="shared" si="1"/>
        <v>CORRIGIR VALOR</v>
      </c>
    </row>
    <row r="33" spans="1:14">
      <c r="A33">
        <v>12043</v>
      </c>
      <c r="C33" s="485" t="s">
        <v>466</v>
      </c>
      <c r="D33" s="1" t="s">
        <v>95</v>
      </c>
      <c r="E33" s="161">
        <v>13</v>
      </c>
      <c r="F33" s="161">
        <v>134</v>
      </c>
      <c r="G33" s="486">
        <v>264.07</v>
      </c>
      <c r="H33" s="487">
        <v>32</v>
      </c>
      <c r="I33" s="487">
        <f t="shared" si="4"/>
        <v>8450.24</v>
      </c>
      <c r="K33" s="131" t="e">
        <f>SUMIFS('[1]Estoque Anterior'!$I:$I,'[1]Estoque Anterior'!$A:$A,'[1]Estoque Dia'!$A33)+SUMIFS('[1]Recebimento do Dia'!$N:$N,'[1]Recebimento do Dia'!$E:$E,'[1]Estoque Dia'!$A33)</f>
        <v>#VALUE!</v>
      </c>
      <c r="L33" s="131" t="e">
        <f>IF(LEFT(A33,2)="70",SUMIFS('[1]Estoque Anterior'!$E:$E,'[1]Estoque Anterior'!$A:$A,'[1]Estoque Dia'!$A33)+SUMIFS('[1]Recebimento do Dia'!$F:$F,'[1]Recebimento do Dia'!$E:$E,'[1]Estoque Dia'!$A33),SUMIFS('[1]Estoque Anterior'!$G:$G,'[1]Estoque Anterior'!$A:$A,'[1]Estoque Dia'!$A33)+SUMIFS('[1]Recebimento do Dia'!$G:$G,'[1]Recebimento do Dia'!$E:$E,'[1]Estoque Dia'!$A33))</f>
        <v>#VALUE!</v>
      </c>
      <c r="M33" s="131" t="str">
        <f t="shared" si="0"/>
        <v/>
      </c>
      <c r="N33" s="133" t="str">
        <f t="shared" si="1"/>
        <v>CORRIGIR VALOR</v>
      </c>
    </row>
    <row r="34" spans="1:14">
      <c r="A34">
        <v>12044</v>
      </c>
      <c r="C34" s="485" t="s">
        <v>448</v>
      </c>
      <c r="D34" s="1" t="s">
        <v>95</v>
      </c>
      <c r="E34" s="161">
        <v>17</v>
      </c>
      <c r="F34" s="161">
        <v>172</v>
      </c>
      <c r="G34" s="486">
        <v>270.173</v>
      </c>
      <c r="H34" s="487">
        <v>38</v>
      </c>
      <c r="I34" s="487">
        <f t="shared" si="4"/>
        <v>10266.574000000001</v>
      </c>
      <c r="K34" s="131" t="e">
        <f>SUMIFS('[1]Estoque Anterior'!$I:$I,'[1]Estoque Anterior'!$A:$A,'[1]Estoque Dia'!$A34)+SUMIFS('[1]Recebimento do Dia'!$N:$N,'[1]Recebimento do Dia'!$E:$E,'[1]Estoque Dia'!$A34)</f>
        <v>#VALUE!</v>
      </c>
      <c r="L34" s="131" t="e">
        <f>IF(LEFT(A34,2)="70",SUMIFS('[1]Estoque Anterior'!$E:$E,'[1]Estoque Anterior'!$A:$A,'[1]Estoque Dia'!$A34)+SUMIFS('[1]Recebimento do Dia'!$F:$F,'[1]Recebimento do Dia'!$E:$E,'[1]Estoque Dia'!$A34),SUMIFS('[1]Estoque Anterior'!$G:$G,'[1]Estoque Anterior'!$A:$A,'[1]Estoque Dia'!$A34)+SUMIFS('[1]Recebimento do Dia'!$G:$G,'[1]Recebimento do Dia'!$E:$E,'[1]Estoque Dia'!$A34))</f>
        <v>#VALUE!</v>
      </c>
      <c r="M34" s="131" t="str">
        <f t="shared" si="0"/>
        <v/>
      </c>
      <c r="N34" s="133" t="str">
        <f t="shared" si="1"/>
        <v>CORRIGIR VALOR</v>
      </c>
    </row>
    <row r="35" spans="1:14">
      <c r="A35">
        <v>12053</v>
      </c>
      <c r="C35" s="485" t="s">
        <v>460</v>
      </c>
      <c r="D35" s="1" t="s">
        <v>95</v>
      </c>
      <c r="E35" s="161">
        <v>120</v>
      </c>
      <c r="F35" s="161">
        <v>120</v>
      </c>
      <c r="G35" s="486">
        <v>2935.9519999999998</v>
      </c>
      <c r="H35" s="487">
        <v>32</v>
      </c>
      <c r="I35" s="487">
        <f t="shared" si="4"/>
        <v>93950.463999999993</v>
      </c>
      <c r="K35" s="131" t="e">
        <f>SUMIFS('[1]Estoque Anterior'!$I:$I,'[1]Estoque Anterior'!$A:$A,'[1]Estoque Dia'!$A35)+SUMIFS('[1]Recebimento do Dia'!$N:$N,'[1]Recebimento do Dia'!$E:$E,'[1]Estoque Dia'!$A35)</f>
        <v>#VALUE!</v>
      </c>
      <c r="L35" s="131" t="e">
        <f>IF(LEFT(A35,2)="70",SUMIFS('[1]Estoque Anterior'!$E:$E,'[1]Estoque Anterior'!$A:$A,'[1]Estoque Dia'!$A35)+SUMIFS('[1]Recebimento do Dia'!$F:$F,'[1]Recebimento do Dia'!$E:$E,'[1]Estoque Dia'!$A35),SUMIFS('[1]Estoque Anterior'!$G:$G,'[1]Estoque Anterior'!$A:$A,'[1]Estoque Dia'!$A35)+SUMIFS('[1]Recebimento do Dia'!$G:$G,'[1]Recebimento do Dia'!$E:$E,'[1]Estoque Dia'!$A35))</f>
        <v>#VALUE!</v>
      </c>
      <c r="M35" s="131" t="str">
        <f t="shared" si="0"/>
        <v/>
      </c>
      <c r="N35" s="133" t="str">
        <f t="shared" si="1"/>
        <v>CORRIGIR VALOR</v>
      </c>
    </row>
    <row r="36" spans="1:14">
      <c r="A36">
        <v>12072</v>
      </c>
      <c r="C36" s="485" t="s">
        <v>467</v>
      </c>
      <c r="D36" s="1" t="s">
        <v>95</v>
      </c>
      <c r="E36" s="161">
        <v>1</v>
      </c>
      <c r="F36" s="161">
        <v>10</v>
      </c>
      <c r="G36" s="486">
        <v>16.704999999999998</v>
      </c>
      <c r="H36" s="487">
        <v>59</v>
      </c>
      <c r="I36" s="487">
        <f t="shared" si="4"/>
        <v>985.59499999999991</v>
      </c>
      <c r="K36" s="131" t="e">
        <f>SUMIFS('[1]Estoque Anterior'!$I:$I,'[1]Estoque Anterior'!$A:$A,'[1]Estoque Dia'!$A36)+SUMIFS('[1]Recebimento do Dia'!$N:$N,'[1]Recebimento do Dia'!$E:$E,'[1]Estoque Dia'!$A36)</f>
        <v>#VALUE!</v>
      </c>
      <c r="L36" s="131" t="e">
        <f>IF(LEFT(A36,2)="70",SUMIFS('[1]Estoque Anterior'!$E:$E,'[1]Estoque Anterior'!$A:$A,'[1]Estoque Dia'!$A36)+SUMIFS('[1]Recebimento do Dia'!$F:$F,'[1]Recebimento do Dia'!$E:$E,'[1]Estoque Dia'!$A36),SUMIFS('[1]Estoque Anterior'!$G:$G,'[1]Estoque Anterior'!$A:$A,'[1]Estoque Dia'!$A36)+SUMIFS('[1]Recebimento do Dia'!$G:$G,'[1]Recebimento do Dia'!$E:$E,'[1]Estoque Dia'!$A36))</f>
        <v>#VALUE!</v>
      </c>
      <c r="M36" s="131" t="str">
        <f t="shared" si="0"/>
        <v/>
      </c>
      <c r="N36" s="133" t="str">
        <f t="shared" si="1"/>
        <v>CORRIGIR VALOR</v>
      </c>
    </row>
    <row r="37" spans="1:14">
      <c r="A37">
        <v>12095</v>
      </c>
      <c r="C37" s="485" t="s">
        <v>449</v>
      </c>
      <c r="D37" s="1" t="s">
        <v>95</v>
      </c>
      <c r="E37" s="161">
        <v>120</v>
      </c>
      <c r="F37" s="161">
        <v>243</v>
      </c>
      <c r="G37" s="486">
        <v>2602.6620000000003</v>
      </c>
      <c r="H37" s="487">
        <v>31.41</v>
      </c>
      <c r="I37" s="487">
        <f t="shared" si="4"/>
        <v>81749.613420000009</v>
      </c>
      <c r="J37" s="456"/>
      <c r="K37" s="131" t="e">
        <f>SUMIFS('[1]Estoque Anterior'!$I:$I,'[1]Estoque Anterior'!$A:$A,'[1]Estoque Dia'!$A37)+SUMIFS('[1]Recebimento do Dia'!$N:$N,'[1]Recebimento do Dia'!$E:$E,'[1]Estoque Dia'!$A37)</f>
        <v>#VALUE!</v>
      </c>
      <c r="L37" s="131" t="e">
        <f>IF(LEFT(A37,2)="70",SUMIFS('[1]Estoque Anterior'!$E:$E,'[1]Estoque Anterior'!$A:$A,'[1]Estoque Dia'!$A37)+SUMIFS('[1]Recebimento do Dia'!$F:$F,'[1]Recebimento do Dia'!$E:$E,'[1]Estoque Dia'!$A37),SUMIFS('[1]Estoque Anterior'!$G:$G,'[1]Estoque Anterior'!$A:$A,'[1]Estoque Dia'!$A37)+SUMIFS('[1]Recebimento do Dia'!$G:$G,'[1]Recebimento do Dia'!$E:$E,'[1]Estoque Dia'!$A37))</f>
        <v>#VALUE!</v>
      </c>
      <c r="M37" s="131" t="str">
        <f>IFERROR(ROUND(K37/L37,2),"")</f>
        <v/>
      </c>
      <c r="N37" s="133" t="str">
        <f t="shared" si="1"/>
        <v>CORRIGIR VALOR</v>
      </c>
    </row>
    <row r="38" spans="1:14">
      <c r="A38">
        <v>12116</v>
      </c>
      <c r="C38" s="485" t="s">
        <v>455</v>
      </c>
      <c r="D38" s="1" t="s">
        <v>95</v>
      </c>
      <c r="E38" s="161">
        <v>44</v>
      </c>
      <c r="F38" s="161">
        <v>369</v>
      </c>
      <c r="G38" s="486">
        <v>547.49900000000002</v>
      </c>
      <c r="H38" s="487">
        <v>43</v>
      </c>
      <c r="I38" s="487">
        <f t="shared" si="4"/>
        <v>23542.457000000002</v>
      </c>
      <c r="K38" s="131" t="e">
        <f>SUMIFS('[1]Estoque Anterior'!$I:$I,'[1]Estoque Anterior'!$A:$A,'[1]Estoque Dia'!$A38)+SUMIFS('[1]Recebimento do Dia'!$N:$N,'[1]Recebimento do Dia'!$E:$E,'[1]Estoque Dia'!$A38)</f>
        <v>#VALUE!</v>
      </c>
      <c r="L38" s="131" t="e">
        <f>IF(LEFT(A38,2)="70",SUMIFS('[1]Estoque Anterior'!$E:$E,'[1]Estoque Anterior'!$A:$A,'[1]Estoque Dia'!$A38)+SUMIFS('[1]Recebimento do Dia'!$F:$F,'[1]Recebimento do Dia'!$E:$E,'[1]Estoque Dia'!$A38),SUMIFS('[1]Estoque Anterior'!$G:$G,'[1]Estoque Anterior'!$A:$A,'[1]Estoque Dia'!$A38)+SUMIFS('[1]Recebimento do Dia'!$G:$G,'[1]Recebimento do Dia'!$E:$E,'[1]Estoque Dia'!$A38))</f>
        <v>#VALUE!</v>
      </c>
      <c r="M38" s="131" t="str">
        <f t="shared" si="0"/>
        <v/>
      </c>
      <c r="N38" s="133" t="str">
        <f t="shared" si="1"/>
        <v>CORRIGIR VALOR</v>
      </c>
    </row>
    <row r="39" spans="1:14">
      <c r="A39">
        <v>12128</v>
      </c>
      <c r="C39" s="485" t="s">
        <v>429</v>
      </c>
      <c r="D39" s="1" t="s">
        <v>95</v>
      </c>
      <c r="E39" s="161">
        <v>28</v>
      </c>
      <c r="F39" s="161">
        <v>28</v>
      </c>
      <c r="G39" s="486">
        <v>724.1</v>
      </c>
      <c r="H39" s="487">
        <v>28.5</v>
      </c>
      <c r="I39" s="487">
        <f t="shared" si="4"/>
        <v>20636.850000000002</v>
      </c>
      <c r="J39" s="104"/>
      <c r="K39" s="131" t="e">
        <f>SUMIFS('[1]Estoque Anterior'!$I:$I,'[1]Estoque Anterior'!$A:$A,'[1]Estoque Dia'!$A39)+SUMIFS('[1]Recebimento do Dia'!$N:$N,'[1]Recebimento do Dia'!$E:$E,'[1]Estoque Dia'!$A39)</f>
        <v>#VALUE!</v>
      </c>
      <c r="L39" s="131" t="e">
        <f>IF(LEFT(A39,2)="70",SUMIFS('[1]Estoque Anterior'!$E:$E,'[1]Estoque Anterior'!$A:$A,'[1]Estoque Dia'!$A39)+SUMIFS('[1]Recebimento do Dia'!$F:$F,'[1]Recebimento do Dia'!$E:$E,'[1]Estoque Dia'!$A39),SUMIFS('[1]Estoque Anterior'!$G:$G,'[1]Estoque Anterior'!$A:$A,'[1]Estoque Dia'!$A39)+SUMIFS('[1]Recebimento do Dia'!$G:$G,'[1]Recebimento do Dia'!$E:$E,'[1]Estoque Dia'!$A39))</f>
        <v>#VALUE!</v>
      </c>
      <c r="M39" s="131" t="str">
        <f t="shared" si="0"/>
        <v/>
      </c>
      <c r="N39" s="133" t="str">
        <f t="shared" si="1"/>
        <v>CORRIGIR VALOR</v>
      </c>
    </row>
    <row r="40" spans="1:14" s="104" customFormat="1">
      <c r="A40">
        <v>12137</v>
      </c>
      <c r="B40"/>
      <c r="C40" s="485" t="s">
        <v>461</v>
      </c>
      <c r="D40" s="1" t="s">
        <v>95</v>
      </c>
      <c r="E40" s="161">
        <v>12</v>
      </c>
      <c r="F40" s="161">
        <v>116</v>
      </c>
      <c r="G40" s="486">
        <v>139.05599999999998</v>
      </c>
      <c r="H40" s="487">
        <v>60</v>
      </c>
      <c r="I40" s="487">
        <f t="shared" si="4"/>
        <v>8343.3599999999988</v>
      </c>
      <c r="J40"/>
      <c r="K40" s="131" t="e">
        <f>SUMIFS('[1]Estoque Anterior'!$I:$I,'[1]Estoque Anterior'!$A:$A,'[1]Estoque Dia'!$A40)+SUMIFS('[1]Recebimento do Dia'!$N:$N,'[1]Recebimento do Dia'!$E:$E,'[1]Estoque Dia'!$A40)</f>
        <v>#VALUE!</v>
      </c>
      <c r="L40" s="131" t="e">
        <f>IF(LEFT(A40,2)="70",SUMIFS('[1]Estoque Anterior'!$E:$E,'[1]Estoque Anterior'!$A:$A,'[1]Estoque Dia'!$A40)+SUMIFS('[1]Recebimento do Dia'!$F:$F,'[1]Recebimento do Dia'!$E:$E,'[1]Estoque Dia'!$A40),SUMIFS('[1]Estoque Anterior'!$G:$G,'[1]Estoque Anterior'!$A:$A,'[1]Estoque Dia'!$A40)+SUMIFS('[1]Recebimento do Dia'!$G:$G,'[1]Recebimento do Dia'!$E:$E,'[1]Estoque Dia'!$A40))</f>
        <v>#VALUE!</v>
      </c>
      <c r="M40" s="131" t="str">
        <f t="shared" si="0"/>
        <v/>
      </c>
      <c r="N40" s="133" t="str">
        <f t="shared" si="1"/>
        <v>CORRIGIR VALOR</v>
      </c>
    </row>
    <row r="41" spans="1:14">
      <c r="A41">
        <v>12163</v>
      </c>
      <c r="C41" s="485" t="s">
        <v>425</v>
      </c>
      <c r="D41" s="1" t="s">
        <v>95</v>
      </c>
      <c r="E41" s="161">
        <v>65</v>
      </c>
      <c r="F41" s="161">
        <v>470</v>
      </c>
      <c r="G41" s="486">
        <v>1470.98</v>
      </c>
      <c r="H41" s="487">
        <v>38</v>
      </c>
      <c r="I41" s="487">
        <f t="shared" si="4"/>
        <v>55897.24</v>
      </c>
      <c r="K41" s="131" t="e">
        <f>SUMIFS('[1]Estoque Anterior'!$I:$I,'[1]Estoque Anterior'!$A:$A,'[1]Estoque Dia'!$A41)+SUMIFS('[1]Recebimento do Dia'!$N:$N,'[1]Recebimento do Dia'!$E:$E,'[1]Estoque Dia'!$A41)</f>
        <v>#VALUE!</v>
      </c>
      <c r="L41" s="131" t="e">
        <f>IF(LEFT(A41,2)="70",SUMIFS('[1]Estoque Anterior'!$E:$E,'[1]Estoque Anterior'!$A:$A,'[1]Estoque Dia'!$A41)+SUMIFS('[1]Recebimento do Dia'!$F:$F,'[1]Recebimento do Dia'!$E:$E,'[1]Estoque Dia'!$A41),SUMIFS('[1]Estoque Anterior'!$G:$G,'[1]Estoque Anterior'!$A:$A,'[1]Estoque Dia'!$A41)+SUMIFS('[1]Recebimento do Dia'!$G:$G,'[1]Recebimento do Dia'!$E:$E,'[1]Estoque Dia'!$A41))</f>
        <v>#VALUE!</v>
      </c>
      <c r="M41" s="131" t="str">
        <f t="shared" si="0"/>
        <v/>
      </c>
      <c r="N41" s="133" t="str">
        <f t="shared" si="1"/>
        <v>CORRIGIR VALOR</v>
      </c>
    </row>
    <row r="42" spans="1:14">
      <c r="A42">
        <v>12182</v>
      </c>
      <c r="C42" s="485" t="s">
        <v>425</v>
      </c>
      <c r="D42" s="1" t="s">
        <v>95</v>
      </c>
      <c r="E42" s="161">
        <v>51</v>
      </c>
      <c r="F42" s="161">
        <v>508</v>
      </c>
      <c r="G42" s="486">
        <v>733.66700000000003</v>
      </c>
      <c r="H42" s="487">
        <v>38</v>
      </c>
      <c r="I42" s="487">
        <f t="shared" si="4"/>
        <v>27879.346000000001</v>
      </c>
      <c r="K42" s="131" t="e">
        <f>SUMIFS('[1]Estoque Anterior'!$I:$I,'[1]Estoque Anterior'!$A:$A,'[1]Estoque Dia'!$A42)+SUMIFS('[1]Recebimento do Dia'!$N:$N,'[1]Recebimento do Dia'!$E:$E,'[1]Estoque Dia'!$A42)</f>
        <v>#VALUE!</v>
      </c>
      <c r="L42" s="131" t="e">
        <f>IF(LEFT(A42,2)="70",SUMIFS('[1]Estoque Anterior'!$E:$E,'[1]Estoque Anterior'!$A:$A,'[1]Estoque Dia'!$A42)+SUMIFS('[1]Recebimento do Dia'!$F:$F,'[1]Recebimento do Dia'!$E:$E,'[1]Estoque Dia'!$A42),SUMIFS('[1]Estoque Anterior'!$G:$G,'[1]Estoque Anterior'!$A:$A,'[1]Estoque Dia'!$A42)+SUMIFS('[1]Recebimento do Dia'!$G:$G,'[1]Recebimento do Dia'!$E:$E,'[1]Estoque Dia'!$A42))</f>
        <v>#VALUE!</v>
      </c>
      <c r="M42" s="131" t="str">
        <f t="shared" si="0"/>
        <v/>
      </c>
      <c r="N42" s="133" t="str">
        <f t="shared" si="1"/>
        <v>CORRIGIR VALOR</v>
      </c>
    </row>
    <row r="43" spans="1:14">
      <c r="A43">
        <v>12282</v>
      </c>
      <c r="C43" s="485" t="s">
        <v>462</v>
      </c>
      <c r="D43" s="1" t="s">
        <v>95</v>
      </c>
      <c r="E43" s="161">
        <v>52</v>
      </c>
      <c r="F43" s="161">
        <v>196</v>
      </c>
      <c r="G43" s="486">
        <v>1187.8820000000001</v>
      </c>
      <c r="H43" s="487">
        <v>32</v>
      </c>
      <c r="I43" s="487">
        <f t="shared" si="4"/>
        <v>38012.224000000002</v>
      </c>
      <c r="K43" s="131" t="e">
        <f>SUMIFS('[1]Estoque Anterior'!$I:$I,'[1]Estoque Anterior'!$A:$A,'[1]Estoque Dia'!$A43)+SUMIFS('[1]Recebimento do Dia'!$N:$N,'[1]Recebimento do Dia'!$E:$E,'[1]Estoque Dia'!$A43)</f>
        <v>#VALUE!</v>
      </c>
      <c r="L43" s="131" t="e">
        <f>IF(LEFT(A43,2)="70",SUMIFS('[1]Estoque Anterior'!$E:$E,'[1]Estoque Anterior'!$A:$A,'[1]Estoque Dia'!$A43)+SUMIFS('[1]Recebimento do Dia'!$F:$F,'[1]Recebimento do Dia'!$E:$E,'[1]Estoque Dia'!$A43),SUMIFS('[1]Estoque Anterior'!$G:$G,'[1]Estoque Anterior'!$A:$A,'[1]Estoque Dia'!$A43)+SUMIFS('[1]Recebimento do Dia'!$G:$G,'[1]Recebimento do Dia'!$E:$E,'[1]Estoque Dia'!$A43))</f>
        <v>#VALUE!</v>
      </c>
      <c r="M43" s="131" t="str">
        <f t="shared" si="0"/>
        <v/>
      </c>
      <c r="N43" s="133" t="str">
        <f t="shared" si="1"/>
        <v>CORRIGIR VALOR</v>
      </c>
    </row>
    <row r="44" spans="1:14">
      <c r="A44">
        <v>12308</v>
      </c>
      <c r="C44" s="485" t="s">
        <v>399</v>
      </c>
      <c r="D44" s="1" t="s">
        <v>95</v>
      </c>
      <c r="E44" s="161">
        <v>53</v>
      </c>
      <c r="F44" s="161">
        <v>486</v>
      </c>
      <c r="G44" s="486">
        <v>581.78099999999995</v>
      </c>
      <c r="H44" s="487">
        <v>65.010000000000005</v>
      </c>
      <c r="I44" s="487">
        <f t="shared" si="4"/>
        <v>37821.58281</v>
      </c>
      <c r="K44" s="131" t="e">
        <f>SUMIFS('[1]Estoque Anterior'!$I:$I,'[1]Estoque Anterior'!$A:$A,'[1]Estoque Dia'!$A44)+SUMIFS('[1]Recebimento do Dia'!$N:$N,'[1]Recebimento do Dia'!$E:$E,'[1]Estoque Dia'!$A44)</f>
        <v>#VALUE!</v>
      </c>
      <c r="L44" s="131" t="e">
        <f>IF(LEFT(A44,2)="70",SUMIFS('[1]Estoque Anterior'!$E:$E,'[1]Estoque Anterior'!$A:$A,'[1]Estoque Dia'!$A44)+SUMIFS('[1]Recebimento do Dia'!$F:$F,'[1]Recebimento do Dia'!$E:$E,'[1]Estoque Dia'!$A44),SUMIFS('[1]Estoque Anterior'!$G:$G,'[1]Estoque Anterior'!$A:$A,'[1]Estoque Dia'!$A44)+SUMIFS('[1]Recebimento do Dia'!$G:$G,'[1]Recebimento do Dia'!$E:$E,'[1]Estoque Dia'!$A44))</f>
        <v>#VALUE!</v>
      </c>
      <c r="M44" s="131" t="str">
        <f t="shared" si="0"/>
        <v/>
      </c>
      <c r="N44" s="133" t="str">
        <f t="shared" si="1"/>
        <v>CORRIGIR VALOR</v>
      </c>
    </row>
    <row r="45" spans="1:14">
      <c r="A45">
        <v>12315</v>
      </c>
      <c r="C45" s="485" t="s">
        <v>450</v>
      </c>
      <c r="D45" s="1" t="s">
        <v>95</v>
      </c>
      <c r="E45" s="161">
        <v>233</v>
      </c>
      <c r="F45" s="161">
        <v>1750</v>
      </c>
      <c r="G45" s="486">
        <v>5274.25</v>
      </c>
      <c r="H45" s="487">
        <v>37.94</v>
      </c>
      <c r="I45" s="487">
        <f t="shared" si="4"/>
        <v>200105.04499999998</v>
      </c>
      <c r="K45" s="131" t="e">
        <f>SUMIFS('[1]Estoque Anterior'!$I:$I,'[1]Estoque Anterior'!$A:$A,'[1]Estoque Dia'!$A45)+SUMIFS('[1]Recebimento do Dia'!$N:$N,'[1]Recebimento do Dia'!$E:$E,'[1]Estoque Dia'!$A45)</f>
        <v>#VALUE!</v>
      </c>
      <c r="L45" s="131" t="e">
        <f>IF(LEFT(A45,2)="70",SUMIFS('[1]Estoque Anterior'!$E:$E,'[1]Estoque Anterior'!$A:$A,'[1]Estoque Dia'!$A45)+SUMIFS('[1]Recebimento do Dia'!$F:$F,'[1]Recebimento do Dia'!$E:$E,'[1]Estoque Dia'!$A45),SUMIFS('[1]Estoque Anterior'!$G:$G,'[1]Estoque Anterior'!$A:$A,'[1]Estoque Dia'!$A45)+SUMIFS('[1]Recebimento do Dia'!$G:$G,'[1]Recebimento do Dia'!$E:$E,'[1]Estoque Dia'!$A45))</f>
        <v>#VALUE!</v>
      </c>
      <c r="M45" s="131" t="str">
        <f t="shared" si="0"/>
        <v/>
      </c>
      <c r="N45" s="133" t="str">
        <f t="shared" si="1"/>
        <v>CORRIGIR VALOR</v>
      </c>
    </row>
    <row r="46" spans="1:14">
      <c r="A46">
        <v>12318</v>
      </c>
      <c r="C46" s="485" t="s">
        <v>442</v>
      </c>
      <c r="D46" s="1" t="s">
        <v>95</v>
      </c>
      <c r="E46" s="161">
        <v>59</v>
      </c>
      <c r="F46" s="161">
        <v>60</v>
      </c>
      <c r="G46" s="486">
        <v>1254.6599999999999</v>
      </c>
      <c r="H46" s="487">
        <v>27.42</v>
      </c>
      <c r="I46" s="487">
        <f t="shared" si="4"/>
        <v>34402.777199999997</v>
      </c>
      <c r="K46" s="131" t="e">
        <f>SUMIFS('[1]Estoque Anterior'!$I:$I,'[1]Estoque Anterior'!$A:$A,'[1]Estoque Dia'!$A46)+SUMIFS('[1]Recebimento do Dia'!$N:$N,'[1]Recebimento do Dia'!$E:$E,'[1]Estoque Dia'!$A46)</f>
        <v>#VALUE!</v>
      </c>
      <c r="L46" s="131" t="e">
        <f>IF(LEFT(A46,2)="70",SUMIFS('[1]Estoque Anterior'!$E:$E,'[1]Estoque Anterior'!$A:$A,'[1]Estoque Dia'!$A46)+SUMIFS('[1]Recebimento do Dia'!$F:$F,'[1]Recebimento do Dia'!$E:$E,'[1]Estoque Dia'!$A46),SUMIFS('[1]Estoque Anterior'!$G:$G,'[1]Estoque Anterior'!$A:$A,'[1]Estoque Dia'!$A46)+SUMIFS('[1]Recebimento do Dia'!$G:$G,'[1]Recebimento do Dia'!$E:$E,'[1]Estoque Dia'!$A46))</f>
        <v>#VALUE!</v>
      </c>
      <c r="M46" s="131" t="str">
        <f t="shared" si="0"/>
        <v/>
      </c>
      <c r="N46" s="133" t="str">
        <f t="shared" si="1"/>
        <v>CORRIGIR VALOR</v>
      </c>
    </row>
    <row r="47" spans="1:14">
      <c r="A47" s="482"/>
      <c r="B47" s="482"/>
      <c r="C47" s="482"/>
      <c r="D47" s="488"/>
      <c r="E47" s="489">
        <v>1498</v>
      </c>
      <c r="F47" s="490">
        <v>8173</v>
      </c>
      <c r="G47" s="482">
        <v>32992.428</v>
      </c>
      <c r="H47" s="491"/>
      <c r="I47" s="491">
        <f>SUM(I23:I46)</f>
        <v>1136268.8803000001</v>
      </c>
      <c r="K47" s="131" t="e">
        <f>SUMIFS('[1]Estoque Anterior'!$I:$I,'[1]Estoque Anterior'!$A:$A,'[1]Estoque Dia'!$A47)+SUMIFS('[1]Recebimento do Dia'!$N:$N,'[1]Recebimento do Dia'!$E:$E,'[1]Estoque Dia'!$A47)</f>
        <v>#VALUE!</v>
      </c>
      <c r="L47" s="131" t="e">
        <f>IF(LEFT(A47,2)="70",SUMIFS('[1]Estoque Anterior'!$E:$E,'[1]Estoque Anterior'!$A:$A,'[1]Estoque Dia'!$A47)+SUMIFS('[1]Recebimento do Dia'!$F:$F,'[1]Recebimento do Dia'!$E:$E,'[1]Estoque Dia'!$A47),SUMIFS('[1]Estoque Anterior'!$G:$G,'[1]Estoque Anterior'!$A:$A,'[1]Estoque Dia'!$A47)+SUMIFS('[1]Recebimento do Dia'!$G:$G,'[1]Recebimento do Dia'!$E:$E,'[1]Estoque Dia'!$A47))</f>
        <v>#VALUE!</v>
      </c>
      <c r="M47" s="131" t="str">
        <f t="shared" si="0"/>
        <v/>
      </c>
      <c r="N47" s="133" t="str">
        <f t="shared" si="1"/>
        <v>VALOR CORRETO</v>
      </c>
    </row>
    <row r="48" spans="1:14">
      <c r="A48" s="482" t="s">
        <v>265</v>
      </c>
      <c r="B48" s="482"/>
      <c r="C48" s="483" t="s">
        <v>405</v>
      </c>
      <c r="D48" s="484"/>
      <c r="E48" s="484"/>
      <c r="F48" s="484"/>
      <c r="G48" s="484"/>
      <c r="H48" s="484"/>
      <c r="I48" s="484"/>
      <c r="K48" s="131" t="e">
        <f>SUMIFS('[1]Estoque Anterior'!$I:$I,'[1]Estoque Anterior'!$A:$A,'[1]Estoque Dia'!$A48)+SUMIFS('[1]Recebimento do Dia'!$N:$N,'[1]Recebimento do Dia'!$E:$E,'[1]Estoque Dia'!$A48)</f>
        <v>#VALUE!</v>
      </c>
      <c r="L48" s="131" t="e">
        <f>IF(LEFT(A48,2)="70",SUMIFS('[1]Estoque Anterior'!$E:$E,'[1]Estoque Anterior'!$A:$A,'[1]Estoque Dia'!$A48)+SUMIFS('[1]Recebimento do Dia'!$F:$F,'[1]Recebimento do Dia'!$E:$E,'[1]Estoque Dia'!$A48),SUMIFS('[1]Estoque Anterior'!$G:$G,'[1]Estoque Anterior'!$A:$A,'[1]Estoque Dia'!$A48)+SUMIFS('[1]Recebimento do Dia'!$G:$G,'[1]Recebimento do Dia'!$E:$E,'[1]Estoque Dia'!$A48))</f>
        <v>#VALUE!</v>
      </c>
      <c r="M48" s="131" t="str">
        <f t="shared" si="0"/>
        <v/>
      </c>
      <c r="N48" s="133" t="str">
        <f t="shared" si="1"/>
        <v>VALOR CORRETO</v>
      </c>
    </row>
    <row r="49" spans="1:14">
      <c r="A49">
        <v>29000</v>
      </c>
      <c r="C49" s="485" t="s">
        <v>453</v>
      </c>
      <c r="D49" s="1" t="s">
        <v>95</v>
      </c>
      <c r="E49" s="161">
        <v>73</v>
      </c>
      <c r="F49" s="161">
        <v>73</v>
      </c>
      <c r="G49" s="486">
        <v>730</v>
      </c>
      <c r="H49" s="487">
        <v>18.43</v>
      </c>
      <c r="I49" s="487">
        <f t="shared" ref="I49:I50" si="5">H49*G49</f>
        <v>13453.9</v>
      </c>
      <c r="K49" s="131" t="e">
        <f>SUMIFS('[1]Estoque Anterior'!$I:$I,'[1]Estoque Anterior'!$A:$A,'[1]Estoque Dia'!$A49)+SUMIFS('[1]Recebimento do Dia'!$N:$N,'[1]Recebimento do Dia'!$E:$E,'[1]Estoque Dia'!$A49)</f>
        <v>#VALUE!</v>
      </c>
      <c r="L49" s="131" t="e">
        <f>IF(LEFT(A49,2)="70",SUMIFS('[1]Estoque Anterior'!$E:$E,'[1]Estoque Anterior'!$A:$A,'[1]Estoque Dia'!$A49)+SUMIFS('[1]Recebimento do Dia'!$F:$F,'[1]Recebimento do Dia'!$E:$E,'[1]Estoque Dia'!$A49),SUMIFS('[1]Estoque Anterior'!$G:$G,'[1]Estoque Anterior'!$A:$A,'[1]Estoque Dia'!$A49)+SUMIFS('[1]Recebimento do Dia'!$G:$G,'[1]Recebimento do Dia'!$E:$E,'[1]Estoque Dia'!$A49))</f>
        <v>#VALUE!</v>
      </c>
      <c r="M49" s="131" t="str">
        <f t="shared" si="0"/>
        <v/>
      </c>
      <c r="N49" s="133" t="str">
        <f t="shared" si="1"/>
        <v>CORRIGIR VALOR</v>
      </c>
    </row>
    <row r="50" spans="1:14">
      <c r="A50">
        <v>29010</v>
      </c>
      <c r="C50" s="485" t="s">
        <v>354</v>
      </c>
      <c r="D50" s="1" t="s">
        <v>95</v>
      </c>
      <c r="E50" s="161">
        <v>11</v>
      </c>
      <c r="F50" s="161">
        <v>11</v>
      </c>
      <c r="G50" s="486">
        <v>107.8</v>
      </c>
      <c r="H50" s="487">
        <v>11.3</v>
      </c>
      <c r="I50" s="487">
        <f t="shared" si="5"/>
        <v>1218.1400000000001</v>
      </c>
      <c r="K50" s="131" t="e">
        <f>SUMIFS('[1]Estoque Anterior'!$I:$I,'[1]Estoque Anterior'!$A:$A,'[1]Estoque Dia'!$A50)+SUMIFS('[1]Recebimento do Dia'!$N:$N,'[1]Recebimento do Dia'!$E:$E,'[1]Estoque Dia'!$A50)</f>
        <v>#VALUE!</v>
      </c>
      <c r="L50" s="131" t="e">
        <f>IF(LEFT(A50,2)="70",SUMIFS('[1]Estoque Anterior'!$E:$E,'[1]Estoque Anterior'!$A:$A,'[1]Estoque Dia'!$A50)+SUMIFS('[1]Recebimento do Dia'!$F:$F,'[1]Recebimento do Dia'!$E:$E,'[1]Estoque Dia'!$A50),SUMIFS('[1]Estoque Anterior'!$G:$G,'[1]Estoque Anterior'!$A:$A,'[1]Estoque Dia'!$A50)+SUMIFS('[1]Recebimento do Dia'!$G:$G,'[1]Recebimento do Dia'!$E:$E,'[1]Estoque Dia'!$A50))</f>
        <v>#VALUE!</v>
      </c>
      <c r="M50" s="131" t="str">
        <f t="shared" si="0"/>
        <v/>
      </c>
      <c r="N50" s="133" t="str">
        <f t="shared" si="1"/>
        <v>CORRIGIR VALOR</v>
      </c>
    </row>
    <row r="51" spans="1:14">
      <c r="A51" s="482"/>
      <c r="B51" s="482"/>
      <c r="C51" s="482"/>
      <c r="D51" s="488"/>
      <c r="E51" s="489">
        <v>84</v>
      </c>
      <c r="F51" s="490">
        <v>84</v>
      </c>
      <c r="G51" s="482">
        <v>837.8</v>
      </c>
      <c r="H51" s="491"/>
      <c r="I51" s="491">
        <f>SUM(I49:I50)</f>
        <v>14672.039999999999</v>
      </c>
      <c r="K51" s="131" t="e">
        <f>SUMIFS('[1]Estoque Anterior'!$I:$I,'[1]Estoque Anterior'!$A:$A,'[1]Estoque Dia'!$A51)+SUMIFS('[1]Recebimento do Dia'!$N:$N,'[1]Recebimento do Dia'!$E:$E,'[1]Estoque Dia'!$A51)</f>
        <v>#VALUE!</v>
      </c>
      <c r="L51" s="131" t="e">
        <f>IF(LEFT(A51,2)="70",SUMIFS('[1]Estoque Anterior'!$E:$E,'[1]Estoque Anterior'!$A:$A,'[1]Estoque Dia'!$A51)+SUMIFS('[1]Recebimento do Dia'!$F:$F,'[1]Recebimento do Dia'!$E:$E,'[1]Estoque Dia'!$A51),SUMIFS('[1]Estoque Anterior'!$G:$G,'[1]Estoque Anterior'!$A:$A,'[1]Estoque Dia'!$A51)+SUMIFS('[1]Recebimento do Dia'!$G:$G,'[1]Recebimento do Dia'!$E:$E,'[1]Estoque Dia'!$A51))</f>
        <v>#VALUE!</v>
      </c>
      <c r="M51" s="131" t="str">
        <f t="shared" si="0"/>
        <v/>
      </c>
      <c r="N51" s="133" t="str">
        <f t="shared" si="1"/>
        <v>VALOR CORRETO</v>
      </c>
    </row>
    <row r="52" spans="1:14">
      <c r="A52" s="482" t="s">
        <v>265</v>
      </c>
      <c r="B52" s="482"/>
      <c r="C52" s="483" t="s">
        <v>296</v>
      </c>
      <c r="D52" s="484"/>
      <c r="E52" s="484"/>
      <c r="F52" s="484"/>
      <c r="G52" s="484"/>
      <c r="H52" s="484"/>
      <c r="I52" s="484"/>
      <c r="K52" s="131" t="e">
        <f>SUMIFS('[1]Estoque Anterior'!$I:$I,'[1]Estoque Anterior'!$A:$A,'[1]Estoque Dia'!$A52)+SUMIFS('[1]Recebimento do Dia'!$N:$N,'[1]Recebimento do Dia'!$E:$E,'[1]Estoque Dia'!$A52)</f>
        <v>#VALUE!</v>
      </c>
      <c r="L52" s="131" t="e">
        <f>IF(LEFT(A52,2)="70",SUMIFS('[1]Estoque Anterior'!$E:$E,'[1]Estoque Anterior'!$A:$A,'[1]Estoque Dia'!$A52)+SUMIFS('[1]Recebimento do Dia'!$F:$F,'[1]Recebimento do Dia'!$E:$E,'[1]Estoque Dia'!$A52),SUMIFS('[1]Estoque Anterior'!$G:$G,'[1]Estoque Anterior'!$A:$A,'[1]Estoque Dia'!$A52)+SUMIFS('[1]Recebimento do Dia'!$G:$G,'[1]Recebimento do Dia'!$E:$E,'[1]Estoque Dia'!$A52))</f>
        <v>#VALUE!</v>
      </c>
      <c r="M52" s="131" t="str">
        <f t="shared" si="0"/>
        <v/>
      </c>
      <c r="N52" s="133" t="str">
        <f t="shared" si="1"/>
        <v>VALOR CORRETO</v>
      </c>
    </row>
    <row r="53" spans="1:14">
      <c r="A53">
        <v>20203</v>
      </c>
      <c r="C53" s="485" t="s">
        <v>406</v>
      </c>
      <c r="D53" s="1" t="s">
        <v>95</v>
      </c>
      <c r="E53" s="161">
        <v>4</v>
      </c>
      <c r="F53" s="161">
        <v>4</v>
      </c>
      <c r="G53" s="486">
        <v>60</v>
      </c>
      <c r="H53" s="487">
        <v>21.7</v>
      </c>
      <c r="I53" s="487">
        <f t="shared" ref="I53:I54" si="6">H53*G53</f>
        <v>1302</v>
      </c>
      <c r="K53" s="131" t="e">
        <f>SUMIFS('[1]Estoque Anterior'!$I:$I,'[1]Estoque Anterior'!$A:$A,'[1]Estoque Dia'!$A53)+SUMIFS('[1]Recebimento do Dia'!$N:$N,'[1]Recebimento do Dia'!$E:$E,'[1]Estoque Dia'!$A53)</f>
        <v>#VALUE!</v>
      </c>
      <c r="L53" s="131" t="e">
        <f>IF(LEFT(A53,2)="70",SUMIFS('[1]Estoque Anterior'!$E:$E,'[1]Estoque Anterior'!$A:$A,'[1]Estoque Dia'!$A53)+SUMIFS('[1]Recebimento do Dia'!$F:$F,'[1]Recebimento do Dia'!$E:$E,'[1]Estoque Dia'!$A53),SUMIFS('[1]Estoque Anterior'!$G:$G,'[1]Estoque Anterior'!$A:$A,'[1]Estoque Dia'!$A53)+SUMIFS('[1]Recebimento do Dia'!$G:$G,'[1]Recebimento do Dia'!$E:$E,'[1]Estoque Dia'!$A53))</f>
        <v>#VALUE!</v>
      </c>
      <c r="M53" s="131" t="str">
        <f t="shared" si="0"/>
        <v/>
      </c>
      <c r="N53" s="133" t="str">
        <f t="shared" si="1"/>
        <v>CORRIGIR VALOR</v>
      </c>
    </row>
    <row r="54" spans="1:14">
      <c r="A54">
        <v>20208</v>
      </c>
      <c r="C54" s="485" t="s">
        <v>430</v>
      </c>
      <c r="D54" s="1" t="s">
        <v>95</v>
      </c>
      <c r="E54" s="161">
        <v>19</v>
      </c>
      <c r="F54" s="161">
        <v>19</v>
      </c>
      <c r="G54" s="486">
        <v>399</v>
      </c>
      <c r="H54" s="487">
        <v>21.5</v>
      </c>
      <c r="I54" s="487">
        <f t="shared" si="6"/>
        <v>8578.5</v>
      </c>
      <c r="K54" s="131" t="e">
        <f>SUMIFS('[1]Estoque Anterior'!$I:$I,'[1]Estoque Anterior'!$A:$A,'[1]Estoque Dia'!$A54)+SUMIFS('[1]Recebimento do Dia'!$N:$N,'[1]Recebimento do Dia'!$E:$E,'[1]Estoque Dia'!$A54)</f>
        <v>#VALUE!</v>
      </c>
      <c r="L54" s="131" t="e">
        <f>IF(LEFT(A54,2)="70",SUMIFS('[1]Estoque Anterior'!$E:$E,'[1]Estoque Anterior'!$A:$A,'[1]Estoque Dia'!$A54)+SUMIFS('[1]Recebimento do Dia'!$F:$F,'[1]Recebimento do Dia'!$E:$E,'[1]Estoque Dia'!$A54),SUMIFS('[1]Estoque Anterior'!$G:$G,'[1]Estoque Anterior'!$A:$A,'[1]Estoque Dia'!$A54)+SUMIFS('[1]Recebimento do Dia'!$G:$G,'[1]Recebimento do Dia'!$E:$E,'[1]Estoque Dia'!$A54))</f>
        <v>#VALUE!</v>
      </c>
      <c r="M54" s="131" t="str">
        <f t="shared" si="0"/>
        <v/>
      </c>
      <c r="N54" s="133" t="str">
        <f t="shared" si="1"/>
        <v>CORRIGIR VALOR</v>
      </c>
    </row>
    <row r="55" spans="1:14">
      <c r="A55" s="482"/>
      <c r="B55" s="482"/>
      <c r="C55" s="482"/>
      <c r="D55" s="488"/>
      <c r="E55" s="489">
        <v>23</v>
      </c>
      <c r="F55" s="490">
        <v>23</v>
      </c>
      <c r="G55" s="482">
        <v>459</v>
      </c>
      <c r="H55" s="491"/>
      <c r="I55" s="491">
        <f>SUM(I53:I54)</f>
        <v>9880.5</v>
      </c>
      <c r="K55" s="131" t="e">
        <f>SUMIFS('[1]Estoque Anterior'!$I:$I,'[1]Estoque Anterior'!$A:$A,'[1]Estoque Dia'!$A55)+SUMIFS('[1]Recebimento do Dia'!$N:$N,'[1]Recebimento do Dia'!$E:$E,'[1]Estoque Dia'!$A55)</f>
        <v>#VALUE!</v>
      </c>
      <c r="L55" s="131" t="e">
        <f>IF(LEFT(A55,2)="70",SUMIFS('[1]Estoque Anterior'!$E:$E,'[1]Estoque Anterior'!$A:$A,'[1]Estoque Dia'!$A55)+SUMIFS('[1]Recebimento do Dia'!$F:$F,'[1]Recebimento do Dia'!$E:$E,'[1]Estoque Dia'!$A55),SUMIFS('[1]Estoque Anterior'!$G:$G,'[1]Estoque Anterior'!$A:$A,'[1]Estoque Dia'!$A55)+SUMIFS('[1]Recebimento do Dia'!$G:$G,'[1]Recebimento do Dia'!$E:$E,'[1]Estoque Dia'!$A55))</f>
        <v>#VALUE!</v>
      </c>
      <c r="M55" s="131" t="str">
        <f t="shared" si="0"/>
        <v/>
      </c>
      <c r="N55" s="133" t="str">
        <f t="shared" si="1"/>
        <v>VALOR CORRETO</v>
      </c>
    </row>
    <row r="56" spans="1:14">
      <c r="A56" s="482" t="s">
        <v>265</v>
      </c>
      <c r="B56" s="482"/>
      <c r="C56" s="483" t="s">
        <v>297</v>
      </c>
      <c r="D56" s="484"/>
      <c r="E56" s="484"/>
      <c r="F56" s="484"/>
      <c r="G56" s="484"/>
      <c r="H56" s="484"/>
      <c r="I56" s="484"/>
      <c r="K56" s="131" t="e">
        <f>SUMIFS('[1]Estoque Anterior'!$I:$I,'[1]Estoque Anterior'!$A:$A,'[1]Estoque Dia'!$A56)+SUMIFS('[1]Recebimento do Dia'!$N:$N,'[1]Recebimento do Dia'!$E:$E,'[1]Estoque Dia'!$A56)</f>
        <v>#VALUE!</v>
      </c>
      <c r="L56" s="131" t="e">
        <f>IF(LEFT(A56,2)="70",SUMIFS('[1]Estoque Anterior'!$E:$E,'[1]Estoque Anterior'!$A:$A,'[1]Estoque Dia'!$A56)+SUMIFS('[1]Recebimento do Dia'!$F:$F,'[1]Recebimento do Dia'!$E:$E,'[1]Estoque Dia'!$A56),SUMIFS('[1]Estoque Anterior'!$G:$G,'[1]Estoque Anterior'!$A:$A,'[1]Estoque Dia'!$A56)+SUMIFS('[1]Recebimento do Dia'!$G:$G,'[1]Recebimento do Dia'!$E:$E,'[1]Estoque Dia'!$A56))</f>
        <v>#VALUE!</v>
      </c>
      <c r="M56" s="131" t="str">
        <f t="shared" si="0"/>
        <v/>
      </c>
      <c r="N56" s="133" t="str">
        <f t="shared" si="1"/>
        <v>VALOR CORRETO</v>
      </c>
    </row>
    <row r="57" spans="1:14">
      <c r="A57">
        <v>52036</v>
      </c>
      <c r="C57" s="485" t="s">
        <v>451</v>
      </c>
      <c r="D57" s="1" t="s">
        <v>95</v>
      </c>
      <c r="E57" s="161">
        <v>16</v>
      </c>
      <c r="F57" s="161">
        <v>16</v>
      </c>
      <c r="G57" s="486">
        <v>298.99200000000002</v>
      </c>
      <c r="H57" s="487">
        <v>15.19</v>
      </c>
      <c r="I57" s="487">
        <f t="shared" ref="I57" si="7">H57*G57</f>
        <v>4541.6884799999998</v>
      </c>
      <c r="K57" s="131" t="e">
        <f>SUMIFS('[1]Estoque Anterior'!$I:$I,'[1]Estoque Anterior'!$A:$A,'[1]Estoque Dia'!$A57)+SUMIFS('[1]Recebimento do Dia'!$N:$N,'[1]Recebimento do Dia'!$E:$E,'[1]Estoque Dia'!$A57)</f>
        <v>#VALUE!</v>
      </c>
      <c r="L57" s="131" t="e">
        <f>IF(LEFT(A57,2)="70",SUMIFS('[1]Estoque Anterior'!$E:$E,'[1]Estoque Anterior'!$A:$A,'[1]Estoque Dia'!$A57)+SUMIFS('[1]Recebimento do Dia'!$F:$F,'[1]Recebimento do Dia'!$E:$E,'[1]Estoque Dia'!$A57),SUMIFS('[1]Estoque Anterior'!$G:$G,'[1]Estoque Anterior'!$A:$A,'[1]Estoque Dia'!$A57)+SUMIFS('[1]Recebimento do Dia'!$G:$G,'[1]Recebimento do Dia'!$E:$E,'[1]Estoque Dia'!$A57))</f>
        <v>#VALUE!</v>
      </c>
      <c r="M57" s="131" t="str">
        <f t="shared" si="0"/>
        <v/>
      </c>
      <c r="N57" s="133" t="str">
        <f t="shared" si="1"/>
        <v>CORRIGIR VALOR</v>
      </c>
    </row>
    <row r="58" spans="1:14">
      <c r="A58" s="482"/>
      <c r="B58" s="482"/>
      <c r="C58" s="482"/>
      <c r="D58" s="488"/>
      <c r="E58" s="489">
        <v>16</v>
      </c>
      <c r="F58" s="490">
        <v>16</v>
      </c>
      <c r="G58" s="482">
        <v>298.99200000000002</v>
      </c>
      <c r="H58" s="491"/>
      <c r="I58" s="491">
        <f>SUM(I57)</f>
        <v>4541.6884799999998</v>
      </c>
      <c r="K58" s="131" t="e">
        <f>SUMIFS('[1]Estoque Anterior'!$I:$I,'[1]Estoque Anterior'!$A:$A,'[1]Estoque Dia'!$A58)+SUMIFS('[1]Recebimento do Dia'!$N:$N,'[1]Recebimento do Dia'!$E:$E,'[1]Estoque Dia'!$A58)</f>
        <v>#VALUE!</v>
      </c>
      <c r="L58" s="131" t="e">
        <f>IF(LEFT(A58,2)="70",SUMIFS('[1]Estoque Anterior'!$E:$E,'[1]Estoque Anterior'!$A:$A,'[1]Estoque Dia'!$A58)+SUMIFS('[1]Recebimento do Dia'!$F:$F,'[1]Recebimento do Dia'!$E:$E,'[1]Estoque Dia'!$A58),SUMIFS('[1]Estoque Anterior'!$G:$G,'[1]Estoque Anterior'!$A:$A,'[1]Estoque Dia'!$A58)+SUMIFS('[1]Recebimento do Dia'!$G:$G,'[1]Recebimento do Dia'!$E:$E,'[1]Estoque Dia'!$A58))</f>
        <v>#VALUE!</v>
      </c>
      <c r="M58" s="131" t="str">
        <f t="shared" si="0"/>
        <v/>
      </c>
      <c r="N58" s="133" t="str">
        <f t="shared" si="1"/>
        <v>VALOR CORRETO</v>
      </c>
    </row>
    <row r="59" spans="1:14">
      <c r="A59" s="482" t="s">
        <v>265</v>
      </c>
      <c r="B59" s="482"/>
      <c r="C59" s="483" t="s">
        <v>298</v>
      </c>
      <c r="D59" s="484"/>
      <c r="E59" s="484"/>
      <c r="F59" s="484"/>
      <c r="G59" s="484"/>
      <c r="H59" s="484"/>
      <c r="I59" s="484"/>
      <c r="K59" s="131" t="e">
        <f>SUMIFS('[1]Estoque Anterior'!$I:$I,'[1]Estoque Anterior'!$A:$A,'[1]Estoque Dia'!$A59)+SUMIFS('[1]Recebimento do Dia'!$N:$N,'[1]Recebimento do Dia'!$E:$E,'[1]Estoque Dia'!$A59)</f>
        <v>#VALUE!</v>
      </c>
      <c r="L59" s="131" t="e">
        <f>IF(LEFT(A59,2)="70",SUMIFS('[1]Estoque Anterior'!$E:$E,'[1]Estoque Anterior'!$A:$A,'[1]Estoque Dia'!$A59)+SUMIFS('[1]Recebimento do Dia'!$F:$F,'[1]Recebimento do Dia'!$E:$E,'[1]Estoque Dia'!$A59),SUMIFS('[1]Estoque Anterior'!$G:$G,'[1]Estoque Anterior'!$A:$A,'[1]Estoque Dia'!$A59)+SUMIFS('[1]Recebimento do Dia'!$G:$G,'[1]Recebimento do Dia'!$E:$E,'[1]Estoque Dia'!$A59))</f>
        <v>#VALUE!</v>
      </c>
      <c r="M59" s="131" t="str">
        <f t="shared" si="0"/>
        <v/>
      </c>
      <c r="N59" s="133" t="str">
        <f t="shared" si="1"/>
        <v>VALOR CORRETO</v>
      </c>
    </row>
    <row r="60" spans="1:14">
      <c r="A60">
        <v>32001</v>
      </c>
      <c r="C60" s="485" t="s">
        <v>257</v>
      </c>
      <c r="D60" s="1" t="s">
        <v>95</v>
      </c>
      <c r="E60" s="161">
        <v>83</v>
      </c>
      <c r="F60" s="161">
        <v>332</v>
      </c>
      <c r="G60" s="486">
        <v>2003.634</v>
      </c>
      <c r="H60" s="487">
        <v>6.5</v>
      </c>
      <c r="I60" s="487">
        <f t="shared" ref="I60:I65" si="8">H60*G60</f>
        <v>13023.620999999999</v>
      </c>
      <c r="K60" s="131" t="e">
        <f>SUMIFS('[1]Estoque Anterior'!$I:$I,'[1]Estoque Anterior'!$A:$A,'[1]Estoque Dia'!$A60)+SUMIFS('[1]Recebimento do Dia'!$N:$N,'[1]Recebimento do Dia'!$E:$E,'[1]Estoque Dia'!$A60)</f>
        <v>#VALUE!</v>
      </c>
      <c r="L60" s="131" t="e">
        <f>IF(LEFT(A60,2)="70",SUMIFS('[1]Estoque Anterior'!$E:$E,'[1]Estoque Anterior'!$A:$A,'[1]Estoque Dia'!$A60)+SUMIFS('[1]Recebimento do Dia'!$F:$F,'[1]Recebimento do Dia'!$E:$E,'[1]Estoque Dia'!$A60),SUMIFS('[1]Estoque Anterior'!$G:$G,'[1]Estoque Anterior'!$A:$A,'[1]Estoque Dia'!$A60)+SUMIFS('[1]Recebimento do Dia'!$G:$G,'[1]Recebimento do Dia'!$E:$E,'[1]Estoque Dia'!$A60))</f>
        <v>#VALUE!</v>
      </c>
      <c r="M60" s="131" t="str">
        <f t="shared" si="0"/>
        <v/>
      </c>
      <c r="N60" s="133" t="str">
        <f t="shared" si="1"/>
        <v>CORRIGIR VALOR</v>
      </c>
    </row>
    <row r="61" spans="1:14">
      <c r="A61">
        <v>32002</v>
      </c>
      <c r="C61" s="485" t="s">
        <v>402</v>
      </c>
      <c r="D61" s="1" t="s">
        <v>95</v>
      </c>
      <c r="E61" s="161">
        <v>77</v>
      </c>
      <c r="F61" s="161">
        <v>1072</v>
      </c>
      <c r="G61" s="486">
        <v>1689.58</v>
      </c>
      <c r="H61" s="487">
        <v>19.07</v>
      </c>
      <c r="I61" s="487">
        <f t="shared" si="8"/>
        <v>32220.2906</v>
      </c>
      <c r="K61" s="131" t="e">
        <f>SUMIFS('[1]Estoque Anterior'!$I:$I,'[1]Estoque Anterior'!$A:$A,'[1]Estoque Dia'!$A61)+SUMIFS('[1]Recebimento do Dia'!$N:$N,'[1]Recebimento do Dia'!$E:$E,'[1]Estoque Dia'!$A61)</f>
        <v>#VALUE!</v>
      </c>
      <c r="L61" s="131" t="e">
        <f>IF(LEFT(A61,2)="70",SUMIFS('[1]Estoque Anterior'!$E:$E,'[1]Estoque Anterior'!$A:$A,'[1]Estoque Dia'!$A61)+SUMIFS('[1]Recebimento do Dia'!$F:$F,'[1]Recebimento do Dia'!$E:$E,'[1]Estoque Dia'!$A61),SUMIFS('[1]Estoque Anterior'!$G:$G,'[1]Estoque Anterior'!$A:$A,'[1]Estoque Dia'!$A61)+SUMIFS('[1]Recebimento do Dia'!$G:$G,'[1]Recebimento do Dia'!$E:$E,'[1]Estoque Dia'!$A61))</f>
        <v>#VALUE!</v>
      </c>
      <c r="M61" s="131" t="str">
        <f t="shared" si="0"/>
        <v/>
      </c>
      <c r="N61" s="133" t="str">
        <f t="shared" si="1"/>
        <v>CORRIGIR VALOR</v>
      </c>
    </row>
    <row r="62" spans="1:14">
      <c r="A62">
        <v>32017</v>
      </c>
      <c r="C62" s="485" t="s">
        <v>403</v>
      </c>
      <c r="D62" s="1" t="s">
        <v>95</v>
      </c>
      <c r="E62" s="161">
        <v>18</v>
      </c>
      <c r="F62" s="161">
        <v>18</v>
      </c>
      <c r="G62" s="486">
        <v>364.21499999999997</v>
      </c>
      <c r="H62" s="487">
        <v>9</v>
      </c>
      <c r="I62" s="487">
        <f t="shared" si="8"/>
        <v>3277.9349999999999</v>
      </c>
      <c r="K62" s="131" t="e">
        <f>SUMIFS('[1]Estoque Anterior'!$I:$I,'[1]Estoque Anterior'!$A:$A,'[1]Estoque Dia'!$A62)+SUMIFS('[1]Recebimento do Dia'!$N:$N,'[1]Recebimento do Dia'!$E:$E,'[1]Estoque Dia'!$A62)</f>
        <v>#VALUE!</v>
      </c>
      <c r="L62" s="131" t="e">
        <f>IF(LEFT(A62,2)="70",SUMIFS('[1]Estoque Anterior'!$E:$E,'[1]Estoque Anterior'!$A:$A,'[1]Estoque Dia'!$A62)+SUMIFS('[1]Recebimento do Dia'!$F:$F,'[1]Recebimento do Dia'!$E:$E,'[1]Estoque Dia'!$A62),SUMIFS('[1]Estoque Anterior'!$G:$G,'[1]Estoque Anterior'!$A:$A,'[1]Estoque Dia'!$A62)+SUMIFS('[1]Recebimento do Dia'!$G:$G,'[1]Recebimento do Dia'!$E:$E,'[1]Estoque Dia'!$A62))</f>
        <v>#VALUE!</v>
      </c>
      <c r="M62" s="131" t="str">
        <f t="shared" si="0"/>
        <v/>
      </c>
      <c r="N62" s="133" t="str">
        <f t="shared" si="1"/>
        <v>CORRIGIR VALOR</v>
      </c>
    </row>
    <row r="63" spans="1:14">
      <c r="A63">
        <v>32040</v>
      </c>
      <c r="C63" s="485" t="s">
        <v>403</v>
      </c>
      <c r="D63" s="1" t="s">
        <v>95</v>
      </c>
      <c r="E63" s="161">
        <v>74</v>
      </c>
      <c r="F63" s="161">
        <v>74</v>
      </c>
      <c r="G63" s="486">
        <v>1322.44</v>
      </c>
      <c r="H63" s="487">
        <v>8.5</v>
      </c>
      <c r="I63" s="487">
        <f t="shared" si="8"/>
        <v>11240.74</v>
      </c>
      <c r="K63" s="131" t="e">
        <f>SUMIFS('[1]Estoque Anterior'!$I:$I,'[1]Estoque Anterior'!$A:$A,'[1]Estoque Dia'!$A63)+SUMIFS('[1]Recebimento do Dia'!$N:$N,'[1]Recebimento do Dia'!$E:$E,'[1]Estoque Dia'!$A63)</f>
        <v>#VALUE!</v>
      </c>
      <c r="L63" s="131" t="e">
        <f>IF(LEFT(A63,2)="70",SUMIFS('[1]Estoque Anterior'!$E:$E,'[1]Estoque Anterior'!$A:$A,'[1]Estoque Dia'!$A63)+SUMIFS('[1]Recebimento do Dia'!$F:$F,'[1]Recebimento do Dia'!$E:$E,'[1]Estoque Dia'!$A63),SUMIFS('[1]Estoque Anterior'!$G:$G,'[1]Estoque Anterior'!$A:$A,'[1]Estoque Dia'!$A63)+SUMIFS('[1]Recebimento do Dia'!$G:$G,'[1]Recebimento do Dia'!$E:$E,'[1]Estoque Dia'!$A63))</f>
        <v>#VALUE!</v>
      </c>
      <c r="M63" s="131" t="str">
        <f t="shared" si="0"/>
        <v/>
      </c>
      <c r="N63" s="133" t="str">
        <f t="shared" si="1"/>
        <v>CORRIGIR VALOR</v>
      </c>
    </row>
    <row r="64" spans="1:14">
      <c r="A64">
        <v>32043</v>
      </c>
      <c r="C64" s="485" t="s">
        <v>291</v>
      </c>
      <c r="D64" s="1" t="s">
        <v>95</v>
      </c>
      <c r="E64" s="161">
        <v>35</v>
      </c>
      <c r="F64" s="161">
        <v>35</v>
      </c>
      <c r="G64" s="486">
        <v>893.875</v>
      </c>
      <c r="H64" s="487">
        <v>19.760000000000002</v>
      </c>
      <c r="I64" s="487">
        <f t="shared" si="8"/>
        <v>17662.97</v>
      </c>
      <c r="K64" s="131" t="e">
        <f>SUMIFS('[1]Estoque Anterior'!$I:$I,'[1]Estoque Anterior'!$A:$A,'[1]Estoque Dia'!$A64)+SUMIFS('[1]Recebimento do Dia'!$N:$N,'[1]Recebimento do Dia'!$E:$E,'[1]Estoque Dia'!$A64)</f>
        <v>#VALUE!</v>
      </c>
      <c r="L64" s="131" t="e">
        <f>IF(LEFT(A64,2)="70",SUMIFS('[1]Estoque Anterior'!$E:$E,'[1]Estoque Anterior'!$A:$A,'[1]Estoque Dia'!$A64)+SUMIFS('[1]Recebimento do Dia'!$F:$F,'[1]Recebimento do Dia'!$E:$E,'[1]Estoque Dia'!$A64),SUMIFS('[1]Estoque Anterior'!$G:$G,'[1]Estoque Anterior'!$A:$A,'[1]Estoque Dia'!$A64)+SUMIFS('[1]Recebimento do Dia'!$G:$G,'[1]Recebimento do Dia'!$E:$E,'[1]Estoque Dia'!$A64))</f>
        <v>#VALUE!</v>
      </c>
      <c r="M64" s="131" t="str">
        <f t="shared" si="0"/>
        <v/>
      </c>
      <c r="N64" s="133" t="str">
        <f t="shared" si="1"/>
        <v>CORRIGIR VALOR</v>
      </c>
    </row>
    <row r="65" spans="1:14">
      <c r="A65">
        <v>32044</v>
      </c>
      <c r="C65" s="485" t="s">
        <v>209</v>
      </c>
      <c r="D65" s="1" t="s">
        <v>95</v>
      </c>
      <c r="E65" s="161">
        <v>89</v>
      </c>
      <c r="F65" s="161">
        <v>89</v>
      </c>
      <c r="G65" s="486">
        <v>2240.6429999999996</v>
      </c>
      <c r="H65" s="487">
        <v>19.93</v>
      </c>
      <c r="I65" s="487">
        <f t="shared" si="8"/>
        <v>44656.014989999989</v>
      </c>
      <c r="K65" s="131" t="e">
        <f>SUMIFS('[1]Estoque Anterior'!$I:$I,'[1]Estoque Anterior'!$A:$A,'[1]Estoque Dia'!$A65)+SUMIFS('[1]Recebimento do Dia'!$N:$N,'[1]Recebimento do Dia'!$E:$E,'[1]Estoque Dia'!$A65)</f>
        <v>#VALUE!</v>
      </c>
      <c r="L65" s="131" t="e">
        <f>IF(LEFT(A65,2)="70",SUMIFS('[1]Estoque Anterior'!$E:$E,'[1]Estoque Anterior'!$A:$A,'[1]Estoque Dia'!$A65)+SUMIFS('[1]Recebimento do Dia'!$F:$F,'[1]Recebimento do Dia'!$E:$E,'[1]Estoque Dia'!$A65),SUMIFS('[1]Estoque Anterior'!$G:$G,'[1]Estoque Anterior'!$A:$A,'[1]Estoque Dia'!$A65)+SUMIFS('[1]Recebimento do Dia'!$G:$G,'[1]Recebimento do Dia'!$E:$E,'[1]Estoque Dia'!$A65))</f>
        <v>#VALUE!</v>
      </c>
      <c r="M65" s="131" t="str">
        <f t="shared" si="0"/>
        <v/>
      </c>
      <c r="N65" s="133" t="str">
        <f t="shared" si="1"/>
        <v>CORRIGIR VALOR</v>
      </c>
    </row>
    <row r="66" spans="1:14">
      <c r="A66" s="482"/>
      <c r="B66" s="482"/>
      <c r="C66" s="482"/>
      <c r="D66" s="488"/>
      <c r="E66" s="489">
        <v>376</v>
      </c>
      <c r="F66" s="490">
        <v>1620</v>
      </c>
      <c r="G66" s="482">
        <v>8514.3870000000006</v>
      </c>
      <c r="H66" s="491"/>
      <c r="I66" s="491">
        <f>SUM(I60:I65)</f>
        <v>122081.57158999998</v>
      </c>
      <c r="K66" s="131" t="e">
        <f>SUMIFS('[1]Estoque Anterior'!$I:$I,'[1]Estoque Anterior'!$A:$A,'[1]Estoque Dia'!$A66)+SUMIFS('[1]Recebimento do Dia'!$N:$N,'[1]Recebimento do Dia'!$E:$E,'[1]Estoque Dia'!$A66)</f>
        <v>#VALUE!</v>
      </c>
      <c r="L66" s="131" t="e">
        <f>IF(LEFT(A66,2)="70",SUMIFS('[1]Estoque Anterior'!$E:$E,'[1]Estoque Anterior'!$A:$A,'[1]Estoque Dia'!$A66)+SUMIFS('[1]Recebimento do Dia'!$F:$F,'[1]Recebimento do Dia'!$E:$E,'[1]Estoque Dia'!$A66),SUMIFS('[1]Estoque Anterior'!$G:$G,'[1]Estoque Anterior'!$A:$A,'[1]Estoque Dia'!$A66)+SUMIFS('[1]Recebimento do Dia'!$G:$G,'[1]Recebimento do Dia'!$E:$E,'[1]Estoque Dia'!$A66))</f>
        <v>#VALUE!</v>
      </c>
      <c r="M66" s="131" t="str">
        <f t="shared" si="0"/>
        <v/>
      </c>
      <c r="N66" s="133" t="str">
        <f t="shared" si="1"/>
        <v>VALOR CORRETO</v>
      </c>
    </row>
    <row r="67" spans="1:14">
      <c r="A67" s="493" t="s">
        <v>266</v>
      </c>
      <c r="B67" s="493"/>
      <c r="C67" s="493"/>
      <c r="D67" s="494"/>
      <c r="E67" s="494"/>
      <c r="F67" s="493"/>
      <c r="G67" s="493"/>
      <c r="H67" s="493"/>
      <c r="I67" s="495"/>
    </row>
    <row r="68" spans="1:14">
      <c r="A68" s="467" t="s">
        <v>471</v>
      </c>
      <c r="B68" s="467"/>
      <c r="C68" s="467"/>
      <c r="D68" s="467"/>
      <c r="E68" s="467"/>
      <c r="F68" s="467"/>
      <c r="G68" s="468">
        <f>SUM(G66,G58,G55,G51,G47,G21,G15,G10)</f>
        <v>57940.302000000003</v>
      </c>
      <c r="H68" s="467"/>
      <c r="I68" s="469">
        <f>SUM(I66,I58,I55,I51,I47,I21,I15,I10)</f>
        <v>1584404.5663699999</v>
      </c>
    </row>
  </sheetData>
  <conditionalFormatting sqref="N7:N66">
    <cfRule type="cellIs" dxfId="11" priority="1" operator="equal">
      <formula>"CORRIGIR VALOR"</formula>
    </cfRule>
  </conditionalFormatting>
  <hyperlinks>
    <hyperlink ref="P3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2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6" name="Button 2">
              <controlPr defaultSize="0" print="0" autoFill="0" autoPict="0" macro="[2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Button 3">
              <controlPr defaultSize="0" print="0" autoFill="0" autoPict="0" macro="[3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3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9" name="Button 5">
              <controlPr defaultSize="0" print="0" autoFill="0" autoPict="0" macro="[4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0" name="Button 6">
              <controlPr defaultSize="0" print="0" autoFill="0" autoPict="0" macro="[4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1" name="Button 7">
              <controlPr defaultSize="0" print="0" autoFill="0" autoPict="0" macro="[5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2" name="Button 8">
              <controlPr defaultSize="0" print="0" autoFill="0" autoPict="0" macro="[5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3" name="Button 9">
              <controlPr defaultSize="0" print="0" autoFill="0" autoPict="0" macro="[6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4" name="Button 10">
              <controlPr defaultSize="0" print="0" autoFill="0" autoPict="0" macro="[6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5" name="Button 11">
              <controlPr defaultSize="0" print="0" autoFill="0" autoPict="0" macro="[7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6" name="Button 12">
              <controlPr defaultSize="0" print="0" autoFill="0" autoPict="0" macro="[7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7" name="Button 13">
              <controlPr defaultSize="0" print="0" autoFill="0" autoPict="0" macro="[8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8" name="Button 14">
              <controlPr defaultSize="0" print="0" autoFill="0" autoPict="0" macro="[8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9" name="Button 15">
              <controlPr defaultSize="0" print="0" autoFill="0" autoPict="0" macro="[9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0" name="Button 16">
              <controlPr defaultSize="0" print="0" autoFill="0" autoPict="0" macro="[9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1" name="Button 17">
              <controlPr defaultSize="0" print="0" autoFill="0" autoPict="0" macro="[10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2" name="Button 18">
              <controlPr defaultSize="0" print="0" autoFill="0" autoPict="0" macro="[10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3" name="Button 19">
              <controlPr defaultSize="0" print="0" autoFill="0" autoPict="0" macro="[11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4" name="Button 20">
              <controlPr defaultSize="0" print="0" autoFill="0" autoPict="0" macro="[11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5" name="Button 21">
              <controlPr defaultSize="0" print="0" autoFill="0" autoPict="0" macro="[1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6" name="Button 22">
              <controlPr defaultSize="0" print="0" autoFill="0" autoPict="0" macro="[1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showGridLines="0" topLeftCell="A7" zoomScaleNormal="100" workbookViewId="0">
      <selection activeCell="F21" sqref="F21"/>
    </sheetView>
  </sheetViews>
  <sheetFormatPr defaultRowHeight="15"/>
  <cols>
    <col min="2" max="2" width="16.42578125" style="27" bestFit="1" customWidth="1"/>
    <col min="3" max="3" width="27.7109375" style="27" customWidth="1"/>
    <col min="4" max="4" width="16.28515625" style="33" customWidth="1"/>
    <col min="5" max="5" width="15.5703125" style="28" customWidth="1"/>
    <col min="6" max="6" width="18.7109375" style="34" bestFit="1" customWidth="1"/>
    <col min="7" max="7" width="16.28515625" style="29" customWidth="1"/>
    <col min="8" max="8" width="15.5703125" style="39" customWidth="1"/>
    <col min="9" max="9" width="17.42578125" style="34" bestFit="1" customWidth="1"/>
    <col min="10" max="10" width="12" style="34" customWidth="1"/>
    <col min="11" max="11" width="11.85546875" customWidth="1"/>
    <col min="14" max="15" width="9.140625" customWidth="1"/>
    <col min="17" max="17" width="12.28515625" bestFit="1" customWidth="1"/>
  </cols>
  <sheetData>
    <row r="1" spans="2:14">
      <c r="B1" s="95" t="s">
        <v>253</v>
      </c>
    </row>
    <row r="2" spans="2:14">
      <c r="B2" s="505" t="s">
        <v>218</v>
      </c>
      <c r="C2" s="506"/>
      <c r="D2" s="506"/>
      <c r="E2" s="506"/>
      <c r="F2" s="506"/>
      <c r="G2" s="506"/>
      <c r="H2" s="506"/>
      <c r="I2" s="506"/>
      <c r="J2" s="506"/>
      <c r="K2" s="507"/>
    </row>
    <row r="3" spans="2:14">
      <c r="K3" s="34"/>
    </row>
    <row r="4" spans="2:14">
      <c r="B4" s="69" t="s">
        <v>54</v>
      </c>
      <c r="C4" s="70" t="s">
        <v>8</v>
      </c>
      <c r="D4" s="71" t="s">
        <v>211</v>
      </c>
      <c r="E4" s="72" t="s">
        <v>81</v>
      </c>
      <c r="F4" s="72" t="s">
        <v>212</v>
      </c>
      <c r="G4" s="73" t="s">
        <v>423</v>
      </c>
      <c r="H4" s="72" t="s">
        <v>82</v>
      </c>
      <c r="I4" s="74" t="s">
        <v>219</v>
      </c>
      <c r="J4" s="74" t="s">
        <v>247</v>
      </c>
      <c r="K4" s="72" t="s">
        <v>72</v>
      </c>
    </row>
    <row r="5" spans="2:14">
      <c r="B5" s="40">
        <v>11002</v>
      </c>
      <c r="C5" s="30" t="str">
        <f>VLOOKUP(B5,'Tabela Base'!B:C,2,0)</f>
        <v xml:space="preserve">COXÃO COM ALCATRA </v>
      </c>
      <c r="D5" s="41">
        <f>D19</f>
        <v>4</v>
      </c>
      <c r="E5" s="43">
        <f>E19</f>
        <v>195.60901106503405</v>
      </c>
      <c r="F5" s="42">
        <f>IFERROR(H5/E5,F19)</f>
        <v>23.999999999999996</v>
      </c>
      <c r="G5" s="43">
        <f>IFERROR(E5/D5,0)</f>
        <v>48.902252766258513</v>
      </c>
      <c r="H5" s="22">
        <f>H19</f>
        <v>4694.6162655608168</v>
      </c>
      <c r="I5" s="60">
        <v>0.70297505244917535</v>
      </c>
      <c r="J5" s="22">
        <f>VLOOKUP(B5,'Tabela Base'!$B:$E,4,FALSE)</f>
        <v>25.99</v>
      </c>
      <c r="K5" s="22">
        <f>VLOOKUP(B5,'Tabela Base'!$B:$E,4,FALSE)-F5</f>
        <v>1.990000000000002</v>
      </c>
      <c r="N5" s="454"/>
    </row>
    <row r="6" spans="2:14">
      <c r="B6" s="40">
        <v>11005</v>
      </c>
      <c r="C6" s="31" t="str">
        <f>VLOOKUP(B6,'Tabela Base'!B:C,2,0)</f>
        <v xml:space="preserve">COXÃO BOLA </v>
      </c>
      <c r="D6" s="41">
        <f>D20+D48+D33</f>
        <v>17</v>
      </c>
      <c r="E6" s="43">
        <f>E20+E48+E33</f>
        <v>656.25858877364647</v>
      </c>
      <c r="F6" s="42">
        <f>IFERROR(H6/E6,F20)</f>
        <v>20.23</v>
      </c>
      <c r="G6" s="43">
        <f t="shared" ref="G6:G9" si="0">IFERROR(E6/D6,0)</f>
        <v>38.60344639844979</v>
      </c>
      <c r="H6" s="22">
        <f>H20+H48+H33</f>
        <v>13276.111250890868</v>
      </c>
      <c r="I6" s="61">
        <v>0.55492862233523288</v>
      </c>
      <c r="J6" s="22">
        <f>VLOOKUP(B6,'Tabela Base'!$B:$E,4,FALSE)</f>
        <v>22.69</v>
      </c>
      <c r="K6" s="22">
        <f>VLOOKUP(B6,'Tabela Base'!$B:$E,4,FALSE)-F6</f>
        <v>2.4600000000000009</v>
      </c>
    </row>
    <row r="7" spans="2:14">
      <c r="B7" s="44">
        <v>11006</v>
      </c>
      <c r="C7" s="31" t="str">
        <f>VLOOKUP(B7,'Tabela Base'!B:C,2,0)</f>
        <v>FILET COM ALCATRA (JACARÉ)</v>
      </c>
      <c r="D7" s="41">
        <f>D21+D49</f>
        <v>15</v>
      </c>
      <c r="E7" s="43">
        <f>E21+E49</f>
        <v>454.0875002958216</v>
      </c>
      <c r="F7" s="42">
        <f>IFERROR(H7/E7,F21)</f>
        <v>26.650000000000002</v>
      </c>
      <c r="G7" s="43">
        <f t="shared" si="0"/>
        <v>30.272500019721441</v>
      </c>
      <c r="H7" s="22">
        <f>H49+H21</f>
        <v>12101.431882883646</v>
      </c>
      <c r="I7" s="61">
        <v>0.43517038756575727</v>
      </c>
      <c r="J7" s="22">
        <f>VLOOKUP(B7,'Tabela Base'!$B:$E,4,FALSE)</f>
        <v>29.59</v>
      </c>
      <c r="K7" s="22">
        <f>VLOOKUP(B7,'Tabela Base'!$B:$E,4,FALSE)-F7</f>
        <v>2.9399999999999977</v>
      </c>
    </row>
    <row r="8" spans="2:14">
      <c r="B8" s="40">
        <v>11007</v>
      </c>
      <c r="C8" s="31" t="str">
        <f>VLOOKUP(B8,'Tabela Base'!B:C,2,0)</f>
        <v>FILET SIMPLES</v>
      </c>
      <c r="D8" s="41">
        <f>D22+D50</f>
        <v>16</v>
      </c>
      <c r="E8" s="43">
        <f>E22+E50</f>
        <v>340.26846825956352</v>
      </c>
      <c r="F8" s="42">
        <f>IFERROR(H8/E8,F22)</f>
        <v>26.99618547114434</v>
      </c>
      <c r="G8" s="43">
        <f t="shared" si="0"/>
        <v>21.26677926622272</v>
      </c>
      <c r="H8" s="22">
        <f>H50+H22</f>
        <v>9185.9506791173681</v>
      </c>
      <c r="I8" s="61">
        <v>0.28712395745181468</v>
      </c>
      <c r="J8" s="22">
        <f>VLOOKUP(B8,'Tabela Base'!$B:$E,4,FALSE)</f>
        <v>29.59</v>
      </c>
      <c r="K8" s="22">
        <f>VLOOKUP(B8,'Tabela Base'!$B:$E,4,FALSE)-F8</f>
        <v>2.5938145288556598</v>
      </c>
    </row>
    <row r="9" spans="2:14">
      <c r="B9" s="44">
        <v>11008</v>
      </c>
      <c r="C9" s="31" t="str">
        <f>VLOOKUP(B9,'Tabela Base'!B:C,2,0)</f>
        <v>ALCATRINHA</v>
      </c>
      <c r="D9" s="41">
        <f>D34+D51+D23</f>
        <v>5</v>
      </c>
      <c r="E9" s="43">
        <f>E34+E51+E23</f>
        <v>50.54123898831827</v>
      </c>
      <c r="F9" s="42">
        <f>IFERROR(H9/E9,F34)</f>
        <v>26</v>
      </c>
      <c r="G9" s="43">
        <f t="shared" si="0"/>
        <v>10.108247797663655</v>
      </c>
      <c r="H9" s="22">
        <f>H34+H51+H23</f>
        <v>1314.072213696275</v>
      </c>
      <c r="I9" s="61">
        <v>0.14530713052619831</v>
      </c>
      <c r="J9" s="22">
        <f>VLOOKUP(B9,'Tabela Base'!$B:$E,4,FALSE)</f>
        <v>29.99</v>
      </c>
      <c r="K9" s="22">
        <f>VLOOKUP(B9,'Tabela Base'!$B:$E,4,FALSE)-F9</f>
        <v>3.9899999999999984</v>
      </c>
      <c r="N9" s="454"/>
    </row>
    <row r="10" spans="2:14">
      <c r="D10" s="58">
        <f>SUM(D5:D9)</f>
        <v>57</v>
      </c>
      <c r="E10" s="38">
        <f>SUM(E5:E9)</f>
        <v>1696.7648073823841</v>
      </c>
      <c r="H10" s="22">
        <f>SUM(H5:H9)</f>
        <v>40572.182292148973</v>
      </c>
      <c r="K10" s="22">
        <f>SUMPRODUCT(K5:K9,E5:E9)/E10</f>
        <v>2.60668310202762</v>
      </c>
    </row>
    <row r="11" spans="2:14">
      <c r="E11" s="35"/>
    </row>
    <row r="12" spans="2:14" ht="15.75" thickBot="1">
      <c r="B12" s="513" t="s">
        <v>435</v>
      </c>
      <c r="C12" s="514"/>
      <c r="D12" s="514"/>
      <c r="E12" s="514"/>
      <c r="F12" s="514"/>
      <c r="G12" s="514"/>
      <c r="H12" s="514"/>
      <c r="I12" s="514"/>
    </row>
    <row r="13" spans="2:14" ht="15.75" thickBot="1">
      <c r="E13" s="35"/>
      <c r="K13" s="453" t="s">
        <v>437</v>
      </c>
    </row>
    <row r="14" spans="2:14">
      <c r="B14" s="57" t="s">
        <v>213</v>
      </c>
      <c r="C14" s="433">
        <f>D19+D20</f>
        <v>21</v>
      </c>
      <c r="J14" s="59"/>
      <c r="K14" s="515" t="s">
        <v>438</v>
      </c>
      <c r="L14" s="516"/>
      <c r="M14" s="516"/>
      <c r="N14" s="517"/>
    </row>
    <row r="15" spans="2:14" ht="15.75" thickBot="1">
      <c r="B15" s="57" t="s">
        <v>81</v>
      </c>
      <c r="C15" s="432">
        <f>C14*'Tabela Base'!$N$12</f>
        <v>1460.8588235294117</v>
      </c>
      <c r="J15" s="29"/>
      <c r="K15" s="518"/>
      <c r="L15" s="519"/>
      <c r="M15" s="519"/>
      <c r="N15" s="520"/>
    </row>
    <row r="16" spans="2:14">
      <c r="B16" s="57" t="s">
        <v>215</v>
      </c>
      <c r="C16" s="22">
        <f>C15*'Tabela Base'!$K$12</f>
        <v>34052.619176470587</v>
      </c>
      <c r="D16" s="39">
        <f>C16/C15</f>
        <v>23.310000000000002</v>
      </c>
      <c r="J16" s="64"/>
    </row>
    <row r="17" spans="2:17" ht="15.75" thickBot="1">
      <c r="E17" s="35"/>
    </row>
    <row r="18" spans="2:17">
      <c r="B18" s="45" t="s">
        <v>54</v>
      </c>
      <c r="C18" s="46" t="s">
        <v>8</v>
      </c>
      <c r="D18" s="47" t="s">
        <v>211</v>
      </c>
      <c r="E18" s="48" t="s">
        <v>81</v>
      </c>
      <c r="F18" s="48" t="s">
        <v>214</v>
      </c>
      <c r="G18" s="49" t="s">
        <v>423</v>
      </c>
      <c r="H18" s="48" t="s">
        <v>82</v>
      </c>
      <c r="I18" s="65" t="s">
        <v>219</v>
      </c>
      <c r="K18" s="530" t="str">
        <f>IF(OR(1-I24&lt;0,1-I24&gt;0.02),"ATENÇÃO CORRIGIR QUANTIDADES","QTDE OK")</f>
        <v>QTDE OK</v>
      </c>
      <c r="L18" s="531"/>
    </row>
    <row r="19" spans="2:17">
      <c r="B19" s="40">
        <v>11002</v>
      </c>
      <c r="C19" s="30" t="s">
        <v>42</v>
      </c>
      <c r="D19" s="93">
        <v>4</v>
      </c>
      <c r="E19" s="43">
        <f>($C$15/$C$14)*I19*D19</f>
        <v>195.60901106503405</v>
      </c>
      <c r="F19" s="94">
        <v>24</v>
      </c>
      <c r="G19" s="43">
        <f>IFERROR(E19/D19,0)</f>
        <v>48.902252766258513</v>
      </c>
      <c r="H19" s="22">
        <f>E19*F19</f>
        <v>4694.6162655608168</v>
      </c>
      <c r="I19" s="60">
        <v>0.70297505244917535</v>
      </c>
      <c r="J19" s="75"/>
      <c r="K19" s="532"/>
      <c r="L19" s="533"/>
      <c r="Q19" s="3"/>
    </row>
    <row r="20" spans="2:17">
      <c r="B20" s="40">
        <v>11005</v>
      </c>
      <c r="C20" s="31" t="s">
        <v>431</v>
      </c>
      <c r="D20" s="93">
        <v>17</v>
      </c>
      <c r="E20" s="43">
        <f>($C$15/$C$14)*I20*D20</f>
        <v>656.25858877364647</v>
      </c>
      <c r="F20" s="94">
        <v>20.23</v>
      </c>
      <c r="G20" s="43">
        <f t="shared" ref="G20:G34" si="1">IFERROR(E20/D20,0)</f>
        <v>38.60344639844979</v>
      </c>
      <c r="H20" s="22">
        <f t="shared" ref="H20:H34" si="2">E20*F20</f>
        <v>13276.111250890868</v>
      </c>
      <c r="I20" s="61">
        <v>0.55492862233523288</v>
      </c>
      <c r="J20" s="75"/>
      <c r="K20" s="532"/>
      <c r="L20" s="533"/>
      <c r="Q20" s="3"/>
    </row>
    <row r="21" spans="2:17">
      <c r="B21" s="44">
        <v>11006</v>
      </c>
      <c r="C21" s="31" t="s">
        <v>168</v>
      </c>
      <c r="D21" s="93">
        <v>15</v>
      </c>
      <c r="E21" s="43">
        <f t="shared" ref="E21:E22" si="3">($C$15/$C$14)*I21*D21</f>
        <v>454.0875002958216</v>
      </c>
      <c r="F21" s="94">
        <v>26.65</v>
      </c>
      <c r="G21" s="43">
        <f t="shared" si="1"/>
        <v>30.272500019721441</v>
      </c>
      <c r="H21" s="22">
        <f t="shared" si="2"/>
        <v>12101.431882883646</v>
      </c>
      <c r="I21" s="61">
        <v>0.43517038756575727</v>
      </c>
      <c r="J21" s="75"/>
      <c r="K21" s="532"/>
      <c r="L21" s="533"/>
      <c r="Q21" s="3"/>
    </row>
    <row r="22" spans="2:17">
      <c r="B22" s="40">
        <v>11007</v>
      </c>
      <c r="C22" s="31" t="s">
        <v>267</v>
      </c>
      <c r="D22" s="93">
        <v>5</v>
      </c>
      <c r="E22" s="43">
        <f t="shared" si="3"/>
        <v>99.868468259563542</v>
      </c>
      <c r="F22" s="94">
        <v>26.65</v>
      </c>
      <c r="G22" s="43">
        <f t="shared" si="1"/>
        <v>19.973693651912708</v>
      </c>
      <c r="H22" s="22">
        <f>E22*F22</f>
        <v>2661.4946791173684</v>
      </c>
      <c r="I22" s="61">
        <v>0.28712395745181468</v>
      </c>
      <c r="J22" s="75"/>
      <c r="K22" s="532"/>
      <c r="L22" s="533"/>
      <c r="Q22" s="3"/>
    </row>
    <row r="23" spans="2:17">
      <c r="B23" s="44">
        <v>11008</v>
      </c>
      <c r="C23" s="31" t="s">
        <v>43</v>
      </c>
      <c r="D23" s="93">
        <v>5</v>
      </c>
      <c r="E23" s="43">
        <f t="shared" ref="E23" si="4">($C$15/$C$14)*I23*D23</f>
        <v>50.54123898831827</v>
      </c>
      <c r="F23" s="94">
        <v>26</v>
      </c>
      <c r="G23" s="43">
        <f t="shared" ref="G23" si="5">IFERROR(E23/D23,0)</f>
        <v>10.108247797663655</v>
      </c>
      <c r="H23" s="22">
        <f t="shared" ref="H23" si="6">E23*F23</f>
        <v>1314.072213696275</v>
      </c>
      <c r="I23" s="61">
        <v>0.14530713052619831</v>
      </c>
      <c r="J23" s="75"/>
      <c r="K23" s="532"/>
      <c r="L23" s="533"/>
      <c r="Q23" s="3"/>
    </row>
    <row r="24" spans="2:17" ht="15.75" thickBot="1">
      <c r="D24" s="434">
        <f>SUM(D14:D23)</f>
        <v>69.31</v>
      </c>
      <c r="E24" s="435">
        <f>SUM(E14:E23)</f>
        <v>1456.364807382384</v>
      </c>
      <c r="F24" s="436"/>
      <c r="G24" s="437"/>
      <c r="H24" s="438">
        <f>SUM(H14:H23)</f>
        <v>34047.726292148975</v>
      </c>
      <c r="I24" s="439">
        <f>E24/C15</f>
        <v>0.99692371632724219</v>
      </c>
      <c r="J24" s="76">
        <f>1-I24</f>
        <v>3.0762836727578069E-3</v>
      </c>
      <c r="K24" s="534"/>
      <c r="L24" s="535"/>
      <c r="Q24" s="3"/>
    </row>
    <row r="25" spans="2:17">
      <c r="D25" s="444"/>
      <c r="E25" s="445"/>
      <c r="F25" s="436"/>
      <c r="G25" s="437"/>
      <c r="H25" s="446"/>
      <c r="I25" s="447"/>
      <c r="J25" s="76"/>
      <c r="Q25" s="3"/>
    </row>
    <row r="26" spans="2:17">
      <c r="B26" s="511" t="s">
        <v>432</v>
      </c>
      <c r="C26" s="512"/>
      <c r="D26" s="512"/>
      <c r="E26" s="512"/>
      <c r="F26" s="512"/>
      <c r="G26" s="512"/>
      <c r="H26" s="512"/>
      <c r="I26" s="512"/>
      <c r="Q26" s="3"/>
    </row>
    <row r="27" spans="2:17">
      <c r="D27" s="452"/>
      <c r="E27" s="189"/>
      <c r="F27" s="436"/>
      <c r="G27" s="437"/>
      <c r="H27" s="443"/>
      <c r="I27" s="76"/>
      <c r="J27" s="76"/>
      <c r="Q27" s="3"/>
    </row>
    <row r="28" spans="2:17">
      <c r="B28" s="430" t="s">
        <v>422</v>
      </c>
      <c r="C28" s="451">
        <f>D47</f>
        <v>0</v>
      </c>
      <c r="D28" s="36"/>
      <c r="E28" s="35"/>
      <c r="G28" s="189"/>
      <c r="H28" s="508"/>
      <c r="I28" s="508"/>
      <c r="J28" s="59"/>
    </row>
    <row r="29" spans="2:17">
      <c r="B29" s="430" t="s">
        <v>81</v>
      </c>
      <c r="C29" s="431">
        <f>E47</f>
        <v>0</v>
      </c>
      <c r="D29" s="36"/>
      <c r="E29" s="35"/>
      <c r="G29" s="189"/>
      <c r="H29" s="449"/>
      <c r="I29" s="450"/>
      <c r="J29" s="29"/>
    </row>
    <row r="30" spans="2:17">
      <c r="B30" s="430" t="s">
        <v>215</v>
      </c>
      <c r="C30" s="429">
        <f>IFERROR(VLOOKUP(11002,'Estoque Atual'!$A:$H,8,FALSE)*C29,0)</f>
        <v>0</v>
      </c>
      <c r="D30" s="56">
        <f>IFERROR(C30/C29,0)</f>
        <v>0</v>
      </c>
      <c r="E30" s="35"/>
      <c r="G30" s="189"/>
      <c r="H30" s="449"/>
      <c r="I30" s="56"/>
      <c r="J30" s="64"/>
    </row>
    <row r="31" spans="2:17" ht="15.75" thickBot="1">
      <c r="D31" s="440"/>
      <c r="E31" s="441"/>
      <c r="F31" s="436"/>
      <c r="G31" s="437"/>
      <c r="H31" s="442"/>
      <c r="I31" s="448"/>
      <c r="J31" s="76"/>
      <c r="Q31" s="3"/>
    </row>
    <row r="32" spans="2:17" ht="15.75" thickBot="1">
      <c r="B32" s="45" t="s">
        <v>54</v>
      </c>
      <c r="C32" s="46" t="s">
        <v>8</v>
      </c>
      <c r="D32" s="47" t="s">
        <v>211</v>
      </c>
      <c r="E32" s="48" t="s">
        <v>81</v>
      </c>
      <c r="F32" s="48" t="s">
        <v>214</v>
      </c>
      <c r="G32" s="49" t="s">
        <v>423</v>
      </c>
      <c r="H32" s="48" t="s">
        <v>82</v>
      </c>
      <c r="I32" s="65" t="s">
        <v>219</v>
      </c>
      <c r="J32" s="75"/>
      <c r="K32" s="453" t="s">
        <v>437</v>
      </c>
      <c r="Q32" s="3"/>
    </row>
    <row r="33" spans="2:17">
      <c r="B33" s="40">
        <v>11005</v>
      </c>
      <c r="C33" s="31" t="s">
        <v>431</v>
      </c>
      <c r="D33" s="41">
        <f>$C$28</f>
        <v>0</v>
      </c>
      <c r="E33" s="43">
        <f>IFERROR(($C$29/$C$28)*I33*D33,0)</f>
        <v>0</v>
      </c>
      <c r="F33" s="455">
        <f>F20</f>
        <v>20.23</v>
      </c>
      <c r="G33" s="43">
        <f t="shared" ref="G33" si="7">IFERROR(E33/D33,0)</f>
        <v>0</v>
      </c>
      <c r="H33" s="22">
        <f t="shared" ref="H33" si="8">E33*F33</f>
        <v>0</v>
      </c>
      <c r="I33" s="61">
        <v>0.81870425261493796</v>
      </c>
      <c r="J33" s="75"/>
      <c r="K33" s="515" t="s">
        <v>440</v>
      </c>
      <c r="L33" s="516"/>
      <c r="M33" s="516"/>
      <c r="N33" s="517"/>
      <c r="Q33" s="3"/>
    </row>
    <row r="34" spans="2:17" ht="15.75" thickBot="1">
      <c r="B34" s="44">
        <v>11008</v>
      </c>
      <c r="C34" s="31" t="s">
        <v>43</v>
      </c>
      <c r="D34" s="41">
        <f>$C$28</f>
        <v>0</v>
      </c>
      <c r="E34" s="43">
        <f>IFERROR(($C$29/$C$28)*I34*D34,0)</f>
        <v>0</v>
      </c>
      <c r="F34" s="455">
        <f>F23</f>
        <v>26</v>
      </c>
      <c r="G34" s="43">
        <f t="shared" si="1"/>
        <v>0</v>
      </c>
      <c r="H34" s="22">
        <f t="shared" si="2"/>
        <v>0</v>
      </c>
      <c r="I34" s="61">
        <v>0.17629574738506201</v>
      </c>
      <c r="J34" s="75"/>
      <c r="K34" s="518"/>
      <c r="L34" s="519"/>
      <c r="M34" s="519"/>
      <c r="N34" s="520"/>
      <c r="Q34" s="3"/>
    </row>
    <row r="35" spans="2:17" ht="15.75" thickBot="1">
      <c r="D35" s="434">
        <f>SUM(D33:D34)</f>
        <v>0</v>
      </c>
      <c r="E35" s="435">
        <f>SUM(E33:E34)</f>
        <v>0</v>
      </c>
      <c r="F35" s="436"/>
      <c r="G35" s="437"/>
      <c r="H35" s="438">
        <f>SUM(H33:H34)</f>
        <v>0</v>
      </c>
      <c r="I35" s="439">
        <f>IFERROR(E35/C29,0)</f>
        <v>0</v>
      </c>
      <c r="J35" s="76">
        <f>1-I35</f>
        <v>1</v>
      </c>
    </row>
    <row r="36" spans="2:17" ht="15" customHeight="1">
      <c r="K36" s="521" t="str">
        <f>IF(ABS(H41-E41)&gt;10,"ATENÇÃO CORRIGIR PREÇOS - FALTA "&amp;IF(H41&lt;E41,"AUMENTAR R$ ","DIMINUIR R$ ")&amp;ROUND(ABS(H41-E41),2),"PREÇOS OK")</f>
        <v>PREÇOS OK</v>
      </c>
      <c r="L36" s="522"/>
      <c r="M36" s="522"/>
      <c r="N36" s="523"/>
    </row>
    <row r="37" spans="2:17" ht="15" customHeight="1">
      <c r="B37" s="511" t="s">
        <v>436</v>
      </c>
      <c r="C37" s="512"/>
      <c r="D37" s="512"/>
      <c r="E37" s="512"/>
      <c r="F37" s="512"/>
      <c r="G37" s="512"/>
      <c r="H37" s="512"/>
      <c r="I37" s="512"/>
      <c r="K37" s="524"/>
      <c r="L37" s="525"/>
      <c r="M37" s="525"/>
      <c r="N37" s="526"/>
    </row>
    <row r="38" spans="2:17" ht="15" customHeight="1">
      <c r="E38" s="35"/>
      <c r="K38" s="524"/>
      <c r="L38" s="525"/>
      <c r="M38" s="525"/>
      <c r="N38" s="526"/>
    </row>
    <row r="39" spans="2:17" ht="15" customHeight="1">
      <c r="D39" s="509" t="s">
        <v>433</v>
      </c>
      <c r="E39" s="509"/>
      <c r="G39" s="510" t="s">
        <v>434</v>
      </c>
      <c r="H39" s="510"/>
      <c r="K39" s="524"/>
      <c r="L39" s="525"/>
      <c r="M39" s="525"/>
      <c r="N39" s="526"/>
    </row>
    <row r="40" spans="2:17" ht="15" customHeight="1">
      <c r="D40" s="430" t="s">
        <v>81</v>
      </c>
      <c r="E40" s="431">
        <f>C29+C15</f>
        <v>1460.8588235294117</v>
      </c>
      <c r="G40" s="430" t="s">
        <v>81</v>
      </c>
      <c r="H40" s="431">
        <f>E24+E35</f>
        <v>1456.364807382384</v>
      </c>
      <c r="K40" s="524"/>
      <c r="L40" s="525"/>
      <c r="M40" s="525"/>
      <c r="N40" s="526"/>
    </row>
    <row r="41" spans="2:17" ht="15" customHeight="1">
      <c r="D41" s="430" t="s">
        <v>215</v>
      </c>
      <c r="E41" s="429">
        <f>C30+C16</f>
        <v>34052.619176470587</v>
      </c>
      <c r="G41" s="430" t="s">
        <v>215</v>
      </c>
      <c r="H41" s="429">
        <f>H24+H35</f>
        <v>34047.726292148975</v>
      </c>
      <c r="K41" s="524"/>
      <c r="L41" s="525"/>
      <c r="M41" s="525"/>
      <c r="N41" s="526"/>
    </row>
    <row r="42" spans="2:17" ht="15.75" customHeight="1" thickBot="1">
      <c r="D42" s="430" t="s">
        <v>439</v>
      </c>
      <c r="E42" s="429">
        <f>E41/E40</f>
        <v>23.310000000000002</v>
      </c>
      <c r="F42" s="39"/>
      <c r="G42" s="430" t="s">
        <v>439</v>
      </c>
      <c r="H42" s="429">
        <f>H41/H40</f>
        <v>23.378569792101125</v>
      </c>
      <c r="I42" s="39"/>
      <c r="K42" s="527"/>
      <c r="L42" s="528"/>
      <c r="M42" s="528"/>
      <c r="N42" s="529"/>
    </row>
    <row r="43" spans="2:17">
      <c r="D43" s="440"/>
      <c r="E43" s="441"/>
      <c r="F43" s="436"/>
      <c r="G43" s="437"/>
      <c r="H43" s="443"/>
      <c r="I43" s="76"/>
      <c r="J43" s="76"/>
    </row>
    <row r="44" spans="2:17">
      <c r="B44" s="502" t="s">
        <v>27</v>
      </c>
      <c r="C44" s="503"/>
      <c r="D44" s="503"/>
      <c r="E44" s="503"/>
      <c r="F44" s="503"/>
      <c r="G44" s="503"/>
      <c r="H44" s="503"/>
      <c r="I44" s="504"/>
    </row>
    <row r="46" spans="2:17">
      <c r="B46" s="23" t="s">
        <v>54</v>
      </c>
      <c r="C46" s="24" t="s">
        <v>8</v>
      </c>
      <c r="D46" s="25" t="s">
        <v>211</v>
      </c>
      <c r="E46" s="26" t="s">
        <v>81</v>
      </c>
      <c r="F46" s="26" t="s">
        <v>212</v>
      </c>
      <c r="G46" s="37" t="s">
        <v>423</v>
      </c>
      <c r="H46" s="26" t="s">
        <v>82</v>
      </c>
      <c r="I46" s="62" t="s">
        <v>219</v>
      </c>
    </row>
    <row r="47" spans="2:17">
      <c r="B47" s="40">
        <v>11002</v>
      </c>
      <c r="C47" s="30" t="str">
        <f>VLOOKUP(B47,'Tabela Base'!B:C,2,0)</f>
        <v xml:space="preserve">COXÃO COM ALCATRA </v>
      </c>
      <c r="D47" s="41">
        <f>SUMIFS('Estoque Atual'!$E:$E,'Estoque Atual'!$A:$A,'Cortes Traseiros'!$B47)</f>
        <v>0</v>
      </c>
      <c r="E47" s="43">
        <f>SUMIFS('Estoque Atual'!$G:$G,'Estoque Atual'!$A:$A,'Cortes Traseiros'!$B47)</f>
        <v>0</v>
      </c>
      <c r="F47" s="42">
        <f>SUMIFS('Estoque Atual'!$H:$H,'Estoque Atual'!$A:$A,'Cortes Traseiros'!$B47)</f>
        <v>0</v>
      </c>
      <c r="G47" s="43">
        <f>IFERROR(E47/D47,0)</f>
        <v>0</v>
      </c>
      <c r="H47" s="22">
        <f>E47*F47</f>
        <v>0</v>
      </c>
      <c r="I47" s="60">
        <v>0.70297505244917535</v>
      </c>
      <c r="J47" s="75"/>
    </row>
    <row r="48" spans="2:17">
      <c r="B48" s="40">
        <v>11005</v>
      </c>
      <c r="C48" s="31" t="str">
        <f>VLOOKUP(B48,'Tabela Base'!B:C,2,0)</f>
        <v xml:space="preserve">COXÃO BOLA </v>
      </c>
      <c r="D48" s="41">
        <f>SUMIFS('Estoque Atual'!$E:$E,'Estoque Atual'!$A:$A,'Cortes Traseiros'!$B48)</f>
        <v>0</v>
      </c>
      <c r="E48" s="43">
        <f>SUMIFS('Estoque Atual'!$G:$G,'Estoque Atual'!$A:$A,'Cortes Traseiros'!$B48)</f>
        <v>0</v>
      </c>
      <c r="F48" s="42">
        <f>SUMIFS('Estoque Atual'!$H:$H,'Estoque Atual'!$A:$A,'Cortes Traseiros'!$B48)</f>
        <v>0</v>
      </c>
      <c r="G48" s="43">
        <f t="shared" ref="G48:G51" si="9">IFERROR(E48/D48,0)</f>
        <v>0</v>
      </c>
      <c r="H48" s="22">
        <f t="shared" ref="H48:H51" si="10">E48*F48</f>
        <v>0</v>
      </c>
      <c r="I48" s="61">
        <v>0.55492862233523288</v>
      </c>
      <c r="J48" s="75"/>
    </row>
    <row r="49" spans="2:10">
      <c r="B49" s="44">
        <v>11006</v>
      </c>
      <c r="C49" s="31" t="str">
        <f>VLOOKUP(B49,'Tabela Base'!B:C,2,0)</f>
        <v>FILET COM ALCATRA (JACARÉ)</v>
      </c>
      <c r="D49" s="41">
        <f>SUMIFS('Estoque Atual'!$E:$E,'Estoque Atual'!$A:$A,'Cortes Traseiros'!$B49)</f>
        <v>0</v>
      </c>
      <c r="E49" s="43">
        <f>SUMIFS('Estoque Atual'!$G:$G,'Estoque Atual'!$A:$A,'Cortes Traseiros'!$B49)</f>
        <v>0</v>
      </c>
      <c r="F49" s="42">
        <f>SUMIFS('Estoque Atual'!$H:$H,'Estoque Atual'!$A:$A,'Cortes Traseiros'!$B49)</f>
        <v>0</v>
      </c>
      <c r="G49" s="43">
        <f t="shared" si="9"/>
        <v>0</v>
      </c>
      <c r="H49" s="22">
        <f t="shared" si="10"/>
        <v>0</v>
      </c>
      <c r="I49" s="61">
        <v>0.43517038756575727</v>
      </c>
      <c r="J49" s="75"/>
    </row>
    <row r="50" spans="2:10">
      <c r="B50" s="40">
        <v>11007</v>
      </c>
      <c r="C50" s="31" t="str">
        <f>VLOOKUP(B50,'Tabela Base'!B:C,2,0)</f>
        <v>FILET SIMPLES</v>
      </c>
      <c r="D50" s="41">
        <f>SUMIFS('Estoque Atual'!$E:$E,'Estoque Atual'!$A:$A,'Cortes Traseiros'!$B50)</f>
        <v>11</v>
      </c>
      <c r="E50" s="43">
        <f>SUMIFS('Estoque Atual'!$G:$G,'Estoque Atual'!$A:$A,'Cortes Traseiros'!$B50)</f>
        <v>240.4</v>
      </c>
      <c r="F50" s="42">
        <f>SUMIFS('Estoque Atual'!$H:$H,'Estoque Atual'!$A:$A,'Cortes Traseiros'!$B50)</f>
        <v>27.14</v>
      </c>
      <c r="G50" s="43">
        <f t="shared" si="9"/>
        <v>21.854545454545455</v>
      </c>
      <c r="H50" s="22">
        <f t="shared" si="10"/>
        <v>6524.4560000000001</v>
      </c>
      <c r="I50" s="61">
        <v>0.28712395745181468</v>
      </c>
      <c r="J50" s="75"/>
    </row>
    <row r="51" spans="2:10">
      <c r="B51" s="44">
        <v>11008</v>
      </c>
      <c r="C51" s="31" t="str">
        <f>VLOOKUP(B51,'Tabela Base'!B:C,2,0)</f>
        <v>ALCATRINHA</v>
      </c>
      <c r="D51" s="41">
        <f>SUMIFS('Estoque Atual'!$E:$E,'Estoque Atual'!$A:$A,'Cortes Traseiros'!$B51)</f>
        <v>0</v>
      </c>
      <c r="E51" s="43">
        <f>SUMIFS('Estoque Atual'!$G:$G,'Estoque Atual'!$A:$A,'Cortes Traseiros'!$B51)</f>
        <v>0</v>
      </c>
      <c r="F51" s="42">
        <f>SUMIFS('Estoque Atual'!$H:$H,'Estoque Atual'!$A:$A,'Cortes Traseiros'!$B51)</f>
        <v>0</v>
      </c>
      <c r="G51" s="43">
        <f t="shared" si="9"/>
        <v>0</v>
      </c>
      <c r="H51" s="22">
        <f t="shared" si="10"/>
        <v>0</v>
      </c>
      <c r="I51" s="61">
        <v>0.14530713052619831</v>
      </c>
      <c r="J51" s="75"/>
    </row>
    <row r="52" spans="2:10">
      <c r="B52" s="50"/>
      <c r="C52" s="51"/>
      <c r="D52" s="41">
        <f>SUM(D47:D51)</f>
        <v>11</v>
      </c>
      <c r="E52" s="43">
        <f>SUM(E47:E51)</f>
        <v>240.4</v>
      </c>
      <c r="F52" s="54"/>
      <c r="G52" s="55"/>
      <c r="H52" s="22">
        <f>SUM(H47:H51)</f>
        <v>6524.4560000000001</v>
      </c>
      <c r="I52" s="63"/>
      <c r="J52" s="63"/>
    </row>
    <row r="53" spans="2:10">
      <c r="B53" s="50"/>
      <c r="C53" s="51"/>
      <c r="D53" s="52"/>
      <c r="E53" s="53"/>
      <c r="F53" s="54"/>
      <c r="G53" s="55"/>
      <c r="H53" s="56"/>
      <c r="I53" s="63"/>
      <c r="J53" s="63"/>
    </row>
  </sheetData>
  <sheetProtection algorithmName="SHA-512" hashValue="pry4iO0i9y4lzF0ZQIeXRHHs43Y0kH7JaEL4yMBFcRXVvw6/xh6ct6XWRAwdrs8tMDvsq4C6xILcOFUkrQ71jg==" saltValue="mP/vhtxXKMH5DwkqyWGBvQ==" spinCount="100000" sheet="1" objects="1" scenarios="1"/>
  <mergeCells count="12">
    <mergeCell ref="B44:I44"/>
    <mergeCell ref="B2:K2"/>
    <mergeCell ref="H28:I28"/>
    <mergeCell ref="D39:E39"/>
    <mergeCell ref="G39:H39"/>
    <mergeCell ref="B37:I37"/>
    <mergeCell ref="B12:I12"/>
    <mergeCell ref="B26:I26"/>
    <mergeCell ref="K33:N34"/>
    <mergeCell ref="K36:N42"/>
    <mergeCell ref="K14:N15"/>
    <mergeCell ref="K18:L24"/>
  </mergeCells>
  <conditionalFormatting sqref="K18">
    <cfRule type="cellIs" dxfId="10" priority="1" operator="equal">
      <formula>"QTDE OK"</formula>
    </cfRule>
  </conditionalFormatting>
  <conditionalFormatting sqref="K36">
    <cfRule type="cellIs" dxfId="9" priority="2" operator="equal">
      <formula>"PREÇOS OK"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zoomScaleNormal="100" workbookViewId="0">
      <selection activeCell="B4" sqref="B4:B8"/>
    </sheetView>
  </sheetViews>
  <sheetFormatPr defaultColWidth="12.42578125" defaultRowHeight="15"/>
  <cols>
    <col min="1" max="1" width="12.42578125" style="50"/>
    <col min="2" max="2" width="22.28515625" style="27" bestFit="1" customWidth="1"/>
    <col min="3" max="3" width="13.85546875" style="27" customWidth="1"/>
    <col min="4" max="4" width="47" style="27" customWidth="1"/>
    <col min="5" max="5" width="16.28515625" style="33" customWidth="1"/>
    <col min="6" max="6" width="14.7109375" style="34" bestFit="1" customWidth="1"/>
    <col min="7" max="7" width="26.28515625" style="29" customWidth="1"/>
    <col min="8" max="8" width="14.28515625" style="28" bestFit="1" customWidth="1"/>
    <col min="9" max="9" width="19.28515625" style="39" customWidth="1"/>
    <col min="10" max="10" width="14" style="27" bestFit="1" customWidth="1"/>
    <col min="11" max="16384" width="12.42578125" style="27"/>
  </cols>
  <sheetData>
    <row r="2" spans="1:14">
      <c r="B2" s="23" t="s">
        <v>158</v>
      </c>
      <c r="C2" s="23" t="s">
        <v>54</v>
      </c>
      <c r="D2" s="24" t="s">
        <v>8</v>
      </c>
      <c r="E2" s="25" t="s">
        <v>80</v>
      </c>
      <c r="F2" s="26" t="s">
        <v>17</v>
      </c>
      <c r="G2" s="37" t="s">
        <v>210</v>
      </c>
      <c r="H2" s="26" t="s">
        <v>81</v>
      </c>
      <c r="I2" s="26" t="s">
        <v>82</v>
      </c>
      <c r="K2" s="66"/>
      <c r="L2" s="66"/>
      <c r="M2" s="66"/>
      <c r="N2" s="66"/>
    </row>
    <row r="3" spans="1:14">
      <c r="B3" s="193" t="s">
        <v>468</v>
      </c>
      <c r="C3" s="193">
        <v>12165</v>
      </c>
      <c r="D3" s="163" t="str">
        <f>VLOOKUP(C3,'Tabela Base'!B:C,2,0)</f>
        <v>COXÃO DURO</v>
      </c>
      <c r="E3" s="195">
        <v>87</v>
      </c>
      <c r="F3" s="196">
        <v>29</v>
      </c>
      <c r="G3" s="197">
        <f>1993.822/E3</f>
        <v>22.917494252873563</v>
      </c>
      <c r="H3" s="191">
        <f>G3*E3</f>
        <v>1993.8220000000001</v>
      </c>
      <c r="I3" s="188">
        <f>H3*F3</f>
        <v>57820.838000000003</v>
      </c>
      <c r="K3" s="67" t="s">
        <v>1</v>
      </c>
      <c r="L3" s="38">
        <v>23.324999999999999</v>
      </c>
      <c r="M3" s="38">
        <f>L3*7</f>
        <v>163.27500000000001</v>
      </c>
      <c r="N3" s="38">
        <v>0</v>
      </c>
    </row>
    <row r="4" spans="1:14">
      <c r="B4" s="193" t="s">
        <v>468</v>
      </c>
      <c r="C4" s="193">
        <v>12122</v>
      </c>
      <c r="D4" s="163" t="str">
        <f>VLOOKUP(C4,'Tabela Base'!B:C,2,0)</f>
        <v>MÚSCULO TRASEIRO</v>
      </c>
      <c r="E4" s="195">
        <v>92</v>
      </c>
      <c r="F4" s="196">
        <v>24</v>
      </c>
      <c r="G4" s="197">
        <f>1985.44/E4</f>
        <v>21.580869565217391</v>
      </c>
      <c r="H4" s="187">
        <f t="shared" ref="H4:H7" si="0">G4*E4</f>
        <v>1985.44</v>
      </c>
      <c r="I4" s="188">
        <f t="shared" ref="I4:I12" si="1">H4*F4</f>
        <v>47650.559999999998</v>
      </c>
      <c r="K4" s="67" t="s">
        <v>2</v>
      </c>
      <c r="L4" s="38">
        <v>18.2</v>
      </c>
      <c r="M4" s="38">
        <f>L4*6</f>
        <v>109.19999999999999</v>
      </c>
      <c r="N4" s="38">
        <v>0</v>
      </c>
    </row>
    <row r="5" spans="1:14">
      <c r="B5" s="193" t="s">
        <v>468</v>
      </c>
      <c r="C5" s="193">
        <v>12121</v>
      </c>
      <c r="D5" s="163" t="str">
        <f>VLOOKUP(C5,'Tabela Base'!B:C,2,0)</f>
        <v>PATINHO</v>
      </c>
      <c r="E5" s="195">
        <v>126</v>
      </c>
      <c r="F5" s="196">
        <v>31.5</v>
      </c>
      <c r="G5" s="197">
        <f>2998.83/E5</f>
        <v>23.800238095238093</v>
      </c>
      <c r="H5" s="187">
        <f t="shared" si="0"/>
        <v>2998.83</v>
      </c>
      <c r="I5" s="188">
        <f t="shared" si="1"/>
        <v>94463.145000000004</v>
      </c>
      <c r="K5" s="67" t="s">
        <v>243</v>
      </c>
      <c r="L5" s="38">
        <v>17.5</v>
      </c>
      <c r="M5" s="38">
        <f>L5*2</f>
        <v>35</v>
      </c>
      <c r="N5" s="38">
        <f>M3+M4+M5</f>
        <v>307.47500000000002</v>
      </c>
    </row>
    <row r="6" spans="1:14">
      <c r="B6" s="193" t="s">
        <v>468</v>
      </c>
      <c r="C6" s="193">
        <v>12123</v>
      </c>
      <c r="D6" s="163" t="str">
        <f>VLOOKUP(C6,'Tabela Base'!B:C,2,0)</f>
        <v xml:space="preserve">FILÉ MIGNON S/ CORDÃO 3/4 </v>
      </c>
      <c r="E6" s="195">
        <v>47</v>
      </c>
      <c r="F6" s="196">
        <v>53</v>
      </c>
      <c r="G6" s="197">
        <f>999.838/E6</f>
        <v>21.273148936170212</v>
      </c>
      <c r="H6" s="187">
        <f t="shared" si="0"/>
        <v>999.83799999999997</v>
      </c>
      <c r="I6" s="188">
        <f>H6*F6</f>
        <v>52991.413999999997</v>
      </c>
      <c r="K6" s="66" t="s">
        <v>244</v>
      </c>
      <c r="L6" s="130"/>
      <c r="M6" s="130">
        <f>N5/15</f>
        <v>20.498333333333335</v>
      </c>
      <c r="N6" s="68">
        <f>(N3*7+N4*6+N5*2)/15</f>
        <v>40.99666666666667</v>
      </c>
    </row>
    <row r="7" spans="1:14">
      <c r="B7" s="193" t="s">
        <v>468</v>
      </c>
      <c r="C7" s="193">
        <v>12214</v>
      </c>
      <c r="D7" s="163" t="str">
        <f>VLOOKUP(C7,'Tabela Base'!B:C,2,0)</f>
        <v>FILÉ MIGNON S/ CORDÃO 4/5</v>
      </c>
      <c r="E7" s="195">
        <v>88</v>
      </c>
      <c r="F7" s="196">
        <v>57</v>
      </c>
      <c r="G7" s="197">
        <f>1999.406/E7</f>
        <v>22.720522727272726</v>
      </c>
      <c r="H7" s="187">
        <f t="shared" si="0"/>
        <v>1999.4059999999999</v>
      </c>
      <c r="I7" s="188">
        <f t="shared" si="1"/>
        <v>113966.14199999999</v>
      </c>
    </row>
    <row r="8" spans="1:14">
      <c r="B8" s="193" t="s">
        <v>468</v>
      </c>
      <c r="C8" s="193">
        <v>12120</v>
      </c>
      <c r="D8" s="163" t="str">
        <f>VLOOKUP(C8,'Tabela Base'!B:C,2,0)</f>
        <v>FRALDINHA</v>
      </c>
      <c r="E8" s="195">
        <v>46</v>
      </c>
      <c r="F8" s="196">
        <v>27</v>
      </c>
      <c r="G8" s="197">
        <f>985.082/E8</f>
        <v>21.41482608695652</v>
      </c>
      <c r="H8" s="187">
        <f t="shared" ref="H8:H9" si="2">G8*E8</f>
        <v>985.08199999999988</v>
      </c>
      <c r="I8" s="188">
        <f t="shared" si="1"/>
        <v>26597.213999999996</v>
      </c>
    </row>
    <row r="9" spans="1:14">
      <c r="B9" s="193"/>
      <c r="C9" s="193"/>
      <c r="D9" s="163" t="e">
        <f>VLOOKUP(C9,'Tabela Base'!B:C,2,0)</f>
        <v>#N/A</v>
      </c>
      <c r="E9" s="198"/>
      <c r="F9" s="196"/>
      <c r="G9" s="197"/>
      <c r="H9" s="187">
        <f t="shared" si="2"/>
        <v>0</v>
      </c>
      <c r="I9" s="188">
        <f t="shared" si="1"/>
        <v>0</v>
      </c>
    </row>
    <row r="10" spans="1:14">
      <c r="B10" s="193"/>
      <c r="C10" s="193"/>
      <c r="D10" s="163" t="e">
        <f>VLOOKUP(C10,'Tabela Base'!B:C,2,0)</f>
        <v>#N/A</v>
      </c>
      <c r="E10" s="195"/>
      <c r="F10" s="196"/>
      <c r="G10" s="197"/>
      <c r="H10" s="187">
        <f>G10*E10</f>
        <v>0</v>
      </c>
      <c r="I10" s="188">
        <f>H10*F10</f>
        <v>0</v>
      </c>
    </row>
    <row r="11" spans="1:14">
      <c r="B11" s="193"/>
      <c r="C11" s="193"/>
      <c r="D11" s="163" t="e">
        <f>VLOOKUP(C11,'Tabela Base'!B:C,2,0)</f>
        <v>#N/A</v>
      </c>
      <c r="E11" s="195"/>
      <c r="F11" s="196"/>
      <c r="G11" s="197"/>
      <c r="H11" s="187">
        <f>G11*E11</f>
        <v>0</v>
      </c>
      <c r="I11" s="188">
        <f>H11*F11</f>
        <v>0</v>
      </c>
    </row>
    <row r="12" spans="1:14">
      <c r="B12" s="193"/>
      <c r="C12" s="193"/>
      <c r="D12" s="163" t="e">
        <f>VLOOKUP(C12,'Tabela Base'!B:C,2,0)</f>
        <v>#N/A</v>
      </c>
      <c r="E12" s="195"/>
      <c r="F12" s="196"/>
      <c r="G12" s="197"/>
      <c r="H12" s="187">
        <f>G12*E12</f>
        <v>0</v>
      </c>
      <c r="I12" s="188">
        <f t="shared" si="1"/>
        <v>0</v>
      </c>
    </row>
    <row r="13" spans="1:14">
      <c r="B13" s="193"/>
      <c r="C13" s="193"/>
      <c r="D13" s="163" t="e">
        <f>VLOOKUP(C13,'Tabela Base'!B:C,2,0)</f>
        <v>#N/A</v>
      </c>
      <c r="E13" s="195"/>
      <c r="F13" s="196"/>
      <c r="G13" s="197"/>
      <c r="H13" s="187">
        <f>G13*E13</f>
        <v>0</v>
      </c>
      <c r="I13" s="188">
        <f>H13*F13</f>
        <v>0</v>
      </c>
    </row>
    <row r="14" spans="1:14">
      <c r="B14" s="193"/>
      <c r="C14" s="193"/>
      <c r="D14" s="163" t="e">
        <f>VLOOKUP(C14,'Tabela Base'!B:C,2,0)</f>
        <v>#N/A</v>
      </c>
      <c r="E14" s="195"/>
      <c r="F14" s="196"/>
      <c r="G14" s="197"/>
      <c r="H14" s="187">
        <f t="shared" ref="H14:H22" si="3">G14*E14</f>
        <v>0</v>
      </c>
      <c r="I14" s="188">
        <f t="shared" ref="I14:I22" si="4">H14*F14</f>
        <v>0</v>
      </c>
    </row>
    <row r="15" spans="1:14">
      <c r="A15" s="420"/>
      <c r="B15" s="193"/>
      <c r="C15" s="193"/>
      <c r="D15" s="163" t="e">
        <f>VLOOKUP(C15,'Tabela Base'!B:C,2,0)</f>
        <v>#N/A</v>
      </c>
      <c r="E15" s="418"/>
      <c r="F15" s="196"/>
      <c r="G15" s="197"/>
      <c r="H15" s="187">
        <f t="shared" si="3"/>
        <v>0</v>
      </c>
      <c r="I15" s="188">
        <f t="shared" si="4"/>
        <v>0</v>
      </c>
    </row>
    <row r="16" spans="1:14">
      <c r="A16" s="420"/>
      <c r="B16" s="193"/>
      <c r="C16" s="193"/>
      <c r="D16" s="163" t="e">
        <f>VLOOKUP(C16,'Tabela Base'!B:C,2,0)</f>
        <v>#N/A</v>
      </c>
      <c r="E16" s="195"/>
      <c r="F16" s="196"/>
      <c r="G16" s="197"/>
      <c r="H16" s="187">
        <f>G16*E16</f>
        <v>0</v>
      </c>
      <c r="I16" s="188">
        <f t="shared" si="4"/>
        <v>0</v>
      </c>
    </row>
    <row r="17" spans="1:14">
      <c r="A17" s="420"/>
      <c r="B17" s="193"/>
      <c r="C17" s="193"/>
      <c r="D17" s="163" t="e">
        <f>VLOOKUP(C17,'Tabela Base'!B:C,2,0)</f>
        <v>#N/A</v>
      </c>
      <c r="E17" s="195"/>
      <c r="F17" s="196"/>
      <c r="G17" s="197"/>
      <c r="H17" s="187">
        <f t="shared" si="3"/>
        <v>0</v>
      </c>
      <c r="I17" s="188">
        <f t="shared" si="4"/>
        <v>0</v>
      </c>
    </row>
    <row r="18" spans="1:14">
      <c r="A18" s="420"/>
      <c r="B18" s="193"/>
      <c r="C18" s="193"/>
      <c r="D18" s="163" t="e">
        <f>VLOOKUP(C18,'Tabela Base'!B:C,2,0)</f>
        <v>#N/A</v>
      </c>
      <c r="E18" s="195"/>
      <c r="F18" s="196"/>
      <c r="G18" s="197"/>
      <c r="H18" s="187">
        <f t="shared" si="3"/>
        <v>0</v>
      </c>
      <c r="I18" s="188">
        <f t="shared" si="4"/>
        <v>0</v>
      </c>
    </row>
    <row r="19" spans="1:14">
      <c r="A19" s="420"/>
      <c r="B19" s="193"/>
      <c r="C19" s="193"/>
      <c r="D19" s="163" t="e">
        <f>VLOOKUP(C19,'Tabela Base'!B:C,2,0)</f>
        <v>#N/A</v>
      </c>
      <c r="E19" s="195"/>
      <c r="F19" s="196"/>
      <c r="G19" s="197"/>
      <c r="H19" s="187">
        <f t="shared" si="3"/>
        <v>0</v>
      </c>
      <c r="I19" s="188">
        <f t="shared" si="4"/>
        <v>0</v>
      </c>
    </row>
    <row r="20" spans="1:14">
      <c r="B20" s="193"/>
      <c r="C20" s="193"/>
      <c r="D20" s="163" t="e">
        <f>VLOOKUP(C20,'Tabela Base'!B:C,2,0)</f>
        <v>#N/A</v>
      </c>
      <c r="E20" s="195"/>
      <c r="F20" s="196"/>
      <c r="G20" s="197"/>
      <c r="H20" s="187">
        <f t="shared" si="3"/>
        <v>0</v>
      </c>
      <c r="I20" s="188">
        <f t="shared" si="4"/>
        <v>0</v>
      </c>
    </row>
    <row r="21" spans="1:14">
      <c r="B21" s="193"/>
      <c r="C21" s="193"/>
      <c r="D21" s="163" t="e">
        <f>VLOOKUP(C21,'Tabela Base'!B:C,2,0)</f>
        <v>#N/A</v>
      </c>
      <c r="E21" s="195"/>
      <c r="F21" s="196"/>
      <c r="G21" s="197"/>
      <c r="H21" s="187">
        <f t="shared" si="3"/>
        <v>0</v>
      </c>
      <c r="I21" s="188">
        <f t="shared" si="4"/>
        <v>0</v>
      </c>
    </row>
    <row r="22" spans="1:14">
      <c r="B22" s="193"/>
      <c r="C22" s="169"/>
      <c r="D22" s="163" t="e">
        <f>VLOOKUP(C22,'Tabela Base'!B:C,2,0)</f>
        <v>#N/A</v>
      </c>
      <c r="E22" s="164"/>
      <c r="F22" s="165"/>
      <c r="G22" s="186"/>
      <c r="H22" s="187">
        <f t="shared" si="3"/>
        <v>0</v>
      </c>
      <c r="I22" s="188">
        <f t="shared" si="4"/>
        <v>0</v>
      </c>
      <c r="N22" s="27" t="s">
        <v>256</v>
      </c>
    </row>
    <row r="23" spans="1:14">
      <c r="B23" s="193"/>
      <c r="C23" s="169"/>
      <c r="D23" s="163" t="e">
        <f>VLOOKUP(C23,'Tabela Base'!B:C,2,0)</f>
        <v>#N/A</v>
      </c>
      <c r="E23" s="164"/>
      <c r="F23" s="165"/>
      <c r="G23" s="186"/>
      <c r="H23" s="187">
        <f t="shared" ref="H23:H25" si="5">G23*E23</f>
        <v>0</v>
      </c>
      <c r="I23" s="188">
        <f t="shared" ref="I23:I25" si="6">H23*F23</f>
        <v>0</v>
      </c>
    </row>
    <row r="24" spans="1:14">
      <c r="B24" s="162"/>
      <c r="C24" s="169"/>
      <c r="D24" s="163" t="e">
        <f>VLOOKUP(C24,'Tabela Base'!B:C,2,0)</f>
        <v>#N/A</v>
      </c>
      <c r="E24" s="164"/>
      <c r="F24" s="165"/>
      <c r="G24" s="166"/>
      <c r="H24" s="167">
        <f t="shared" si="5"/>
        <v>0</v>
      </c>
      <c r="I24" s="168">
        <f t="shared" si="6"/>
        <v>0</v>
      </c>
    </row>
    <row r="25" spans="1:14">
      <c r="B25" s="162"/>
      <c r="C25" s="169"/>
      <c r="D25" s="163" t="e">
        <f>VLOOKUP(C25,'Tabela Base'!B:C,2,0)</f>
        <v>#N/A</v>
      </c>
      <c r="E25" s="164"/>
      <c r="F25" s="165"/>
      <c r="G25" s="166"/>
      <c r="H25" s="167">
        <f t="shared" si="5"/>
        <v>0</v>
      </c>
      <c r="I25" s="168">
        <f t="shared" si="6"/>
        <v>0</v>
      </c>
    </row>
    <row r="26" spans="1:14">
      <c r="B26" s="162"/>
      <c r="C26" s="169"/>
      <c r="D26" s="163" t="e">
        <f>VLOOKUP(C26,'Tabela Base'!B:C,2,0)</f>
        <v>#N/A</v>
      </c>
      <c r="E26" s="164"/>
      <c r="F26" s="165"/>
      <c r="G26" s="166"/>
      <c r="H26" s="167">
        <f t="shared" ref="H26:H27" si="7">G26*E26</f>
        <v>0</v>
      </c>
      <c r="I26" s="168">
        <f t="shared" ref="I26:I27" si="8">H26*F26</f>
        <v>0</v>
      </c>
    </row>
    <row r="27" spans="1:14">
      <c r="B27" s="162"/>
      <c r="C27" s="169"/>
      <c r="D27" s="163" t="e">
        <f>VLOOKUP(C27,'Tabela Base'!B:C,2,0)</f>
        <v>#N/A</v>
      </c>
      <c r="E27" s="164"/>
      <c r="F27" s="165"/>
      <c r="G27" s="166"/>
      <c r="H27" s="167">
        <f t="shared" si="7"/>
        <v>0</v>
      </c>
      <c r="I27" s="168">
        <f t="shared" si="8"/>
        <v>0</v>
      </c>
    </row>
    <row r="28" spans="1:14">
      <c r="B28" s="193"/>
      <c r="C28" s="194"/>
      <c r="D28" s="163" t="e">
        <f>VLOOKUP(C28,'Tabela Base'!B:C,2,0)</f>
        <v>#N/A</v>
      </c>
      <c r="E28" s="164"/>
      <c r="F28" s="165"/>
      <c r="G28" s="166"/>
      <c r="H28" s="167">
        <f t="shared" ref="H28:H33" si="9">G28*E28</f>
        <v>0</v>
      </c>
      <c r="I28" s="168">
        <f t="shared" ref="I28:I33" si="10">H28*F28</f>
        <v>0</v>
      </c>
    </row>
    <row r="29" spans="1:14">
      <c r="B29" s="193"/>
      <c r="C29" s="194"/>
      <c r="D29" s="163" t="e">
        <f>VLOOKUP(C29,'Tabela Base'!B:C,2,0)</f>
        <v>#N/A</v>
      </c>
      <c r="E29" s="164"/>
      <c r="F29" s="165"/>
      <c r="G29" s="166"/>
      <c r="H29" s="167">
        <f t="shared" si="9"/>
        <v>0</v>
      </c>
      <c r="I29" s="168">
        <f t="shared" si="10"/>
        <v>0</v>
      </c>
    </row>
    <row r="30" spans="1:14">
      <c r="B30" s="193"/>
      <c r="C30" s="194"/>
      <c r="D30" s="163" t="e">
        <f>VLOOKUP(C30,'Tabela Base'!B:C,2,0)</f>
        <v>#N/A</v>
      </c>
      <c r="E30" s="164"/>
      <c r="F30" s="165"/>
      <c r="G30" s="166"/>
      <c r="H30" s="167">
        <f t="shared" si="9"/>
        <v>0</v>
      </c>
      <c r="I30" s="168">
        <f t="shared" si="10"/>
        <v>0</v>
      </c>
    </row>
    <row r="31" spans="1:14">
      <c r="B31" s="193"/>
      <c r="C31" s="194"/>
      <c r="D31" s="163" t="e">
        <f>VLOOKUP(C31,'Tabela Base'!B:C,2,0)</f>
        <v>#N/A</v>
      </c>
      <c r="E31" s="164"/>
      <c r="F31" s="165"/>
      <c r="G31" s="166"/>
      <c r="H31" s="167">
        <f t="shared" si="9"/>
        <v>0</v>
      </c>
      <c r="I31" s="168">
        <f t="shared" si="10"/>
        <v>0</v>
      </c>
    </row>
    <row r="32" spans="1:14">
      <c r="B32" s="193"/>
      <c r="C32" s="194"/>
      <c r="D32" s="163" t="e">
        <f>VLOOKUP(C32,'Tabela Base'!B:C,2,0)</f>
        <v>#N/A</v>
      </c>
      <c r="E32" s="164"/>
      <c r="F32" s="165"/>
      <c r="G32" s="166"/>
      <c r="H32" s="167">
        <f t="shared" si="9"/>
        <v>0</v>
      </c>
      <c r="I32" s="168">
        <f t="shared" si="10"/>
        <v>0</v>
      </c>
    </row>
    <row r="33" spans="2:10">
      <c r="B33" s="162"/>
      <c r="C33" s="169"/>
      <c r="D33" s="163" t="e">
        <f>VLOOKUP(C33,'Tabela Base'!B:C,2,0)</f>
        <v>#N/A</v>
      </c>
      <c r="E33" s="164"/>
      <c r="F33" s="165"/>
      <c r="G33" s="166"/>
      <c r="H33" s="167">
        <f t="shared" si="9"/>
        <v>0</v>
      </c>
      <c r="I33" s="168">
        <f t="shared" si="10"/>
        <v>0</v>
      </c>
    </row>
    <row r="34" spans="2:10">
      <c r="B34" s="162"/>
      <c r="C34" s="169"/>
      <c r="D34" s="163" t="e">
        <f>VLOOKUP(C34,'Tabela Base'!B:C,2,0)</f>
        <v>#N/A</v>
      </c>
      <c r="E34" s="164"/>
      <c r="F34" s="165"/>
      <c r="G34" s="166"/>
      <c r="H34" s="167">
        <f t="shared" ref="H34" si="11">G34*E34</f>
        <v>0</v>
      </c>
      <c r="I34" s="168">
        <f t="shared" ref="I34" si="12">H34*F34</f>
        <v>0</v>
      </c>
    </row>
    <row r="35" spans="2:10">
      <c r="E35" s="192"/>
      <c r="F35" s="192"/>
      <c r="G35" s="192"/>
      <c r="H35" s="190"/>
      <c r="I35" s="185"/>
      <c r="J35" s="190"/>
    </row>
    <row r="36" spans="2:10">
      <c r="E36" s="192"/>
      <c r="F36" s="192"/>
      <c r="G36" s="192"/>
      <c r="H36" s="185"/>
      <c r="I36" s="185"/>
      <c r="J36" s="32"/>
    </row>
    <row r="37" spans="2:10">
      <c r="H37" s="189"/>
      <c r="J37" s="32"/>
    </row>
    <row r="38" spans="2:10">
      <c r="H38" s="29"/>
      <c r="J38" s="32"/>
    </row>
    <row r="39" spans="2:10">
      <c r="H39" s="35"/>
      <c r="J39" s="32"/>
    </row>
    <row r="40" spans="2:10">
      <c r="H40" s="35"/>
      <c r="J40" s="32"/>
    </row>
    <row r="41" spans="2:10">
      <c r="J41" s="32"/>
    </row>
    <row r="42" spans="2:10">
      <c r="J42" s="32"/>
    </row>
    <row r="52" spans="5:5">
      <c r="E52" s="36"/>
    </row>
    <row r="53" spans="5:5">
      <c r="E53" s="36"/>
    </row>
    <row r="54" spans="5:5">
      <c r="E54" s="36"/>
    </row>
  </sheetData>
  <autoFilter ref="B2:I2"/>
  <conditionalFormatting sqref="C2">
    <cfRule type="duplicateValues" dxfId="8" priority="190"/>
    <cfRule type="duplicateValues" dxfId="7" priority="191"/>
  </conditionalFormatting>
  <conditionalFormatting sqref="C3:C4">
    <cfRule type="duplicateValues" dxfId="6" priority="1"/>
  </conditionalFormatting>
  <conditionalFormatting sqref="C5">
    <cfRule type="duplicateValues" dxfId="5" priority="2"/>
  </conditionalFormatting>
  <conditionalFormatting sqref="C7:C8">
    <cfRule type="duplicateValues" dxfId="4" priority="3"/>
  </conditionalFormatting>
  <conditionalFormatting sqref="C10:C17">
    <cfRule type="duplicateValues" dxfId="3" priority="4"/>
  </conditionalFormatting>
  <conditionalFormatting sqref="C18:C21">
    <cfRule type="duplicateValues" dxfId="2" priority="5"/>
  </conditionalFormatting>
  <conditionalFormatting sqref="C22:C34">
    <cfRule type="duplicateValues" dxfId="1" priority="1724"/>
  </conditionalFormatting>
  <conditionalFormatting sqref="C35:C37 C39:C1048576 C2">
    <cfRule type="duplicateValues" dxfId="0" priority="100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showGridLines="0" workbookViewId="0">
      <selection activeCell="G39" sqref="G39"/>
    </sheetView>
  </sheetViews>
  <sheetFormatPr defaultRowHeight="15"/>
  <cols>
    <col min="1" max="1" width="10.5703125" bestFit="1" customWidth="1"/>
    <col min="2" max="2" width="12.7109375" customWidth="1"/>
    <col min="3" max="3" width="14.42578125" customWidth="1"/>
    <col min="4" max="4" width="13.28515625" bestFit="1" customWidth="1"/>
    <col min="5" max="5" width="11.7109375" customWidth="1"/>
    <col min="6" max="6" width="14" customWidth="1"/>
    <col min="7" max="7" width="16.7109375" bestFit="1" customWidth="1"/>
    <col min="8" max="8" width="22.5703125" bestFit="1" customWidth="1"/>
    <col min="9" max="9" width="18.5703125" bestFit="1" customWidth="1"/>
  </cols>
  <sheetData>
    <row r="2" spans="1:9">
      <c r="B2" s="77"/>
      <c r="C2" s="78" t="s">
        <v>247</v>
      </c>
      <c r="D2" s="78" t="s">
        <v>245</v>
      </c>
      <c r="E2" s="78" t="s">
        <v>246</v>
      </c>
      <c r="F2" s="78" t="s">
        <v>17</v>
      </c>
      <c r="G2" s="79" t="s">
        <v>249</v>
      </c>
      <c r="H2" s="79" t="s">
        <v>250</v>
      </c>
      <c r="I2" s="79" t="s">
        <v>251</v>
      </c>
    </row>
    <row r="3" spans="1:9">
      <c r="A3" s="92">
        <v>11000</v>
      </c>
      <c r="B3" s="80" t="s">
        <v>1</v>
      </c>
      <c r="C3" s="89">
        <v>19.8</v>
      </c>
      <c r="D3" s="82">
        <v>19.5</v>
      </c>
      <c r="E3" s="81">
        <f>(C3+D3)/2</f>
        <v>19.649999999999999</v>
      </c>
      <c r="F3" s="81">
        <f>VLOOKUP($A3,'Tabela Base'!$B:$K,10,FALSE)</f>
        <v>23.31</v>
      </c>
      <c r="G3" s="81">
        <f>C3-F3</f>
        <v>-3.509999999999998</v>
      </c>
      <c r="H3" s="84">
        <f>D3-F3</f>
        <v>-3.8099999999999987</v>
      </c>
      <c r="I3" s="84">
        <f>E3-F3</f>
        <v>-3.66</v>
      </c>
    </row>
    <row r="4" spans="1:9">
      <c r="A4" s="92">
        <v>11001</v>
      </c>
      <c r="B4" s="80" t="s">
        <v>2</v>
      </c>
      <c r="C4" s="89">
        <v>14.5</v>
      </c>
      <c r="D4" s="82">
        <v>13.8</v>
      </c>
      <c r="E4" s="81">
        <f>(C4+D4)/2</f>
        <v>14.15</v>
      </c>
      <c r="F4" s="81">
        <f>VLOOKUP($A4,'Tabela Base'!$B:$K,10,FALSE)</f>
        <v>18.11</v>
      </c>
      <c r="G4" s="81">
        <f t="shared" ref="G4:G7" si="0">C4-F4</f>
        <v>-3.6099999999999994</v>
      </c>
      <c r="H4" s="84">
        <f t="shared" ref="H4:H7" si="1">D4-F4</f>
        <v>-4.3099999999999987</v>
      </c>
      <c r="I4" s="84">
        <f t="shared" ref="I4:I7" si="2">E4-F4</f>
        <v>-3.9599999999999991</v>
      </c>
    </row>
    <row r="5" spans="1:9">
      <c r="A5" s="92">
        <v>11004</v>
      </c>
      <c r="B5" s="80" t="s">
        <v>248</v>
      </c>
      <c r="C5" s="89">
        <v>14.99</v>
      </c>
      <c r="D5" s="82">
        <v>14</v>
      </c>
      <c r="E5" s="81">
        <f>(C5+D5)/2</f>
        <v>14.495000000000001</v>
      </c>
      <c r="F5" s="81">
        <f>VLOOKUP($A5,'Tabela Base'!$B:$K,10,FALSE)</f>
        <v>17.29</v>
      </c>
      <c r="G5" s="81">
        <f t="shared" si="0"/>
        <v>-2.2999999999999989</v>
      </c>
      <c r="H5" s="84">
        <f t="shared" si="1"/>
        <v>-3.2899999999999991</v>
      </c>
      <c r="I5" s="84">
        <f t="shared" si="2"/>
        <v>-2.7949999999999982</v>
      </c>
    </row>
    <row r="6" spans="1:9">
      <c r="A6" s="92">
        <v>11009</v>
      </c>
      <c r="B6" s="85" t="s">
        <v>252</v>
      </c>
      <c r="C6" s="90">
        <f>VLOOKUP($A6,'Tabela Base'!$B:$E,4,FALSE)</f>
        <v>22.59</v>
      </c>
      <c r="D6" s="87">
        <v>16.5</v>
      </c>
      <c r="E6" s="86">
        <f t="shared" ref="E6" si="3">((E3*7)+(E4*6)+(E5*2))/15</f>
        <v>16.762666666666668</v>
      </c>
      <c r="F6" s="83">
        <f>VLOOKUP($A6,'Tabela Base'!$B:$K,10,FALSE)</f>
        <v>20.42733333333333</v>
      </c>
      <c r="G6" s="83">
        <f t="shared" si="0"/>
        <v>2.1626666666666701</v>
      </c>
      <c r="H6" s="88">
        <f t="shared" si="1"/>
        <v>-3.9273333333333298</v>
      </c>
      <c r="I6" s="88">
        <f t="shared" si="2"/>
        <v>-3.6646666666666619</v>
      </c>
    </row>
    <row r="7" spans="1:9">
      <c r="B7" s="85"/>
      <c r="C7" s="91">
        <v>17.3</v>
      </c>
      <c r="D7" s="82">
        <v>17</v>
      </c>
      <c r="E7" s="81">
        <f>(C7+D7)/2</f>
        <v>17.149999999999999</v>
      </c>
      <c r="F7" s="81">
        <f>F6</f>
        <v>20.42733333333333</v>
      </c>
      <c r="G7" s="81">
        <f t="shared" si="0"/>
        <v>-3.1273333333333291</v>
      </c>
      <c r="H7" s="84">
        <f t="shared" si="1"/>
        <v>-3.4273333333333298</v>
      </c>
      <c r="I7" s="84">
        <f t="shared" si="2"/>
        <v>-3.2773333333333312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E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topLeftCell="A4" workbookViewId="0">
      <selection activeCell="J21" sqref="J21"/>
    </sheetView>
  </sheetViews>
  <sheetFormatPr defaultRowHeight="15"/>
  <cols>
    <col min="1" max="1" width="8.140625" bestFit="1" customWidth="1"/>
    <col min="2" max="2" width="33.140625" customWidth="1"/>
    <col min="3" max="3" width="7.5703125" customWidth="1"/>
    <col min="4" max="4" width="11.28515625" style="7" customWidth="1"/>
    <col min="5" max="5" width="12" bestFit="1" customWidth="1"/>
    <col min="6" max="6" width="14.7109375" bestFit="1" customWidth="1"/>
  </cols>
  <sheetData>
    <row r="1" spans="1:16">
      <c r="A1" t="s">
        <v>256</v>
      </c>
      <c r="B1" s="149"/>
      <c r="C1" s="149"/>
      <c r="D1" s="150"/>
      <c r="E1" s="2" t="s">
        <v>256</v>
      </c>
      <c r="F1" s="2" t="s">
        <v>256</v>
      </c>
      <c r="G1" s="149"/>
      <c r="H1" s="161"/>
      <c r="K1" s="151"/>
      <c r="L1" s="151"/>
      <c r="M1" s="151"/>
      <c r="N1" s="151"/>
    </row>
    <row r="2" spans="1:16">
      <c r="D2" s="152"/>
      <c r="E2" s="2"/>
      <c r="F2" s="2"/>
      <c r="G2" s="149"/>
      <c r="H2" s="161" t="s">
        <v>16</v>
      </c>
      <c r="K2" s="151"/>
      <c r="L2" s="151"/>
      <c r="M2" s="151"/>
      <c r="N2" s="151"/>
    </row>
    <row r="3" spans="1:16">
      <c r="B3" s="149"/>
      <c r="D3" s="152"/>
      <c r="E3" s="2"/>
      <c r="F3" s="2"/>
      <c r="G3" s="149"/>
      <c r="H3" s="161" t="s">
        <v>13</v>
      </c>
      <c r="K3" s="151"/>
      <c r="L3" s="151"/>
      <c r="M3" s="151"/>
      <c r="N3" s="151"/>
    </row>
    <row r="4" spans="1:16">
      <c r="B4" s="149"/>
      <c r="D4" s="152"/>
      <c r="E4" s="2"/>
      <c r="F4" s="2"/>
      <c r="G4" s="149"/>
      <c r="H4" s="161" t="s">
        <v>15</v>
      </c>
      <c r="K4" s="151"/>
      <c r="L4" s="151"/>
      <c r="M4" s="151"/>
      <c r="N4" s="151"/>
    </row>
    <row r="5" spans="1:16">
      <c r="D5" s="152"/>
      <c r="E5" s="2"/>
      <c r="F5" s="2"/>
      <c r="G5" s="149"/>
      <c r="H5" s="161" t="s">
        <v>14</v>
      </c>
      <c r="K5" s="151"/>
      <c r="L5" s="151"/>
      <c r="M5" s="151"/>
      <c r="N5" s="151"/>
    </row>
    <row r="6" spans="1:16">
      <c r="G6" s="149"/>
      <c r="H6" s="161"/>
      <c r="K6" s="151"/>
      <c r="L6" s="151"/>
      <c r="M6" s="151"/>
      <c r="N6" s="151"/>
    </row>
    <row r="7" spans="1:16">
      <c r="B7" s="149" t="s">
        <v>217</v>
      </c>
      <c r="C7" s="153">
        <v>45897</v>
      </c>
      <c r="D7" s="152"/>
      <c r="E7" s="2"/>
      <c r="F7" s="2"/>
      <c r="H7" s="161"/>
      <c r="K7" s="151"/>
      <c r="L7" s="151"/>
      <c r="M7" s="151"/>
      <c r="N7" s="151"/>
    </row>
    <row r="8" spans="1:16">
      <c r="D8" s="152"/>
      <c r="E8" s="2" t="s">
        <v>413</v>
      </c>
      <c r="F8" s="2" t="s">
        <v>411</v>
      </c>
      <c r="H8" s="161"/>
      <c r="K8" s="151"/>
      <c r="L8" s="2" t="s">
        <v>413</v>
      </c>
      <c r="M8" s="2" t="s">
        <v>411</v>
      </c>
      <c r="N8" s="151"/>
    </row>
    <row r="9" spans="1:16">
      <c r="B9" s="154" t="s">
        <v>54</v>
      </c>
      <c r="C9" t="s">
        <v>53</v>
      </c>
      <c r="D9" s="155" t="s">
        <v>55</v>
      </c>
      <c r="E9" s="2" t="s">
        <v>28</v>
      </c>
      <c r="F9" s="2" t="s">
        <v>28</v>
      </c>
      <c r="G9" s="156" t="s">
        <v>56</v>
      </c>
      <c r="H9" s="161" t="s">
        <v>12</v>
      </c>
      <c r="J9" t="s">
        <v>12</v>
      </c>
      <c r="K9" s="151" t="s">
        <v>17</v>
      </c>
      <c r="L9" s="151" t="s">
        <v>72</v>
      </c>
      <c r="M9" s="151" t="s">
        <v>72</v>
      </c>
      <c r="N9" s="151" t="s">
        <v>216</v>
      </c>
    </row>
    <row r="10" spans="1:16">
      <c r="B10" s="154" t="s">
        <v>256</v>
      </c>
      <c r="D10" s="155"/>
      <c r="E10" s="2"/>
      <c r="F10" s="2"/>
      <c r="H10" s="161"/>
      <c r="K10" s="2"/>
      <c r="L10" s="2"/>
      <c r="M10" s="2"/>
      <c r="N10" s="2"/>
    </row>
    <row r="11" spans="1:16">
      <c r="B11" s="154"/>
      <c r="C11" s="154"/>
      <c r="D11" s="157" t="s">
        <v>3</v>
      </c>
      <c r="E11" s="154"/>
      <c r="F11" s="154"/>
      <c r="G11" s="154"/>
      <c r="H11" s="161"/>
      <c r="J11" s="154"/>
      <c r="K11" s="2"/>
      <c r="L11" s="2"/>
      <c r="M11" s="2"/>
      <c r="N11" s="2"/>
    </row>
    <row r="12" spans="1:16">
      <c r="B12" s="154">
        <v>11000</v>
      </c>
      <c r="C12" t="s">
        <v>1</v>
      </c>
      <c r="D12" s="155" t="s">
        <v>165</v>
      </c>
      <c r="E12" s="156">
        <v>25.59</v>
      </c>
      <c r="F12" s="156">
        <v>25.99</v>
      </c>
      <c r="G12" s="156"/>
      <c r="H12" s="161"/>
      <c r="I12" s="159"/>
      <c r="J12" s="158">
        <v>59</v>
      </c>
      <c r="K12" s="151">
        <v>23.31</v>
      </c>
      <c r="L12" s="151">
        <v>2.2800000000000011</v>
      </c>
      <c r="M12" s="151">
        <v>2.6799999999999997</v>
      </c>
      <c r="N12" s="151">
        <v>73.045762711864398</v>
      </c>
      <c r="O12" s="159"/>
      <c r="P12" s="151"/>
    </row>
    <row r="13" spans="1:16">
      <c r="B13" s="154">
        <v>11001</v>
      </c>
      <c r="C13" t="s">
        <v>2</v>
      </c>
      <c r="D13" s="155" t="s">
        <v>166</v>
      </c>
      <c r="E13" s="156">
        <v>19.989999999999998</v>
      </c>
      <c r="F13" s="156">
        <v>20.69</v>
      </c>
      <c r="G13" s="156"/>
      <c r="H13" s="161"/>
      <c r="I13" s="159"/>
      <c r="J13" s="158">
        <v>198</v>
      </c>
      <c r="K13" s="151">
        <v>18.11</v>
      </c>
      <c r="L13" s="151">
        <v>1.879999999999999</v>
      </c>
      <c r="M13" s="151">
        <v>2.5800000000000018</v>
      </c>
      <c r="N13" s="151">
        <v>64.12070707070707</v>
      </c>
      <c r="O13" s="159"/>
      <c r="P13" s="151"/>
    </row>
    <row r="14" spans="1:16">
      <c r="B14" s="154">
        <v>11004</v>
      </c>
      <c r="C14" t="s">
        <v>40</v>
      </c>
      <c r="D14" s="155" t="s">
        <v>179</v>
      </c>
      <c r="E14" s="156">
        <v>19.29</v>
      </c>
      <c r="F14" s="156">
        <v>19.989999999999998</v>
      </c>
      <c r="G14" s="156"/>
      <c r="H14" s="161"/>
      <c r="I14" s="159"/>
      <c r="J14" s="158">
        <v>145</v>
      </c>
      <c r="K14" s="151">
        <v>17.29</v>
      </c>
      <c r="L14" s="151">
        <v>2</v>
      </c>
      <c r="M14" s="151">
        <v>2.6999999999999993</v>
      </c>
      <c r="N14" s="151">
        <v>24.308965517241379</v>
      </c>
      <c r="O14" s="159"/>
      <c r="P14" s="151"/>
    </row>
    <row r="15" spans="1:16">
      <c r="B15" s="154">
        <v>11005</v>
      </c>
      <c r="C15" t="s">
        <v>41</v>
      </c>
      <c r="D15" s="155" t="s">
        <v>45</v>
      </c>
      <c r="E15" s="156">
        <v>22.69</v>
      </c>
      <c r="F15" s="156">
        <v>22.99</v>
      </c>
      <c r="G15" s="156"/>
      <c r="H15" s="161"/>
      <c r="I15" s="2"/>
      <c r="J15" s="158">
        <v>0</v>
      </c>
      <c r="K15" s="151">
        <v>20.23</v>
      </c>
      <c r="L15" s="151">
        <v>2.4600000000000009</v>
      </c>
      <c r="M15" s="151">
        <v>2.759999999999998</v>
      </c>
      <c r="N15" s="151">
        <v>0</v>
      </c>
      <c r="P15" s="151"/>
    </row>
    <row r="16" spans="1:16">
      <c r="B16" s="154">
        <v>11002</v>
      </c>
      <c r="C16" t="s">
        <v>42</v>
      </c>
      <c r="D16" s="155" t="s">
        <v>167</v>
      </c>
      <c r="E16" s="156">
        <v>25.99</v>
      </c>
      <c r="F16" s="156">
        <v>26.99</v>
      </c>
      <c r="G16" s="156"/>
      <c r="H16" s="161"/>
      <c r="I16" s="2"/>
      <c r="J16" s="158">
        <v>0</v>
      </c>
      <c r="K16" s="151">
        <v>24</v>
      </c>
      <c r="L16" s="151">
        <v>1.9899999999999984</v>
      </c>
      <c r="M16" s="151">
        <v>2.9899999999999984</v>
      </c>
      <c r="N16" s="151">
        <v>0</v>
      </c>
      <c r="P16" s="151"/>
    </row>
    <row r="17" spans="2:16">
      <c r="B17" s="154">
        <v>11006</v>
      </c>
      <c r="C17" t="s">
        <v>168</v>
      </c>
      <c r="D17" s="155" t="s">
        <v>190</v>
      </c>
      <c r="E17" s="156">
        <v>29.59</v>
      </c>
      <c r="F17" s="39">
        <v>29.99</v>
      </c>
      <c r="G17" s="158"/>
      <c r="H17" s="161"/>
      <c r="I17" s="2"/>
      <c r="J17" s="158">
        <v>0</v>
      </c>
      <c r="K17" s="151">
        <v>26.65</v>
      </c>
      <c r="L17" s="151">
        <v>2.9400000000000013</v>
      </c>
      <c r="M17" s="151">
        <v>3.34</v>
      </c>
      <c r="N17" s="151">
        <v>0</v>
      </c>
      <c r="P17" s="151"/>
    </row>
    <row r="18" spans="2:16">
      <c r="B18" s="154">
        <v>11007</v>
      </c>
      <c r="C18" t="s">
        <v>267</v>
      </c>
      <c r="D18" s="155" t="s">
        <v>50</v>
      </c>
      <c r="E18" s="156">
        <v>29.59</v>
      </c>
      <c r="F18" s="156">
        <v>29.99</v>
      </c>
      <c r="G18" s="156"/>
      <c r="H18" s="161"/>
      <c r="I18" s="2"/>
      <c r="J18" s="158">
        <v>1</v>
      </c>
      <c r="K18" s="151">
        <v>26.707225760255067</v>
      </c>
      <c r="L18" s="151">
        <v>2.8827742397449327</v>
      </c>
      <c r="M18" s="151">
        <v>3.2827742397449313</v>
      </c>
      <c r="N18" s="151">
        <v>22</v>
      </c>
      <c r="P18" s="151"/>
    </row>
    <row r="19" spans="2:16">
      <c r="B19" s="154">
        <v>11008</v>
      </c>
      <c r="C19" t="s">
        <v>43</v>
      </c>
      <c r="D19" s="155" t="s">
        <v>180</v>
      </c>
      <c r="E19" s="156">
        <v>29.99</v>
      </c>
      <c r="F19" s="156">
        <v>30.59</v>
      </c>
      <c r="G19" s="156"/>
      <c r="H19" s="161"/>
      <c r="I19" s="2"/>
      <c r="J19" s="158">
        <v>0</v>
      </c>
      <c r="K19" s="151">
        <v>26</v>
      </c>
      <c r="L19" s="151">
        <v>3.9899999999999984</v>
      </c>
      <c r="M19" s="151">
        <v>4.59</v>
      </c>
      <c r="N19" s="151">
        <v>0</v>
      </c>
      <c r="P19" s="151"/>
    </row>
    <row r="20" spans="2:16">
      <c r="B20" s="154">
        <v>11009</v>
      </c>
      <c r="C20" t="s">
        <v>44</v>
      </c>
      <c r="D20" s="155" t="s">
        <v>178</v>
      </c>
      <c r="E20" s="156">
        <v>22.59</v>
      </c>
      <c r="F20" s="156">
        <v>22.79</v>
      </c>
      <c r="G20" s="156"/>
      <c r="H20" s="161"/>
      <c r="I20" s="2"/>
      <c r="J20" s="158">
        <v>0</v>
      </c>
      <c r="K20" s="151">
        <v>20.42733333333333</v>
      </c>
      <c r="L20" s="151">
        <v>2.1626666666666701</v>
      </c>
      <c r="M20" s="151">
        <v>2.3626666666666694</v>
      </c>
      <c r="N20" s="151">
        <v>0</v>
      </c>
      <c r="P20" s="151"/>
    </row>
    <row r="21" spans="2:16">
      <c r="B21" s="154"/>
      <c r="D21" s="155"/>
      <c r="E21" s="2"/>
      <c r="F21" s="2"/>
      <c r="G21" s="156"/>
      <c r="H21" s="161"/>
      <c r="J21" s="156"/>
      <c r="K21" s="2"/>
      <c r="L21" s="2"/>
      <c r="M21" s="2"/>
      <c r="N21" s="2"/>
      <c r="P21" s="151"/>
    </row>
    <row r="22" spans="2:16">
      <c r="B22" s="154"/>
      <c r="C22" s="154"/>
      <c r="D22" s="157" t="s">
        <v>146</v>
      </c>
      <c r="E22" s="154"/>
      <c r="F22" s="154"/>
      <c r="G22" s="154"/>
      <c r="H22" s="161"/>
      <c r="J22" s="154"/>
      <c r="K22" s="2"/>
      <c r="L22" s="2"/>
      <c r="M22" s="2"/>
      <c r="N22" s="2"/>
      <c r="P22" s="151"/>
    </row>
    <row r="23" spans="2:16">
      <c r="B23" s="154">
        <v>12024</v>
      </c>
      <c r="C23" t="s">
        <v>154</v>
      </c>
      <c r="D23" s="155" t="s">
        <v>193</v>
      </c>
      <c r="E23" s="156">
        <v>27.99</v>
      </c>
      <c r="F23" s="156">
        <v>27.99</v>
      </c>
      <c r="G23" s="156" t="s">
        <v>220</v>
      </c>
      <c r="H23" s="158">
        <v>0</v>
      </c>
      <c r="I23" s="2"/>
      <c r="J23" s="158">
        <v>0</v>
      </c>
      <c r="K23" s="151">
        <v>0</v>
      </c>
      <c r="L23" s="151">
        <v>27.99</v>
      </c>
      <c r="M23" s="151">
        <v>27.99</v>
      </c>
      <c r="N23" s="151">
        <v>0</v>
      </c>
    </row>
    <row r="24" spans="2:16">
      <c r="B24" s="154">
        <v>15004</v>
      </c>
      <c r="C24" t="s">
        <v>346</v>
      </c>
      <c r="D24" s="155" t="s">
        <v>340</v>
      </c>
      <c r="E24" s="156">
        <v>27.99</v>
      </c>
      <c r="F24" s="156">
        <v>27.99</v>
      </c>
      <c r="G24" s="156" t="s">
        <v>220</v>
      </c>
      <c r="H24" s="161">
        <v>0</v>
      </c>
      <c r="I24" s="154"/>
      <c r="J24" s="158">
        <v>0</v>
      </c>
      <c r="K24" s="151">
        <v>0</v>
      </c>
      <c r="L24" s="151">
        <v>27.99</v>
      </c>
      <c r="M24" s="151">
        <v>27.99</v>
      </c>
      <c r="N24" s="151">
        <v>0</v>
      </c>
    </row>
    <row r="25" spans="2:16">
      <c r="B25" s="154">
        <v>12023</v>
      </c>
      <c r="C25" t="s">
        <v>155</v>
      </c>
      <c r="D25" s="155" t="s">
        <v>73</v>
      </c>
      <c r="E25" s="156">
        <v>25.9</v>
      </c>
      <c r="F25" s="156">
        <v>25.9</v>
      </c>
      <c r="G25" s="156" t="s">
        <v>234</v>
      </c>
      <c r="H25">
        <v>0</v>
      </c>
      <c r="I25" s="2"/>
      <c r="J25" s="158">
        <v>0</v>
      </c>
      <c r="K25" s="151">
        <v>0</v>
      </c>
      <c r="L25" s="151">
        <v>25.9</v>
      </c>
      <c r="M25" s="151">
        <v>25.9</v>
      </c>
      <c r="N25" s="151">
        <v>0</v>
      </c>
    </row>
    <row r="26" spans="2:16">
      <c r="B26" s="154">
        <v>12013</v>
      </c>
      <c r="C26" t="s">
        <v>150</v>
      </c>
      <c r="D26" s="155" t="s">
        <v>347</v>
      </c>
      <c r="E26" s="156">
        <v>26.99</v>
      </c>
      <c r="F26" s="156">
        <v>26.99</v>
      </c>
      <c r="G26" s="156" t="s">
        <v>220</v>
      </c>
      <c r="H26" s="161">
        <v>0</v>
      </c>
      <c r="I26" s="2"/>
      <c r="J26" s="158">
        <v>0</v>
      </c>
      <c r="K26" s="151">
        <v>0</v>
      </c>
      <c r="L26" s="151">
        <v>26.99</v>
      </c>
      <c r="M26" s="151">
        <v>26.99</v>
      </c>
      <c r="N26" s="151">
        <v>0</v>
      </c>
      <c r="P26" s="151"/>
    </row>
    <row r="27" spans="2:16">
      <c r="B27" s="154">
        <v>12052</v>
      </c>
      <c r="C27" t="s">
        <v>150</v>
      </c>
      <c r="D27" s="155" t="s">
        <v>4</v>
      </c>
      <c r="E27" s="156">
        <v>24.99</v>
      </c>
      <c r="F27" s="156">
        <v>24.99</v>
      </c>
      <c r="G27" s="156" t="s">
        <v>254</v>
      </c>
      <c r="H27" s="161">
        <v>0</v>
      </c>
      <c r="I27" s="2"/>
      <c r="J27" s="158">
        <v>0</v>
      </c>
      <c r="K27" s="151">
        <v>0</v>
      </c>
      <c r="L27" s="151">
        <v>24.99</v>
      </c>
      <c r="M27" s="151">
        <v>24.99</v>
      </c>
      <c r="N27" s="151">
        <v>0</v>
      </c>
    </row>
    <row r="28" spans="2:16">
      <c r="B28" s="154">
        <v>12103</v>
      </c>
      <c r="C28" t="s">
        <v>150</v>
      </c>
      <c r="D28" s="155" t="s">
        <v>73</v>
      </c>
      <c r="E28" s="156">
        <v>27.49</v>
      </c>
      <c r="F28" s="156">
        <v>27.49</v>
      </c>
      <c r="G28" s="156" t="s">
        <v>220</v>
      </c>
      <c r="H28">
        <v>0</v>
      </c>
      <c r="J28" s="158">
        <v>0</v>
      </c>
      <c r="K28" s="151">
        <v>0</v>
      </c>
      <c r="L28" s="151">
        <v>27.49</v>
      </c>
      <c r="M28" s="151">
        <v>27.49</v>
      </c>
      <c r="N28" s="151">
        <v>0</v>
      </c>
    </row>
    <row r="29" spans="2:16">
      <c r="B29" s="154">
        <v>12186</v>
      </c>
      <c r="C29" t="s">
        <v>150</v>
      </c>
      <c r="D29" s="155" t="s">
        <v>417</v>
      </c>
      <c r="E29" s="156">
        <v>24.69</v>
      </c>
      <c r="F29" s="156">
        <v>24.89</v>
      </c>
      <c r="G29" s="156" t="s">
        <v>415</v>
      </c>
      <c r="H29" s="161">
        <v>0</v>
      </c>
      <c r="J29" s="158">
        <v>0</v>
      </c>
      <c r="K29" s="151">
        <v>0</v>
      </c>
      <c r="L29" s="151">
        <v>24.69</v>
      </c>
      <c r="M29" s="151">
        <v>24.89</v>
      </c>
      <c r="N29" s="151">
        <v>0</v>
      </c>
    </row>
    <row r="30" spans="2:16">
      <c r="B30" s="154">
        <v>22008</v>
      </c>
      <c r="C30" t="s">
        <v>316</v>
      </c>
      <c r="D30" s="155" t="s">
        <v>189</v>
      </c>
      <c r="E30" s="156">
        <v>26.69</v>
      </c>
      <c r="F30" s="156">
        <v>26.69</v>
      </c>
      <c r="G30" s="156" t="s">
        <v>220</v>
      </c>
      <c r="H30">
        <v>0</v>
      </c>
      <c r="J30" s="158">
        <v>0</v>
      </c>
      <c r="K30" s="151">
        <v>0</v>
      </c>
      <c r="L30" s="151">
        <v>26.69</v>
      </c>
      <c r="M30" s="151">
        <v>26.69</v>
      </c>
      <c r="N30" s="151">
        <v>0</v>
      </c>
    </row>
    <row r="31" spans="2:16">
      <c r="B31" s="154">
        <v>12082</v>
      </c>
      <c r="C31" t="s">
        <v>37</v>
      </c>
      <c r="D31" s="155" t="s">
        <v>94</v>
      </c>
      <c r="E31" s="156">
        <v>0</v>
      </c>
      <c r="F31" s="156">
        <v>0</v>
      </c>
      <c r="G31" s="156" t="s">
        <v>220</v>
      </c>
      <c r="H31">
        <v>0</v>
      </c>
      <c r="J31" s="158">
        <v>0</v>
      </c>
      <c r="K31" s="151">
        <v>0</v>
      </c>
      <c r="L31" s="151">
        <v>0</v>
      </c>
      <c r="M31" s="151">
        <v>0</v>
      </c>
      <c r="N31" s="151">
        <v>0</v>
      </c>
    </row>
    <row r="32" spans="2:16">
      <c r="B32" s="154">
        <v>12128</v>
      </c>
      <c r="C32" t="s">
        <v>37</v>
      </c>
      <c r="D32" s="155" t="s">
        <v>334</v>
      </c>
      <c r="E32" s="156">
        <v>31.49</v>
      </c>
      <c r="F32" s="156">
        <v>31.49</v>
      </c>
      <c r="G32" s="156" t="s">
        <v>269</v>
      </c>
      <c r="H32" s="161">
        <v>31</v>
      </c>
      <c r="J32" s="158">
        <v>31</v>
      </c>
      <c r="K32" s="151">
        <v>28.500000000000004</v>
      </c>
      <c r="L32" s="151">
        <v>2.9899999999999949</v>
      </c>
      <c r="M32" s="151">
        <v>2.9899999999999949</v>
      </c>
      <c r="N32" s="151">
        <v>25.890645161290323</v>
      </c>
    </row>
    <row r="33" spans="2:16">
      <c r="B33" s="154">
        <v>22003</v>
      </c>
      <c r="C33" t="s">
        <v>317</v>
      </c>
      <c r="D33" s="155" t="s">
        <v>189</v>
      </c>
      <c r="E33" s="156">
        <v>30.59</v>
      </c>
      <c r="F33" s="156">
        <v>30.59</v>
      </c>
      <c r="G33" s="156" t="s">
        <v>220</v>
      </c>
      <c r="H33">
        <v>0</v>
      </c>
      <c r="J33" s="158">
        <v>0</v>
      </c>
      <c r="K33" s="151">
        <v>0</v>
      </c>
      <c r="L33" s="151">
        <v>30.59</v>
      </c>
      <c r="M33" s="151">
        <v>30.59</v>
      </c>
      <c r="N33" s="151">
        <v>0</v>
      </c>
      <c r="P33" s="151"/>
    </row>
    <row r="34" spans="2:16">
      <c r="B34" s="154">
        <v>12034</v>
      </c>
      <c r="C34" t="s">
        <v>288</v>
      </c>
      <c r="D34" s="155" t="s">
        <v>303</v>
      </c>
      <c r="E34" s="156">
        <v>28.99</v>
      </c>
      <c r="F34" s="156">
        <v>28.99</v>
      </c>
      <c r="G34" s="156" t="s">
        <v>220</v>
      </c>
      <c r="H34">
        <v>0</v>
      </c>
      <c r="J34" s="158">
        <v>0</v>
      </c>
      <c r="K34" s="151">
        <v>0</v>
      </c>
      <c r="L34" s="151">
        <v>28.99</v>
      </c>
      <c r="M34" s="151">
        <v>28.99</v>
      </c>
      <c r="N34" s="151">
        <v>0</v>
      </c>
      <c r="P34" s="151"/>
    </row>
    <row r="35" spans="2:16">
      <c r="B35" s="154">
        <v>12165</v>
      </c>
      <c r="C35" t="s">
        <v>37</v>
      </c>
      <c r="D35" s="155" t="s">
        <v>333</v>
      </c>
      <c r="E35" s="156">
        <v>29.49</v>
      </c>
      <c r="F35" s="156">
        <v>29.99</v>
      </c>
      <c r="G35" s="156" t="s">
        <v>415</v>
      </c>
      <c r="H35">
        <v>0</v>
      </c>
      <c r="J35" s="158">
        <v>0</v>
      </c>
      <c r="K35" s="151">
        <v>0</v>
      </c>
      <c r="L35" s="151">
        <v>29.49</v>
      </c>
      <c r="M35" s="151">
        <v>29.99</v>
      </c>
      <c r="N35" s="151">
        <v>0</v>
      </c>
    </row>
    <row r="36" spans="2:16">
      <c r="B36" s="154">
        <v>12007</v>
      </c>
      <c r="C36" t="s">
        <v>132</v>
      </c>
      <c r="D36" s="155" t="s">
        <v>52</v>
      </c>
      <c r="E36" s="156">
        <v>32.590000000000003</v>
      </c>
      <c r="F36" s="156">
        <v>32.590000000000003</v>
      </c>
      <c r="G36" s="156" t="s">
        <v>220</v>
      </c>
      <c r="H36">
        <v>75</v>
      </c>
      <c r="J36" s="158">
        <v>75</v>
      </c>
      <c r="K36" s="151">
        <v>29.999999999999996</v>
      </c>
      <c r="L36" s="151">
        <v>2.590000000000007</v>
      </c>
      <c r="M36" s="151">
        <v>2.590000000000007</v>
      </c>
      <c r="N36" s="151">
        <v>19.579866666666668</v>
      </c>
    </row>
    <row r="37" spans="2:16">
      <c r="B37" s="154">
        <v>12074</v>
      </c>
      <c r="C37" t="s">
        <v>264</v>
      </c>
      <c r="D37" s="155" t="s">
        <v>6</v>
      </c>
      <c r="E37" s="156">
        <v>31.99</v>
      </c>
      <c r="F37" s="156">
        <v>31.99</v>
      </c>
      <c r="G37" s="156" t="s">
        <v>220</v>
      </c>
      <c r="H37">
        <v>0</v>
      </c>
      <c r="J37" s="158">
        <v>0</v>
      </c>
      <c r="K37" s="151">
        <v>0</v>
      </c>
      <c r="L37" s="151">
        <v>31.99</v>
      </c>
      <c r="M37" s="151">
        <v>31.99</v>
      </c>
      <c r="N37" s="151">
        <v>0</v>
      </c>
    </row>
    <row r="38" spans="2:16">
      <c r="B38" s="154">
        <v>12055</v>
      </c>
      <c r="C38" t="s">
        <v>102</v>
      </c>
      <c r="D38" s="155" t="s">
        <v>417</v>
      </c>
      <c r="E38" s="156">
        <v>29.39</v>
      </c>
      <c r="F38" s="156">
        <v>29.99</v>
      </c>
      <c r="G38" s="156" t="s">
        <v>336</v>
      </c>
      <c r="H38">
        <v>0</v>
      </c>
      <c r="J38" s="158">
        <v>0</v>
      </c>
      <c r="K38" s="151">
        <v>0</v>
      </c>
      <c r="L38" s="151">
        <v>29.39</v>
      </c>
      <c r="M38" s="151">
        <v>29.99</v>
      </c>
      <c r="N38" s="151">
        <v>0</v>
      </c>
    </row>
    <row r="39" spans="2:16">
      <c r="B39" s="154">
        <v>12097</v>
      </c>
      <c r="C39" t="s">
        <v>69</v>
      </c>
      <c r="D39" s="155" t="s">
        <v>46</v>
      </c>
      <c r="E39" s="156">
        <v>26</v>
      </c>
      <c r="F39" s="156">
        <v>26</v>
      </c>
      <c r="G39" s="156" t="s">
        <v>220</v>
      </c>
      <c r="H39">
        <v>0</v>
      </c>
      <c r="J39" s="158">
        <v>0</v>
      </c>
      <c r="K39" s="151">
        <v>0</v>
      </c>
      <c r="L39" s="151">
        <v>26</v>
      </c>
      <c r="M39" s="151">
        <v>26</v>
      </c>
      <c r="N39" s="151">
        <v>0</v>
      </c>
    </row>
    <row r="40" spans="2:16">
      <c r="B40" s="154">
        <v>22001</v>
      </c>
      <c r="C40" t="s">
        <v>318</v>
      </c>
      <c r="D40" s="155" t="s">
        <v>189</v>
      </c>
      <c r="E40" s="156">
        <v>29.59</v>
      </c>
      <c r="F40" s="156">
        <v>29.59</v>
      </c>
      <c r="G40" s="156" t="s">
        <v>220</v>
      </c>
      <c r="H40">
        <v>0</v>
      </c>
      <c r="J40" s="158">
        <v>0</v>
      </c>
      <c r="K40" s="151">
        <v>0</v>
      </c>
      <c r="L40" s="151">
        <v>29.59</v>
      </c>
      <c r="M40" s="151">
        <v>29.59</v>
      </c>
      <c r="N40" s="151">
        <v>0</v>
      </c>
    </row>
    <row r="41" spans="2:16">
      <c r="B41" s="154">
        <v>12004</v>
      </c>
      <c r="C41" t="s">
        <v>34</v>
      </c>
      <c r="D41" s="155" t="s">
        <v>6</v>
      </c>
      <c r="E41" s="156">
        <v>31.19</v>
      </c>
      <c r="F41" s="156">
        <v>31.19</v>
      </c>
      <c r="G41" s="156" t="s">
        <v>220</v>
      </c>
      <c r="H41" s="158">
        <v>0</v>
      </c>
      <c r="J41" s="158">
        <v>0</v>
      </c>
      <c r="K41" s="151">
        <v>0</v>
      </c>
      <c r="L41" s="151">
        <v>31.19</v>
      </c>
      <c r="M41" s="151">
        <v>31.19</v>
      </c>
      <c r="N41" s="151">
        <v>0</v>
      </c>
      <c r="P41" s="151"/>
    </row>
    <row r="42" spans="2:16">
      <c r="B42" s="154">
        <v>12079</v>
      </c>
      <c r="C42" t="s">
        <v>34</v>
      </c>
      <c r="D42" s="155" t="s">
        <v>6</v>
      </c>
      <c r="E42" s="156">
        <v>29</v>
      </c>
      <c r="F42" s="156">
        <v>29</v>
      </c>
      <c r="G42" s="156" t="s">
        <v>220</v>
      </c>
      <c r="H42">
        <v>0</v>
      </c>
      <c r="J42" s="158">
        <v>0</v>
      </c>
      <c r="K42" s="151">
        <v>0</v>
      </c>
      <c r="L42" s="151">
        <v>29</v>
      </c>
      <c r="M42" s="151">
        <v>29</v>
      </c>
      <c r="N42" s="151">
        <v>0</v>
      </c>
    </row>
    <row r="43" spans="2:16">
      <c r="B43" s="154">
        <v>12176</v>
      </c>
      <c r="C43" t="s">
        <v>34</v>
      </c>
      <c r="D43" s="155" t="s">
        <v>73</v>
      </c>
      <c r="E43" s="156">
        <v>30.99</v>
      </c>
      <c r="F43" s="156">
        <v>31.99</v>
      </c>
      <c r="G43" s="156" t="s">
        <v>336</v>
      </c>
      <c r="H43">
        <v>0</v>
      </c>
      <c r="J43" s="158">
        <v>0</v>
      </c>
      <c r="K43" s="151">
        <v>0</v>
      </c>
      <c r="L43" s="151">
        <v>30.99</v>
      </c>
      <c r="M43" s="151">
        <v>31.99</v>
      </c>
      <c r="N43" s="151">
        <v>0</v>
      </c>
    </row>
    <row r="44" spans="2:16">
      <c r="B44" s="154">
        <v>12118</v>
      </c>
      <c r="C44" t="s">
        <v>152</v>
      </c>
      <c r="D44" s="155" t="s">
        <v>73</v>
      </c>
      <c r="E44" s="156">
        <v>31.99</v>
      </c>
      <c r="F44" s="156">
        <v>32.39</v>
      </c>
      <c r="G44" s="156" t="s">
        <v>269</v>
      </c>
      <c r="H44">
        <v>0</v>
      </c>
      <c r="J44" s="158">
        <v>0</v>
      </c>
      <c r="K44" s="151">
        <v>0</v>
      </c>
      <c r="L44" s="151">
        <v>31.99</v>
      </c>
      <c r="M44" s="151">
        <v>32.39</v>
      </c>
      <c r="N44" s="151">
        <v>0</v>
      </c>
    </row>
    <row r="45" spans="2:16">
      <c r="B45" s="154">
        <v>12095</v>
      </c>
      <c r="C45" t="s">
        <v>70</v>
      </c>
      <c r="D45" s="155" t="s">
        <v>50</v>
      </c>
      <c r="E45" s="156">
        <v>33.69</v>
      </c>
      <c r="F45" s="156">
        <v>33.29</v>
      </c>
      <c r="G45" s="156" t="s">
        <v>220</v>
      </c>
      <c r="H45" s="161">
        <v>207</v>
      </c>
      <c r="J45" s="158">
        <v>207</v>
      </c>
      <c r="K45" s="151">
        <v>31.41</v>
      </c>
      <c r="L45" s="151">
        <v>2.2799999999999976</v>
      </c>
      <c r="M45" s="151">
        <v>1.879999999999999</v>
      </c>
      <c r="N45" s="151">
        <v>21.887410628019321</v>
      </c>
      <c r="P45" s="151"/>
    </row>
    <row r="46" spans="2:16">
      <c r="B46" s="154">
        <v>12061</v>
      </c>
      <c r="C46" t="s">
        <v>88</v>
      </c>
      <c r="D46" s="155" t="s">
        <v>334</v>
      </c>
      <c r="E46" s="156">
        <v>28.79</v>
      </c>
      <c r="F46" s="156">
        <v>28.99</v>
      </c>
      <c r="G46" s="156" t="s">
        <v>415</v>
      </c>
      <c r="H46">
        <v>0</v>
      </c>
      <c r="J46" s="158">
        <v>0</v>
      </c>
      <c r="K46" s="151">
        <v>0</v>
      </c>
      <c r="L46" s="151">
        <v>28.79</v>
      </c>
      <c r="M46" s="151">
        <v>28.99</v>
      </c>
      <c r="N46" s="151">
        <v>0</v>
      </c>
      <c r="P46" s="151"/>
    </row>
    <row r="47" spans="2:16">
      <c r="B47" s="154">
        <v>12080</v>
      </c>
      <c r="C47" t="s">
        <v>88</v>
      </c>
      <c r="D47" s="155" t="s">
        <v>193</v>
      </c>
      <c r="E47" s="156">
        <v>34.49</v>
      </c>
      <c r="F47" s="156">
        <v>34.49</v>
      </c>
      <c r="G47" s="156" t="s">
        <v>220</v>
      </c>
      <c r="H47">
        <v>0</v>
      </c>
      <c r="J47" s="158">
        <v>0</v>
      </c>
      <c r="K47" s="151">
        <v>0</v>
      </c>
      <c r="L47" s="151">
        <v>34.49</v>
      </c>
      <c r="M47" s="151">
        <v>34.49</v>
      </c>
      <c r="N47" s="151">
        <v>0</v>
      </c>
    </row>
    <row r="48" spans="2:16">
      <c r="B48" s="154">
        <v>12102</v>
      </c>
      <c r="C48" t="s">
        <v>156</v>
      </c>
      <c r="D48" s="155" t="s">
        <v>4</v>
      </c>
      <c r="E48" s="156">
        <v>33.49</v>
      </c>
      <c r="F48" s="156">
        <v>33.49</v>
      </c>
      <c r="G48" s="156" t="s">
        <v>220</v>
      </c>
      <c r="H48">
        <v>0</v>
      </c>
      <c r="J48" s="158">
        <v>0</v>
      </c>
      <c r="K48" s="151">
        <v>0</v>
      </c>
      <c r="L48" s="151">
        <v>33.49</v>
      </c>
      <c r="M48" s="151">
        <v>33.49</v>
      </c>
      <c r="N48" s="151">
        <v>0</v>
      </c>
    </row>
    <row r="49" spans="2:16">
      <c r="B49" s="154">
        <v>12012</v>
      </c>
      <c r="C49" t="s">
        <v>156</v>
      </c>
      <c r="D49" s="155" t="s">
        <v>4</v>
      </c>
      <c r="E49" s="156">
        <v>31.99</v>
      </c>
      <c r="F49" s="156">
        <v>30.99</v>
      </c>
      <c r="G49" s="156" t="s">
        <v>220</v>
      </c>
      <c r="H49">
        <v>48</v>
      </c>
      <c r="J49" s="158">
        <v>48</v>
      </c>
      <c r="K49" s="151">
        <v>28.61</v>
      </c>
      <c r="L49" s="151">
        <v>3.379999999999999</v>
      </c>
      <c r="M49" s="151">
        <v>2.379999999999999</v>
      </c>
      <c r="N49" s="151">
        <v>24.989645833333338</v>
      </c>
    </row>
    <row r="50" spans="2:16">
      <c r="B50" s="154">
        <v>12010</v>
      </c>
      <c r="C50" t="s">
        <v>35</v>
      </c>
      <c r="D50" s="155" t="s">
        <v>4</v>
      </c>
      <c r="E50" s="156">
        <v>28.79</v>
      </c>
      <c r="F50" s="156">
        <v>27.89</v>
      </c>
      <c r="G50" s="156" t="s">
        <v>220</v>
      </c>
      <c r="H50" s="158">
        <v>19</v>
      </c>
      <c r="J50" s="158">
        <v>19</v>
      </c>
      <c r="K50" s="151">
        <v>26.5</v>
      </c>
      <c r="L50" s="151">
        <v>2.2899999999999991</v>
      </c>
      <c r="M50" s="151">
        <v>1.3900000000000006</v>
      </c>
      <c r="N50" s="151">
        <v>23.466842105263158</v>
      </c>
    </row>
    <row r="51" spans="2:16">
      <c r="B51" s="154">
        <v>12062</v>
      </c>
      <c r="C51" t="s">
        <v>35</v>
      </c>
      <c r="D51" s="155" t="s">
        <v>73</v>
      </c>
      <c r="E51" s="156">
        <v>17.5</v>
      </c>
      <c r="F51" s="156">
        <v>17.5</v>
      </c>
      <c r="G51" s="156" t="s">
        <v>237</v>
      </c>
      <c r="H51">
        <v>0</v>
      </c>
      <c r="J51" s="158">
        <v>0</v>
      </c>
      <c r="K51" s="151">
        <v>0</v>
      </c>
      <c r="L51" s="151">
        <v>17.5</v>
      </c>
      <c r="M51" s="151">
        <v>17.5</v>
      </c>
      <c r="N51" s="151">
        <v>0</v>
      </c>
    </row>
    <row r="52" spans="2:16">
      <c r="B52" s="154">
        <v>12083</v>
      </c>
      <c r="C52" t="s">
        <v>35</v>
      </c>
      <c r="D52" s="155" t="s">
        <v>49</v>
      </c>
      <c r="E52" s="156">
        <v>26.99</v>
      </c>
      <c r="F52" s="156">
        <v>26.99</v>
      </c>
      <c r="G52" s="156" t="s">
        <v>220</v>
      </c>
      <c r="H52">
        <v>0</v>
      </c>
      <c r="J52" s="158">
        <v>0</v>
      </c>
      <c r="K52" s="151">
        <v>0</v>
      </c>
      <c r="L52" s="151">
        <v>26.99</v>
      </c>
      <c r="M52" s="151">
        <v>26.99</v>
      </c>
      <c r="N52" s="151">
        <v>0</v>
      </c>
      <c r="P52" s="151"/>
    </row>
    <row r="53" spans="2:16">
      <c r="B53" s="154">
        <v>12122</v>
      </c>
      <c r="C53" t="s">
        <v>194</v>
      </c>
      <c r="D53" s="155" t="s">
        <v>417</v>
      </c>
      <c r="E53" s="156">
        <v>25.49</v>
      </c>
      <c r="F53" s="156">
        <v>25.49</v>
      </c>
      <c r="G53" s="156" t="s">
        <v>269</v>
      </c>
      <c r="H53" s="161">
        <v>0</v>
      </c>
      <c r="J53" s="158">
        <v>0</v>
      </c>
      <c r="K53" s="151">
        <v>0</v>
      </c>
      <c r="L53" s="151">
        <v>25.49</v>
      </c>
      <c r="M53" s="151">
        <v>25.49</v>
      </c>
      <c r="N53" s="151">
        <v>0</v>
      </c>
    </row>
    <row r="54" spans="2:16">
      <c r="B54" s="154">
        <v>12294</v>
      </c>
      <c r="C54" t="s">
        <v>194</v>
      </c>
      <c r="D54" s="155" t="s">
        <v>73</v>
      </c>
      <c r="E54" s="156">
        <v>17.7</v>
      </c>
      <c r="F54" s="156">
        <v>17.7</v>
      </c>
      <c r="G54" s="156" t="s">
        <v>415</v>
      </c>
      <c r="H54">
        <v>0</v>
      </c>
      <c r="J54" s="158">
        <v>0</v>
      </c>
      <c r="K54" s="151">
        <v>0</v>
      </c>
      <c r="L54" s="151">
        <v>17.7</v>
      </c>
      <c r="M54" s="151">
        <v>17.7</v>
      </c>
      <c r="N54" s="151">
        <v>0</v>
      </c>
    </row>
    <row r="55" spans="2:16">
      <c r="B55" s="154">
        <v>12030</v>
      </c>
      <c r="C55" t="s">
        <v>33</v>
      </c>
      <c r="D55" s="155" t="s">
        <v>119</v>
      </c>
      <c r="E55" s="156">
        <v>29.99</v>
      </c>
      <c r="F55" s="156">
        <v>29.99</v>
      </c>
      <c r="G55" s="156" t="s">
        <v>220</v>
      </c>
      <c r="H55">
        <v>0</v>
      </c>
      <c r="J55" s="158">
        <v>0</v>
      </c>
      <c r="K55" s="151">
        <v>0</v>
      </c>
      <c r="L55" s="151">
        <v>29.99</v>
      </c>
      <c r="M55" s="151">
        <v>29.99</v>
      </c>
      <c r="N55" s="151">
        <v>0</v>
      </c>
    </row>
    <row r="56" spans="2:16">
      <c r="B56" s="154">
        <v>15015</v>
      </c>
      <c r="C56" t="s">
        <v>187</v>
      </c>
      <c r="D56" s="155" t="s">
        <v>4</v>
      </c>
      <c r="E56" s="156">
        <v>25.9</v>
      </c>
      <c r="F56" s="156">
        <v>25.9</v>
      </c>
      <c r="G56" s="156" t="s">
        <v>235</v>
      </c>
      <c r="H56">
        <v>0</v>
      </c>
      <c r="J56" s="158">
        <v>0</v>
      </c>
      <c r="K56" s="151">
        <v>0</v>
      </c>
      <c r="L56" s="151">
        <v>25.9</v>
      </c>
      <c r="M56" s="151">
        <v>25.9</v>
      </c>
      <c r="N56" s="151">
        <v>0</v>
      </c>
    </row>
    <row r="57" spans="2:16">
      <c r="B57" s="154">
        <v>12009</v>
      </c>
      <c r="C57" t="s">
        <v>36</v>
      </c>
      <c r="D57" s="155" t="s">
        <v>4</v>
      </c>
      <c r="E57" s="156">
        <v>36.79</v>
      </c>
      <c r="F57" s="156">
        <v>36.19</v>
      </c>
      <c r="G57" s="156" t="s">
        <v>220</v>
      </c>
      <c r="H57" s="161">
        <v>134</v>
      </c>
      <c r="J57" s="158">
        <v>134</v>
      </c>
      <c r="K57" s="151">
        <v>34.368001621116584</v>
      </c>
      <c r="L57" s="151">
        <v>2.4219983788834156</v>
      </c>
      <c r="M57" s="151">
        <v>1.8219983788834142</v>
      </c>
      <c r="N57" s="151">
        <v>23.274910447761194</v>
      </c>
    </row>
    <row r="58" spans="2:16">
      <c r="B58" s="154">
        <v>12179</v>
      </c>
      <c r="C58" t="s">
        <v>36</v>
      </c>
      <c r="D58" s="155" t="s">
        <v>427</v>
      </c>
      <c r="E58" s="156">
        <v>31.99</v>
      </c>
      <c r="F58" s="156">
        <v>32.79</v>
      </c>
      <c r="G58" s="156" t="s">
        <v>269</v>
      </c>
      <c r="H58" s="161">
        <v>0</v>
      </c>
      <c r="J58" s="158">
        <v>0</v>
      </c>
      <c r="K58" s="151">
        <v>0</v>
      </c>
      <c r="L58" s="151">
        <v>31.99</v>
      </c>
      <c r="M58" s="151">
        <v>32.79</v>
      </c>
      <c r="N58" s="151">
        <v>0</v>
      </c>
    </row>
    <row r="59" spans="2:16">
      <c r="B59" s="154">
        <v>12064</v>
      </c>
      <c r="C59" t="s">
        <v>36</v>
      </c>
      <c r="D59" s="155" t="s">
        <v>73</v>
      </c>
      <c r="E59" s="156">
        <v>33.49</v>
      </c>
      <c r="F59" s="156">
        <v>32.590000000000003</v>
      </c>
      <c r="G59" s="156" t="s">
        <v>415</v>
      </c>
      <c r="H59">
        <v>1</v>
      </c>
      <c r="J59" s="158">
        <v>1</v>
      </c>
      <c r="K59" s="151">
        <v>29</v>
      </c>
      <c r="L59" s="151">
        <v>4.490000000000002</v>
      </c>
      <c r="M59" s="151">
        <v>3.5900000000000034</v>
      </c>
      <c r="N59" s="151">
        <v>28.477</v>
      </c>
    </row>
    <row r="60" spans="2:16">
      <c r="B60" s="154">
        <v>12081</v>
      </c>
      <c r="C60" t="s">
        <v>36</v>
      </c>
      <c r="D60" s="155" t="s">
        <v>11</v>
      </c>
      <c r="E60" s="156">
        <v>34.99</v>
      </c>
      <c r="F60" s="156">
        <v>34.99</v>
      </c>
      <c r="G60" s="156" t="s">
        <v>220</v>
      </c>
      <c r="H60">
        <v>0</v>
      </c>
      <c r="I60" s="154"/>
      <c r="J60" s="158">
        <v>0</v>
      </c>
      <c r="K60" s="151">
        <v>0</v>
      </c>
      <c r="L60" s="151">
        <v>34.99</v>
      </c>
      <c r="M60" s="151">
        <v>34.99</v>
      </c>
      <c r="N60" s="151">
        <v>0</v>
      </c>
      <c r="P60" s="151"/>
    </row>
    <row r="61" spans="2:16">
      <c r="B61" s="154">
        <v>12121</v>
      </c>
      <c r="C61" t="s">
        <v>36</v>
      </c>
      <c r="D61" s="155" t="s">
        <v>347</v>
      </c>
      <c r="E61" s="156">
        <v>31.99</v>
      </c>
      <c r="F61" s="156">
        <v>32.29</v>
      </c>
      <c r="G61" s="156" t="s">
        <v>254</v>
      </c>
      <c r="H61" s="161">
        <v>0</v>
      </c>
      <c r="I61" s="154"/>
      <c r="J61" s="158">
        <v>0</v>
      </c>
      <c r="K61" s="151">
        <v>0</v>
      </c>
      <c r="L61" s="151">
        <v>31.99</v>
      </c>
      <c r="M61" s="151">
        <v>32.29</v>
      </c>
      <c r="N61" s="151">
        <v>0</v>
      </c>
      <c r="P61" s="151"/>
    </row>
    <row r="62" spans="2:16">
      <c r="B62" s="154">
        <v>12047</v>
      </c>
      <c r="C62" t="s">
        <v>343</v>
      </c>
      <c r="D62" s="155" t="s">
        <v>344</v>
      </c>
      <c r="E62" s="156">
        <v>25.99</v>
      </c>
      <c r="F62" s="156">
        <v>25.99</v>
      </c>
      <c r="G62" s="156" t="s">
        <v>220</v>
      </c>
      <c r="H62" s="161">
        <v>0</v>
      </c>
      <c r="I62" s="154"/>
      <c r="J62" s="158">
        <v>0</v>
      </c>
      <c r="K62" s="151">
        <v>0</v>
      </c>
      <c r="L62" s="151">
        <v>25.99</v>
      </c>
      <c r="M62" s="151">
        <v>25.99</v>
      </c>
      <c r="N62" s="151">
        <v>0</v>
      </c>
      <c r="P62" s="151"/>
    </row>
    <row r="63" spans="2:16">
      <c r="B63" s="154"/>
      <c r="D63" s="155"/>
      <c r="E63" s="2"/>
      <c r="F63" s="2"/>
      <c r="G63" s="156"/>
      <c r="H63" s="161"/>
      <c r="I63" s="2"/>
      <c r="K63" s="2"/>
      <c r="L63" s="2"/>
      <c r="M63" s="2"/>
      <c r="N63" s="2"/>
      <c r="P63" s="151"/>
    </row>
    <row r="64" spans="2:16">
      <c r="B64" s="154"/>
      <c r="C64" s="154"/>
      <c r="D64" s="157" t="s">
        <v>144</v>
      </c>
      <c r="E64" s="154"/>
      <c r="F64" s="154"/>
      <c r="G64" s="154"/>
      <c r="H64" s="161"/>
      <c r="J64" s="154"/>
      <c r="K64" s="2"/>
      <c r="L64" s="2"/>
      <c r="M64" s="2"/>
      <c r="N64" s="2"/>
      <c r="P64" s="151"/>
    </row>
    <row r="65" spans="2:16">
      <c r="B65" s="154">
        <v>12139</v>
      </c>
      <c r="C65" t="s">
        <v>62</v>
      </c>
      <c r="D65" s="155" t="s">
        <v>140</v>
      </c>
      <c r="E65" s="156"/>
      <c r="F65" s="156"/>
      <c r="G65" s="156" t="s">
        <v>177</v>
      </c>
      <c r="H65">
        <v>0</v>
      </c>
      <c r="I65" s="2"/>
      <c r="J65" s="158">
        <v>0</v>
      </c>
      <c r="K65" s="151">
        <v>0</v>
      </c>
      <c r="L65" s="151">
        <v>0</v>
      </c>
      <c r="M65" s="151">
        <v>0</v>
      </c>
      <c r="N65" s="151">
        <v>0</v>
      </c>
    </row>
    <row r="66" spans="2:16">
      <c r="B66" s="154">
        <v>12051</v>
      </c>
      <c r="C66" t="s">
        <v>87</v>
      </c>
      <c r="D66" s="155" t="s">
        <v>350</v>
      </c>
      <c r="E66" s="156">
        <v>33.99</v>
      </c>
      <c r="F66" s="156">
        <v>33.99</v>
      </c>
      <c r="G66" s="156" t="s">
        <v>254</v>
      </c>
      <c r="H66">
        <v>0</v>
      </c>
      <c r="I66" s="2"/>
      <c r="J66" s="158">
        <v>0</v>
      </c>
      <c r="K66" s="151">
        <v>0</v>
      </c>
      <c r="L66" s="151">
        <v>33.99</v>
      </c>
      <c r="M66" s="151">
        <v>33.99</v>
      </c>
      <c r="N66" s="151">
        <v>0</v>
      </c>
    </row>
    <row r="67" spans="2:16">
      <c r="B67" s="154">
        <v>22010</v>
      </c>
      <c r="C67" t="s">
        <v>319</v>
      </c>
      <c r="D67" s="155" t="s">
        <v>303</v>
      </c>
      <c r="E67" s="156">
        <v>36.99</v>
      </c>
      <c r="F67" s="156">
        <v>36.99</v>
      </c>
      <c r="G67" s="156" t="s">
        <v>220</v>
      </c>
      <c r="H67">
        <v>0</v>
      </c>
      <c r="I67" s="2"/>
      <c r="J67" s="158">
        <v>0</v>
      </c>
      <c r="K67" s="151">
        <v>0</v>
      </c>
      <c r="L67" s="151">
        <v>36.99</v>
      </c>
      <c r="M67" s="151">
        <v>36.99</v>
      </c>
      <c r="N67" s="151">
        <v>0</v>
      </c>
    </row>
    <row r="68" spans="2:16">
      <c r="B68" s="154">
        <v>12021</v>
      </c>
      <c r="C68" t="s">
        <v>87</v>
      </c>
      <c r="D68" s="155" t="s">
        <v>140</v>
      </c>
      <c r="E68" s="156">
        <v>31.5</v>
      </c>
      <c r="F68" s="156">
        <v>31.5</v>
      </c>
      <c r="G68" s="156" t="s">
        <v>220</v>
      </c>
      <c r="H68">
        <v>0</v>
      </c>
      <c r="I68" s="2"/>
      <c r="J68" s="158">
        <v>0</v>
      </c>
      <c r="K68" s="151">
        <v>0</v>
      </c>
      <c r="L68" s="151">
        <v>31.5</v>
      </c>
      <c r="M68" s="151">
        <v>31.5</v>
      </c>
      <c r="N68" s="151">
        <v>0</v>
      </c>
    </row>
    <row r="69" spans="2:16">
      <c r="B69" s="154">
        <v>12194</v>
      </c>
      <c r="C69" t="s">
        <v>87</v>
      </c>
      <c r="D69" s="155" t="s">
        <v>334</v>
      </c>
      <c r="E69" s="156">
        <v>34.49</v>
      </c>
      <c r="F69" s="156">
        <v>34.590000000000003</v>
      </c>
      <c r="G69" s="156" t="s">
        <v>268</v>
      </c>
      <c r="H69">
        <v>0</v>
      </c>
      <c r="I69" s="2"/>
      <c r="J69" s="158">
        <v>0</v>
      </c>
      <c r="K69" s="151">
        <v>0</v>
      </c>
      <c r="L69" s="151">
        <v>34.49</v>
      </c>
      <c r="M69" s="151">
        <v>34.590000000000003</v>
      </c>
      <c r="N69" s="151">
        <v>0</v>
      </c>
    </row>
    <row r="70" spans="2:16">
      <c r="B70" s="154">
        <v>12105</v>
      </c>
      <c r="C70" t="s">
        <v>87</v>
      </c>
      <c r="D70" s="155" t="s">
        <v>73</v>
      </c>
      <c r="E70" s="156">
        <v>33.99</v>
      </c>
      <c r="F70" s="156">
        <v>33.99</v>
      </c>
      <c r="G70" s="156" t="s">
        <v>254</v>
      </c>
      <c r="H70">
        <v>0</v>
      </c>
      <c r="I70" s="2"/>
      <c r="J70" s="158">
        <v>0</v>
      </c>
      <c r="K70" s="151">
        <v>0</v>
      </c>
      <c r="L70" s="151">
        <v>33.99</v>
      </c>
      <c r="M70" s="151">
        <v>33.99</v>
      </c>
      <c r="N70" s="151">
        <v>0</v>
      </c>
    </row>
    <row r="71" spans="2:16">
      <c r="B71" s="154">
        <v>12282</v>
      </c>
      <c r="C71" t="s">
        <v>71</v>
      </c>
      <c r="D71" s="155" t="s">
        <v>333</v>
      </c>
      <c r="E71" s="156">
        <v>34.99</v>
      </c>
      <c r="F71" s="156">
        <v>32.99</v>
      </c>
      <c r="G71" s="156" t="s">
        <v>220</v>
      </c>
      <c r="H71" s="161">
        <v>60</v>
      </c>
      <c r="I71" s="2"/>
      <c r="J71" s="158">
        <v>60</v>
      </c>
      <c r="K71" s="151">
        <v>32</v>
      </c>
      <c r="L71" s="151">
        <v>2.990000000000002</v>
      </c>
      <c r="M71" s="151">
        <v>0.99000000000000199</v>
      </c>
      <c r="N71" s="151">
        <v>22.576599999999999</v>
      </c>
      <c r="P71" s="151"/>
    </row>
    <row r="72" spans="2:16">
      <c r="B72" s="154">
        <v>12109</v>
      </c>
      <c r="C72" t="s">
        <v>113</v>
      </c>
      <c r="D72" s="155" t="s">
        <v>141</v>
      </c>
      <c r="E72" s="156"/>
      <c r="F72" s="156"/>
      <c r="G72" s="156" t="s">
        <v>237</v>
      </c>
      <c r="H72">
        <v>0</v>
      </c>
      <c r="I72" s="2"/>
      <c r="J72" s="158">
        <v>0</v>
      </c>
      <c r="K72" s="151">
        <v>0</v>
      </c>
      <c r="L72" s="151">
        <v>0</v>
      </c>
      <c r="M72" s="151">
        <v>0</v>
      </c>
      <c r="N72" s="151">
        <v>0</v>
      </c>
    </row>
    <row r="73" spans="2:16">
      <c r="B73" s="154">
        <v>12068</v>
      </c>
      <c r="C73" t="s">
        <v>271</v>
      </c>
      <c r="D73" s="155" t="s">
        <v>333</v>
      </c>
      <c r="E73" s="156">
        <v>36.99</v>
      </c>
      <c r="F73" s="156">
        <v>36.99</v>
      </c>
      <c r="G73" s="156" t="s">
        <v>254</v>
      </c>
      <c r="H73" s="161">
        <v>0</v>
      </c>
      <c r="I73" s="158"/>
      <c r="J73" s="158">
        <v>0</v>
      </c>
      <c r="K73" s="151">
        <v>0</v>
      </c>
      <c r="L73" s="151">
        <v>36.99</v>
      </c>
      <c r="M73" s="151">
        <v>36.99</v>
      </c>
      <c r="N73" s="151">
        <v>0</v>
      </c>
    </row>
    <row r="74" spans="2:16">
      <c r="B74" s="154">
        <v>12163</v>
      </c>
      <c r="C74" t="s">
        <v>351</v>
      </c>
      <c r="D74" s="155" t="s">
        <v>333</v>
      </c>
      <c r="E74" s="156">
        <v>39.99</v>
      </c>
      <c r="F74" s="156">
        <v>38.99</v>
      </c>
      <c r="G74" s="156" t="s">
        <v>220</v>
      </c>
      <c r="H74" s="158">
        <v>124</v>
      </c>
      <c r="I74" s="2"/>
      <c r="J74" s="158">
        <v>124</v>
      </c>
      <c r="K74" s="151">
        <v>38</v>
      </c>
      <c r="L74" s="151">
        <v>1.990000000000002</v>
      </c>
      <c r="M74" s="151">
        <v>0.99000000000000199</v>
      </c>
      <c r="N74" s="151">
        <v>22.182612903225809</v>
      </c>
    </row>
    <row r="75" spans="2:16">
      <c r="B75" s="154">
        <v>12169</v>
      </c>
      <c r="C75" t="s">
        <v>48</v>
      </c>
      <c r="D75" s="155" t="s">
        <v>73</v>
      </c>
      <c r="E75" s="156">
        <v>32.99</v>
      </c>
      <c r="F75" s="156">
        <v>34.49</v>
      </c>
      <c r="G75" s="156" t="s">
        <v>336</v>
      </c>
      <c r="H75">
        <v>0</v>
      </c>
      <c r="I75" s="2"/>
      <c r="J75" s="158">
        <v>0</v>
      </c>
      <c r="K75" s="151">
        <v>0</v>
      </c>
      <c r="L75" s="151">
        <v>32.99</v>
      </c>
      <c r="M75" s="151">
        <v>34.49</v>
      </c>
      <c r="N75" s="151">
        <v>0</v>
      </c>
    </row>
    <row r="76" spans="2:16">
      <c r="B76" s="154">
        <v>12053</v>
      </c>
      <c r="C76" t="s">
        <v>48</v>
      </c>
      <c r="D76" s="155" t="s">
        <v>410</v>
      </c>
      <c r="E76" s="156">
        <v>36.590000000000003</v>
      </c>
      <c r="F76" s="156">
        <v>36.99</v>
      </c>
      <c r="G76" s="156" t="s">
        <v>415</v>
      </c>
      <c r="H76" s="161">
        <v>166</v>
      </c>
      <c r="I76" s="2"/>
      <c r="J76" s="158">
        <v>166</v>
      </c>
      <c r="K76" s="151">
        <v>32</v>
      </c>
      <c r="L76" s="151">
        <v>4.5900000000000034</v>
      </c>
      <c r="M76" s="151">
        <v>4.990000000000002</v>
      </c>
      <c r="N76" s="151">
        <v>24.126078313253014</v>
      </c>
      <c r="P76" s="151"/>
    </row>
    <row r="77" spans="2:16">
      <c r="B77" s="154">
        <v>12189</v>
      </c>
      <c r="C77" t="s">
        <v>48</v>
      </c>
      <c r="D77" s="155" t="s">
        <v>334</v>
      </c>
      <c r="E77" s="156">
        <v>36.99</v>
      </c>
      <c r="F77" s="156">
        <v>37.49</v>
      </c>
      <c r="G77" s="156" t="s">
        <v>268</v>
      </c>
      <c r="H77" s="161">
        <v>0</v>
      </c>
      <c r="I77" s="2"/>
      <c r="J77" s="158">
        <v>0</v>
      </c>
      <c r="K77" s="151">
        <v>0</v>
      </c>
      <c r="L77" s="151">
        <v>36.99</v>
      </c>
      <c r="M77" s="151">
        <v>37.49</v>
      </c>
      <c r="N77" s="151">
        <v>0</v>
      </c>
    </row>
    <row r="78" spans="2:16">
      <c r="B78" s="154">
        <v>12096</v>
      </c>
      <c r="C78" t="s">
        <v>48</v>
      </c>
      <c r="D78" s="155" t="s">
        <v>161</v>
      </c>
      <c r="E78" s="156">
        <v>39.29</v>
      </c>
      <c r="F78" s="156">
        <v>39.29</v>
      </c>
      <c r="G78" s="156" t="s">
        <v>255</v>
      </c>
      <c r="H78" s="158">
        <v>0</v>
      </c>
      <c r="I78" s="2"/>
      <c r="J78" s="158">
        <v>0</v>
      </c>
      <c r="K78" s="151">
        <v>0</v>
      </c>
      <c r="L78" s="151">
        <v>39.29</v>
      </c>
      <c r="M78" s="151">
        <v>39.29</v>
      </c>
      <c r="N78" s="151">
        <v>0</v>
      </c>
    </row>
    <row r="79" spans="2:16">
      <c r="B79" s="154">
        <v>12078</v>
      </c>
      <c r="C79" t="s">
        <v>48</v>
      </c>
      <c r="D79" s="155" t="s">
        <v>142</v>
      </c>
      <c r="E79" s="156">
        <v>36</v>
      </c>
      <c r="F79" s="156">
        <v>36</v>
      </c>
      <c r="G79" s="156" t="s">
        <v>220</v>
      </c>
      <c r="H79">
        <v>0</v>
      </c>
      <c r="I79" s="2"/>
      <c r="J79" s="158">
        <v>0</v>
      </c>
      <c r="K79" s="151">
        <v>0</v>
      </c>
      <c r="L79" s="151">
        <v>36</v>
      </c>
      <c r="M79" s="151">
        <v>36</v>
      </c>
      <c r="N79" s="151">
        <v>0</v>
      </c>
    </row>
    <row r="80" spans="2:16">
      <c r="B80" s="154">
        <v>12119</v>
      </c>
      <c r="C80" t="s">
        <v>258</v>
      </c>
      <c r="D80" s="155" t="s">
        <v>143</v>
      </c>
      <c r="E80" s="156"/>
      <c r="F80" s="156"/>
      <c r="G80" s="156" t="s">
        <v>220</v>
      </c>
      <c r="H80">
        <v>0</v>
      </c>
      <c r="I80" s="2"/>
      <c r="J80" s="158">
        <v>0</v>
      </c>
      <c r="K80" s="151">
        <v>0</v>
      </c>
      <c r="L80" s="151">
        <v>0</v>
      </c>
      <c r="M80" s="151">
        <v>0</v>
      </c>
      <c r="N80" s="151">
        <v>0</v>
      </c>
    </row>
    <row r="81" spans="2:16">
      <c r="B81" s="154">
        <v>22002</v>
      </c>
      <c r="C81" t="s">
        <v>320</v>
      </c>
      <c r="D81" s="155" t="s">
        <v>133</v>
      </c>
      <c r="E81" s="156">
        <v>40.99</v>
      </c>
      <c r="F81" s="156">
        <v>40.99</v>
      </c>
      <c r="G81" s="156" t="s">
        <v>220</v>
      </c>
      <c r="H81" s="158">
        <v>0</v>
      </c>
      <c r="I81" s="2"/>
      <c r="J81" s="158">
        <v>0</v>
      </c>
      <c r="K81" s="151">
        <v>0</v>
      </c>
      <c r="L81" s="151">
        <v>40.99</v>
      </c>
      <c r="M81" s="151">
        <v>40.99</v>
      </c>
      <c r="N81" s="151">
        <v>0</v>
      </c>
    </row>
    <row r="82" spans="2:16">
      <c r="B82" s="154">
        <v>12248</v>
      </c>
      <c r="C82" t="s">
        <v>32</v>
      </c>
      <c r="D82" s="155" t="s">
        <v>179</v>
      </c>
      <c r="E82" s="156">
        <v>35.9</v>
      </c>
      <c r="F82" s="156">
        <v>35.9</v>
      </c>
      <c r="G82" s="156" t="s">
        <v>235</v>
      </c>
      <c r="H82">
        <v>0</v>
      </c>
      <c r="I82" s="2"/>
      <c r="J82" s="158">
        <v>0</v>
      </c>
      <c r="K82" s="151">
        <v>0</v>
      </c>
      <c r="L82" s="151">
        <v>35.9</v>
      </c>
      <c r="M82" s="151">
        <v>35.9</v>
      </c>
      <c r="N82" s="151">
        <v>0</v>
      </c>
    </row>
    <row r="83" spans="2:16">
      <c r="B83" s="154">
        <v>12287</v>
      </c>
      <c r="C83" t="s">
        <v>112</v>
      </c>
      <c r="D83" s="155" t="s">
        <v>349</v>
      </c>
      <c r="E83" s="156">
        <v>36.99</v>
      </c>
      <c r="F83" s="156">
        <v>36.99</v>
      </c>
      <c r="G83" s="156" t="s">
        <v>348</v>
      </c>
      <c r="H83">
        <v>0</v>
      </c>
      <c r="I83" s="2"/>
      <c r="J83" s="158">
        <v>0</v>
      </c>
      <c r="K83" s="151">
        <v>0</v>
      </c>
      <c r="L83" s="151">
        <v>36.99</v>
      </c>
      <c r="M83" s="151">
        <v>36.99</v>
      </c>
      <c r="N83" s="151">
        <v>0</v>
      </c>
    </row>
    <row r="84" spans="2:16">
      <c r="B84" s="154">
        <v>12197</v>
      </c>
      <c r="C84" t="s">
        <v>48</v>
      </c>
      <c r="D84" s="155" t="s">
        <v>73</v>
      </c>
      <c r="E84" s="156">
        <v>33.99</v>
      </c>
      <c r="F84" s="156">
        <v>33.99</v>
      </c>
      <c r="G84" s="156" t="s">
        <v>348</v>
      </c>
      <c r="H84" s="158">
        <v>0</v>
      </c>
      <c r="I84" s="2"/>
      <c r="J84" s="158">
        <v>0</v>
      </c>
      <c r="K84" s="151">
        <v>0</v>
      </c>
      <c r="L84" s="151">
        <v>33.99</v>
      </c>
      <c r="M84" s="151">
        <v>33.99</v>
      </c>
      <c r="N84" s="151">
        <v>0</v>
      </c>
    </row>
    <row r="85" spans="2:16">
      <c r="B85" s="154">
        <v>12182</v>
      </c>
      <c r="C85" t="s">
        <v>58</v>
      </c>
      <c r="D85" s="155" t="s">
        <v>315</v>
      </c>
      <c r="E85" s="156">
        <v>41.99</v>
      </c>
      <c r="F85" s="156">
        <v>42.49</v>
      </c>
      <c r="G85" s="156" t="s">
        <v>220</v>
      </c>
      <c r="H85">
        <v>66</v>
      </c>
      <c r="I85" s="2"/>
      <c r="J85" s="158">
        <v>66</v>
      </c>
      <c r="K85" s="151">
        <v>38</v>
      </c>
      <c r="L85" s="151">
        <v>3.990000000000002</v>
      </c>
      <c r="M85" s="151">
        <v>4.490000000000002</v>
      </c>
      <c r="N85" s="151">
        <v>14.492303030303029</v>
      </c>
      <c r="P85" s="151"/>
    </row>
    <row r="86" spans="2:16">
      <c r="B86" s="154">
        <v>12166</v>
      </c>
      <c r="C86" t="s">
        <v>262</v>
      </c>
      <c r="D86" s="155" t="s">
        <v>73</v>
      </c>
      <c r="E86" s="156">
        <v>36.99</v>
      </c>
      <c r="F86" s="156">
        <v>39.69</v>
      </c>
      <c r="G86" s="156" t="s">
        <v>254</v>
      </c>
      <c r="H86" s="161">
        <v>0</v>
      </c>
      <c r="I86" s="2"/>
      <c r="J86" s="158">
        <v>0</v>
      </c>
      <c r="K86" s="151">
        <v>0</v>
      </c>
      <c r="L86" s="151">
        <v>36.99</v>
      </c>
      <c r="M86" s="151">
        <v>39.69</v>
      </c>
      <c r="N86" s="151">
        <v>0</v>
      </c>
    </row>
    <row r="87" spans="2:16">
      <c r="B87" s="154">
        <v>12130</v>
      </c>
      <c r="C87" t="s">
        <v>263</v>
      </c>
      <c r="D87" s="155" t="s">
        <v>140</v>
      </c>
      <c r="E87" s="156">
        <v>36.5</v>
      </c>
      <c r="F87" s="156">
        <v>36.5</v>
      </c>
      <c r="G87" s="156" t="s">
        <v>235</v>
      </c>
      <c r="H87">
        <v>0</v>
      </c>
      <c r="I87" s="2"/>
      <c r="J87" s="158">
        <v>0</v>
      </c>
      <c r="K87" s="151">
        <v>0</v>
      </c>
      <c r="L87" s="151">
        <v>36.5</v>
      </c>
      <c r="M87" s="151">
        <v>36.5</v>
      </c>
      <c r="N87" s="151">
        <v>0</v>
      </c>
    </row>
    <row r="88" spans="2:16">
      <c r="B88" s="154">
        <v>12039</v>
      </c>
      <c r="C88" t="s">
        <v>260</v>
      </c>
      <c r="D88" s="155" t="s">
        <v>441</v>
      </c>
      <c r="E88" s="156">
        <v>40.99</v>
      </c>
      <c r="F88" s="156">
        <v>41.99</v>
      </c>
      <c r="G88" s="156" t="s">
        <v>220</v>
      </c>
      <c r="H88" s="161">
        <v>127</v>
      </c>
      <c r="I88" s="2"/>
      <c r="J88" s="158">
        <v>127</v>
      </c>
      <c r="K88" s="151">
        <v>38</v>
      </c>
      <c r="L88" s="151">
        <v>2.990000000000002</v>
      </c>
      <c r="M88" s="151">
        <v>3.990000000000002</v>
      </c>
      <c r="N88" s="151">
        <v>23.772692913385828</v>
      </c>
      <c r="P88" s="151"/>
    </row>
    <row r="89" spans="2:16">
      <c r="B89" s="154">
        <v>12001</v>
      </c>
      <c r="C89" t="s">
        <v>259</v>
      </c>
      <c r="D89" s="155" t="s">
        <v>410</v>
      </c>
      <c r="E89" s="156">
        <v>51.99</v>
      </c>
      <c r="F89" s="156">
        <v>49.99</v>
      </c>
      <c r="G89" s="156" t="s">
        <v>220</v>
      </c>
      <c r="H89">
        <v>18</v>
      </c>
      <c r="I89" s="2"/>
      <c r="J89" s="158">
        <v>18</v>
      </c>
      <c r="K89" s="151">
        <v>48</v>
      </c>
      <c r="L89" s="151">
        <v>3.990000000000002</v>
      </c>
      <c r="M89" s="151">
        <v>1.990000000000002</v>
      </c>
      <c r="N89" s="151">
        <v>24.057222222222222</v>
      </c>
      <c r="P89" s="151"/>
    </row>
    <row r="90" spans="2:16">
      <c r="B90" s="154">
        <v>12315</v>
      </c>
      <c r="C90" t="s">
        <v>261</v>
      </c>
      <c r="D90" s="155" t="s">
        <v>333</v>
      </c>
      <c r="E90" s="156">
        <v>40.39</v>
      </c>
      <c r="F90" s="156">
        <v>39.99</v>
      </c>
      <c r="G90" s="156" t="s">
        <v>220</v>
      </c>
      <c r="H90" s="161">
        <v>270</v>
      </c>
      <c r="I90" s="2"/>
      <c r="J90" s="158">
        <v>270</v>
      </c>
      <c r="K90" s="151">
        <v>37.944970285576765</v>
      </c>
      <c r="L90" s="151">
        <v>2.4450297144232351</v>
      </c>
      <c r="M90" s="151">
        <v>2.0450297144232366</v>
      </c>
      <c r="N90" s="151">
        <v>22.899466666666665</v>
      </c>
      <c r="P90" s="151"/>
    </row>
    <row r="91" spans="2:16">
      <c r="B91" s="154">
        <v>12129</v>
      </c>
      <c r="C91" t="s">
        <v>157</v>
      </c>
      <c r="D91" s="155" t="s">
        <v>140</v>
      </c>
      <c r="E91" s="156">
        <v>33.9</v>
      </c>
      <c r="F91" s="156">
        <v>33.9</v>
      </c>
      <c r="G91" s="156" t="s">
        <v>235</v>
      </c>
      <c r="H91">
        <v>0</v>
      </c>
      <c r="I91" s="2"/>
      <c r="J91" s="158">
        <v>0</v>
      </c>
      <c r="K91" s="151">
        <v>0</v>
      </c>
      <c r="L91" s="151">
        <v>33.9</v>
      </c>
      <c r="M91" s="151">
        <v>33.9</v>
      </c>
      <c r="N91" s="151">
        <v>0</v>
      </c>
    </row>
    <row r="92" spans="2:16">
      <c r="B92" s="154">
        <v>12058</v>
      </c>
      <c r="C92" t="s">
        <v>157</v>
      </c>
      <c r="D92" s="155" t="s">
        <v>140</v>
      </c>
      <c r="E92" s="156">
        <v>34.9</v>
      </c>
      <c r="F92" s="156">
        <v>34.9</v>
      </c>
      <c r="G92" s="156" t="s">
        <v>221</v>
      </c>
      <c r="H92">
        <v>0</v>
      </c>
      <c r="I92" s="2"/>
      <c r="J92" s="158">
        <v>0</v>
      </c>
      <c r="K92" s="151">
        <v>0</v>
      </c>
      <c r="L92" s="151">
        <v>34.9</v>
      </c>
      <c r="M92" s="151">
        <v>34.9</v>
      </c>
      <c r="N92" s="151">
        <v>0</v>
      </c>
    </row>
    <row r="93" spans="2:16">
      <c r="B93" s="154">
        <v>12196</v>
      </c>
      <c r="C93" t="s">
        <v>157</v>
      </c>
      <c r="D93" s="155" t="s">
        <v>140</v>
      </c>
      <c r="E93" s="156">
        <v>34.9</v>
      </c>
      <c r="F93" s="156">
        <v>34.9</v>
      </c>
      <c r="G93" s="156" t="s">
        <v>222</v>
      </c>
      <c r="H93">
        <v>0</v>
      </c>
      <c r="I93" s="2"/>
      <c r="J93" s="158">
        <v>0</v>
      </c>
      <c r="K93" s="151">
        <v>0</v>
      </c>
      <c r="L93" s="151">
        <v>34.9</v>
      </c>
      <c r="M93" s="151">
        <v>34.9</v>
      </c>
      <c r="N93" s="151">
        <v>0</v>
      </c>
    </row>
    <row r="94" spans="2:16">
      <c r="B94" s="154">
        <v>12044</v>
      </c>
      <c r="C94" t="s">
        <v>208</v>
      </c>
      <c r="D94" s="155" t="s">
        <v>315</v>
      </c>
      <c r="E94" s="156">
        <v>40.69</v>
      </c>
      <c r="F94" s="156">
        <v>40.99</v>
      </c>
      <c r="G94" s="156" t="s">
        <v>220</v>
      </c>
      <c r="H94" s="158">
        <v>40</v>
      </c>
      <c r="I94" s="2"/>
      <c r="J94" s="158">
        <v>40</v>
      </c>
      <c r="K94" s="151">
        <v>38</v>
      </c>
      <c r="L94" s="151">
        <v>2.6899999999999977</v>
      </c>
      <c r="M94" s="151">
        <v>2.990000000000002</v>
      </c>
      <c r="N94" s="151">
        <v>15.968500000000001</v>
      </c>
      <c r="P94" s="151"/>
    </row>
    <row r="95" spans="2:16">
      <c r="B95" s="154">
        <v>12072</v>
      </c>
      <c r="C95" t="s">
        <v>148</v>
      </c>
      <c r="D95" s="155" t="s">
        <v>315</v>
      </c>
      <c r="E95" s="156">
        <v>63.99</v>
      </c>
      <c r="F95" s="156">
        <v>63.99</v>
      </c>
      <c r="G95" s="156" t="s">
        <v>220</v>
      </c>
      <c r="H95">
        <v>4</v>
      </c>
      <c r="I95" s="2"/>
      <c r="J95" s="158">
        <v>4</v>
      </c>
      <c r="K95" s="151">
        <v>59</v>
      </c>
      <c r="L95" s="151">
        <v>4.990000000000002</v>
      </c>
      <c r="M95" s="151">
        <v>4.990000000000002</v>
      </c>
      <c r="N95" s="151">
        <v>16.7</v>
      </c>
    </row>
    <row r="96" spans="2:16">
      <c r="B96" s="154">
        <v>12011</v>
      </c>
      <c r="C96" t="s">
        <v>103</v>
      </c>
      <c r="D96" s="155" t="s">
        <v>140</v>
      </c>
      <c r="E96" s="156">
        <v>60</v>
      </c>
      <c r="F96" s="156">
        <v>60</v>
      </c>
      <c r="G96" s="156" t="s">
        <v>220</v>
      </c>
      <c r="H96">
        <v>0</v>
      </c>
      <c r="I96" s="2"/>
      <c r="J96" s="158">
        <v>0</v>
      </c>
      <c r="K96" s="151">
        <v>0</v>
      </c>
      <c r="L96" s="151">
        <v>60</v>
      </c>
      <c r="M96" s="151">
        <v>60</v>
      </c>
      <c r="N96" s="151">
        <v>0</v>
      </c>
    </row>
    <row r="97" spans="2:16">
      <c r="B97" s="154">
        <v>24039</v>
      </c>
      <c r="C97" t="s">
        <v>176</v>
      </c>
      <c r="D97" s="155" t="s">
        <v>139</v>
      </c>
      <c r="E97" s="156">
        <v>55.9</v>
      </c>
      <c r="F97" s="156">
        <v>55.9</v>
      </c>
      <c r="G97" s="156" t="s">
        <v>220</v>
      </c>
      <c r="H97">
        <v>0</v>
      </c>
      <c r="I97" s="2"/>
      <c r="J97" s="158">
        <v>0</v>
      </c>
      <c r="K97" s="151">
        <v>0</v>
      </c>
      <c r="L97" s="151">
        <v>55.9</v>
      </c>
      <c r="M97" s="151">
        <v>55.9</v>
      </c>
      <c r="N97" s="151">
        <v>0</v>
      </c>
    </row>
    <row r="98" spans="2:16">
      <c r="B98" s="154">
        <v>12272</v>
      </c>
      <c r="C98" t="s">
        <v>148</v>
      </c>
      <c r="D98" s="155" t="s">
        <v>149</v>
      </c>
      <c r="E98" s="156">
        <v>63</v>
      </c>
      <c r="F98" s="156">
        <v>63</v>
      </c>
      <c r="G98" s="156" t="s">
        <v>220</v>
      </c>
      <c r="H98">
        <v>0</v>
      </c>
      <c r="I98" s="2"/>
      <c r="J98" s="158">
        <v>0</v>
      </c>
      <c r="K98" s="151">
        <v>0</v>
      </c>
      <c r="L98" s="151">
        <v>63</v>
      </c>
      <c r="M98" s="151">
        <v>63</v>
      </c>
      <c r="N98" s="151">
        <v>0</v>
      </c>
    </row>
    <row r="99" spans="2:16">
      <c r="B99" s="154">
        <v>12123</v>
      </c>
      <c r="C99" t="s">
        <v>163</v>
      </c>
      <c r="D99" s="155" t="s">
        <v>345</v>
      </c>
      <c r="E99" s="156">
        <v>58.49</v>
      </c>
      <c r="F99" s="156">
        <v>58.49</v>
      </c>
      <c r="G99" s="156" t="s">
        <v>254</v>
      </c>
      <c r="H99">
        <v>0</v>
      </c>
      <c r="I99" s="2"/>
      <c r="J99" s="158">
        <v>0</v>
      </c>
      <c r="K99" s="151">
        <v>0</v>
      </c>
      <c r="L99" s="151">
        <v>58.49</v>
      </c>
      <c r="M99" s="151">
        <v>58.49</v>
      </c>
      <c r="N99" s="151">
        <v>0</v>
      </c>
    </row>
    <row r="100" spans="2:16">
      <c r="B100" s="154">
        <v>12214</v>
      </c>
      <c r="C100" t="s">
        <v>145</v>
      </c>
      <c r="D100" s="155" t="s">
        <v>73</v>
      </c>
      <c r="E100" s="156">
        <v>58.99</v>
      </c>
      <c r="F100" s="156">
        <v>56.99</v>
      </c>
      <c r="G100" s="156" t="s">
        <v>415</v>
      </c>
      <c r="H100">
        <v>0</v>
      </c>
      <c r="I100" s="2"/>
      <c r="J100" s="158">
        <v>0</v>
      </c>
      <c r="K100" s="151">
        <v>0</v>
      </c>
      <c r="L100" s="151">
        <v>58.99</v>
      </c>
      <c r="M100" s="151">
        <v>56.99</v>
      </c>
      <c r="N100" s="151">
        <v>0</v>
      </c>
    </row>
    <row r="101" spans="2:16">
      <c r="B101" s="154"/>
      <c r="C101" t="s">
        <v>288</v>
      </c>
      <c r="D101" s="155" t="s">
        <v>149</v>
      </c>
      <c r="E101" s="156">
        <v>30.9</v>
      </c>
      <c r="F101" s="156">
        <v>30.9</v>
      </c>
      <c r="G101" s="156" t="s">
        <v>220</v>
      </c>
      <c r="H101" s="158">
        <v>0</v>
      </c>
      <c r="I101" s="2"/>
      <c r="J101" s="158">
        <v>0</v>
      </c>
      <c r="K101" s="151">
        <v>0</v>
      </c>
      <c r="L101" s="151">
        <v>30.9</v>
      </c>
      <c r="M101" s="151">
        <v>30.9</v>
      </c>
      <c r="N101" s="151">
        <v>0</v>
      </c>
    </row>
    <row r="102" spans="2:16">
      <c r="B102" s="154">
        <v>12136</v>
      </c>
      <c r="C102" t="s">
        <v>145</v>
      </c>
      <c r="D102" s="155" t="s">
        <v>315</v>
      </c>
      <c r="E102" s="156">
        <v>64.989999999999995</v>
      </c>
      <c r="F102" s="156">
        <v>64.989999999999995</v>
      </c>
      <c r="G102" s="156" t="s">
        <v>220</v>
      </c>
      <c r="H102">
        <v>33</v>
      </c>
      <c r="I102" s="2"/>
      <c r="J102" s="158">
        <v>33</v>
      </c>
      <c r="K102" s="151">
        <v>61</v>
      </c>
      <c r="L102" s="151">
        <v>3.9899999999999949</v>
      </c>
      <c r="M102" s="151">
        <v>3.9899999999999949</v>
      </c>
      <c r="N102" s="151">
        <v>15.428454545454546</v>
      </c>
      <c r="P102" s="151"/>
    </row>
    <row r="103" spans="2:16">
      <c r="B103" s="154">
        <v>12184</v>
      </c>
      <c r="C103" t="s">
        <v>321</v>
      </c>
      <c r="D103" s="155" t="s">
        <v>73</v>
      </c>
      <c r="E103" s="156">
        <v>58.99</v>
      </c>
      <c r="F103" s="156">
        <v>58.99</v>
      </c>
      <c r="G103" s="156" t="s">
        <v>268</v>
      </c>
      <c r="H103">
        <v>0</v>
      </c>
      <c r="I103" s="2"/>
      <c r="J103" s="158">
        <v>0</v>
      </c>
      <c r="K103" s="151">
        <v>0</v>
      </c>
      <c r="L103" s="151">
        <v>58.99</v>
      </c>
      <c r="M103" s="151">
        <v>58.99</v>
      </c>
      <c r="N103" s="151">
        <v>0</v>
      </c>
    </row>
    <row r="104" spans="2:16">
      <c r="B104" s="154">
        <v>12060</v>
      </c>
      <c r="C104" t="s">
        <v>196</v>
      </c>
      <c r="D104" s="155" t="s">
        <v>428</v>
      </c>
      <c r="E104" s="156">
        <v>29.99</v>
      </c>
      <c r="F104" s="156">
        <v>28.99</v>
      </c>
      <c r="G104" s="156" t="s">
        <v>268</v>
      </c>
      <c r="H104">
        <v>0</v>
      </c>
      <c r="I104" s="2"/>
      <c r="J104" s="158">
        <v>0</v>
      </c>
      <c r="K104" s="151">
        <v>0</v>
      </c>
      <c r="L104" s="151">
        <v>29.99</v>
      </c>
      <c r="M104" s="151">
        <v>28.99</v>
      </c>
      <c r="N104" s="151">
        <v>0</v>
      </c>
    </row>
    <row r="105" spans="2:16">
      <c r="B105" s="154">
        <v>12120</v>
      </c>
      <c r="C105" t="s">
        <v>101</v>
      </c>
      <c r="D105" s="155" t="s">
        <v>412</v>
      </c>
      <c r="E105" s="156">
        <v>29.99</v>
      </c>
      <c r="F105" s="156">
        <v>29.99</v>
      </c>
      <c r="G105" s="156" t="s">
        <v>415</v>
      </c>
      <c r="H105" s="161">
        <v>0</v>
      </c>
      <c r="I105" s="2"/>
      <c r="J105" s="158">
        <v>0</v>
      </c>
      <c r="K105" s="151">
        <v>0</v>
      </c>
      <c r="L105" s="151">
        <v>29.99</v>
      </c>
      <c r="M105" s="151">
        <v>29.99</v>
      </c>
      <c r="N105" s="151">
        <v>0</v>
      </c>
    </row>
    <row r="106" spans="2:16">
      <c r="B106" s="154">
        <v>12188</v>
      </c>
      <c r="C106" t="s">
        <v>396</v>
      </c>
      <c r="D106" s="155" t="s">
        <v>73</v>
      </c>
      <c r="E106" s="156">
        <v>23.99</v>
      </c>
      <c r="F106" s="156">
        <v>30.49</v>
      </c>
      <c r="G106" s="156" t="s">
        <v>254</v>
      </c>
      <c r="H106">
        <v>0</v>
      </c>
      <c r="I106" s="2"/>
      <c r="J106" s="158">
        <v>0</v>
      </c>
      <c r="K106" s="151">
        <v>0</v>
      </c>
      <c r="L106" s="151">
        <v>23.99</v>
      </c>
      <c r="M106" s="151">
        <v>30.49</v>
      </c>
      <c r="N106" s="151">
        <v>0</v>
      </c>
    </row>
    <row r="107" spans="2:16">
      <c r="B107" s="154">
        <v>12043</v>
      </c>
      <c r="C107" t="s">
        <v>289</v>
      </c>
      <c r="D107" s="155" t="s">
        <v>143</v>
      </c>
      <c r="E107" s="156">
        <v>37.99</v>
      </c>
      <c r="F107" s="156">
        <v>39.99</v>
      </c>
      <c r="G107" s="156" t="s">
        <v>220</v>
      </c>
      <c r="H107" s="161">
        <v>16</v>
      </c>
      <c r="I107" s="2"/>
      <c r="J107" s="158">
        <v>16</v>
      </c>
      <c r="K107" s="151">
        <v>32</v>
      </c>
      <c r="L107" s="151">
        <v>5.990000000000002</v>
      </c>
      <c r="M107" s="151">
        <v>7.990000000000002</v>
      </c>
      <c r="N107" s="151">
        <v>20.1678125</v>
      </c>
    </row>
    <row r="108" spans="2:16">
      <c r="B108" s="154">
        <v>12138</v>
      </c>
      <c r="C108" t="s">
        <v>92</v>
      </c>
      <c r="D108" s="155" t="s">
        <v>345</v>
      </c>
      <c r="E108" s="156">
        <v>32.99</v>
      </c>
      <c r="F108" s="156">
        <v>32.99</v>
      </c>
      <c r="G108" s="156" t="s">
        <v>220</v>
      </c>
      <c r="H108" s="158">
        <v>0</v>
      </c>
      <c r="I108" s="2"/>
      <c r="J108" s="158">
        <v>0</v>
      </c>
      <c r="K108" s="151">
        <v>0</v>
      </c>
      <c r="L108" s="151">
        <v>32.99</v>
      </c>
      <c r="M108" s="151">
        <v>32.99</v>
      </c>
      <c r="N108" s="151">
        <v>0</v>
      </c>
    </row>
    <row r="109" spans="2:16">
      <c r="B109" s="154">
        <v>12249</v>
      </c>
      <c r="C109" t="s">
        <v>101</v>
      </c>
      <c r="D109" s="155" t="s">
        <v>352</v>
      </c>
      <c r="E109" s="156">
        <v>29.59</v>
      </c>
      <c r="F109" s="156">
        <v>29.59</v>
      </c>
      <c r="G109" s="156" t="s">
        <v>348</v>
      </c>
      <c r="H109">
        <v>0</v>
      </c>
      <c r="I109" s="2"/>
      <c r="J109" s="158">
        <v>0</v>
      </c>
      <c r="K109" s="151">
        <v>0</v>
      </c>
      <c r="L109" s="151">
        <v>29.59</v>
      </c>
      <c r="M109" s="151">
        <v>29.59</v>
      </c>
      <c r="N109" s="151">
        <v>0</v>
      </c>
    </row>
    <row r="110" spans="2:16">
      <c r="B110" s="154">
        <v>12069</v>
      </c>
      <c r="C110" t="s">
        <v>125</v>
      </c>
      <c r="D110" s="155" t="s">
        <v>139</v>
      </c>
      <c r="E110" s="156">
        <v>32.9</v>
      </c>
      <c r="F110" s="156">
        <v>32.9</v>
      </c>
      <c r="G110" s="156" t="s">
        <v>236</v>
      </c>
      <c r="H110">
        <v>0</v>
      </c>
      <c r="I110" s="2"/>
      <c r="J110" s="158">
        <v>0</v>
      </c>
      <c r="K110" s="151">
        <v>0</v>
      </c>
      <c r="L110" s="151">
        <v>32.9</v>
      </c>
      <c r="M110" s="151">
        <v>32.9</v>
      </c>
      <c r="N110" s="151">
        <v>0</v>
      </c>
    </row>
    <row r="111" spans="2:16">
      <c r="B111" s="154">
        <v>12132</v>
      </c>
      <c r="C111" t="s">
        <v>104</v>
      </c>
      <c r="D111" s="155" t="s">
        <v>139</v>
      </c>
      <c r="E111" s="156">
        <v>34.9</v>
      </c>
      <c r="F111" s="156">
        <v>34.9</v>
      </c>
      <c r="G111" s="156" t="s">
        <v>221</v>
      </c>
      <c r="H111">
        <v>0</v>
      </c>
      <c r="I111" s="2"/>
      <c r="J111" s="158">
        <v>0</v>
      </c>
      <c r="K111" s="151">
        <v>0</v>
      </c>
      <c r="L111" s="151">
        <v>34.9</v>
      </c>
      <c r="M111" s="151">
        <v>34.9</v>
      </c>
      <c r="N111" s="151">
        <v>0</v>
      </c>
    </row>
    <row r="112" spans="2:16">
      <c r="B112" s="154">
        <v>12020</v>
      </c>
      <c r="C112" t="s">
        <v>78</v>
      </c>
      <c r="D112" s="155" t="s">
        <v>350</v>
      </c>
      <c r="E112" s="156">
        <v>34.99</v>
      </c>
      <c r="F112" s="156">
        <v>34.99</v>
      </c>
      <c r="G112" s="156" t="s">
        <v>220</v>
      </c>
      <c r="H112" s="161">
        <v>68</v>
      </c>
      <c r="I112" s="2"/>
      <c r="J112" s="158">
        <v>68</v>
      </c>
      <c r="K112" s="151">
        <v>32.475801836690813</v>
      </c>
      <c r="L112" s="151">
        <v>2.5141981633091888</v>
      </c>
      <c r="M112" s="151">
        <v>2.5141981633091888</v>
      </c>
      <c r="N112" s="151">
        <v>22.844794117647062</v>
      </c>
    </row>
    <row r="113" spans="2:16">
      <c r="B113" s="154">
        <v>12302</v>
      </c>
      <c r="C113" t="s">
        <v>273</v>
      </c>
      <c r="D113" s="155" t="s">
        <v>139</v>
      </c>
      <c r="E113" s="156">
        <v>38.99</v>
      </c>
      <c r="F113" s="156">
        <v>38.99</v>
      </c>
      <c r="G113" s="156" t="s">
        <v>220</v>
      </c>
      <c r="H113">
        <v>0</v>
      </c>
      <c r="I113" s="2"/>
      <c r="J113" s="158">
        <v>0</v>
      </c>
      <c r="K113" s="151">
        <v>0</v>
      </c>
      <c r="L113" s="151">
        <v>38.99</v>
      </c>
      <c r="M113" s="151">
        <v>38.99</v>
      </c>
      <c r="N113" s="151">
        <v>0</v>
      </c>
    </row>
    <row r="114" spans="2:16">
      <c r="B114" s="154">
        <v>12018</v>
      </c>
      <c r="C114" t="s">
        <v>79</v>
      </c>
      <c r="D114" s="155" t="s">
        <v>350</v>
      </c>
      <c r="E114" s="156">
        <v>36.590000000000003</v>
      </c>
      <c r="F114" s="156">
        <v>36.89</v>
      </c>
      <c r="G114" s="156" t="s">
        <v>220</v>
      </c>
      <c r="H114" s="161">
        <v>313</v>
      </c>
      <c r="I114" s="2"/>
      <c r="J114" s="158">
        <v>313</v>
      </c>
      <c r="K114" s="151">
        <v>32.985089901318723</v>
      </c>
      <c r="L114" s="151">
        <v>3.6049100986812803</v>
      </c>
      <c r="M114" s="151">
        <v>3.9049100986812775</v>
      </c>
      <c r="N114" s="151">
        <v>24.580376996805111</v>
      </c>
      <c r="P114" s="151"/>
    </row>
    <row r="115" spans="2:16">
      <c r="B115" s="154">
        <v>12131</v>
      </c>
      <c r="C115" t="s">
        <v>79</v>
      </c>
      <c r="D115" s="155" t="s">
        <v>140</v>
      </c>
      <c r="E115" s="156">
        <v>28.29</v>
      </c>
      <c r="F115" s="156">
        <v>28.29</v>
      </c>
      <c r="G115" s="156" t="s">
        <v>238</v>
      </c>
      <c r="H115">
        <v>0</v>
      </c>
      <c r="I115" s="2"/>
      <c r="J115" s="158">
        <v>0</v>
      </c>
      <c r="K115" s="151">
        <v>0</v>
      </c>
      <c r="L115" s="151">
        <v>28.29</v>
      </c>
      <c r="M115" s="151">
        <v>28.29</v>
      </c>
      <c r="N115" s="151">
        <v>0</v>
      </c>
    </row>
    <row r="116" spans="2:16">
      <c r="B116" s="154">
        <v>12320</v>
      </c>
      <c r="C116" t="s">
        <v>79</v>
      </c>
      <c r="D116" s="155" t="s">
        <v>140</v>
      </c>
      <c r="E116" s="156">
        <v>27.79</v>
      </c>
      <c r="F116" s="156">
        <v>27.79</v>
      </c>
      <c r="G116" s="156" t="s">
        <v>220</v>
      </c>
      <c r="H116">
        <v>0</v>
      </c>
      <c r="I116" s="2"/>
      <c r="J116" s="158">
        <v>0</v>
      </c>
      <c r="K116" s="151">
        <v>0</v>
      </c>
      <c r="L116" s="151">
        <v>27.79</v>
      </c>
      <c r="M116" s="151">
        <v>27.79</v>
      </c>
      <c r="N116" s="151">
        <v>0</v>
      </c>
    </row>
    <row r="117" spans="2:16">
      <c r="B117" s="154">
        <v>12116</v>
      </c>
      <c r="C117" t="s">
        <v>121</v>
      </c>
      <c r="D117" s="155" t="s">
        <v>332</v>
      </c>
      <c r="E117" s="156">
        <v>46.99</v>
      </c>
      <c r="F117" s="156">
        <v>47.99</v>
      </c>
      <c r="G117" s="156" t="s">
        <v>220</v>
      </c>
      <c r="H117" s="161">
        <v>55</v>
      </c>
      <c r="I117" s="2"/>
      <c r="J117" s="158">
        <v>55</v>
      </c>
      <c r="K117" s="151">
        <v>43</v>
      </c>
      <c r="L117" s="151">
        <v>3.990000000000002</v>
      </c>
      <c r="M117" s="151">
        <v>4.990000000000002</v>
      </c>
      <c r="N117" s="151">
        <v>12.3828</v>
      </c>
      <c r="P117" s="151"/>
    </row>
    <row r="118" spans="2:16">
      <c r="B118" s="154">
        <v>12126</v>
      </c>
      <c r="C118" t="s">
        <v>147</v>
      </c>
      <c r="D118" s="155" t="s">
        <v>142</v>
      </c>
      <c r="E118" s="156"/>
      <c r="F118" s="156"/>
      <c r="G118" s="156" t="s">
        <v>239</v>
      </c>
      <c r="H118">
        <v>0</v>
      </c>
      <c r="I118" s="2"/>
      <c r="J118" s="158">
        <v>0</v>
      </c>
      <c r="K118" s="151">
        <v>0</v>
      </c>
      <c r="L118" s="151">
        <v>0</v>
      </c>
      <c r="M118" s="151">
        <v>0</v>
      </c>
      <c r="N118" s="151">
        <v>0</v>
      </c>
    </row>
    <row r="119" spans="2:16">
      <c r="B119" s="154">
        <v>12106</v>
      </c>
      <c r="C119" t="s">
        <v>285</v>
      </c>
      <c r="D119" s="155" t="s">
        <v>142</v>
      </c>
      <c r="E119" s="156">
        <v>32.590000000000003</v>
      </c>
      <c r="F119" s="156">
        <v>32.590000000000003</v>
      </c>
      <c r="G119" s="156" t="s">
        <v>220</v>
      </c>
      <c r="H119">
        <v>0</v>
      </c>
      <c r="I119" s="2"/>
      <c r="J119" s="158">
        <v>0</v>
      </c>
      <c r="K119" s="151">
        <v>0</v>
      </c>
      <c r="L119" s="151">
        <v>32.590000000000003</v>
      </c>
      <c r="M119" s="151">
        <v>32.590000000000003</v>
      </c>
      <c r="N119" s="151">
        <v>0</v>
      </c>
    </row>
    <row r="120" spans="2:16">
      <c r="B120" s="154">
        <v>15002</v>
      </c>
      <c r="C120" t="s">
        <v>170</v>
      </c>
      <c r="D120" s="155" t="s">
        <v>142</v>
      </c>
      <c r="E120" s="156">
        <v>49.9</v>
      </c>
      <c r="F120" s="156">
        <v>49.9</v>
      </c>
      <c r="G120" s="156" t="s">
        <v>220</v>
      </c>
      <c r="H120">
        <v>0</v>
      </c>
      <c r="I120" s="2"/>
      <c r="J120" s="158">
        <v>0</v>
      </c>
      <c r="K120" s="151">
        <v>0</v>
      </c>
      <c r="L120" s="151">
        <v>49.9</v>
      </c>
      <c r="M120" s="151">
        <v>49.9</v>
      </c>
      <c r="N120" s="151">
        <v>0</v>
      </c>
    </row>
    <row r="121" spans="2:16">
      <c r="B121" s="154">
        <v>12042</v>
      </c>
      <c r="C121" t="s">
        <v>121</v>
      </c>
      <c r="D121" s="155" t="s">
        <v>142</v>
      </c>
      <c r="E121" s="156">
        <v>38.99</v>
      </c>
      <c r="F121" s="156">
        <v>38.99</v>
      </c>
      <c r="G121" s="156" t="s">
        <v>220</v>
      </c>
      <c r="H121" s="161">
        <v>0</v>
      </c>
      <c r="I121" s="2"/>
      <c r="J121" s="158">
        <v>0</v>
      </c>
      <c r="K121" s="151">
        <v>0</v>
      </c>
      <c r="L121" s="151">
        <v>38.99</v>
      </c>
      <c r="M121" s="151">
        <v>38.99</v>
      </c>
      <c r="N121" s="151">
        <v>0</v>
      </c>
    </row>
    <row r="122" spans="2:16">
      <c r="B122" s="154">
        <v>12157</v>
      </c>
      <c r="C122" t="s">
        <v>121</v>
      </c>
      <c r="D122" s="155" t="s">
        <v>140</v>
      </c>
      <c r="E122" s="156"/>
      <c r="F122" s="156"/>
      <c r="G122" s="156" t="s">
        <v>234</v>
      </c>
      <c r="H122">
        <v>0</v>
      </c>
      <c r="I122" s="2"/>
      <c r="J122" s="158">
        <v>0</v>
      </c>
      <c r="K122" s="151">
        <v>0</v>
      </c>
      <c r="L122" s="151">
        <v>0</v>
      </c>
      <c r="M122" s="151">
        <v>0</v>
      </c>
      <c r="N122" s="151">
        <v>0</v>
      </c>
    </row>
    <row r="123" spans="2:16">
      <c r="B123" s="154">
        <v>12137</v>
      </c>
      <c r="C123" t="s">
        <v>353</v>
      </c>
      <c r="D123" s="155" t="s">
        <v>332</v>
      </c>
      <c r="E123" s="156">
        <v>69.989999999999995</v>
      </c>
      <c r="F123" s="156">
        <v>72.989999999999995</v>
      </c>
      <c r="G123" s="156" t="s">
        <v>220</v>
      </c>
      <c r="H123" s="161">
        <v>19</v>
      </c>
      <c r="I123" s="2"/>
      <c r="J123" s="158">
        <v>19</v>
      </c>
      <c r="K123" s="151">
        <v>59.999999999999993</v>
      </c>
      <c r="L123" s="151">
        <v>9.990000000000002</v>
      </c>
      <c r="M123" s="151">
        <v>12.990000000000002</v>
      </c>
      <c r="N123" s="151">
        <v>11.645263157894737</v>
      </c>
      <c r="P123" s="151"/>
    </row>
    <row r="124" spans="2:16">
      <c r="B124" s="154">
        <v>12335</v>
      </c>
      <c r="C124" t="s">
        <v>337</v>
      </c>
      <c r="D124" s="155" t="s">
        <v>332</v>
      </c>
      <c r="E124" s="156">
        <v>32.99</v>
      </c>
      <c r="F124" s="156">
        <v>32.99</v>
      </c>
      <c r="G124" s="156" t="s">
        <v>220</v>
      </c>
      <c r="H124" s="161">
        <v>0</v>
      </c>
      <c r="I124" s="2"/>
      <c r="J124" s="158">
        <v>0</v>
      </c>
      <c r="K124" s="151">
        <v>30</v>
      </c>
      <c r="L124" s="151">
        <v>2.990000000000002</v>
      </c>
      <c r="M124" s="151">
        <v>2.990000000000002</v>
      </c>
      <c r="N124" s="151">
        <v>0</v>
      </c>
      <c r="P124" s="151"/>
    </row>
    <row r="125" spans="2:16">
      <c r="B125" s="154">
        <v>15012</v>
      </c>
      <c r="C125" t="s">
        <v>171</v>
      </c>
      <c r="D125" s="155" t="s">
        <v>142</v>
      </c>
      <c r="E125" s="156">
        <v>54.9</v>
      </c>
      <c r="F125" s="156">
        <v>54.9</v>
      </c>
      <c r="G125" s="156" t="s">
        <v>220</v>
      </c>
      <c r="H125">
        <v>0</v>
      </c>
      <c r="I125" s="2"/>
      <c r="J125" s="158">
        <v>0</v>
      </c>
      <c r="K125" s="151">
        <v>0</v>
      </c>
      <c r="L125" s="151">
        <v>54.9</v>
      </c>
      <c r="M125" s="151">
        <v>54.9</v>
      </c>
      <c r="N125" s="151">
        <v>0</v>
      </c>
    </row>
    <row r="126" spans="2:16">
      <c r="B126" s="154">
        <v>12301</v>
      </c>
      <c r="C126" t="s">
        <v>162</v>
      </c>
      <c r="D126" s="155" t="s">
        <v>139</v>
      </c>
      <c r="E126" s="156"/>
      <c r="F126" s="156"/>
      <c r="G126" s="156" t="s">
        <v>236</v>
      </c>
      <c r="H126">
        <v>0</v>
      </c>
      <c r="J126" s="158">
        <v>0</v>
      </c>
      <c r="K126" s="151">
        <v>0</v>
      </c>
      <c r="L126" s="151">
        <v>0</v>
      </c>
      <c r="M126" s="151">
        <v>0</v>
      </c>
      <c r="N126" s="151">
        <v>0</v>
      </c>
    </row>
    <row r="127" spans="2:16">
      <c r="B127" s="154">
        <v>12002</v>
      </c>
      <c r="C127" t="s">
        <v>138</v>
      </c>
      <c r="D127" s="155" t="s">
        <v>139</v>
      </c>
      <c r="E127" s="156"/>
      <c r="F127" s="156"/>
      <c r="G127" s="156" t="s">
        <v>236</v>
      </c>
      <c r="H127">
        <v>0</v>
      </c>
      <c r="J127" s="158">
        <v>0</v>
      </c>
      <c r="K127" s="151">
        <v>0</v>
      </c>
      <c r="L127" s="151">
        <v>0</v>
      </c>
      <c r="M127" s="151">
        <v>0</v>
      </c>
      <c r="N127" s="151">
        <v>0</v>
      </c>
    </row>
    <row r="128" spans="2:16">
      <c r="B128" s="154"/>
      <c r="D128" s="155"/>
      <c r="E128" s="2"/>
      <c r="F128" s="2"/>
      <c r="G128" s="156"/>
      <c r="H128" s="161"/>
      <c r="I128" s="2"/>
      <c r="K128" s="151"/>
      <c r="L128" s="151"/>
      <c r="M128" s="151"/>
      <c r="N128" s="151"/>
      <c r="P128" s="151"/>
    </row>
    <row r="129" spans="2:16">
      <c r="B129" s="154"/>
      <c r="C129" s="154"/>
      <c r="D129" s="157" t="s">
        <v>287</v>
      </c>
      <c r="E129" s="154"/>
      <c r="F129" s="154"/>
      <c r="G129" s="154"/>
      <c r="H129" s="161"/>
      <c r="J129" s="154"/>
      <c r="K129" s="2"/>
      <c r="L129" s="2"/>
      <c r="M129" s="2"/>
      <c r="N129" s="2"/>
      <c r="P129" s="151"/>
    </row>
    <row r="130" spans="2:16">
      <c r="B130" s="154">
        <v>12306</v>
      </c>
      <c r="C130" t="s">
        <v>322</v>
      </c>
      <c r="D130" s="155" t="s">
        <v>303</v>
      </c>
      <c r="E130" s="156">
        <v>49.99</v>
      </c>
      <c r="F130" s="156">
        <v>50.99</v>
      </c>
      <c r="G130" s="156" t="s">
        <v>220</v>
      </c>
      <c r="H130" s="161">
        <v>1</v>
      </c>
      <c r="I130" s="2"/>
      <c r="J130" s="158">
        <v>1</v>
      </c>
      <c r="K130" s="151">
        <v>45</v>
      </c>
      <c r="L130" s="151">
        <v>4.990000000000002</v>
      </c>
      <c r="M130" s="151">
        <v>5.990000000000002</v>
      </c>
      <c r="N130" s="151">
        <v>13.413</v>
      </c>
    </row>
    <row r="131" spans="2:16">
      <c r="B131" s="154">
        <v>12310</v>
      </c>
      <c r="C131" t="s">
        <v>272</v>
      </c>
      <c r="D131" s="155" t="s">
        <v>5</v>
      </c>
      <c r="E131" s="156">
        <v>67.989999999999995</v>
      </c>
      <c r="F131" s="156">
        <v>67.989999999999995</v>
      </c>
      <c r="G131" s="156" t="s">
        <v>220</v>
      </c>
      <c r="H131">
        <v>45</v>
      </c>
      <c r="I131" s="2"/>
      <c r="J131" s="158">
        <v>45</v>
      </c>
      <c r="K131" s="151">
        <v>61.22642357555393</v>
      </c>
      <c r="L131" s="151">
        <v>6.7635764244460646</v>
      </c>
      <c r="M131" s="151">
        <v>6.7635764244460646</v>
      </c>
      <c r="N131" s="151">
        <v>14.040155555555556</v>
      </c>
      <c r="O131" s="161"/>
    </row>
    <row r="132" spans="2:16">
      <c r="B132" s="154">
        <v>12307</v>
      </c>
      <c r="C132" t="s">
        <v>323</v>
      </c>
      <c r="D132" s="155" t="s">
        <v>119</v>
      </c>
      <c r="E132" s="156">
        <v>49.99</v>
      </c>
      <c r="F132" s="156">
        <v>50.99</v>
      </c>
      <c r="G132" s="156" t="s">
        <v>220</v>
      </c>
      <c r="H132">
        <v>0</v>
      </c>
      <c r="I132" s="2"/>
      <c r="J132" s="158">
        <v>0</v>
      </c>
      <c r="K132" s="151">
        <v>0</v>
      </c>
      <c r="L132" s="151">
        <v>49.99</v>
      </c>
      <c r="M132" s="151">
        <v>50.99</v>
      </c>
      <c r="N132" s="151">
        <v>0</v>
      </c>
    </row>
    <row r="133" spans="2:16">
      <c r="B133" s="154">
        <v>12319</v>
      </c>
      <c r="C133" t="s">
        <v>324</v>
      </c>
      <c r="D133" s="155" t="s">
        <v>139</v>
      </c>
      <c r="E133" s="156">
        <v>36.99</v>
      </c>
      <c r="F133" s="156">
        <v>36.99</v>
      </c>
      <c r="G133" s="156" t="s">
        <v>220</v>
      </c>
      <c r="H133">
        <v>0</v>
      </c>
      <c r="J133" s="158">
        <v>0</v>
      </c>
      <c r="K133" s="151">
        <v>0</v>
      </c>
      <c r="L133" s="151">
        <v>36.99</v>
      </c>
      <c r="M133" s="151">
        <v>36.99</v>
      </c>
      <c r="N133" s="151">
        <v>0</v>
      </c>
    </row>
    <row r="134" spans="2:16">
      <c r="B134" s="154">
        <v>12309</v>
      </c>
      <c r="C134" t="s">
        <v>325</v>
      </c>
      <c r="D134" s="155" t="s">
        <v>142</v>
      </c>
      <c r="E134" s="156">
        <v>40.99</v>
      </c>
      <c r="F134" s="156">
        <v>41.99</v>
      </c>
      <c r="G134" s="156" t="s">
        <v>220</v>
      </c>
      <c r="H134" s="161">
        <v>0</v>
      </c>
      <c r="I134" s="2"/>
      <c r="J134" s="158">
        <v>0</v>
      </c>
      <c r="K134" s="151">
        <v>0</v>
      </c>
      <c r="L134" s="151">
        <v>40.99</v>
      </c>
      <c r="M134" s="151">
        <v>41.99</v>
      </c>
      <c r="N134" s="151">
        <v>0</v>
      </c>
    </row>
    <row r="135" spans="2:16">
      <c r="B135" s="154">
        <v>12259</v>
      </c>
      <c r="C135" t="s">
        <v>182</v>
      </c>
      <c r="D135" s="155" t="s">
        <v>142</v>
      </c>
      <c r="E135" s="156">
        <v>91</v>
      </c>
      <c r="F135" s="156">
        <v>91</v>
      </c>
      <c r="G135" s="156" t="s">
        <v>220</v>
      </c>
      <c r="H135">
        <v>0</v>
      </c>
      <c r="I135" s="2"/>
      <c r="J135" s="158">
        <v>0</v>
      </c>
      <c r="K135" s="151">
        <v>0</v>
      </c>
      <c r="L135" s="151">
        <v>91</v>
      </c>
      <c r="M135" s="151">
        <v>91</v>
      </c>
      <c r="N135" s="151">
        <v>0</v>
      </c>
    </row>
    <row r="136" spans="2:16">
      <c r="B136" s="154">
        <v>12308</v>
      </c>
      <c r="C136" t="s">
        <v>207</v>
      </c>
      <c r="D136" s="155" t="s">
        <v>142</v>
      </c>
      <c r="E136" s="156">
        <v>71.989999999999995</v>
      </c>
      <c r="F136" s="156">
        <v>74.989999999999995</v>
      </c>
      <c r="G136" s="156" t="s">
        <v>220</v>
      </c>
      <c r="H136" s="161">
        <v>59</v>
      </c>
      <c r="I136" s="2"/>
      <c r="J136" s="158">
        <v>59</v>
      </c>
      <c r="K136" s="151">
        <v>65.010000000000005</v>
      </c>
      <c r="L136" s="151">
        <v>6.9799999999999898</v>
      </c>
      <c r="M136" s="151">
        <v>9.9799999999999898</v>
      </c>
      <c r="N136" s="151">
        <v>11.001813559322033</v>
      </c>
    </row>
    <row r="137" spans="2:16">
      <c r="B137" s="154"/>
      <c r="D137" s="155"/>
      <c r="E137" s="2"/>
      <c r="F137" s="2"/>
      <c r="G137" s="156"/>
      <c r="H137" s="161"/>
      <c r="I137" s="2"/>
      <c r="K137" s="151"/>
      <c r="L137" s="151"/>
      <c r="M137" s="151"/>
      <c r="N137" s="151"/>
      <c r="P137" s="151"/>
    </row>
    <row r="138" spans="2:16">
      <c r="B138" s="154"/>
      <c r="C138" s="154"/>
      <c r="D138" s="157" t="s">
        <v>126</v>
      </c>
      <c r="E138" s="154"/>
      <c r="F138" s="154"/>
      <c r="G138" s="154"/>
      <c r="H138" s="154">
        <v>0</v>
      </c>
      <c r="J138" s="154">
        <v>0</v>
      </c>
      <c r="K138" s="2"/>
      <c r="L138" s="2"/>
      <c r="M138" s="2"/>
      <c r="N138" s="2"/>
    </row>
    <row r="139" spans="2:16">
      <c r="B139" s="154">
        <v>24189</v>
      </c>
      <c r="C139" s="154" t="s">
        <v>129</v>
      </c>
      <c r="D139" s="155" t="s">
        <v>94</v>
      </c>
      <c r="E139" s="156"/>
      <c r="F139" s="156"/>
      <c r="G139" s="156" t="s">
        <v>220</v>
      </c>
      <c r="H139">
        <v>0</v>
      </c>
      <c r="I139" s="2"/>
      <c r="J139" s="158">
        <v>0</v>
      </c>
      <c r="K139" s="151">
        <v>0</v>
      </c>
      <c r="L139" s="151">
        <v>0</v>
      </c>
      <c r="M139" s="151">
        <v>0</v>
      </c>
      <c r="N139" s="151">
        <v>0</v>
      </c>
    </row>
    <row r="140" spans="2:16">
      <c r="B140" s="154">
        <v>24190</v>
      </c>
      <c r="C140" s="154" t="s">
        <v>127</v>
      </c>
      <c r="D140" s="155" t="s">
        <v>6</v>
      </c>
      <c r="E140" s="156"/>
      <c r="F140" s="156"/>
      <c r="G140" s="156" t="s">
        <v>220</v>
      </c>
      <c r="H140">
        <v>0</v>
      </c>
      <c r="I140" s="2"/>
      <c r="J140" s="158">
        <v>0</v>
      </c>
      <c r="K140" s="151">
        <v>0</v>
      </c>
      <c r="L140" s="151">
        <v>0</v>
      </c>
      <c r="M140" s="151">
        <v>0</v>
      </c>
      <c r="N140" s="151">
        <v>0</v>
      </c>
    </row>
    <row r="141" spans="2:16">
      <c r="B141" s="154">
        <v>24211</v>
      </c>
      <c r="C141" s="154" t="s">
        <v>128</v>
      </c>
      <c r="D141" s="155" t="s">
        <v>94</v>
      </c>
      <c r="E141" s="156"/>
      <c r="F141" s="156"/>
      <c r="G141" s="156" t="s">
        <v>220</v>
      </c>
      <c r="H141">
        <v>0</v>
      </c>
      <c r="I141" s="2"/>
      <c r="J141" s="158">
        <v>0</v>
      </c>
      <c r="K141" s="151">
        <v>0</v>
      </c>
      <c r="L141" s="151">
        <v>0</v>
      </c>
      <c r="M141" s="151">
        <v>0</v>
      </c>
      <c r="N141" s="151">
        <v>0</v>
      </c>
    </row>
    <row r="142" spans="2:16">
      <c r="B142" s="154">
        <v>24204</v>
      </c>
      <c r="C142" s="154" t="s">
        <v>130</v>
      </c>
      <c r="D142" s="155" t="s">
        <v>94</v>
      </c>
      <c r="E142" s="156"/>
      <c r="F142" s="156"/>
      <c r="G142" s="156" t="s">
        <v>220</v>
      </c>
      <c r="H142">
        <v>0</v>
      </c>
      <c r="I142" s="2"/>
      <c r="J142" s="158">
        <v>0</v>
      </c>
      <c r="K142" s="151">
        <v>0</v>
      </c>
      <c r="L142" s="151">
        <v>0</v>
      </c>
      <c r="M142" s="151">
        <v>0</v>
      </c>
      <c r="N142" s="151">
        <v>0</v>
      </c>
    </row>
    <row r="143" spans="2:16">
      <c r="B143" s="154"/>
      <c r="C143" s="154"/>
      <c r="D143" s="157" t="s">
        <v>114</v>
      </c>
      <c r="E143" s="154"/>
      <c r="F143" s="154"/>
      <c r="G143" s="154"/>
      <c r="H143" s="161"/>
      <c r="J143" s="154"/>
      <c r="K143" s="2"/>
      <c r="L143" s="2"/>
      <c r="M143" s="2"/>
      <c r="N143" s="2"/>
      <c r="P143" s="151"/>
    </row>
    <row r="144" spans="2:16">
      <c r="B144" s="154">
        <v>12084</v>
      </c>
      <c r="C144" t="s">
        <v>19</v>
      </c>
      <c r="D144" s="155" t="s">
        <v>73</v>
      </c>
      <c r="E144" s="156"/>
      <c r="F144" s="156"/>
      <c r="G144" s="156" t="s">
        <v>220</v>
      </c>
      <c r="H144">
        <v>0</v>
      </c>
      <c r="J144" s="158">
        <v>0</v>
      </c>
      <c r="K144" s="151">
        <v>0</v>
      </c>
      <c r="L144" s="151">
        <v>0</v>
      </c>
      <c r="M144" s="151">
        <v>0</v>
      </c>
      <c r="N144" s="151">
        <v>0</v>
      </c>
    </row>
    <row r="145" spans="2:16">
      <c r="B145" s="154">
        <v>12015</v>
      </c>
      <c r="C145" t="s">
        <v>175</v>
      </c>
      <c r="D145" s="155" t="s">
        <v>50</v>
      </c>
      <c r="E145" s="156">
        <v>27.59</v>
      </c>
      <c r="F145" s="156">
        <v>27.59</v>
      </c>
      <c r="G145" s="156" t="s">
        <v>220</v>
      </c>
      <c r="H145">
        <v>0</v>
      </c>
      <c r="I145" s="2"/>
      <c r="J145" s="158">
        <v>0</v>
      </c>
      <c r="K145" s="151">
        <v>0</v>
      </c>
      <c r="L145" s="151">
        <v>27.59</v>
      </c>
      <c r="M145" s="151">
        <v>27.59</v>
      </c>
      <c r="N145" s="151">
        <v>0</v>
      </c>
    </row>
    <row r="146" spans="2:16">
      <c r="B146" s="154">
        <v>12318</v>
      </c>
      <c r="C146" t="s">
        <v>19</v>
      </c>
      <c r="D146" s="155" t="s">
        <v>50</v>
      </c>
      <c r="E146" s="156">
        <v>29.59</v>
      </c>
      <c r="F146" s="156">
        <v>29.49</v>
      </c>
      <c r="G146" s="156" t="s">
        <v>220</v>
      </c>
      <c r="H146" s="161">
        <v>85</v>
      </c>
      <c r="I146" s="2"/>
      <c r="J146" s="158">
        <v>85</v>
      </c>
      <c r="K146" s="151">
        <v>27.42</v>
      </c>
      <c r="L146" s="151">
        <v>2.1699999999999982</v>
      </c>
      <c r="M146" s="151">
        <v>2.0699999999999967</v>
      </c>
      <c r="N146" s="151">
        <v>21.326917647058824</v>
      </c>
    </row>
    <row r="147" spans="2:16">
      <c r="B147" s="154">
        <v>12143</v>
      </c>
      <c r="C147" t="s">
        <v>19</v>
      </c>
      <c r="D147" s="155" t="s">
        <v>417</v>
      </c>
      <c r="E147" s="156">
        <v>22.99</v>
      </c>
      <c r="F147" s="156">
        <v>26.49</v>
      </c>
      <c r="G147" s="156" t="s">
        <v>254</v>
      </c>
      <c r="H147">
        <v>13</v>
      </c>
      <c r="I147" s="2"/>
      <c r="J147" s="158">
        <v>13</v>
      </c>
      <c r="K147" s="151">
        <v>24</v>
      </c>
      <c r="L147" s="151">
        <v>-1.0100000000000016</v>
      </c>
      <c r="M147" s="151">
        <v>2.4899999999999984</v>
      </c>
      <c r="N147" s="151">
        <v>26.725846153846152</v>
      </c>
    </row>
    <row r="148" spans="2:16">
      <c r="B148" s="154">
        <v>12147</v>
      </c>
      <c r="C148" t="s">
        <v>19</v>
      </c>
      <c r="D148" s="155" t="s">
        <v>51</v>
      </c>
      <c r="E148" s="156">
        <v>24.99</v>
      </c>
      <c r="F148" s="156">
        <v>24.99</v>
      </c>
      <c r="G148" s="156" t="s">
        <v>269</v>
      </c>
      <c r="H148" s="161">
        <v>0</v>
      </c>
      <c r="I148" s="2"/>
      <c r="J148" s="158">
        <v>0</v>
      </c>
      <c r="K148" s="151">
        <v>0</v>
      </c>
      <c r="L148" s="151">
        <v>24.99</v>
      </c>
      <c r="M148" s="151">
        <v>24.99</v>
      </c>
      <c r="N148" s="151">
        <v>0</v>
      </c>
    </row>
    <row r="149" spans="2:16">
      <c r="B149" s="154">
        <v>12225</v>
      </c>
      <c r="C149" t="s">
        <v>19</v>
      </c>
      <c r="D149" s="155" t="s">
        <v>73</v>
      </c>
      <c r="E149" s="156">
        <v>25.59</v>
      </c>
      <c r="F149" s="156">
        <v>25.89</v>
      </c>
      <c r="G149" s="156" t="s">
        <v>415</v>
      </c>
      <c r="H149" s="161">
        <v>0</v>
      </c>
      <c r="I149" s="2"/>
      <c r="J149" s="158">
        <v>0</v>
      </c>
      <c r="K149" s="151">
        <v>0</v>
      </c>
      <c r="L149" s="151">
        <v>25.59</v>
      </c>
      <c r="M149" s="151">
        <v>25.89</v>
      </c>
      <c r="N149" s="151">
        <v>0</v>
      </c>
    </row>
    <row r="150" spans="2:16">
      <c r="B150" s="154">
        <v>22042</v>
      </c>
      <c r="C150" t="s">
        <v>314</v>
      </c>
      <c r="D150" s="155" t="s">
        <v>347</v>
      </c>
      <c r="E150" s="156">
        <v>34.99</v>
      </c>
      <c r="F150" s="156">
        <v>35.49</v>
      </c>
      <c r="G150" s="156" t="s">
        <v>174</v>
      </c>
      <c r="H150">
        <v>84</v>
      </c>
      <c r="J150" s="158">
        <v>84</v>
      </c>
      <c r="K150" s="151">
        <v>29</v>
      </c>
      <c r="L150" s="151">
        <v>5.990000000000002</v>
      </c>
      <c r="M150" s="151">
        <v>6.490000000000002</v>
      </c>
      <c r="N150" s="151">
        <v>24.070357142857144</v>
      </c>
    </row>
    <row r="151" spans="2:16">
      <c r="B151" s="154">
        <v>22018</v>
      </c>
      <c r="C151" t="s">
        <v>326</v>
      </c>
      <c r="D151" s="155" t="s">
        <v>73</v>
      </c>
      <c r="E151" s="156">
        <v>30.29</v>
      </c>
      <c r="F151" s="156">
        <v>30.29</v>
      </c>
      <c r="G151" s="156" t="s">
        <v>290</v>
      </c>
      <c r="H151">
        <v>0</v>
      </c>
      <c r="J151" s="158">
        <v>0</v>
      </c>
      <c r="K151" s="151">
        <v>0</v>
      </c>
      <c r="L151" s="151">
        <v>30.29</v>
      </c>
      <c r="M151" s="151">
        <v>30.29</v>
      </c>
      <c r="N151" s="151">
        <v>0</v>
      </c>
    </row>
    <row r="152" spans="2:16">
      <c r="B152" s="154">
        <v>12313</v>
      </c>
      <c r="C152" t="s">
        <v>327</v>
      </c>
      <c r="D152" s="155" t="s">
        <v>73</v>
      </c>
      <c r="E152" s="156">
        <v>31.99</v>
      </c>
      <c r="F152" s="156">
        <v>31.99</v>
      </c>
      <c r="G152" s="156" t="s">
        <v>220</v>
      </c>
      <c r="H152">
        <v>0</v>
      </c>
      <c r="J152" s="158">
        <v>0</v>
      </c>
      <c r="K152" s="151">
        <v>0</v>
      </c>
      <c r="L152" s="151">
        <v>31.99</v>
      </c>
      <c r="M152" s="151">
        <v>31.99</v>
      </c>
      <c r="N152" s="151">
        <v>0</v>
      </c>
      <c r="P152" s="151"/>
    </row>
    <row r="153" spans="2:16">
      <c r="B153" s="154">
        <v>12276</v>
      </c>
      <c r="C153" t="s">
        <v>188</v>
      </c>
      <c r="D153" s="155" t="s">
        <v>73</v>
      </c>
      <c r="E153" s="156">
        <v>29.5</v>
      </c>
      <c r="F153" s="156">
        <v>29.5</v>
      </c>
      <c r="G153" s="156" t="s">
        <v>236</v>
      </c>
      <c r="H153">
        <v>0</v>
      </c>
      <c r="J153" s="158">
        <v>0</v>
      </c>
      <c r="K153" s="151">
        <v>0</v>
      </c>
      <c r="L153" s="151">
        <v>29.5</v>
      </c>
      <c r="M153" s="151">
        <v>29.5</v>
      </c>
      <c r="N153" s="151">
        <v>0</v>
      </c>
    </row>
    <row r="154" spans="2:16">
      <c r="B154" s="154">
        <v>22021</v>
      </c>
      <c r="C154" t="s">
        <v>328</v>
      </c>
      <c r="D154" s="155" t="s">
        <v>180</v>
      </c>
      <c r="E154" s="156">
        <v>29.69</v>
      </c>
      <c r="F154" s="156">
        <v>28.99</v>
      </c>
      <c r="G154" s="156" t="s">
        <v>220</v>
      </c>
      <c r="H154" s="161">
        <v>9</v>
      </c>
      <c r="J154" s="158">
        <v>9</v>
      </c>
      <c r="K154" s="151">
        <v>27</v>
      </c>
      <c r="L154" s="151">
        <v>2.6900000000000013</v>
      </c>
      <c r="M154" s="151">
        <v>1.9899999999999984</v>
      </c>
      <c r="N154" s="151">
        <v>10.855444444444444</v>
      </c>
    </row>
    <row r="155" spans="2:16">
      <c r="B155" s="154">
        <v>12029</v>
      </c>
      <c r="C155" t="s">
        <v>416</v>
      </c>
      <c r="D155" s="155" t="s">
        <v>50</v>
      </c>
      <c r="E155" s="156">
        <v>31.69</v>
      </c>
      <c r="F155" s="156">
        <v>31.49</v>
      </c>
      <c r="G155" s="156" t="s">
        <v>220</v>
      </c>
      <c r="H155" s="161">
        <v>13</v>
      </c>
      <c r="J155" s="158">
        <v>13</v>
      </c>
      <c r="K155" s="151">
        <v>28.18</v>
      </c>
      <c r="L155" s="151">
        <v>3.5100000000000016</v>
      </c>
      <c r="M155" s="151">
        <v>3.3099999999999987</v>
      </c>
      <c r="N155" s="151">
        <v>22.035384615384615</v>
      </c>
      <c r="P155" s="151"/>
    </row>
    <row r="156" spans="2:16">
      <c r="B156" s="154">
        <v>12215</v>
      </c>
      <c r="C156" t="s">
        <v>416</v>
      </c>
      <c r="D156" s="155" t="s">
        <v>333</v>
      </c>
      <c r="E156" s="156">
        <v>26.79</v>
      </c>
      <c r="F156" s="156">
        <v>26.99</v>
      </c>
      <c r="G156" s="156" t="s">
        <v>415</v>
      </c>
      <c r="H156" s="161">
        <v>0</v>
      </c>
      <c r="J156" s="158">
        <v>0</v>
      </c>
      <c r="K156" s="151">
        <v>0</v>
      </c>
      <c r="L156" s="151">
        <v>26.79</v>
      </c>
      <c r="M156" s="151">
        <v>26.99</v>
      </c>
      <c r="N156" s="151">
        <v>0</v>
      </c>
    </row>
    <row r="157" spans="2:16">
      <c r="B157" s="154">
        <v>24223</v>
      </c>
      <c r="C157" t="s">
        <v>328</v>
      </c>
      <c r="D157" s="155" t="s">
        <v>50</v>
      </c>
      <c r="E157" s="156">
        <v>28.99</v>
      </c>
      <c r="F157" s="156">
        <v>28.99</v>
      </c>
      <c r="G157" s="156" t="s">
        <v>220</v>
      </c>
      <c r="H157" s="158">
        <v>0</v>
      </c>
      <c r="J157" s="158">
        <v>0</v>
      </c>
      <c r="K157" s="151">
        <v>0</v>
      </c>
      <c r="L157" s="151">
        <v>28.99</v>
      </c>
      <c r="M157" s="151">
        <v>28.99</v>
      </c>
      <c r="N157" s="151">
        <v>0</v>
      </c>
    </row>
    <row r="158" spans="2:16">
      <c r="B158" s="154">
        <v>12232</v>
      </c>
      <c r="C158" t="s">
        <v>335</v>
      </c>
      <c r="D158" s="155" t="s">
        <v>73</v>
      </c>
      <c r="E158" s="156">
        <v>30.99</v>
      </c>
      <c r="F158" s="156">
        <v>30.99</v>
      </c>
      <c r="G158" s="156" t="s">
        <v>220</v>
      </c>
      <c r="H158" s="161">
        <v>0</v>
      </c>
      <c r="J158" s="158">
        <v>0</v>
      </c>
      <c r="K158" s="151">
        <v>0</v>
      </c>
      <c r="L158" s="151">
        <v>30.99</v>
      </c>
      <c r="M158" s="151">
        <v>30.99</v>
      </c>
      <c r="N158" s="151">
        <v>0</v>
      </c>
    </row>
    <row r="159" spans="2:16">
      <c r="B159" s="154">
        <v>12028</v>
      </c>
      <c r="C159" t="s">
        <v>339</v>
      </c>
      <c r="D159" s="155" t="s">
        <v>50</v>
      </c>
      <c r="E159" s="156">
        <v>23.99</v>
      </c>
      <c r="F159" s="156">
        <v>23.99</v>
      </c>
      <c r="G159" s="156" t="s">
        <v>220</v>
      </c>
      <c r="H159">
        <v>0</v>
      </c>
      <c r="J159" s="158">
        <v>0</v>
      </c>
      <c r="K159" s="151">
        <v>0</v>
      </c>
      <c r="L159" s="151">
        <v>23.99</v>
      </c>
      <c r="M159" s="151">
        <v>23.99</v>
      </c>
      <c r="N159" s="151">
        <v>0</v>
      </c>
    </row>
    <row r="160" spans="2:16">
      <c r="B160" s="154">
        <v>22025</v>
      </c>
      <c r="C160" t="s">
        <v>292</v>
      </c>
      <c r="D160" s="155" t="s">
        <v>398</v>
      </c>
      <c r="E160" s="156">
        <v>24.99</v>
      </c>
      <c r="F160" s="156">
        <v>27.99</v>
      </c>
      <c r="G160" s="156" t="s">
        <v>220</v>
      </c>
      <c r="H160" s="161">
        <v>0</v>
      </c>
      <c r="I160" s="2"/>
      <c r="J160" s="158">
        <v>0</v>
      </c>
      <c r="K160" s="151">
        <v>0</v>
      </c>
      <c r="L160" s="151">
        <v>24.99</v>
      </c>
      <c r="M160" s="151">
        <v>27.99</v>
      </c>
      <c r="N160" s="151">
        <v>0</v>
      </c>
    </row>
    <row r="161" spans="1:16">
      <c r="B161" s="154">
        <v>12017</v>
      </c>
      <c r="C161" t="s">
        <v>115</v>
      </c>
      <c r="D161" s="155" t="s">
        <v>334</v>
      </c>
      <c r="E161" s="156">
        <v>29.99</v>
      </c>
      <c r="F161" s="156">
        <v>29.79</v>
      </c>
      <c r="G161" s="156" t="s">
        <v>220</v>
      </c>
      <c r="H161" s="161">
        <v>107</v>
      </c>
      <c r="J161" s="158">
        <v>107</v>
      </c>
      <c r="K161" s="151">
        <v>27.97535724528592</v>
      </c>
      <c r="L161" s="151">
        <v>2.0146427547140782</v>
      </c>
      <c r="M161" s="151">
        <v>1.8146427547140789</v>
      </c>
      <c r="N161" s="151">
        <v>25.124102803738317</v>
      </c>
      <c r="P161" s="151"/>
    </row>
    <row r="162" spans="1:16">
      <c r="B162" s="154">
        <v>12085</v>
      </c>
      <c r="C162" t="s">
        <v>115</v>
      </c>
      <c r="D162" s="155" t="s">
        <v>133</v>
      </c>
      <c r="E162" s="156"/>
      <c r="F162" s="156"/>
      <c r="G162" s="156" t="s">
        <v>220</v>
      </c>
      <c r="H162">
        <v>0</v>
      </c>
      <c r="J162" s="158">
        <v>0</v>
      </c>
      <c r="K162" s="151">
        <v>0</v>
      </c>
      <c r="L162" s="151">
        <v>0</v>
      </c>
      <c r="M162" s="151">
        <v>0</v>
      </c>
      <c r="N162" s="151">
        <v>0</v>
      </c>
    </row>
    <row r="163" spans="1:16">
      <c r="B163" s="154">
        <v>12145</v>
      </c>
      <c r="C163" t="s">
        <v>115</v>
      </c>
      <c r="D163" s="155" t="s">
        <v>51</v>
      </c>
      <c r="E163" s="156">
        <v>25.59</v>
      </c>
      <c r="F163" s="156">
        <v>25.99</v>
      </c>
      <c r="G163" s="156" t="s">
        <v>415</v>
      </c>
      <c r="H163" s="161">
        <v>0</v>
      </c>
      <c r="J163" s="158">
        <v>0</v>
      </c>
      <c r="K163" s="151">
        <v>0</v>
      </c>
      <c r="L163" s="151">
        <v>25.59</v>
      </c>
      <c r="M163" s="151">
        <v>25.99</v>
      </c>
      <c r="N163" s="151">
        <v>0</v>
      </c>
    </row>
    <row r="164" spans="1:16">
      <c r="B164" s="154">
        <v>12243</v>
      </c>
      <c r="C164" t="s">
        <v>115</v>
      </c>
      <c r="D164" s="155" t="s">
        <v>334</v>
      </c>
      <c r="E164" s="156">
        <v>26.99</v>
      </c>
      <c r="F164" s="156">
        <v>26.99</v>
      </c>
      <c r="G164" s="156" t="s">
        <v>348</v>
      </c>
      <c r="H164">
        <v>0</v>
      </c>
      <c r="J164" s="158">
        <v>0</v>
      </c>
      <c r="K164" s="151">
        <v>0</v>
      </c>
      <c r="L164" s="151">
        <v>26.99</v>
      </c>
      <c r="M164" s="151">
        <v>26.99</v>
      </c>
      <c r="N164" s="151">
        <v>0</v>
      </c>
    </row>
    <row r="165" spans="1:16">
      <c r="B165" s="154">
        <v>12063</v>
      </c>
      <c r="C165" t="s">
        <v>115</v>
      </c>
      <c r="D165" s="155" t="s">
        <v>334</v>
      </c>
      <c r="E165" s="156">
        <v>24.99</v>
      </c>
      <c r="F165" s="156">
        <v>27.19</v>
      </c>
      <c r="G165" s="156" t="s">
        <v>254</v>
      </c>
      <c r="H165" s="161">
        <v>0</v>
      </c>
      <c r="J165" s="158">
        <v>0</v>
      </c>
      <c r="K165" s="151">
        <v>0</v>
      </c>
      <c r="L165" s="151">
        <v>24.99</v>
      </c>
      <c r="M165" s="151">
        <v>27.19</v>
      </c>
      <c r="N165" s="151">
        <v>0</v>
      </c>
    </row>
    <row r="166" spans="1:16">
      <c r="B166" s="154">
        <v>12000</v>
      </c>
      <c r="C166" t="s">
        <v>329</v>
      </c>
      <c r="D166" s="155" t="s">
        <v>6</v>
      </c>
      <c r="E166" s="156">
        <v>28.59</v>
      </c>
      <c r="F166" s="156">
        <v>28.59</v>
      </c>
      <c r="G166" s="156" t="s">
        <v>220</v>
      </c>
      <c r="H166">
        <v>0</v>
      </c>
      <c r="J166" s="158">
        <v>0</v>
      </c>
      <c r="K166" s="151">
        <v>0</v>
      </c>
      <c r="L166" s="151">
        <v>28.59</v>
      </c>
      <c r="M166" s="151">
        <v>28.59</v>
      </c>
      <c r="N166" s="151">
        <v>0</v>
      </c>
    </row>
    <row r="167" spans="1:16">
      <c r="B167" s="154">
        <v>12316</v>
      </c>
      <c r="C167" t="s">
        <v>83</v>
      </c>
      <c r="D167" s="155" t="s">
        <v>6</v>
      </c>
      <c r="E167" s="156">
        <v>26.99</v>
      </c>
      <c r="F167" s="156">
        <v>26.99</v>
      </c>
      <c r="G167" s="156" t="s">
        <v>220</v>
      </c>
      <c r="H167">
        <v>0</v>
      </c>
      <c r="J167" s="158">
        <v>0</v>
      </c>
      <c r="K167" s="151">
        <v>0</v>
      </c>
      <c r="L167" s="151">
        <v>26.99</v>
      </c>
      <c r="M167" s="151">
        <v>26.99</v>
      </c>
      <c r="N167" s="151">
        <v>0</v>
      </c>
    </row>
    <row r="168" spans="1:16">
      <c r="B168" s="154">
        <v>12065</v>
      </c>
      <c r="C168" t="s">
        <v>83</v>
      </c>
      <c r="D168" s="155" t="s">
        <v>73</v>
      </c>
      <c r="E168" s="156">
        <v>22.99</v>
      </c>
      <c r="F168" s="156">
        <v>24.59</v>
      </c>
      <c r="G168" s="156" t="s">
        <v>415</v>
      </c>
      <c r="H168" s="161">
        <v>0</v>
      </c>
      <c r="J168" s="158">
        <v>0</v>
      </c>
      <c r="K168" s="151">
        <v>0</v>
      </c>
      <c r="L168" s="151">
        <v>22.99</v>
      </c>
      <c r="M168" s="151">
        <v>24.59</v>
      </c>
      <c r="N168" s="151">
        <v>0</v>
      </c>
    </row>
    <row r="169" spans="1:16">
      <c r="A169" s="159"/>
      <c r="B169" s="159"/>
      <c r="C169" s="159"/>
      <c r="D169" s="160"/>
      <c r="E169" s="159"/>
      <c r="F169" s="159"/>
      <c r="G169" s="159"/>
      <c r="H169" s="161"/>
      <c r="I169" s="2"/>
      <c r="J169" s="159"/>
      <c r="K169" s="2"/>
      <c r="L169" s="2"/>
      <c r="M169" s="2"/>
      <c r="N169" s="2"/>
      <c r="P169" s="151"/>
    </row>
    <row r="170" spans="1:16">
      <c r="B170" s="154"/>
      <c r="C170" s="154"/>
      <c r="D170" s="157" t="s">
        <v>30</v>
      </c>
      <c r="E170" s="154"/>
      <c r="F170" s="154"/>
      <c r="G170" s="154"/>
      <c r="H170" s="161"/>
      <c r="J170" s="154"/>
      <c r="K170" s="2"/>
      <c r="L170" s="2"/>
      <c r="M170" s="2"/>
      <c r="N170" s="2"/>
      <c r="P170" s="151"/>
    </row>
    <row r="171" spans="1:16">
      <c r="B171" s="154">
        <v>25264</v>
      </c>
      <c r="C171" t="s">
        <v>169</v>
      </c>
      <c r="D171" s="155" t="s">
        <v>51</v>
      </c>
      <c r="E171" s="156">
        <v>10.9</v>
      </c>
      <c r="F171" s="156">
        <v>10.9</v>
      </c>
      <c r="G171" s="156" t="s">
        <v>220</v>
      </c>
      <c r="H171">
        <v>0</v>
      </c>
      <c r="I171" s="2"/>
      <c r="J171" s="158">
        <v>0</v>
      </c>
      <c r="K171" s="151">
        <v>0</v>
      </c>
      <c r="L171" s="151">
        <v>10.9</v>
      </c>
      <c r="M171" s="151">
        <v>10.9</v>
      </c>
      <c r="N171" s="151">
        <v>0</v>
      </c>
    </row>
    <row r="172" spans="1:16">
      <c r="B172" s="154">
        <v>32003</v>
      </c>
      <c r="C172" t="s">
        <v>38</v>
      </c>
      <c r="D172" s="155" t="s">
        <v>52</v>
      </c>
      <c r="E172" s="156">
        <v>18.989999999999998</v>
      </c>
      <c r="F172" s="156">
        <v>18.989999999999998</v>
      </c>
      <c r="G172" s="156" t="s">
        <v>220</v>
      </c>
      <c r="H172">
        <v>0</v>
      </c>
      <c r="I172" s="2"/>
      <c r="J172" s="158">
        <v>0</v>
      </c>
      <c r="K172" s="151">
        <v>0</v>
      </c>
      <c r="L172" s="151">
        <v>18.989999999999998</v>
      </c>
      <c r="M172" s="151">
        <v>18.989999999999998</v>
      </c>
      <c r="N172" s="151">
        <v>0</v>
      </c>
    </row>
    <row r="173" spans="1:16">
      <c r="B173" s="154">
        <v>32014</v>
      </c>
      <c r="C173" t="s">
        <v>195</v>
      </c>
      <c r="D173" s="155" t="s">
        <v>73</v>
      </c>
      <c r="E173" s="156">
        <v>9.99</v>
      </c>
      <c r="F173" s="156">
        <v>9.99</v>
      </c>
      <c r="G173" s="156" t="s">
        <v>220</v>
      </c>
      <c r="H173">
        <v>0</v>
      </c>
      <c r="I173" s="2"/>
      <c r="J173" s="158">
        <v>0</v>
      </c>
      <c r="K173" s="151">
        <v>0</v>
      </c>
      <c r="L173" s="151">
        <v>9.99</v>
      </c>
      <c r="M173" s="151">
        <v>9.99</v>
      </c>
      <c r="N173" s="151">
        <v>0</v>
      </c>
    </row>
    <row r="174" spans="1:16">
      <c r="B174" s="154">
        <v>32028</v>
      </c>
      <c r="C174" t="s">
        <v>38</v>
      </c>
      <c r="D174" s="155" t="s">
        <v>73</v>
      </c>
      <c r="E174" s="156">
        <v>9.9</v>
      </c>
      <c r="F174" s="156">
        <v>9.9</v>
      </c>
      <c r="G174" s="156" t="s">
        <v>174</v>
      </c>
      <c r="H174">
        <v>0</v>
      </c>
      <c r="I174" s="2"/>
      <c r="J174" s="158">
        <v>0</v>
      </c>
      <c r="K174" s="151">
        <v>0</v>
      </c>
      <c r="L174" s="151">
        <v>9.9</v>
      </c>
      <c r="M174" s="151">
        <v>9.9</v>
      </c>
      <c r="N174" s="151">
        <v>0</v>
      </c>
    </row>
    <row r="175" spans="1:16">
      <c r="B175" s="154">
        <v>32035</v>
      </c>
      <c r="C175" t="s">
        <v>38</v>
      </c>
      <c r="D175" s="155" t="s">
        <v>409</v>
      </c>
      <c r="E175" s="156">
        <v>13.99</v>
      </c>
      <c r="F175" s="156">
        <v>14.19</v>
      </c>
      <c r="G175" s="156" t="s">
        <v>408</v>
      </c>
      <c r="H175">
        <v>0</v>
      </c>
      <c r="I175" s="2"/>
      <c r="J175" s="158">
        <v>0</v>
      </c>
      <c r="K175" s="151">
        <v>0</v>
      </c>
      <c r="L175" s="151">
        <v>13.99</v>
      </c>
      <c r="M175" s="151">
        <v>14.19</v>
      </c>
      <c r="N175" s="151">
        <v>0</v>
      </c>
    </row>
    <row r="176" spans="1:16">
      <c r="B176" s="154">
        <v>32041</v>
      </c>
      <c r="C176" t="s">
        <v>38</v>
      </c>
      <c r="D176" s="155" t="s">
        <v>46</v>
      </c>
      <c r="E176" s="156">
        <v>13.99</v>
      </c>
      <c r="F176" s="156">
        <v>13.99</v>
      </c>
      <c r="G176" s="156" t="s">
        <v>174</v>
      </c>
      <c r="H176" s="161">
        <v>0</v>
      </c>
      <c r="I176" s="2"/>
      <c r="J176" s="158">
        <v>0</v>
      </c>
      <c r="K176" s="151">
        <v>0</v>
      </c>
      <c r="L176" s="151">
        <v>13.99</v>
      </c>
      <c r="M176" s="151">
        <v>13.99</v>
      </c>
      <c r="N176" s="151">
        <v>0</v>
      </c>
    </row>
    <row r="177" spans="2:16">
      <c r="B177" s="154">
        <v>32038</v>
      </c>
      <c r="C177" t="s">
        <v>61</v>
      </c>
      <c r="D177" s="155" t="s">
        <v>4</v>
      </c>
      <c r="E177" s="156">
        <v>13.5</v>
      </c>
      <c r="F177" s="156">
        <v>13.5</v>
      </c>
      <c r="G177" s="156" t="s">
        <v>220</v>
      </c>
      <c r="H177">
        <v>0</v>
      </c>
      <c r="I177" s="2"/>
      <c r="J177" s="158">
        <v>0</v>
      </c>
      <c r="K177" s="151">
        <v>0</v>
      </c>
      <c r="L177" s="151">
        <v>13.5</v>
      </c>
      <c r="M177" s="151">
        <v>13.5</v>
      </c>
      <c r="N177" s="151">
        <v>0</v>
      </c>
    </row>
    <row r="178" spans="2:16">
      <c r="B178" s="154">
        <v>52021</v>
      </c>
      <c r="C178" t="s">
        <v>61</v>
      </c>
      <c r="D178" s="155" t="s">
        <v>52</v>
      </c>
      <c r="E178" s="156"/>
      <c r="F178" s="156"/>
      <c r="G178" s="156" t="s">
        <v>220</v>
      </c>
      <c r="H178">
        <v>0</v>
      </c>
      <c r="I178" s="2"/>
      <c r="J178" s="158">
        <v>0</v>
      </c>
      <c r="K178" s="151">
        <v>0</v>
      </c>
      <c r="L178" s="151">
        <v>0</v>
      </c>
      <c r="M178" s="151">
        <v>0</v>
      </c>
      <c r="N178" s="151">
        <v>0</v>
      </c>
    </row>
    <row r="179" spans="2:16">
      <c r="B179" s="154">
        <v>52063</v>
      </c>
      <c r="C179" t="s">
        <v>173</v>
      </c>
      <c r="D179" s="155" t="s">
        <v>6</v>
      </c>
      <c r="E179" s="156">
        <v>14.5</v>
      </c>
      <c r="F179" s="156">
        <v>14.5</v>
      </c>
      <c r="G179" s="156" t="s">
        <v>220</v>
      </c>
      <c r="H179">
        <v>0</v>
      </c>
      <c r="I179" s="2"/>
      <c r="J179" s="158">
        <v>0</v>
      </c>
      <c r="K179" s="151">
        <v>0</v>
      </c>
      <c r="L179" s="151">
        <v>14.5</v>
      </c>
      <c r="M179" s="151">
        <v>14.5</v>
      </c>
      <c r="N179" s="151">
        <v>0</v>
      </c>
    </row>
    <row r="180" spans="2:16">
      <c r="B180" s="154">
        <v>52036</v>
      </c>
      <c r="C180" t="s">
        <v>61</v>
      </c>
      <c r="D180" s="155" t="s">
        <v>418</v>
      </c>
      <c r="E180" s="156">
        <v>17.79</v>
      </c>
      <c r="F180" s="156">
        <v>17.989999999999998</v>
      </c>
      <c r="G180" s="156" t="s">
        <v>220</v>
      </c>
      <c r="H180" s="161">
        <v>23</v>
      </c>
      <c r="I180" s="2"/>
      <c r="J180" s="158">
        <v>23</v>
      </c>
      <c r="K180" s="151">
        <v>15.19</v>
      </c>
      <c r="L180" s="151">
        <v>2.5999999999999996</v>
      </c>
      <c r="M180" s="151">
        <v>2.7999999999999989</v>
      </c>
      <c r="N180" s="151">
        <v>18.577652173913044</v>
      </c>
    </row>
    <row r="181" spans="2:16">
      <c r="B181" s="154">
        <v>32005</v>
      </c>
      <c r="C181" t="s">
        <v>31</v>
      </c>
      <c r="D181" s="155" t="s">
        <v>418</v>
      </c>
      <c r="E181" s="156">
        <v>10.29</v>
      </c>
      <c r="F181" s="156">
        <v>10.59</v>
      </c>
      <c r="G181" s="156" t="s">
        <v>220</v>
      </c>
      <c r="H181">
        <v>0</v>
      </c>
      <c r="I181" s="2"/>
      <c r="J181" s="158">
        <v>0</v>
      </c>
      <c r="K181" s="151">
        <v>0</v>
      </c>
      <c r="L181" s="151">
        <v>10.29</v>
      </c>
      <c r="M181" s="151">
        <v>10.59</v>
      </c>
      <c r="N181" s="151">
        <v>0</v>
      </c>
    </row>
    <row r="182" spans="2:16">
      <c r="B182" s="154">
        <v>32001</v>
      </c>
      <c r="C182" t="s">
        <v>20</v>
      </c>
      <c r="D182" s="155" t="s">
        <v>73</v>
      </c>
      <c r="E182" s="156">
        <v>8.99</v>
      </c>
      <c r="F182" s="156">
        <v>8.99</v>
      </c>
      <c r="G182" s="156" t="s">
        <v>220</v>
      </c>
      <c r="H182" s="161">
        <v>106</v>
      </c>
      <c r="I182" s="2"/>
      <c r="J182" s="158">
        <v>106</v>
      </c>
      <c r="K182" s="151">
        <v>6.5</v>
      </c>
      <c r="L182" s="151">
        <v>2.4900000000000002</v>
      </c>
      <c r="M182" s="151">
        <v>2.4900000000000002</v>
      </c>
      <c r="N182" s="151">
        <v>24.205396226415097</v>
      </c>
      <c r="P182" s="151"/>
    </row>
    <row r="183" spans="2:16">
      <c r="B183" s="154">
        <v>32018</v>
      </c>
      <c r="C183" t="s">
        <v>131</v>
      </c>
      <c r="D183" s="155" t="s">
        <v>52</v>
      </c>
      <c r="E183" s="156">
        <v>8.9</v>
      </c>
      <c r="F183" s="156">
        <v>8.9</v>
      </c>
      <c r="G183" s="156" t="s">
        <v>220</v>
      </c>
      <c r="H183">
        <v>0</v>
      </c>
      <c r="J183" s="158">
        <v>0</v>
      </c>
      <c r="K183" s="151">
        <v>0</v>
      </c>
      <c r="L183" s="151">
        <v>8.9</v>
      </c>
      <c r="M183" s="151">
        <v>8.9</v>
      </c>
      <c r="N183" s="151">
        <v>0</v>
      </c>
    </row>
    <row r="184" spans="2:16">
      <c r="B184" s="154">
        <v>32021</v>
      </c>
      <c r="C184" t="s">
        <v>26</v>
      </c>
      <c r="D184" s="155" t="s">
        <v>73</v>
      </c>
      <c r="E184" s="156">
        <v>13.5</v>
      </c>
      <c r="F184" s="156">
        <v>13.5</v>
      </c>
      <c r="G184" s="156" t="s">
        <v>220</v>
      </c>
      <c r="H184">
        <v>0</v>
      </c>
      <c r="I184" s="2"/>
      <c r="J184" s="158">
        <v>0</v>
      </c>
      <c r="K184" s="151">
        <v>0</v>
      </c>
      <c r="L184" s="151">
        <v>13.5</v>
      </c>
      <c r="M184" s="151">
        <v>13.5</v>
      </c>
      <c r="N184" s="151">
        <v>0</v>
      </c>
    </row>
    <row r="185" spans="2:16">
      <c r="B185" s="154">
        <v>32044</v>
      </c>
      <c r="C185" t="s">
        <v>26</v>
      </c>
      <c r="D185" s="155" t="s">
        <v>73</v>
      </c>
      <c r="E185" s="156">
        <v>21.99</v>
      </c>
      <c r="F185" s="156">
        <v>22.39</v>
      </c>
      <c r="G185" s="156" t="s">
        <v>220</v>
      </c>
      <c r="H185" s="161">
        <v>89</v>
      </c>
      <c r="I185" s="2"/>
      <c r="J185" s="158">
        <v>89</v>
      </c>
      <c r="K185" s="151">
        <v>19.93</v>
      </c>
      <c r="L185" s="151">
        <v>2.0599999999999987</v>
      </c>
      <c r="M185" s="151">
        <v>2.4600000000000009</v>
      </c>
      <c r="N185" s="151">
        <v>25.175764044943815</v>
      </c>
      <c r="P185" s="151"/>
    </row>
    <row r="186" spans="2:16">
      <c r="B186" s="154">
        <v>13002</v>
      </c>
      <c r="C186" t="s">
        <v>159</v>
      </c>
      <c r="D186" s="155" t="s">
        <v>46</v>
      </c>
      <c r="E186" s="156"/>
      <c r="F186" s="156"/>
      <c r="G186" s="156" t="s">
        <v>234</v>
      </c>
      <c r="H186">
        <v>0</v>
      </c>
      <c r="J186" s="158">
        <v>0</v>
      </c>
      <c r="K186" s="151">
        <v>0</v>
      </c>
      <c r="L186" s="151">
        <v>0</v>
      </c>
      <c r="M186" s="151">
        <v>0</v>
      </c>
      <c r="N186" s="151">
        <v>0</v>
      </c>
    </row>
    <row r="187" spans="2:16">
      <c r="B187" s="154">
        <v>32004</v>
      </c>
      <c r="C187" t="s">
        <v>59</v>
      </c>
      <c r="D187" s="155" t="s">
        <v>50</v>
      </c>
      <c r="E187" s="156">
        <v>13.5</v>
      </c>
      <c r="F187" s="156">
        <v>13.5</v>
      </c>
      <c r="G187" s="156" t="s">
        <v>220</v>
      </c>
      <c r="H187">
        <v>0</v>
      </c>
      <c r="I187" s="2"/>
      <c r="J187" s="158">
        <v>0</v>
      </c>
      <c r="K187" s="151">
        <v>0</v>
      </c>
      <c r="L187" s="151">
        <v>13.5</v>
      </c>
      <c r="M187" s="151">
        <v>13.5</v>
      </c>
      <c r="N187" s="151">
        <v>0</v>
      </c>
    </row>
    <row r="188" spans="2:16">
      <c r="B188" s="154">
        <v>32020</v>
      </c>
      <c r="C188" t="s">
        <v>25</v>
      </c>
      <c r="D188" s="155" t="s">
        <v>51</v>
      </c>
      <c r="E188" s="156">
        <v>14.5</v>
      </c>
      <c r="F188" s="156">
        <v>14.5</v>
      </c>
      <c r="G188" s="156" t="s">
        <v>220</v>
      </c>
      <c r="H188">
        <v>0</v>
      </c>
      <c r="J188" s="158">
        <v>0</v>
      </c>
      <c r="K188" s="151">
        <v>0</v>
      </c>
      <c r="L188" s="151">
        <v>14.5</v>
      </c>
      <c r="M188" s="151">
        <v>14.5</v>
      </c>
      <c r="N188" s="151">
        <v>0</v>
      </c>
    </row>
    <row r="189" spans="2:16">
      <c r="B189" s="154">
        <v>25251</v>
      </c>
      <c r="C189" t="s">
        <v>25</v>
      </c>
      <c r="D189" s="155" t="s">
        <v>51</v>
      </c>
      <c r="E189" s="156">
        <v>18.489999999999998</v>
      </c>
      <c r="F189" s="156">
        <v>18.489999999999998</v>
      </c>
      <c r="G189" s="156" t="s">
        <v>220</v>
      </c>
      <c r="H189">
        <v>0</v>
      </c>
      <c r="J189" s="158">
        <v>0</v>
      </c>
      <c r="K189" s="151">
        <v>0</v>
      </c>
      <c r="L189" s="151">
        <v>18.489999999999998</v>
      </c>
      <c r="M189" s="151">
        <v>18.489999999999998</v>
      </c>
      <c r="N189" s="151">
        <v>0</v>
      </c>
    </row>
    <row r="190" spans="2:16">
      <c r="B190" s="154">
        <v>25227</v>
      </c>
      <c r="C190" t="s">
        <v>59</v>
      </c>
      <c r="D190" s="155" t="s">
        <v>452</v>
      </c>
      <c r="E190" s="156">
        <v>8.99</v>
      </c>
      <c r="F190" s="156">
        <v>9.49</v>
      </c>
      <c r="G190" s="156" t="s">
        <v>220</v>
      </c>
      <c r="H190" s="161">
        <v>0</v>
      </c>
      <c r="I190" s="2"/>
      <c r="J190" s="158">
        <v>0</v>
      </c>
      <c r="K190" s="151">
        <v>0</v>
      </c>
      <c r="L190" s="151">
        <v>8.99</v>
      </c>
      <c r="M190" s="151">
        <v>9.49</v>
      </c>
      <c r="N190" s="151">
        <v>0</v>
      </c>
    </row>
    <row r="191" spans="2:16">
      <c r="B191" s="154">
        <v>32043</v>
      </c>
      <c r="C191" t="s">
        <v>25</v>
      </c>
      <c r="D191" s="155" t="s">
        <v>333</v>
      </c>
      <c r="E191" s="156">
        <v>22.99</v>
      </c>
      <c r="F191" s="156">
        <v>23.19</v>
      </c>
      <c r="G191" s="156" t="s">
        <v>220</v>
      </c>
      <c r="H191" s="161">
        <v>41</v>
      </c>
      <c r="J191" s="158">
        <v>41</v>
      </c>
      <c r="K191" s="151">
        <v>19.760000000000002</v>
      </c>
      <c r="L191" s="151">
        <v>3.2299999999999969</v>
      </c>
      <c r="M191" s="151">
        <v>3.4299999999999997</v>
      </c>
      <c r="N191" s="151">
        <v>25.666268292682926</v>
      </c>
      <c r="P191" s="151"/>
    </row>
    <row r="192" spans="2:16">
      <c r="B192" s="154">
        <v>32017</v>
      </c>
      <c r="C192" t="s">
        <v>341</v>
      </c>
      <c r="D192" s="155" t="s">
        <v>52</v>
      </c>
      <c r="E192" s="156">
        <v>10.99</v>
      </c>
      <c r="F192" s="156">
        <v>11.29</v>
      </c>
      <c r="G192" s="156" t="s">
        <v>174</v>
      </c>
      <c r="H192" s="161">
        <v>20</v>
      </c>
      <c r="J192" s="158">
        <v>20</v>
      </c>
      <c r="K192" s="151">
        <v>9</v>
      </c>
      <c r="L192" s="151">
        <v>1.9900000000000002</v>
      </c>
      <c r="M192" s="151">
        <v>2.2899999999999991</v>
      </c>
      <c r="N192" s="151">
        <v>20.387149999999998</v>
      </c>
      <c r="P192" s="151"/>
    </row>
    <row r="193" spans="2:16">
      <c r="B193" s="154">
        <v>32040</v>
      </c>
      <c r="C193" t="s">
        <v>341</v>
      </c>
      <c r="D193" s="155" t="s">
        <v>67</v>
      </c>
      <c r="E193" s="156">
        <v>10.69</v>
      </c>
      <c r="F193" s="156">
        <v>10.99</v>
      </c>
      <c r="G193" s="156" t="s">
        <v>408</v>
      </c>
      <c r="H193">
        <v>74</v>
      </c>
      <c r="I193" s="2"/>
      <c r="J193" s="158">
        <v>74</v>
      </c>
      <c r="K193" s="151">
        <v>8.5</v>
      </c>
      <c r="L193" s="151">
        <v>2.1899999999999995</v>
      </c>
      <c r="M193" s="151">
        <v>2.4900000000000002</v>
      </c>
      <c r="N193" s="151">
        <v>17.870810810810813</v>
      </c>
    </row>
    <row r="194" spans="2:16">
      <c r="B194" s="154">
        <v>32002</v>
      </c>
      <c r="C194" t="s">
        <v>29</v>
      </c>
      <c r="D194" s="155" t="s">
        <v>333</v>
      </c>
      <c r="E194" s="156">
        <v>21.49</v>
      </c>
      <c r="F194" s="156">
        <v>21.99</v>
      </c>
      <c r="G194" s="156" t="s">
        <v>220</v>
      </c>
      <c r="H194" s="161">
        <v>82</v>
      </c>
      <c r="I194" s="2"/>
      <c r="J194" s="158">
        <v>82</v>
      </c>
      <c r="K194" s="151">
        <v>19.07</v>
      </c>
      <c r="L194" s="151">
        <v>2.4199999999999982</v>
      </c>
      <c r="M194" s="151">
        <v>2.9199999999999982</v>
      </c>
      <c r="N194" s="151">
        <v>21.988902439024393</v>
      </c>
      <c r="P194" s="151"/>
    </row>
    <row r="195" spans="2:16">
      <c r="B195" s="154">
        <v>32039</v>
      </c>
      <c r="C195" t="s">
        <v>29</v>
      </c>
      <c r="D195" s="155" t="s">
        <v>4</v>
      </c>
      <c r="E195" s="156">
        <v>19</v>
      </c>
      <c r="F195" s="156">
        <v>19</v>
      </c>
      <c r="G195" s="156" t="s">
        <v>235</v>
      </c>
      <c r="H195">
        <v>0</v>
      </c>
      <c r="J195" s="158">
        <v>0</v>
      </c>
      <c r="K195" s="151">
        <v>0</v>
      </c>
      <c r="L195" s="151">
        <v>19</v>
      </c>
      <c r="M195" s="151">
        <v>19</v>
      </c>
      <c r="N195" s="151">
        <v>0</v>
      </c>
    </row>
    <row r="196" spans="2:16">
      <c r="B196" s="154">
        <v>32019</v>
      </c>
      <c r="C196" t="s">
        <v>29</v>
      </c>
      <c r="D196" s="155" t="s">
        <v>119</v>
      </c>
      <c r="E196" s="156">
        <v>20</v>
      </c>
      <c r="F196" s="156">
        <v>20</v>
      </c>
      <c r="G196" s="156" t="s">
        <v>220</v>
      </c>
      <c r="H196">
        <v>0</v>
      </c>
      <c r="I196" s="2"/>
      <c r="J196" s="158">
        <v>0</v>
      </c>
      <c r="K196" s="151">
        <v>0</v>
      </c>
      <c r="L196" s="151">
        <v>20</v>
      </c>
      <c r="M196" s="151">
        <v>20</v>
      </c>
      <c r="N196" s="151">
        <v>0</v>
      </c>
    </row>
    <row r="197" spans="2:16">
      <c r="B197" s="154">
        <v>13004</v>
      </c>
      <c r="C197" t="s">
        <v>160</v>
      </c>
      <c r="D197" s="155" t="s">
        <v>161</v>
      </c>
      <c r="E197" s="156">
        <v>16.5</v>
      </c>
      <c r="F197" s="156">
        <v>16.5</v>
      </c>
      <c r="G197" s="156" t="s">
        <v>220</v>
      </c>
      <c r="H197">
        <v>0</v>
      </c>
      <c r="I197" s="2"/>
      <c r="J197" s="158">
        <v>0</v>
      </c>
      <c r="K197" s="151">
        <v>0</v>
      </c>
      <c r="L197" s="151">
        <v>16.5</v>
      </c>
      <c r="M197" s="151">
        <v>16.5</v>
      </c>
      <c r="N197" s="151">
        <v>0</v>
      </c>
    </row>
    <row r="198" spans="2:16">
      <c r="B198" s="154">
        <v>52024</v>
      </c>
      <c r="C198" t="s">
        <v>60</v>
      </c>
      <c r="D198" s="155" t="s">
        <v>46</v>
      </c>
      <c r="E198" s="156"/>
      <c r="F198" s="156"/>
      <c r="G198" s="156" t="s">
        <v>220</v>
      </c>
      <c r="H198">
        <v>0</v>
      </c>
      <c r="I198" s="2"/>
      <c r="J198" s="158">
        <v>0</v>
      </c>
      <c r="K198" s="151">
        <v>0</v>
      </c>
      <c r="L198" s="151">
        <v>0</v>
      </c>
      <c r="M198" s="151">
        <v>0</v>
      </c>
      <c r="N198" s="151">
        <v>0</v>
      </c>
    </row>
    <row r="199" spans="2:16">
      <c r="B199" s="154">
        <v>52033</v>
      </c>
      <c r="C199" t="s">
        <v>60</v>
      </c>
      <c r="D199" s="155" t="s">
        <v>46</v>
      </c>
      <c r="E199" s="156">
        <v>19.39</v>
      </c>
      <c r="F199" s="156">
        <v>19.39</v>
      </c>
      <c r="G199" s="156" t="s">
        <v>220</v>
      </c>
      <c r="H199" s="161">
        <v>0</v>
      </c>
      <c r="I199" s="2"/>
      <c r="J199" s="158">
        <v>0</v>
      </c>
      <c r="K199" s="151">
        <v>0</v>
      </c>
      <c r="L199" s="151">
        <v>19.39</v>
      </c>
      <c r="M199" s="151">
        <v>19.39</v>
      </c>
      <c r="N199" s="151">
        <v>0</v>
      </c>
    </row>
    <row r="200" spans="2:16">
      <c r="B200" s="154"/>
      <c r="D200" s="155"/>
      <c r="E200" s="2"/>
      <c r="F200" s="2"/>
      <c r="G200" s="156"/>
      <c r="H200" s="161"/>
      <c r="I200" s="2"/>
      <c r="K200" s="2"/>
      <c r="L200" s="2"/>
      <c r="M200" s="2"/>
      <c r="N200" s="2"/>
      <c r="P200" s="151"/>
    </row>
    <row r="201" spans="2:16">
      <c r="B201" s="154"/>
      <c r="C201" s="154"/>
      <c r="D201" s="157" t="s">
        <v>164</v>
      </c>
      <c r="E201" s="154"/>
      <c r="F201" s="154"/>
      <c r="G201" s="154"/>
      <c r="H201" s="161"/>
      <c r="J201" s="154"/>
      <c r="K201" s="2"/>
      <c r="L201" s="2"/>
      <c r="M201" s="2"/>
      <c r="N201" s="2"/>
    </row>
    <row r="202" spans="2:16">
      <c r="B202" s="154">
        <v>35030</v>
      </c>
      <c r="C202" t="s">
        <v>338</v>
      </c>
      <c r="D202" s="155" t="s">
        <v>191</v>
      </c>
      <c r="E202" s="156">
        <v>22.59</v>
      </c>
      <c r="F202" s="156">
        <v>22.59</v>
      </c>
      <c r="G202" s="156" t="s">
        <v>226</v>
      </c>
      <c r="H202" s="161">
        <v>0</v>
      </c>
      <c r="I202" s="2"/>
      <c r="J202" s="158">
        <v>0</v>
      </c>
      <c r="K202" s="151">
        <v>0</v>
      </c>
      <c r="L202" s="151">
        <v>22.59</v>
      </c>
      <c r="M202" s="151">
        <v>22.59</v>
      </c>
      <c r="N202" s="151">
        <v>0</v>
      </c>
    </row>
    <row r="203" spans="2:16">
      <c r="B203" s="154">
        <v>35012</v>
      </c>
      <c r="C203" t="s">
        <v>330</v>
      </c>
      <c r="D203" s="155" t="s">
        <v>119</v>
      </c>
      <c r="E203" s="156">
        <v>20.69</v>
      </c>
      <c r="F203" s="156">
        <v>19.989999999999998</v>
      </c>
      <c r="G203" s="156" t="s">
        <v>420</v>
      </c>
      <c r="H203">
        <v>29</v>
      </c>
      <c r="I203" s="2"/>
      <c r="J203" s="158">
        <v>29</v>
      </c>
      <c r="K203" s="151">
        <v>18</v>
      </c>
      <c r="L203" s="151">
        <v>2.6900000000000013</v>
      </c>
      <c r="M203" s="151">
        <v>1.9899999999999984</v>
      </c>
      <c r="N203" s="151">
        <v>21.88789655172414</v>
      </c>
    </row>
    <row r="204" spans="2:16">
      <c r="B204" s="154">
        <v>35021</v>
      </c>
      <c r="C204" t="s">
        <v>109</v>
      </c>
      <c r="D204" s="155" t="s">
        <v>11</v>
      </c>
      <c r="E204" s="156">
        <v>21.59</v>
      </c>
      <c r="F204" s="156">
        <v>21.59</v>
      </c>
      <c r="G204" s="156" t="s">
        <v>226</v>
      </c>
      <c r="H204">
        <v>0</v>
      </c>
      <c r="I204" s="2"/>
      <c r="J204" s="158">
        <v>0</v>
      </c>
      <c r="K204" s="151">
        <v>0</v>
      </c>
      <c r="L204" s="151">
        <v>21.59</v>
      </c>
      <c r="M204" s="151">
        <v>21.59</v>
      </c>
      <c r="N204" s="151">
        <v>0</v>
      </c>
    </row>
    <row r="205" spans="2:16">
      <c r="B205" s="154">
        <v>35013</v>
      </c>
      <c r="C205" t="s">
        <v>10</v>
      </c>
      <c r="D205" s="155" t="s">
        <v>67</v>
      </c>
      <c r="E205" s="156">
        <v>15.5</v>
      </c>
      <c r="F205" s="156">
        <v>15.5</v>
      </c>
      <c r="G205" s="156" t="s">
        <v>240</v>
      </c>
      <c r="H205">
        <v>0</v>
      </c>
      <c r="J205" s="158">
        <v>0</v>
      </c>
      <c r="K205" s="151">
        <v>0</v>
      </c>
      <c r="L205" s="151">
        <v>15.5</v>
      </c>
      <c r="M205" s="151">
        <v>15.5</v>
      </c>
      <c r="N205" s="151">
        <v>0</v>
      </c>
    </row>
    <row r="206" spans="2:16">
      <c r="B206" s="154">
        <v>35037</v>
      </c>
      <c r="C206" t="s">
        <v>10</v>
      </c>
      <c r="D206" s="155" t="s">
        <v>67</v>
      </c>
      <c r="E206" s="156">
        <v>16.989999999999998</v>
      </c>
      <c r="F206" s="156">
        <v>16.989999999999998</v>
      </c>
      <c r="G206" s="156" t="s">
        <v>278</v>
      </c>
      <c r="H206" s="161">
        <v>0</v>
      </c>
      <c r="I206" s="2"/>
      <c r="J206" s="158">
        <v>0</v>
      </c>
      <c r="K206" s="151">
        <v>0</v>
      </c>
      <c r="L206" s="151">
        <v>16.989999999999998</v>
      </c>
      <c r="M206" s="151">
        <v>16.989999999999998</v>
      </c>
      <c r="N206" s="151">
        <v>0</v>
      </c>
    </row>
    <row r="207" spans="2:16">
      <c r="B207" s="154">
        <v>35032</v>
      </c>
      <c r="C207" t="s">
        <v>118</v>
      </c>
      <c r="D207" s="155" t="s">
        <v>7</v>
      </c>
      <c r="E207" s="156">
        <v>10.5</v>
      </c>
      <c r="F207" s="156">
        <v>10.5</v>
      </c>
      <c r="G207" s="156" t="s">
        <v>224</v>
      </c>
      <c r="H207">
        <v>0</v>
      </c>
      <c r="I207" s="2"/>
      <c r="J207" s="158">
        <v>0</v>
      </c>
      <c r="K207" s="151">
        <v>0</v>
      </c>
      <c r="L207" s="151">
        <v>10.5</v>
      </c>
      <c r="M207" s="151">
        <v>10.5</v>
      </c>
      <c r="N207" s="151">
        <v>0</v>
      </c>
    </row>
    <row r="208" spans="2:16">
      <c r="B208" s="154">
        <v>35020</v>
      </c>
      <c r="C208" t="s">
        <v>124</v>
      </c>
      <c r="D208" s="155" t="s">
        <v>52</v>
      </c>
      <c r="E208" s="156">
        <v>12.9</v>
      </c>
      <c r="F208" s="156">
        <v>12.9</v>
      </c>
      <c r="G208" s="156" t="s">
        <v>224</v>
      </c>
      <c r="H208">
        <v>0</v>
      </c>
      <c r="I208" s="2"/>
      <c r="J208" s="158">
        <v>0</v>
      </c>
      <c r="K208" s="151">
        <v>0</v>
      </c>
      <c r="L208" s="151">
        <v>12.9</v>
      </c>
      <c r="M208" s="151">
        <v>12.9</v>
      </c>
      <c r="N208" s="151">
        <v>0</v>
      </c>
    </row>
    <row r="209" spans="2:16">
      <c r="B209" s="154">
        <v>35031</v>
      </c>
      <c r="C209" t="s">
        <v>117</v>
      </c>
      <c r="D209" s="155" t="s">
        <v>50</v>
      </c>
      <c r="E209" s="156">
        <v>15.9</v>
      </c>
      <c r="F209" s="156">
        <v>15.9</v>
      </c>
      <c r="G209" s="156" t="s">
        <v>224</v>
      </c>
      <c r="H209">
        <v>0</v>
      </c>
      <c r="I209" s="2"/>
      <c r="J209" s="158">
        <v>0</v>
      </c>
      <c r="K209" s="151">
        <v>0</v>
      </c>
      <c r="L209" s="151">
        <v>15.9</v>
      </c>
      <c r="M209" s="151">
        <v>15.9</v>
      </c>
      <c r="N209" s="151">
        <v>0</v>
      </c>
    </row>
    <row r="210" spans="2:16">
      <c r="B210" s="154">
        <v>35014</v>
      </c>
      <c r="C210" t="s">
        <v>108</v>
      </c>
      <c r="D210" s="155" t="s">
        <v>309</v>
      </c>
      <c r="E210" s="156">
        <v>18.29</v>
      </c>
      <c r="F210" s="156">
        <v>18.29</v>
      </c>
      <c r="G210" s="156" t="s">
        <v>228</v>
      </c>
      <c r="H210" s="161">
        <v>0</v>
      </c>
      <c r="J210" s="158">
        <v>0</v>
      </c>
      <c r="K210" s="151">
        <v>0</v>
      </c>
      <c r="L210" s="151">
        <v>18.29</v>
      </c>
      <c r="M210" s="151">
        <v>18.29</v>
      </c>
      <c r="N210" s="151">
        <v>0</v>
      </c>
    </row>
    <row r="211" spans="2:16">
      <c r="B211" s="154">
        <v>35038</v>
      </c>
      <c r="C211" t="s">
        <v>9</v>
      </c>
      <c r="D211" s="155" t="s">
        <v>67</v>
      </c>
      <c r="E211" s="156">
        <v>20.99</v>
      </c>
      <c r="F211" s="156">
        <v>20.99</v>
      </c>
      <c r="G211" s="156" t="s">
        <v>420</v>
      </c>
      <c r="H211">
        <v>28</v>
      </c>
      <c r="I211" s="2"/>
      <c r="J211" s="158">
        <v>28</v>
      </c>
      <c r="K211" s="151">
        <v>18.399999999999999</v>
      </c>
      <c r="L211" s="151">
        <v>2.59</v>
      </c>
      <c r="M211" s="151">
        <v>2.59</v>
      </c>
      <c r="N211" s="151">
        <v>15.135714285714286</v>
      </c>
    </row>
    <row r="212" spans="2:16">
      <c r="B212" s="154">
        <v>35005</v>
      </c>
      <c r="C212" t="s">
        <v>47</v>
      </c>
      <c r="D212" s="155" t="s">
        <v>7</v>
      </c>
      <c r="E212" s="156"/>
      <c r="F212" s="156"/>
      <c r="G212" s="156" t="s">
        <v>226</v>
      </c>
      <c r="H212">
        <v>0</v>
      </c>
      <c r="I212" s="2"/>
      <c r="J212" s="158">
        <v>0</v>
      </c>
      <c r="K212" s="151">
        <v>0</v>
      </c>
      <c r="L212" s="151">
        <v>0</v>
      </c>
      <c r="M212" s="151">
        <v>0</v>
      </c>
      <c r="N212" s="151">
        <v>0</v>
      </c>
    </row>
    <row r="213" spans="2:16">
      <c r="B213" s="154">
        <v>35016</v>
      </c>
      <c r="C213" t="s">
        <v>123</v>
      </c>
      <c r="D213" s="155" t="s">
        <v>4</v>
      </c>
      <c r="E213" s="156">
        <v>15.9</v>
      </c>
      <c r="F213" s="156">
        <v>15.9</v>
      </c>
      <c r="G213" s="156" t="s">
        <v>224</v>
      </c>
      <c r="H213">
        <v>0</v>
      </c>
      <c r="I213" s="2"/>
      <c r="J213" s="158">
        <v>0</v>
      </c>
      <c r="K213" s="151">
        <v>0</v>
      </c>
      <c r="L213" s="151">
        <v>15.9</v>
      </c>
      <c r="M213" s="151">
        <v>15.9</v>
      </c>
      <c r="N213" s="151">
        <v>0</v>
      </c>
    </row>
    <row r="214" spans="2:16">
      <c r="B214" s="154">
        <v>35022</v>
      </c>
      <c r="C214" t="s">
        <v>151</v>
      </c>
      <c r="D214" s="155" t="s">
        <v>119</v>
      </c>
      <c r="E214" s="156">
        <v>13.99</v>
      </c>
      <c r="F214" s="156">
        <v>13.99</v>
      </c>
      <c r="G214" s="156" t="s">
        <v>224</v>
      </c>
      <c r="H214">
        <v>0</v>
      </c>
      <c r="I214" s="2"/>
      <c r="J214" s="158">
        <v>0</v>
      </c>
      <c r="K214" s="151">
        <v>0</v>
      </c>
      <c r="L214" s="151">
        <v>13.99</v>
      </c>
      <c r="M214" s="151">
        <v>13.99</v>
      </c>
      <c r="N214" s="151">
        <v>0</v>
      </c>
    </row>
    <row r="215" spans="2:16">
      <c r="B215" s="154">
        <v>35011</v>
      </c>
      <c r="C215" t="s">
        <v>9</v>
      </c>
      <c r="D215" s="155" t="s">
        <v>67</v>
      </c>
      <c r="E215" s="156">
        <v>19.989999999999998</v>
      </c>
      <c r="F215" s="156">
        <v>19.989999999999998</v>
      </c>
      <c r="G215" s="156" t="s">
        <v>278</v>
      </c>
      <c r="H215" s="161">
        <v>0</v>
      </c>
      <c r="I215" s="2"/>
      <c r="J215" s="158">
        <v>0</v>
      </c>
      <c r="K215" s="151">
        <v>0</v>
      </c>
      <c r="L215" s="151">
        <v>19.989999999999998</v>
      </c>
      <c r="M215" s="151">
        <v>19.989999999999998</v>
      </c>
      <c r="N215" s="151">
        <v>0</v>
      </c>
    </row>
    <row r="216" spans="2:16">
      <c r="B216" s="154">
        <v>35003</v>
      </c>
      <c r="C216" t="s">
        <v>110</v>
      </c>
      <c r="D216" s="155" t="s">
        <v>67</v>
      </c>
      <c r="E216" s="156">
        <v>19.489999999999998</v>
      </c>
      <c r="F216" s="156">
        <v>19.489999999999998</v>
      </c>
      <c r="G216" s="156" t="s">
        <v>240</v>
      </c>
      <c r="H216">
        <v>0</v>
      </c>
      <c r="I216" s="2"/>
      <c r="J216" s="158">
        <v>0</v>
      </c>
      <c r="K216" s="151">
        <v>0</v>
      </c>
      <c r="L216" s="151">
        <v>19.489999999999998</v>
      </c>
      <c r="M216" s="151">
        <v>19.489999999999998</v>
      </c>
      <c r="N216" s="151">
        <v>0</v>
      </c>
    </row>
    <row r="217" spans="2:16">
      <c r="B217" s="154">
        <v>35002</v>
      </c>
      <c r="C217" t="s">
        <v>120</v>
      </c>
      <c r="D217" s="155" t="s">
        <v>67</v>
      </c>
      <c r="E217" s="156">
        <v>13.99</v>
      </c>
      <c r="F217" s="156">
        <v>14.49</v>
      </c>
      <c r="G217" s="156" t="s">
        <v>226</v>
      </c>
      <c r="H217" s="161">
        <v>12</v>
      </c>
      <c r="I217" s="2"/>
      <c r="J217" s="158">
        <v>12</v>
      </c>
      <c r="K217" s="151">
        <v>11.5</v>
      </c>
      <c r="L217" s="151">
        <v>2.4900000000000002</v>
      </c>
      <c r="M217" s="151">
        <v>2.99</v>
      </c>
      <c r="N217" s="151">
        <v>18.689166666666669</v>
      </c>
    </row>
    <row r="218" spans="2:16">
      <c r="B218" s="154"/>
      <c r="D218" s="155"/>
      <c r="E218" s="2"/>
      <c r="F218" s="2"/>
      <c r="G218" s="156"/>
      <c r="H218" s="161"/>
      <c r="I218" s="2"/>
      <c r="K218" s="2"/>
      <c r="L218" s="2"/>
      <c r="M218" s="2"/>
      <c r="N218" s="2"/>
      <c r="P218" s="151"/>
    </row>
    <row r="219" spans="2:16">
      <c r="B219" s="154"/>
      <c r="C219" s="154"/>
      <c r="D219" s="157" t="s">
        <v>305</v>
      </c>
      <c r="E219" s="154"/>
      <c r="F219" s="154"/>
      <c r="G219" s="154"/>
      <c r="H219" s="161">
        <v>0</v>
      </c>
      <c r="J219" s="154"/>
      <c r="K219" s="2"/>
      <c r="L219" s="2"/>
      <c r="M219" s="2"/>
      <c r="N219" s="2"/>
    </row>
    <row r="220" spans="2:16">
      <c r="B220" s="154">
        <v>70005</v>
      </c>
      <c r="C220" t="s">
        <v>306</v>
      </c>
      <c r="D220" s="155" t="s">
        <v>23</v>
      </c>
      <c r="E220" s="156">
        <v>345</v>
      </c>
      <c r="F220" s="156">
        <v>345</v>
      </c>
      <c r="G220" s="156" t="s">
        <v>220</v>
      </c>
      <c r="H220" s="161">
        <v>0</v>
      </c>
      <c r="I220" s="2"/>
      <c r="J220" s="158">
        <v>0</v>
      </c>
      <c r="K220" s="151">
        <v>0</v>
      </c>
      <c r="L220" s="151">
        <v>345</v>
      </c>
      <c r="M220" s="151">
        <v>345</v>
      </c>
      <c r="N220" s="151">
        <v>0</v>
      </c>
    </row>
    <row r="221" spans="2:16">
      <c r="B221" s="154">
        <v>70006</v>
      </c>
      <c r="C221" t="s">
        <v>307</v>
      </c>
      <c r="D221" s="155" t="s">
        <v>23</v>
      </c>
      <c r="E221" s="156">
        <v>310</v>
      </c>
      <c r="F221" s="156">
        <v>310</v>
      </c>
      <c r="G221" s="156" t="s">
        <v>220</v>
      </c>
      <c r="H221" s="161">
        <v>0</v>
      </c>
      <c r="I221" s="2"/>
      <c r="J221" s="158">
        <v>0</v>
      </c>
      <c r="K221" s="151">
        <v>0</v>
      </c>
      <c r="L221" s="151">
        <v>310</v>
      </c>
      <c r="M221" s="151">
        <v>310</v>
      </c>
      <c r="N221" s="151">
        <v>0</v>
      </c>
    </row>
    <row r="222" spans="2:16">
      <c r="B222" s="154">
        <v>70008</v>
      </c>
      <c r="C222" t="s">
        <v>308</v>
      </c>
      <c r="D222" s="155" t="s">
        <v>23</v>
      </c>
      <c r="E222" s="156">
        <v>295</v>
      </c>
      <c r="F222" s="156">
        <v>295</v>
      </c>
      <c r="G222" s="156" t="s">
        <v>220</v>
      </c>
      <c r="H222" s="161">
        <v>0</v>
      </c>
      <c r="I222" s="2"/>
      <c r="J222" s="158">
        <v>0</v>
      </c>
      <c r="K222" s="151">
        <v>0</v>
      </c>
      <c r="L222" s="151">
        <v>295</v>
      </c>
      <c r="M222" s="151">
        <v>295</v>
      </c>
      <c r="N222" s="151">
        <v>0</v>
      </c>
    </row>
    <row r="223" spans="2:16">
      <c r="B223" s="154"/>
      <c r="C223" s="154"/>
      <c r="D223" s="157" t="s">
        <v>276</v>
      </c>
      <c r="E223" s="154"/>
      <c r="F223" s="154"/>
      <c r="G223" s="154"/>
      <c r="H223" s="161"/>
      <c r="J223" s="154"/>
      <c r="K223" s="2"/>
      <c r="L223" s="2"/>
      <c r="M223" s="2"/>
      <c r="N223" s="2"/>
      <c r="P223" s="151"/>
    </row>
    <row r="224" spans="2:16">
      <c r="B224" s="154">
        <v>29001</v>
      </c>
      <c r="C224" t="s">
        <v>286</v>
      </c>
      <c r="D224" s="155" t="s">
        <v>18</v>
      </c>
      <c r="E224" s="156">
        <v>13.79</v>
      </c>
      <c r="F224" s="156">
        <v>13.79</v>
      </c>
      <c r="G224" s="156" t="s">
        <v>227</v>
      </c>
      <c r="H224">
        <v>0</v>
      </c>
      <c r="I224" s="2"/>
      <c r="J224" s="158">
        <v>0</v>
      </c>
      <c r="K224" s="151">
        <v>0</v>
      </c>
      <c r="L224" s="151">
        <v>13.79</v>
      </c>
      <c r="M224" s="151">
        <v>13.79</v>
      </c>
      <c r="N224" s="151">
        <v>0</v>
      </c>
      <c r="P224" s="151"/>
    </row>
    <row r="225" spans="2:16">
      <c r="B225" s="154">
        <v>29000</v>
      </c>
      <c r="C225" t="s">
        <v>356</v>
      </c>
      <c r="D225" s="155" t="s">
        <v>18</v>
      </c>
      <c r="E225" s="156">
        <v>21.49</v>
      </c>
      <c r="F225" s="156">
        <v>21.49</v>
      </c>
      <c r="G225" s="156" t="s">
        <v>227</v>
      </c>
      <c r="H225" s="161">
        <v>84</v>
      </c>
      <c r="I225" s="2"/>
      <c r="J225" s="158">
        <v>84</v>
      </c>
      <c r="K225" s="151">
        <v>18.43</v>
      </c>
      <c r="L225" s="151">
        <v>3.0599999999999987</v>
      </c>
      <c r="M225" s="151">
        <v>3.0599999999999987</v>
      </c>
      <c r="N225" s="151">
        <v>10</v>
      </c>
      <c r="P225" s="151"/>
    </row>
    <row r="226" spans="2:16">
      <c r="B226" s="154">
        <v>29010</v>
      </c>
      <c r="C226" t="s">
        <v>357</v>
      </c>
      <c r="D226" s="155" t="s">
        <v>355</v>
      </c>
      <c r="E226" s="156">
        <v>14.9</v>
      </c>
      <c r="F226" s="156">
        <v>14.9</v>
      </c>
      <c r="G226" s="156" t="s">
        <v>227</v>
      </c>
      <c r="H226" s="161">
        <v>12</v>
      </c>
      <c r="I226" s="2"/>
      <c r="J226" s="158">
        <v>12</v>
      </c>
      <c r="K226" s="151">
        <v>11.3</v>
      </c>
      <c r="L226" s="151">
        <v>3.5999999999999996</v>
      </c>
      <c r="M226" s="151">
        <v>3.5999999999999996</v>
      </c>
      <c r="N226" s="151">
        <v>9.7999999999999989</v>
      </c>
      <c r="P226" s="151"/>
    </row>
    <row r="227" spans="2:16">
      <c r="B227" s="154"/>
      <c r="D227" s="155"/>
      <c r="E227" s="156"/>
      <c r="F227" s="156"/>
      <c r="G227" s="156"/>
      <c r="H227" s="161"/>
      <c r="I227" s="2"/>
      <c r="J227" s="151"/>
      <c r="K227" s="151"/>
      <c r="L227" s="151"/>
      <c r="M227" s="151"/>
      <c r="N227" s="151"/>
      <c r="P227" s="151"/>
    </row>
    <row r="228" spans="2:16">
      <c r="B228" s="154"/>
      <c r="C228" s="154"/>
      <c r="D228" s="157" t="s">
        <v>275</v>
      </c>
      <c r="E228" s="154"/>
      <c r="F228" s="154"/>
      <c r="G228" s="154"/>
      <c r="H228" s="161">
        <v>0</v>
      </c>
      <c r="J228" s="154"/>
      <c r="K228" s="2"/>
      <c r="L228" s="2"/>
      <c r="M228" s="2"/>
      <c r="N228" s="2"/>
    </row>
    <row r="229" spans="2:16">
      <c r="B229" s="154">
        <v>30008</v>
      </c>
      <c r="C229" t="s">
        <v>279</v>
      </c>
      <c r="D229" s="155" t="s">
        <v>5</v>
      </c>
      <c r="E229" s="156">
        <v>11.99</v>
      </c>
      <c r="F229" s="156">
        <v>11.99</v>
      </c>
      <c r="G229" s="156" t="s">
        <v>241</v>
      </c>
      <c r="H229" s="161">
        <v>0</v>
      </c>
      <c r="I229" s="2"/>
      <c r="J229" s="158">
        <v>0</v>
      </c>
      <c r="K229" s="151">
        <v>0</v>
      </c>
      <c r="L229" s="151">
        <v>11.99</v>
      </c>
      <c r="M229" s="151">
        <v>11.99</v>
      </c>
      <c r="N229" s="151">
        <v>0</v>
      </c>
    </row>
    <row r="230" spans="2:16">
      <c r="B230" s="154">
        <v>29007</v>
      </c>
      <c r="C230" t="s">
        <v>331</v>
      </c>
      <c r="D230" s="155" t="s">
        <v>18</v>
      </c>
      <c r="E230" s="156">
        <v>11.99</v>
      </c>
      <c r="F230" s="156">
        <v>11.99</v>
      </c>
      <c r="G230" s="156" t="s">
        <v>281</v>
      </c>
      <c r="H230">
        <v>0</v>
      </c>
      <c r="I230" s="2"/>
      <c r="J230" s="158">
        <v>0</v>
      </c>
      <c r="K230" s="151">
        <v>0</v>
      </c>
      <c r="L230" s="151">
        <v>11.99</v>
      </c>
      <c r="M230" s="151">
        <v>11.99</v>
      </c>
      <c r="N230" s="151">
        <v>0</v>
      </c>
    </row>
    <row r="231" spans="2:16">
      <c r="B231" s="154">
        <v>29008</v>
      </c>
      <c r="C231" t="s">
        <v>280</v>
      </c>
      <c r="D231" s="155" t="s">
        <v>18</v>
      </c>
      <c r="E231" s="156">
        <v>9.99</v>
      </c>
      <c r="F231" s="156">
        <v>9.99</v>
      </c>
      <c r="G231" s="156" t="s">
        <v>281</v>
      </c>
      <c r="H231" s="161">
        <v>0</v>
      </c>
      <c r="I231" s="2"/>
      <c r="J231" s="158">
        <v>0</v>
      </c>
      <c r="K231" s="151">
        <v>0</v>
      </c>
      <c r="L231" s="151">
        <v>9.99</v>
      </c>
      <c r="M231" s="151">
        <v>9.99</v>
      </c>
      <c r="N231" s="151">
        <v>0</v>
      </c>
    </row>
    <row r="232" spans="2:16">
      <c r="B232" s="154"/>
      <c r="C232" s="154"/>
      <c r="D232" s="157" t="s">
        <v>277</v>
      </c>
      <c r="E232" s="154"/>
      <c r="F232" s="154"/>
      <c r="G232" s="154"/>
      <c r="H232" s="154">
        <v>0</v>
      </c>
      <c r="J232" s="154"/>
      <c r="K232" s="2"/>
      <c r="L232" s="2"/>
      <c r="M232" s="2"/>
      <c r="N232" s="2"/>
    </row>
    <row r="233" spans="2:16">
      <c r="B233" s="154">
        <v>29006</v>
      </c>
      <c r="C233" t="s">
        <v>274</v>
      </c>
      <c r="D233" s="155" t="s">
        <v>18</v>
      </c>
      <c r="E233" s="156">
        <v>13.59</v>
      </c>
      <c r="F233" s="156">
        <v>13.59</v>
      </c>
      <c r="G233" s="156" t="s">
        <v>228</v>
      </c>
      <c r="H233">
        <v>0</v>
      </c>
      <c r="J233" s="158">
        <v>0</v>
      </c>
      <c r="K233" s="151">
        <v>0</v>
      </c>
      <c r="L233" s="151">
        <v>13.59</v>
      </c>
      <c r="M233" s="151">
        <v>13.59</v>
      </c>
      <c r="N233" s="151">
        <v>0</v>
      </c>
    </row>
    <row r="234" spans="2:16">
      <c r="B234" s="154">
        <v>29005</v>
      </c>
      <c r="C234" t="s">
        <v>192</v>
      </c>
      <c r="D234" s="155" t="s">
        <v>191</v>
      </c>
      <c r="E234" s="156">
        <v>13.7</v>
      </c>
      <c r="F234" s="156">
        <v>13.7</v>
      </c>
      <c r="G234" s="156" t="s">
        <v>228</v>
      </c>
      <c r="H234">
        <v>0</v>
      </c>
      <c r="J234" s="158">
        <v>0</v>
      </c>
      <c r="K234" s="151">
        <v>0</v>
      </c>
      <c r="L234" s="151">
        <v>13.7</v>
      </c>
      <c r="M234" s="151">
        <v>13.7</v>
      </c>
      <c r="N234" s="151">
        <v>0</v>
      </c>
    </row>
    <row r="235" spans="2:16">
      <c r="B235" s="154"/>
      <c r="C235" s="154"/>
      <c r="D235" s="157" t="s">
        <v>282</v>
      </c>
      <c r="E235" s="154"/>
      <c r="F235" s="154"/>
      <c r="G235" s="154"/>
      <c r="H235" s="161"/>
      <c r="J235" s="154"/>
      <c r="K235" s="2"/>
      <c r="L235" s="2"/>
      <c r="M235" s="2"/>
      <c r="N235" s="2"/>
    </row>
    <row r="236" spans="2:16">
      <c r="B236" s="154">
        <v>20208</v>
      </c>
      <c r="C236" t="s">
        <v>311</v>
      </c>
      <c r="D236" s="155" t="s">
        <v>284</v>
      </c>
      <c r="E236" s="156">
        <v>24.59</v>
      </c>
      <c r="F236" s="156">
        <v>24.99</v>
      </c>
      <c r="G236" s="156" t="s">
        <v>312</v>
      </c>
      <c r="H236" s="161">
        <v>19</v>
      </c>
      <c r="I236" s="2"/>
      <c r="J236" s="158">
        <v>19</v>
      </c>
      <c r="K236" s="151">
        <v>21.5</v>
      </c>
      <c r="L236" s="151">
        <v>3.09</v>
      </c>
      <c r="M236" s="151">
        <v>3.4899999999999984</v>
      </c>
      <c r="N236" s="151">
        <v>21</v>
      </c>
    </row>
    <row r="237" spans="2:16">
      <c r="B237" s="154">
        <v>20203</v>
      </c>
      <c r="C237" t="s">
        <v>310</v>
      </c>
      <c r="D237" s="155" t="s">
        <v>119</v>
      </c>
      <c r="E237" s="156">
        <v>25.49</v>
      </c>
      <c r="F237" s="156">
        <v>25.99</v>
      </c>
      <c r="G237" s="156" t="s">
        <v>283</v>
      </c>
      <c r="H237" s="161">
        <v>5</v>
      </c>
      <c r="I237" s="2"/>
      <c r="J237" s="158">
        <v>5</v>
      </c>
      <c r="K237" s="151">
        <v>21.7</v>
      </c>
      <c r="L237" s="151">
        <v>3.7899999999999991</v>
      </c>
      <c r="M237" s="151">
        <v>4.2899999999999991</v>
      </c>
      <c r="N237" s="151">
        <v>15</v>
      </c>
    </row>
    <row r="238" spans="2:16">
      <c r="B238" s="154">
        <v>20202</v>
      </c>
      <c r="C238" t="s">
        <v>313</v>
      </c>
      <c r="D238" s="155" t="s">
        <v>18</v>
      </c>
      <c r="E238" s="156">
        <v>65.989999999999995</v>
      </c>
      <c r="F238" s="156">
        <v>66.989999999999995</v>
      </c>
      <c r="G238" s="156" t="s">
        <v>312</v>
      </c>
      <c r="H238" s="161">
        <v>0</v>
      </c>
      <c r="I238" s="2"/>
      <c r="J238" s="158">
        <v>0</v>
      </c>
      <c r="K238" s="151">
        <v>0</v>
      </c>
      <c r="L238" s="151">
        <v>65.989999999999995</v>
      </c>
      <c r="M238" s="151">
        <v>66.989999999999995</v>
      </c>
      <c r="N238" s="151">
        <v>0</v>
      </c>
    </row>
    <row r="239" spans="2:16">
      <c r="B239" s="154">
        <v>20206</v>
      </c>
      <c r="C239" t="s">
        <v>342</v>
      </c>
      <c r="D239" s="155" t="s">
        <v>119</v>
      </c>
      <c r="E239" s="156">
        <v>65.989999999999995</v>
      </c>
      <c r="F239" s="156">
        <v>65.989999999999995</v>
      </c>
      <c r="G239" s="156" t="s">
        <v>312</v>
      </c>
      <c r="H239" s="161">
        <v>0</v>
      </c>
      <c r="I239" s="2"/>
      <c r="J239" s="158">
        <v>0</v>
      </c>
      <c r="K239" s="151">
        <v>0</v>
      </c>
      <c r="L239" s="151">
        <v>65.989999999999995</v>
      </c>
      <c r="M239" s="151">
        <v>0</v>
      </c>
      <c r="N239" s="151">
        <v>0</v>
      </c>
    </row>
    <row r="240" spans="2:16">
      <c r="D240" s="152"/>
      <c r="E240" s="156"/>
      <c r="F240" s="156"/>
      <c r="H240" s="161"/>
      <c r="K240" s="151"/>
      <c r="L240" s="151"/>
      <c r="M240" s="151"/>
      <c r="N240" s="151"/>
    </row>
    <row r="241" spans="2:14">
      <c r="B241" s="154"/>
      <c r="C241" s="154"/>
      <c r="D241" s="157" t="s">
        <v>116</v>
      </c>
      <c r="E241" s="154"/>
      <c r="F241" s="154"/>
      <c r="G241" s="154"/>
      <c r="H241" s="161">
        <v>0</v>
      </c>
      <c r="J241" s="154"/>
      <c r="K241" s="2"/>
      <c r="L241" s="2"/>
      <c r="M241" s="2"/>
      <c r="N241" s="2"/>
    </row>
    <row r="242" spans="2:14">
      <c r="B242" s="154">
        <v>21001</v>
      </c>
      <c r="C242" t="s">
        <v>183</v>
      </c>
      <c r="D242" s="155" t="s">
        <v>73</v>
      </c>
      <c r="E242" s="156">
        <v>15.99</v>
      </c>
      <c r="F242" s="156">
        <v>15.99</v>
      </c>
      <c r="G242" s="156" t="s">
        <v>223</v>
      </c>
      <c r="H242">
        <v>0</v>
      </c>
      <c r="I242" s="2"/>
      <c r="J242" s="158">
        <v>0</v>
      </c>
      <c r="K242" s="151">
        <v>0</v>
      </c>
      <c r="L242" s="151">
        <v>15.99</v>
      </c>
      <c r="M242" s="151">
        <v>15.99</v>
      </c>
      <c r="N242" s="151">
        <v>0</v>
      </c>
    </row>
    <row r="243" spans="2:14">
      <c r="B243" s="154">
        <v>21005</v>
      </c>
      <c r="C243" t="s">
        <v>184</v>
      </c>
      <c r="D243" s="155" t="s">
        <v>133</v>
      </c>
      <c r="E243" s="156">
        <v>19.989999999999998</v>
      </c>
      <c r="F243" s="156">
        <v>19.989999999999998</v>
      </c>
      <c r="G243" s="156" t="s">
        <v>220</v>
      </c>
      <c r="H243" s="161">
        <v>0</v>
      </c>
      <c r="J243" s="158">
        <v>0</v>
      </c>
      <c r="K243" s="151">
        <v>0</v>
      </c>
      <c r="L243" s="151">
        <v>19.989999999999998</v>
      </c>
      <c r="M243" s="151">
        <v>19.989999999999998</v>
      </c>
      <c r="N243" s="151">
        <v>0</v>
      </c>
    </row>
    <row r="244" spans="2:14">
      <c r="B244" s="154">
        <v>21012</v>
      </c>
      <c r="C244" t="s">
        <v>184</v>
      </c>
      <c r="D244" s="155" t="s">
        <v>73</v>
      </c>
      <c r="E244" s="156">
        <v>20.9</v>
      </c>
      <c r="F244" s="156">
        <v>20.9</v>
      </c>
      <c r="G244" s="156" t="s">
        <v>235</v>
      </c>
      <c r="H244">
        <v>0</v>
      </c>
      <c r="J244" s="158">
        <v>0</v>
      </c>
      <c r="K244" s="151">
        <v>0</v>
      </c>
      <c r="L244" s="151">
        <v>20.9</v>
      </c>
      <c r="M244" s="151">
        <v>20.9</v>
      </c>
      <c r="N244" s="151">
        <v>0</v>
      </c>
    </row>
    <row r="245" spans="2:14">
      <c r="B245" s="154">
        <v>21003</v>
      </c>
      <c r="C245" t="s">
        <v>185</v>
      </c>
      <c r="D245" s="155" t="s">
        <v>46</v>
      </c>
      <c r="E245" s="156">
        <v>21.49</v>
      </c>
      <c r="F245" s="156">
        <v>21.49</v>
      </c>
      <c r="G245" s="156" t="s">
        <v>220</v>
      </c>
      <c r="H245" s="161">
        <v>0</v>
      </c>
      <c r="J245" s="158">
        <v>0</v>
      </c>
      <c r="K245" s="151">
        <v>0</v>
      </c>
      <c r="L245" s="151">
        <v>21.49</v>
      </c>
      <c r="M245" s="151">
        <v>21.49</v>
      </c>
      <c r="N245" s="151">
        <v>0</v>
      </c>
    </row>
    <row r="246" spans="2:14">
      <c r="D246" s="152"/>
      <c r="E246" s="2"/>
      <c r="F246" s="2"/>
      <c r="H246" s="161"/>
      <c r="K246" s="151"/>
      <c r="L246" s="151"/>
      <c r="M246" s="151"/>
      <c r="N246" s="151"/>
    </row>
    <row r="247" spans="2:14">
      <c r="B247" s="154"/>
      <c r="C247" s="154"/>
      <c r="D247" s="157" t="s">
        <v>63</v>
      </c>
      <c r="E247" s="154"/>
      <c r="F247" s="154"/>
      <c r="G247" s="154"/>
      <c r="H247">
        <v>0</v>
      </c>
      <c r="J247" s="154">
        <v>0</v>
      </c>
      <c r="K247" s="2"/>
      <c r="L247" s="2"/>
      <c r="M247" s="2"/>
      <c r="N247" s="2"/>
    </row>
    <row r="248" spans="2:14">
      <c r="B248" s="154">
        <v>20004</v>
      </c>
      <c r="C248" t="s">
        <v>66</v>
      </c>
      <c r="D248" s="155" t="s">
        <v>65</v>
      </c>
      <c r="E248" s="156">
        <v>12.5</v>
      </c>
      <c r="F248" s="156">
        <v>12.5</v>
      </c>
      <c r="G248" s="156" t="s">
        <v>172</v>
      </c>
      <c r="H248">
        <v>0</v>
      </c>
      <c r="J248" s="158">
        <v>0</v>
      </c>
      <c r="K248" s="151">
        <v>0</v>
      </c>
      <c r="L248" s="151">
        <v>12.5</v>
      </c>
      <c r="M248" s="151">
        <v>12.5</v>
      </c>
      <c r="N248" s="151">
        <v>0</v>
      </c>
    </row>
    <row r="249" spans="2:14">
      <c r="B249" s="154">
        <v>20015</v>
      </c>
      <c r="C249" t="s">
        <v>86</v>
      </c>
      <c r="D249" s="155" t="s">
        <v>67</v>
      </c>
      <c r="E249" s="156">
        <v>11.9</v>
      </c>
      <c r="F249" s="156">
        <v>11.9</v>
      </c>
      <c r="G249" s="156" t="s">
        <v>225</v>
      </c>
      <c r="H249">
        <v>0</v>
      </c>
      <c r="J249" s="158">
        <v>0</v>
      </c>
      <c r="K249" s="151">
        <v>0</v>
      </c>
      <c r="L249" s="151">
        <v>11.9</v>
      </c>
      <c r="M249" s="151">
        <v>11.9</v>
      </c>
      <c r="N249" s="151">
        <v>0</v>
      </c>
    </row>
    <row r="250" spans="2:14">
      <c r="B250" s="154">
        <v>20022</v>
      </c>
      <c r="C250" t="s">
        <v>100</v>
      </c>
      <c r="D250" s="155" t="s">
        <v>5</v>
      </c>
      <c r="E250" s="156">
        <v>8.99</v>
      </c>
      <c r="F250" s="156">
        <v>8.99</v>
      </c>
      <c r="G250" s="156" t="s">
        <v>225</v>
      </c>
      <c r="H250">
        <v>0</v>
      </c>
      <c r="I250" s="2"/>
      <c r="J250" s="158">
        <v>0</v>
      </c>
      <c r="K250" s="151">
        <v>0</v>
      </c>
      <c r="L250" s="151">
        <v>8.99</v>
      </c>
      <c r="M250" s="151">
        <v>8.99</v>
      </c>
      <c r="N250" s="151">
        <v>0</v>
      </c>
    </row>
    <row r="251" spans="2:14">
      <c r="B251" s="154">
        <v>20024</v>
      </c>
      <c r="C251" t="s">
        <v>100</v>
      </c>
      <c r="D251" s="155" t="s">
        <v>5</v>
      </c>
      <c r="E251" s="156">
        <v>8.99</v>
      </c>
      <c r="F251" s="156">
        <v>8.99</v>
      </c>
      <c r="G251" s="156" t="s">
        <v>225</v>
      </c>
      <c r="H251">
        <v>0</v>
      </c>
      <c r="I251" s="2"/>
      <c r="J251" s="158">
        <v>0</v>
      </c>
      <c r="K251" s="151">
        <v>0</v>
      </c>
      <c r="L251" s="151">
        <v>8.99</v>
      </c>
      <c r="M251" s="151">
        <v>8.99</v>
      </c>
      <c r="N251" s="151">
        <v>0</v>
      </c>
    </row>
    <row r="252" spans="2:14">
      <c r="B252" s="154">
        <v>20014</v>
      </c>
      <c r="C252" t="s">
        <v>135</v>
      </c>
      <c r="D252" s="155" t="s">
        <v>65</v>
      </c>
      <c r="E252" s="156">
        <v>20.5</v>
      </c>
      <c r="F252" s="156">
        <v>20.5</v>
      </c>
      <c r="G252" s="156" t="s">
        <v>242</v>
      </c>
      <c r="H252">
        <v>0</v>
      </c>
      <c r="J252" s="158">
        <v>0</v>
      </c>
      <c r="K252" s="151">
        <v>0</v>
      </c>
      <c r="L252" s="151">
        <v>20.5</v>
      </c>
      <c r="M252" s="151">
        <v>20.5</v>
      </c>
      <c r="N252" s="151">
        <v>0</v>
      </c>
    </row>
    <row r="253" spans="2:14">
      <c r="B253" s="154">
        <v>20027</v>
      </c>
      <c r="C253" t="s">
        <v>106</v>
      </c>
      <c r="D253" s="155" t="s">
        <v>65</v>
      </c>
      <c r="E253" s="156">
        <v>6.99</v>
      </c>
      <c r="F253" s="156">
        <v>6.99</v>
      </c>
      <c r="G253" s="156" t="s">
        <v>229</v>
      </c>
      <c r="H253">
        <v>0</v>
      </c>
      <c r="J253" s="158">
        <v>0</v>
      </c>
      <c r="K253" s="151">
        <v>0</v>
      </c>
      <c r="L253" s="151">
        <v>6.99</v>
      </c>
      <c r="M253" s="151">
        <v>6.99</v>
      </c>
      <c r="N253" s="151">
        <v>0</v>
      </c>
    </row>
    <row r="254" spans="2:14">
      <c r="B254" s="154">
        <v>20029</v>
      </c>
      <c r="C254" t="s">
        <v>106</v>
      </c>
      <c r="D254" s="155" t="s">
        <v>65</v>
      </c>
      <c r="E254" s="156">
        <v>6.99</v>
      </c>
      <c r="F254" s="156">
        <v>6.99</v>
      </c>
      <c r="G254" s="156" t="s">
        <v>225</v>
      </c>
      <c r="H254">
        <v>0</v>
      </c>
      <c r="J254" s="158">
        <v>0</v>
      </c>
      <c r="K254" s="151">
        <v>0</v>
      </c>
      <c r="L254" s="151">
        <v>6.99</v>
      </c>
      <c r="M254" s="151">
        <v>6.99</v>
      </c>
      <c r="N254" s="151">
        <v>0</v>
      </c>
    </row>
    <row r="255" spans="2:14">
      <c r="B255" s="154">
        <v>20030</v>
      </c>
      <c r="C255" t="s">
        <v>122</v>
      </c>
      <c r="D255" s="155" t="s">
        <v>67</v>
      </c>
      <c r="E255" s="156"/>
      <c r="F255" s="156"/>
      <c r="G255" s="156" t="s">
        <v>242</v>
      </c>
      <c r="H255">
        <v>0</v>
      </c>
      <c r="I255" s="2"/>
      <c r="J255" s="158">
        <v>0</v>
      </c>
      <c r="K255" s="151">
        <v>0</v>
      </c>
      <c r="L255" s="151">
        <v>0</v>
      </c>
      <c r="M255" s="151">
        <v>0</v>
      </c>
      <c r="N255" s="151">
        <v>0</v>
      </c>
    </row>
    <row r="256" spans="2:14">
      <c r="B256" s="154">
        <v>20021</v>
      </c>
      <c r="C256" t="s">
        <v>68</v>
      </c>
      <c r="D256" s="155" t="s">
        <v>52</v>
      </c>
      <c r="E256" s="156">
        <v>9.1999999999999993</v>
      </c>
      <c r="F256" s="156">
        <v>9.1999999999999993</v>
      </c>
      <c r="G256" s="156" t="s">
        <v>242</v>
      </c>
      <c r="H256">
        <v>0</v>
      </c>
      <c r="I256" s="2"/>
      <c r="J256" s="158">
        <v>0</v>
      </c>
      <c r="K256" s="151">
        <v>0</v>
      </c>
      <c r="L256" s="151">
        <v>9.1999999999999993</v>
      </c>
      <c r="M256" s="151">
        <v>9.1999999999999993</v>
      </c>
      <c r="N256" s="151">
        <v>0</v>
      </c>
    </row>
    <row r="257" spans="2:14">
      <c r="B257" s="154">
        <v>20006</v>
      </c>
      <c r="C257" t="s">
        <v>97</v>
      </c>
      <c r="D257" s="155" t="s">
        <v>67</v>
      </c>
      <c r="E257" s="156">
        <v>8.5</v>
      </c>
      <c r="F257" s="156">
        <v>8.5</v>
      </c>
      <c r="G257" s="156" t="s">
        <v>242</v>
      </c>
      <c r="H257">
        <v>0</v>
      </c>
      <c r="I257" s="2"/>
      <c r="J257" s="158">
        <v>0</v>
      </c>
      <c r="K257" s="151">
        <v>0</v>
      </c>
      <c r="L257" s="151">
        <v>8.5</v>
      </c>
      <c r="M257" s="151">
        <v>8.5</v>
      </c>
      <c r="N257" s="151">
        <v>0</v>
      </c>
    </row>
    <row r="258" spans="2:14">
      <c r="B258" s="154">
        <v>20005</v>
      </c>
      <c r="C258" t="s">
        <v>137</v>
      </c>
      <c r="D258" s="155" t="s">
        <v>67</v>
      </c>
      <c r="E258" s="156">
        <v>9.9</v>
      </c>
      <c r="F258" s="156">
        <v>9.9</v>
      </c>
      <c r="G258" s="156" t="s">
        <v>230</v>
      </c>
      <c r="H258">
        <v>0</v>
      </c>
      <c r="I258" s="2"/>
      <c r="J258" s="158">
        <v>0</v>
      </c>
      <c r="K258" s="151">
        <v>0</v>
      </c>
      <c r="L258" s="151">
        <v>9.9</v>
      </c>
      <c r="M258" s="151">
        <v>9.9</v>
      </c>
      <c r="N258" s="151">
        <v>0</v>
      </c>
    </row>
    <row r="259" spans="2:14">
      <c r="B259" s="154">
        <v>20016</v>
      </c>
      <c r="C259" t="s">
        <v>96</v>
      </c>
      <c r="D259" s="155" t="s">
        <v>52</v>
      </c>
      <c r="E259" s="156">
        <v>11.5</v>
      </c>
      <c r="F259" s="156">
        <v>11.5</v>
      </c>
      <c r="G259" s="156" t="s">
        <v>242</v>
      </c>
      <c r="H259">
        <v>0</v>
      </c>
      <c r="I259" s="2"/>
      <c r="J259" s="158">
        <v>0</v>
      </c>
      <c r="K259" s="151">
        <v>0</v>
      </c>
      <c r="L259" s="151">
        <v>11.5</v>
      </c>
      <c r="M259" s="151">
        <v>11.5</v>
      </c>
      <c r="N259" s="151">
        <v>0</v>
      </c>
    </row>
    <row r="260" spans="2:14">
      <c r="B260" s="154">
        <v>20028</v>
      </c>
      <c r="C260" t="s">
        <v>107</v>
      </c>
      <c r="D260" s="155" t="s">
        <v>65</v>
      </c>
      <c r="E260" s="156">
        <v>12.99</v>
      </c>
      <c r="F260" s="156">
        <v>12.99</v>
      </c>
      <c r="G260" s="156" t="s">
        <v>242</v>
      </c>
      <c r="H260">
        <v>0</v>
      </c>
      <c r="I260" s="2"/>
      <c r="J260" s="158">
        <v>0</v>
      </c>
      <c r="K260" s="151">
        <v>0</v>
      </c>
      <c r="L260" s="151">
        <v>12.99</v>
      </c>
      <c r="M260" s="151">
        <v>12.99</v>
      </c>
      <c r="N260" s="151">
        <v>0</v>
      </c>
    </row>
    <row r="261" spans="2:14">
      <c r="B261" s="154">
        <v>20017</v>
      </c>
      <c r="C261" t="s">
        <v>136</v>
      </c>
      <c r="D261" s="155" t="s">
        <v>67</v>
      </c>
      <c r="E261" s="156">
        <v>11.5</v>
      </c>
      <c r="F261" s="156">
        <v>11.5</v>
      </c>
      <c r="G261" s="156" t="s">
        <v>242</v>
      </c>
      <c r="H261">
        <v>0</v>
      </c>
      <c r="I261" s="2"/>
      <c r="J261" s="158">
        <v>0</v>
      </c>
      <c r="K261" s="151">
        <v>0</v>
      </c>
      <c r="L261" s="151">
        <v>11.5</v>
      </c>
      <c r="M261" s="151">
        <v>11.5</v>
      </c>
      <c r="N261" s="151">
        <v>0</v>
      </c>
    </row>
    <row r="262" spans="2:14">
      <c r="B262" s="154">
        <v>20010</v>
      </c>
      <c r="C262" t="s">
        <v>93</v>
      </c>
      <c r="D262" s="155" t="s">
        <v>52</v>
      </c>
      <c r="E262" s="156">
        <v>16.5</v>
      </c>
      <c r="F262" s="156">
        <v>16.5</v>
      </c>
      <c r="G262" s="156" t="s">
        <v>242</v>
      </c>
      <c r="H262">
        <v>0</v>
      </c>
      <c r="I262" s="2"/>
      <c r="J262" s="158">
        <v>0</v>
      </c>
      <c r="K262" s="151">
        <v>0</v>
      </c>
      <c r="L262" s="151">
        <v>16.5</v>
      </c>
      <c r="M262" s="151">
        <v>16.5</v>
      </c>
      <c r="N262" s="151">
        <v>0</v>
      </c>
    </row>
    <row r="263" spans="2:14">
      <c r="B263" s="154">
        <v>20026</v>
      </c>
      <c r="C263" t="s">
        <v>105</v>
      </c>
      <c r="D263" s="155" t="s">
        <v>67</v>
      </c>
      <c r="E263" s="156">
        <v>6.99</v>
      </c>
      <c r="F263" s="156">
        <v>6.99</v>
      </c>
      <c r="G263" s="156" t="s">
        <v>230</v>
      </c>
      <c r="H263">
        <v>0</v>
      </c>
      <c r="I263" s="2"/>
      <c r="J263" s="158">
        <v>0</v>
      </c>
      <c r="K263" s="151">
        <v>0</v>
      </c>
      <c r="L263" s="151">
        <v>6.99</v>
      </c>
      <c r="M263" s="151">
        <v>6.99</v>
      </c>
      <c r="N263" s="151">
        <v>0</v>
      </c>
    </row>
    <row r="264" spans="2:14">
      <c r="B264" s="154">
        <v>20023</v>
      </c>
      <c r="C264" t="s">
        <v>98</v>
      </c>
      <c r="D264" s="155" t="s">
        <v>65</v>
      </c>
      <c r="E264" s="156">
        <v>7.99</v>
      </c>
      <c r="F264" s="156">
        <v>7.99</v>
      </c>
      <c r="G264" s="156" t="s">
        <v>172</v>
      </c>
      <c r="H264">
        <v>0</v>
      </c>
      <c r="I264" s="2"/>
      <c r="J264" s="158">
        <v>0</v>
      </c>
      <c r="K264" s="151">
        <v>0</v>
      </c>
      <c r="L264" s="151">
        <v>7.99</v>
      </c>
      <c r="M264" s="151">
        <v>7.99</v>
      </c>
      <c r="N264" s="151">
        <v>0</v>
      </c>
    </row>
    <row r="265" spans="2:14">
      <c r="B265" s="154">
        <v>20001</v>
      </c>
      <c r="C265" t="s">
        <v>64</v>
      </c>
      <c r="D265" s="155" t="s">
        <v>65</v>
      </c>
      <c r="E265" s="156">
        <v>9.4</v>
      </c>
      <c r="F265" s="156">
        <v>9.4</v>
      </c>
      <c r="G265" s="156" t="s">
        <v>242</v>
      </c>
      <c r="H265">
        <v>0</v>
      </c>
      <c r="I265" s="2"/>
      <c r="J265" s="158">
        <v>0</v>
      </c>
      <c r="K265" s="151">
        <v>0</v>
      </c>
      <c r="L265" s="151">
        <v>9.4</v>
      </c>
      <c r="M265" s="151">
        <v>9.4</v>
      </c>
      <c r="N265" s="151">
        <v>0</v>
      </c>
    </row>
    <row r="266" spans="2:14">
      <c r="B266" s="154">
        <v>20018</v>
      </c>
      <c r="C266" t="s">
        <v>64</v>
      </c>
      <c r="D266" s="155" t="s">
        <v>65</v>
      </c>
      <c r="E266" s="156">
        <v>8.5</v>
      </c>
      <c r="F266" s="156">
        <v>8.5</v>
      </c>
      <c r="G266" s="156" t="s">
        <v>172</v>
      </c>
      <c r="H266">
        <v>0</v>
      </c>
      <c r="I266" s="2"/>
      <c r="J266" s="158">
        <v>0</v>
      </c>
      <c r="K266" s="151">
        <v>0</v>
      </c>
      <c r="L266" s="151">
        <v>8.5</v>
      </c>
      <c r="M266" s="151">
        <v>8.5</v>
      </c>
      <c r="N266" s="151">
        <v>0</v>
      </c>
    </row>
    <row r="267" spans="2:14">
      <c r="B267" s="154">
        <v>20009</v>
      </c>
      <c r="C267" t="s">
        <v>84</v>
      </c>
      <c r="D267" s="155" t="s">
        <v>67</v>
      </c>
      <c r="E267" s="156">
        <v>5.99</v>
      </c>
      <c r="F267" s="156">
        <v>5.99</v>
      </c>
      <c r="G267" s="156" t="s">
        <v>231</v>
      </c>
      <c r="H267">
        <v>0</v>
      </c>
      <c r="I267" s="2"/>
      <c r="J267" s="158">
        <v>0</v>
      </c>
      <c r="K267" s="151">
        <v>0</v>
      </c>
      <c r="L267" s="151">
        <v>5.99</v>
      </c>
      <c r="M267" s="151">
        <v>5.99</v>
      </c>
      <c r="N267" s="151">
        <v>0</v>
      </c>
    </row>
    <row r="268" spans="2:14">
      <c r="B268" s="154">
        <v>20019</v>
      </c>
      <c r="C268" t="s">
        <v>84</v>
      </c>
      <c r="D268" s="155" t="s">
        <v>65</v>
      </c>
      <c r="E268" s="156">
        <v>6.9</v>
      </c>
      <c r="F268" s="156">
        <v>6.9</v>
      </c>
      <c r="G268" s="156" t="s">
        <v>242</v>
      </c>
      <c r="H268">
        <v>0</v>
      </c>
      <c r="I268" s="2"/>
      <c r="J268" s="158">
        <v>0</v>
      </c>
      <c r="K268" s="151">
        <v>0</v>
      </c>
      <c r="L268" s="151">
        <v>6.9</v>
      </c>
      <c r="M268" s="151">
        <v>6.9</v>
      </c>
      <c r="N268" s="151">
        <v>0</v>
      </c>
    </row>
    <row r="269" spans="2:14">
      <c r="B269" s="154">
        <v>20031</v>
      </c>
      <c r="C269" t="s">
        <v>134</v>
      </c>
      <c r="D269" s="155" t="s">
        <v>67</v>
      </c>
      <c r="E269" s="156">
        <v>14.9</v>
      </c>
      <c r="F269" s="156">
        <v>14.9</v>
      </c>
      <c r="G269" s="156" t="s">
        <v>242</v>
      </c>
      <c r="H269">
        <v>0</v>
      </c>
      <c r="I269" s="2"/>
      <c r="J269" s="158">
        <v>0</v>
      </c>
      <c r="K269" s="151">
        <v>0</v>
      </c>
      <c r="L269" s="151">
        <v>14.9</v>
      </c>
      <c r="M269" s="151">
        <v>14.9</v>
      </c>
      <c r="N269" s="151">
        <v>0</v>
      </c>
    </row>
    <row r="270" spans="2:14">
      <c r="B270" s="154">
        <v>20002</v>
      </c>
      <c r="C270" t="s">
        <v>111</v>
      </c>
      <c r="D270" s="155" t="s">
        <v>67</v>
      </c>
      <c r="E270" s="156">
        <v>11.9</v>
      </c>
      <c r="F270" s="156">
        <v>11.9</v>
      </c>
      <c r="G270" s="156" t="s">
        <v>225</v>
      </c>
      <c r="H270">
        <v>0</v>
      </c>
      <c r="I270" s="2"/>
      <c r="J270" s="158">
        <v>0</v>
      </c>
      <c r="K270" s="151">
        <v>0</v>
      </c>
      <c r="L270" s="151">
        <v>11.9</v>
      </c>
      <c r="M270" s="151">
        <v>11.9</v>
      </c>
      <c r="N270" s="151">
        <v>0</v>
      </c>
    </row>
    <row r="271" spans="2:14">
      <c r="B271" s="154">
        <v>20020</v>
      </c>
      <c r="C271" t="s">
        <v>85</v>
      </c>
      <c r="D271" s="155" t="s">
        <v>65</v>
      </c>
      <c r="E271" s="156">
        <v>9.5</v>
      </c>
      <c r="F271" s="156">
        <v>9.5</v>
      </c>
      <c r="G271" s="156" t="s">
        <v>242</v>
      </c>
      <c r="H271">
        <v>0</v>
      </c>
      <c r="I271" s="2"/>
      <c r="J271" s="158">
        <v>0</v>
      </c>
      <c r="K271" s="151">
        <v>0</v>
      </c>
      <c r="L271" s="151">
        <v>9.5</v>
      </c>
      <c r="M271" s="151">
        <v>9.5</v>
      </c>
      <c r="N271" s="151">
        <v>0</v>
      </c>
    </row>
    <row r="272" spans="2:14">
      <c r="B272" s="154">
        <v>20025</v>
      </c>
      <c r="C272" t="s">
        <v>99</v>
      </c>
      <c r="D272" s="155" t="s">
        <v>65</v>
      </c>
      <c r="E272" s="156"/>
      <c r="F272" s="156"/>
      <c r="G272" s="156" t="s">
        <v>225</v>
      </c>
      <c r="H272">
        <v>0</v>
      </c>
      <c r="I272" s="2"/>
      <c r="J272" s="158">
        <v>0</v>
      </c>
      <c r="K272" s="151">
        <v>0</v>
      </c>
      <c r="L272" s="151">
        <v>0</v>
      </c>
      <c r="M272" s="151">
        <v>0</v>
      </c>
      <c r="N272" s="151">
        <v>0</v>
      </c>
    </row>
    <row r="273" spans="2:14">
      <c r="B273" s="154"/>
      <c r="D273" s="155"/>
      <c r="E273" s="2"/>
      <c r="F273" s="2"/>
      <c r="G273" s="156"/>
      <c r="H273" s="161"/>
      <c r="I273" s="2"/>
      <c r="K273" s="2"/>
      <c r="L273" s="2"/>
      <c r="M273" s="2"/>
      <c r="N273" s="2"/>
    </row>
    <row r="274" spans="2:14">
      <c r="B274" s="154"/>
      <c r="C274" s="154"/>
      <c r="D274" s="157" t="s">
        <v>0</v>
      </c>
      <c r="E274" s="154"/>
      <c r="F274" s="154"/>
      <c r="G274" s="154"/>
      <c r="H274">
        <v>0</v>
      </c>
      <c r="J274" s="154">
        <v>0</v>
      </c>
      <c r="K274" s="2"/>
      <c r="L274" s="2"/>
      <c r="M274" s="2"/>
      <c r="N274" s="2"/>
    </row>
    <row r="275" spans="2:14">
      <c r="B275" s="154">
        <v>82007</v>
      </c>
      <c r="C275" t="s">
        <v>21</v>
      </c>
      <c r="D275" s="155" t="s">
        <v>24</v>
      </c>
      <c r="E275" s="156"/>
      <c r="F275" s="156"/>
      <c r="G275" s="156" t="s">
        <v>232</v>
      </c>
      <c r="H275">
        <v>0</v>
      </c>
      <c r="I275" s="2"/>
      <c r="J275" s="158">
        <v>0</v>
      </c>
      <c r="K275" s="151">
        <v>0</v>
      </c>
      <c r="L275" s="151">
        <v>0</v>
      </c>
      <c r="M275" s="151">
        <v>0</v>
      </c>
      <c r="N275" s="151">
        <v>0</v>
      </c>
    </row>
    <row r="276" spans="2:14">
      <c r="B276" s="154">
        <v>82008</v>
      </c>
      <c r="C276" t="s">
        <v>22</v>
      </c>
      <c r="D276" s="155" t="s">
        <v>24</v>
      </c>
      <c r="E276" s="156"/>
      <c r="F276" s="156"/>
      <c r="G276" s="156" t="s">
        <v>232</v>
      </c>
      <c r="H276">
        <v>0</v>
      </c>
      <c r="I276" s="2"/>
      <c r="J276" s="158">
        <v>0</v>
      </c>
      <c r="K276" s="151">
        <v>0</v>
      </c>
      <c r="L276" s="151">
        <v>0</v>
      </c>
      <c r="M276" s="151">
        <v>0</v>
      </c>
      <c r="N276" s="151">
        <v>0</v>
      </c>
    </row>
    <row r="277" spans="2:14">
      <c r="B277" s="154">
        <v>82006</v>
      </c>
      <c r="C277" t="s">
        <v>57</v>
      </c>
      <c r="D277" s="155" t="s">
        <v>24</v>
      </c>
      <c r="E277" s="156"/>
      <c r="F277" s="156"/>
      <c r="G277" s="156" t="s">
        <v>232</v>
      </c>
      <c r="H277">
        <v>0</v>
      </c>
      <c r="I277" s="2"/>
      <c r="J277" s="158">
        <v>0</v>
      </c>
      <c r="K277" s="151">
        <v>0</v>
      </c>
      <c r="L277" s="151">
        <v>0</v>
      </c>
      <c r="M277" s="151">
        <v>0</v>
      </c>
      <c r="N277" s="151">
        <v>0</v>
      </c>
    </row>
    <row r="278" spans="2:14">
      <c r="B278" s="154">
        <v>82005</v>
      </c>
      <c r="C278" t="s">
        <v>77</v>
      </c>
      <c r="D278" s="155" t="s">
        <v>23</v>
      </c>
      <c r="E278" s="156"/>
      <c r="F278" s="156"/>
      <c r="G278" s="156" t="s">
        <v>232</v>
      </c>
      <c r="H278">
        <v>0</v>
      </c>
      <c r="I278" s="2"/>
      <c r="J278" s="158">
        <v>0</v>
      </c>
      <c r="K278" s="151">
        <v>0</v>
      </c>
      <c r="L278" s="151">
        <v>0</v>
      </c>
      <c r="M278" s="151">
        <v>0</v>
      </c>
      <c r="N278" s="151">
        <v>0</v>
      </c>
    </row>
    <row r="279" spans="2:14">
      <c r="B279" s="154">
        <v>82000</v>
      </c>
      <c r="C279" t="s">
        <v>39</v>
      </c>
      <c r="D279" s="155" t="s">
        <v>23</v>
      </c>
      <c r="E279" s="156"/>
      <c r="F279" s="156"/>
      <c r="G279" s="156" t="s">
        <v>233</v>
      </c>
      <c r="H279">
        <v>0</v>
      </c>
      <c r="I279" s="2"/>
      <c r="J279" s="158">
        <v>0</v>
      </c>
      <c r="K279" s="151">
        <v>0</v>
      </c>
      <c r="L279" s="151">
        <v>0</v>
      </c>
      <c r="M279" s="151">
        <v>0</v>
      </c>
      <c r="N279" s="151">
        <v>0</v>
      </c>
    </row>
    <row r="280" spans="2:14">
      <c r="B280" s="154">
        <v>82002</v>
      </c>
      <c r="C280" t="s">
        <v>76</v>
      </c>
      <c r="D280" s="155" t="s">
        <v>23</v>
      </c>
      <c r="E280" s="156"/>
      <c r="F280" s="156"/>
      <c r="G280" s="156" t="s">
        <v>233</v>
      </c>
      <c r="H280">
        <v>0</v>
      </c>
      <c r="I280" s="2"/>
      <c r="J280" s="158">
        <v>0</v>
      </c>
      <c r="K280" s="151">
        <v>0</v>
      </c>
      <c r="L280" s="151">
        <v>0</v>
      </c>
      <c r="M280" s="151">
        <v>0</v>
      </c>
      <c r="N280" s="151">
        <v>0</v>
      </c>
    </row>
    <row r="281" spans="2:14">
      <c r="B281" s="154">
        <v>82004</v>
      </c>
      <c r="C281" t="s">
        <v>74</v>
      </c>
      <c r="D281" s="155" t="s">
        <v>23</v>
      </c>
      <c r="E281" s="156"/>
      <c r="F281" s="156"/>
      <c r="G281" s="156" t="s">
        <v>232</v>
      </c>
      <c r="H281">
        <v>0</v>
      </c>
      <c r="I281" s="2"/>
      <c r="J281" s="158">
        <v>0</v>
      </c>
      <c r="K281" s="151">
        <v>0</v>
      </c>
      <c r="L281" s="151">
        <v>0</v>
      </c>
      <c r="M281" s="151">
        <v>0</v>
      </c>
      <c r="N281" s="151">
        <v>0</v>
      </c>
    </row>
    <row r="282" spans="2:14">
      <c r="B282" s="154">
        <v>82001</v>
      </c>
      <c r="C282" t="s">
        <v>75</v>
      </c>
      <c r="D282" s="155" t="s">
        <v>23</v>
      </c>
      <c r="E282" s="156"/>
      <c r="F282" s="156"/>
      <c r="G282" s="156" t="s">
        <v>233</v>
      </c>
      <c r="H282">
        <v>0</v>
      </c>
      <c r="I282" s="2"/>
      <c r="J282" s="158">
        <v>0</v>
      </c>
      <c r="K282" s="151">
        <v>0</v>
      </c>
      <c r="L282" s="151">
        <v>0</v>
      </c>
      <c r="M282" s="151">
        <v>0</v>
      </c>
      <c r="N282" s="151">
        <v>0</v>
      </c>
    </row>
    <row r="283" spans="2:14">
      <c r="B283" s="154"/>
      <c r="D283" s="155"/>
      <c r="E283" s="2"/>
      <c r="F283" s="2"/>
      <c r="G283" s="156"/>
      <c r="H283" s="161"/>
      <c r="I283" s="2"/>
      <c r="K283" s="2"/>
      <c r="L283" s="2"/>
      <c r="M283" s="2"/>
      <c r="N28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Promoção</vt:lpstr>
      <vt:lpstr>Tabela Base</vt:lpstr>
      <vt:lpstr>Estoque Atual</vt:lpstr>
      <vt:lpstr>Cortes Traseiros</vt:lpstr>
      <vt:lpstr>Recebimentos do dia </vt:lpstr>
      <vt:lpstr>Negociação</vt:lpstr>
      <vt:lpstr>Tab Ant</vt:lpstr>
      <vt:lpstr>'Tabela Base'!Area_de_impressao</vt:lpstr>
      <vt:lpstr>'Tabela Base'!Titulos_de_impressao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Bento Garcia</dc:creator>
  <cp:lastModifiedBy>Danielle Patricia Fiori</cp:lastModifiedBy>
  <cp:revision>5</cp:revision>
  <cp:lastPrinted>2025-08-29T13:02:07Z</cp:lastPrinted>
  <dcterms:created xsi:type="dcterms:W3CDTF">2017-04-25T00:03:52Z</dcterms:created>
  <dcterms:modified xsi:type="dcterms:W3CDTF">2025-08-29T13:02:17Z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