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TFS\SIMTR_DOC\8-gerencia-projeto\medicoes\"/>
    </mc:Choice>
  </mc:AlternateContent>
  <xr:revisionPtr revIDLastSave="0" documentId="13_ncr:1_{37F21115-B50F-4417-B596-205D17F1587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6" i="1" l="1"/>
  <c r="M56" i="1"/>
  <c r="N55" i="1"/>
  <c r="M55" i="1"/>
  <c r="J55" i="1"/>
  <c r="J56" i="1"/>
  <c r="I56" i="1"/>
  <c r="I55" i="1"/>
  <c r="N54" i="1" l="1"/>
  <c r="M54" i="1"/>
  <c r="J54" i="1"/>
  <c r="I54" i="1"/>
  <c r="M53" i="1" l="1"/>
  <c r="J53" i="1"/>
  <c r="I53" i="1"/>
  <c r="N52" i="1" l="1"/>
  <c r="M52" i="1"/>
  <c r="J52" i="1"/>
  <c r="I52" i="1"/>
  <c r="I60" i="1"/>
  <c r="J60" i="1" s="1"/>
  <c r="M60" i="1" s="1"/>
  <c r="N60" i="1" s="1"/>
  <c r="I59" i="1"/>
  <c r="J59" i="1" s="1"/>
  <c r="M59" i="1" s="1"/>
  <c r="N59" i="1" s="1"/>
  <c r="I58" i="1"/>
  <c r="J58" i="1" s="1"/>
  <c r="M58" i="1" s="1"/>
  <c r="N58" i="1" s="1"/>
  <c r="I57" i="1"/>
  <c r="J57" i="1" s="1"/>
  <c r="M57" i="1" s="1"/>
  <c r="N57" i="1" s="1"/>
  <c r="N53" i="1"/>
  <c r="N51" i="1"/>
  <c r="M51" i="1"/>
  <c r="J51" i="1"/>
  <c r="I51" i="1"/>
  <c r="N50" i="1"/>
  <c r="M50" i="1"/>
  <c r="J50" i="1"/>
  <c r="I50" i="1"/>
  <c r="N49" i="1"/>
  <c r="M49" i="1"/>
  <c r="I49" i="1" l="1"/>
  <c r="J49" i="1" s="1"/>
  <c r="J46" i="1" l="1"/>
  <c r="I46" i="1"/>
  <c r="I47" i="1" l="1"/>
  <c r="J47" i="1" s="1"/>
  <c r="I48" i="1" l="1"/>
  <c r="J48" i="1" s="1"/>
  <c r="I61" i="1"/>
  <c r="J61" i="1" s="1"/>
  <c r="I45" i="1"/>
  <c r="J45" i="1" s="1"/>
  <c r="I44" i="1" l="1"/>
  <c r="J44" i="1" s="1"/>
  <c r="I43" i="1" l="1"/>
  <c r="J43" i="1" s="1"/>
  <c r="I41" i="1"/>
  <c r="J41" i="1" s="1"/>
  <c r="I42" i="1"/>
  <c r="J42" i="1" s="1"/>
  <c r="K64" i="1" l="1"/>
  <c r="I40" i="1" l="1"/>
  <c r="J40" i="1" s="1"/>
  <c r="I39" i="1" l="1"/>
  <c r="J39" i="1" s="1"/>
  <c r="I38" i="1" l="1"/>
  <c r="I37" i="1"/>
  <c r="H37" i="1"/>
  <c r="G37" i="1"/>
  <c r="J37" i="1" s="1"/>
  <c r="I36" i="1" l="1"/>
  <c r="H36" i="1"/>
  <c r="G36" i="1"/>
  <c r="J36" i="1" s="1"/>
  <c r="G35" i="1" l="1"/>
  <c r="H35" i="1"/>
  <c r="I35" i="1"/>
  <c r="J35" i="1" l="1"/>
  <c r="J38" i="1"/>
  <c r="I34" i="1"/>
  <c r="G34" i="1"/>
  <c r="J34" i="1" l="1"/>
  <c r="I33" i="1"/>
  <c r="G33" i="1"/>
  <c r="J33" i="1" l="1"/>
  <c r="I62" i="1"/>
  <c r="J62" i="1" s="1"/>
  <c r="I32" i="1"/>
  <c r="H32" i="1"/>
  <c r="G32" i="1"/>
  <c r="J32" i="1" l="1"/>
  <c r="H31" i="1"/>
  <c r="G31" i="1"/>
  <c r="I31" i="1"/>
  <c r="J31" i="1" l="1"/>
  <c r="H30" i="1"/>
  <c r="G30" i="1"/>
  <c r="I30" i="1"/>
  <c r="J30" i="1" l="1"/>
  <c r="G29" i="1"/>
  <c r="I29" i="1"/>
  <c r="J29" i="1" l="1"/>
  <c r="I28" i="1"/>
  <c r="J28" i="1" s="1"/>
  <c r="G27" i="1"/>
  <c r="I27" i="1"/>
  <c r="J27" i="1" s="1"/>
  <c r="H26" i="1" l="1"/>
  <c r="G26" i="1"/>
  <c r="I26" i="1"/>
  <c r="J26" i="1" l="1"/>
  <c r="H25" i="1"/>
  <c r="G25" i="1"/>
  <c r="I25" i="1"/>
  <c r="I24" i="1"/>
  <c r="J24" i="1" s="1"/>
  <c r="H23" i="1"/>
  <c r="G23" i="1"/>
  <c r="I23" i="1"/>
  <c r="H22" i="1"/>
  <c r="G22" i="1"/>
  <c r="I22" i="1"/>
  <c r="H21" i="1"/>
  <c r="G21" i="1"/>
  <c r="I21" i="1"/>
  <c r="R11" i="1"/>
  <c r="H19" i="1"/>
  <c r="G19" i="1"/>
  <c r="I19" i="1"/>
  <c r="I20" i="1"/>
  <c r="H20" i="1"/>
  <c r="G20" i="1"/>
  <c r="H18" i="1"/>
  <c r="G18" i="1"/>
  <c r="H17" i="1"/>
  <c r="G17" i="1"/>
  <c r="H16" i="1"/>
  <c r="G16" i="1"/>
  <c r="I15" i="1"/>
  <c r="I16" i="1"/>
  <c r="I18" i="1"/>
  <c r="I17" i="1"/>
  <c r="H15" i="1"/>
  <c r="G15" i="1"/>
  <c r="I13" i="1"/>
  <c r="I14" i="1"/>
  <c r="I12" i="1"/>
  <c r="G13" i="1"/>
  <c r="H14" i="1"/>
  <c r="G14" i="1"/>
  <c r="H12" i="1"/>
  <c r="G12" i="1"/>
  <c r="M47" i="1" l="1"/>
  <c r="N47" i="1" s="1"/>
  <c r="M48" i="1"/>
  <c r="N48" i="1" s="1"/>
  <c r="M46" i="1"/>
  <c r="N46" i="1" s="1"/>
  <c r="J25" i="1"/>
  <c r="M27" i="1"/>
  <c r="N27" i="1" s="1"/>
  <c r="M61" i="1"/>
  <c r="N61" i="1" s="1"/>
  <c r="M45" i="1"/>
  <c r="N45" i="1" s="1"/>
  <c r="M44" i="1"/>
  <c r="N44" i="1" s="1"/>
  <c r="M42" i="1"/>
  <c r="N42" i="1" s="1"/>
  <c r="M43" i="1"/>
  <c r="N43" i="1" s="1"/>
  <c r="M41" i="1"/>
  <c r="N41" i="1" s="1"/>
  <c r="M40" i="1"/>
  <c r="N40" i="1" s="1"/>
  <c r="M39" i="1"/>
  <c r="N39" i="1" s="1"/>
  <c r="M37" i="1"/>
  <c r="N37" i="1" s="1"/>
  <c r="M36" i="1"/>
  <c r="N36" i="1" s="1"/>
  <c r="M34" i="1"/>
  <c r="N34" i="1" s="1"/>
  <c r="M38" i="1"/>
  <c r="N38" i="1" s="1"/>
  <c r="M35" i="1"/>
  <c r="N35" i="1" s="1"/>
  <c r="M32" i="1"/>
  <c r="N32" i="1" s="1"/>
  <c r="M62" i="1"/>
  <c r="N62" i="1" s="1"/>
  <c r="M33" i="1"/>
  <c r="N33" i="1" s="1"/>
  <c r="M31" i="1"/>
  <c r="N31" i="1" s="1"/>
  <c r="M30" i="1"/>
  <c r="N30" i="1" s="1"/>
  <c r="M28" i="1"/>
  <c r="N28" i="1" s="1"/>
  <c r="M29" i="1"/>
  <c r="N29" i="1" s="1"/>
  <c r="J23" i="1"/>
  <c r="M26" i="1"/>
  <c r="N26" i="1" s="1"/>
  <c r="M24" i="1"/>
  <c r="N24" i="1" s="1"/>
  <c r="J21" i="1"/>
  <c r="M21" i="1" s="1"/>
  <c r="M23" i="1"/>
  <c r="N23" i="1" s="1"/>
  <c r="M25" i="1"/>
  <c r="N25" i="1" s="1"/>
  <c r="J22" i="1"/>
  <c r="M22" i="1" s="1"/>
  <c r="N22" i="1" s="1"/>
  <c r="J17" i="1"/>
  <c r="M17" i="1" s="1"/>
  <c r="J20" i="1"/>
  <c r="M20" i="1" s="1"/>
  <c r="J13" i="1"/>
  <c r="M13" i="1" s="1"/>
  <c r="J18" i="1"/>
  <c r="M18" i="1" s="1"/>
  <c r="J19" i="1"/>
  <c r="M19" i="1" s="1"/>
  <c r="J16" i="1"/>
  <c r="M16" i="1" s="1"/>
  <c r="J15" i="1"/>
  <c r="M15" i="1" s="1"/>
  <c r="J12" i="1"/>
  <c r="M12" i="1" s="1"/>
  <c r="J14" i="1"/>
  <c r="M14" i="1" s="1"/>
  <c r="N21" i="1" l="1"/>
  <c r="N16" i="1"/>
  <c r="N15" i="1"/>
  <c r="N17" i="1"/>
  <c r="N18" i="1"/>
  <c r="M6" i="1" l="1"/>
  <c r="N6" i="1" s="1"/>
  <c r="M3" i="1"/>
  <c r="N3" i="1" s="1"/>
  <c r="M4" i="1"/>
  <c r="N4" i="1" s="1"/>
  <c r="M5" i="1"/>
  <c r="N5" i="1" s="1"/>
  <c r="M7" i="1"/>
  <c r="M9" i="1"/>
  <c r="N9" i="1" s="1"/>
  <c r="M10" i="1"/>
  <c r="N10" i="1" s="1"/>
  <c r="M8" i="1"/>
  <c r="N8" i="1" s="1"/>
  <c r="N12" i="1"/>
  <c r="N14" i="1"/>
  <c r="N13" i="1"/>
  <c r="N19" i="1"/>
  <c r="N20" i="1"/>
  <c r="M2" i="1"/>
  <c r="N2" i="1" l="1"/>
  <c r="M64" i="1"/>
  <c r="N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Cesar da Silva Alvares</author>
  </authors>
  <commentList>
    <comment ref="I1" authorId="0" shapeId="0" xr:uid="{E76710C4-2DF4-4CC9-ABEA-742DD596EEE3}">
      <text>
        <r>
          <rPr>
            <b/>
            <sz val="9"/>
            <color indexed="81"/>
            <rFont val="Segoe UI"/>
            <family val="2"/>
          </rPr>
          <t>Pedro Cesar da Silva Alvares:</t>
        </r>
        <r>
          <rPr>
            <sz val="9"/>
            <color indexed="81"/>
            <rFont val="Segoe UI"/>
            <family val="2"/>
          </rPr>
          <t xml:space="preserve">
* 1 hora, por analista de requisitos, por dia;</t>
        </r>
      </text>
    </comment>
    <comment ref="I1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Pedro Cesar da Silva Alvares:</t>
        </r>
        <r>
          <rPr>
            <sz val="9"/>
            <color indexed="81"/>
            <rFont val="Segoe UI"/>
            <family val="2"/>
          </rPr>
          <t xml:space="preserve">
* 1 hora, por analista de requisitos, por dia;</t>
        </r>
      </text>
    </comment>
    <comment ref="M1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Pedro Cesar da Silva Alvares:</t>
        </r>
        <r>
          <rPr>
            <sz val="9"/>
            <color indexed="81"/>
            <rFont val="Segoe UI"/>
            <family val="2"/>
          </rPr>
          <t xml:space="preserve">
São atribuídas, nessa ordem:
* 8h por desenvolvedor por dia;
* Mais 30min do Scrum Master (preposto) por desenvolvedor por dia;
* Mais as horas gastas em recursos compartilhados na SPRINT;
 </t>
        </r>
      </text>
    </comment>
  </commentList>
</comments>
</file>

<file path=xl/sharedStrings.xml><?xml version="1.0" encoding="utf-8"?>
<sst xmlns="http://schemas.openxmlformats.org/spreadsheetml/2006/main" count="93" uniqueCount="72">
  <si>
    <t>SPRINT</t>
  </si>
  <si>
    <t>$</t>
  </si>
  <si>
    <t>PF Incluídos</t>
  </si>
  <si>
    <t>PF Alterados</t>
  </si>
  <si>
    <t>Negocial 1 a 3</t>
  </si>
  <si>
    <t>Negocial 4</t>
  </si>
  <si>
    <t>Negocial 5</t>
  </si>
  <si>
    <t>Negocial 6</t>
  </si>
  <si>
    <t>Negocial 7</t>
  </si>
  <si>
    <t>Negocial 8</t>
  </si>
  <si>
    <t>Dossiê Protótipo</t>
  </si>
  <si>
    <t>Negocial 9</t>
  </si>
  <si>
    <t>Dossiê Protótipo Final</t>
  </si>
  <si>
    <t>Negocial 10</t>
  </si>
  <si>
    <t>Negocial 11</t>
  </si>
  <si>
    <t>Dossiê 2</t>
  </si>
  <si>
    <t>Dossiê 3</t>
  </si>
  <si>
    <t>Dossiê 4</t>
  </si>
  <si>
    <t>Dossiê 5</t>
  </si>
  <si>
    <t>Negocial 12</t>
  </si>
  <si>
    <t>Negocial 13</t>
  </si>
  <si>
    <t>Início do Contrato Fóton</t>
  </si>
  <si>
    <t>Dt Início</t>
  </si>
  <si>
    <t>Dt Fim</t>
  </si>
  <si>
    <t>Desenvolvedores</t>
  </si>
  <si>
    <t>Dias úteis SPRINT</t>
  </si>
  <si>
    <t>Custo/hora Profissional Fóton</t>
  </si>
  <si>
    <t>Horas Testing</t>
  </si>
  <si>
    <t>Horas Design</t>
  </si>
  <si>
    <t>Horas Requisitos</t>
  </si>
  <si>
    <t>Horas Cmptlh</t>
  </si>
  <si>
    <t>Analista Requisitos</t>
  </si>
  <si>
    <t>Dossiê 6</t>
  </si>
  <si>
    <t>TOTAL</t>
  </si>
  <si>
    <t>$ médio/PF</t>
  </si>
  <si>
    <t>Negocial 14</t>
  </si>
  <si>
    <t>Dossiê 7</t>
  </si>
  <si>
    <t>Negocial 15</t>
  </si>
  <si>
    <t>Dossiê 8</t>
  </si>
  <si>
    <t>Negocial 16</t>
  </si>
  <si>
    <t>-</t>
  </si>
  <si>
    <t>Negocial 17</t>
  </si>
  <si>
    <t>Negocial 18</t>
  </si>
  <si>
    <t>Dossiê 9</t>
  </si>
  <si>
    <t>SIMTR 19</t>
  </si>
  <si>
    <t>SIMTR 20</t>
  </si>
  <si>
    <t>SIMTR 21</t>
  </si>
  <si>
    <t>SIMTR 22</t>
  </si>
  <si>
    <t>SIMTR 23</t>
  </si>
  <si>
    <t>SIMTR 24</t>
  </si>
  <si>
    <t>SIMTR 25</t>
  </si>
  <si>
    <t>SIMTR 26</t>
  </si>
  <si>
    <t>SIMTR 27</t>
  </si>
  <si>
    <t>SIMTR 28</t>
  </si>
  <si>
    <t>SIMTR 29</t>
  </si>
  <si>
    <t>SIMTR 30</t>
  </si>
  <si>
    <t>SIMTR 31</t>
  </si>
  <si>
    <t>SIMTR 32</t>
  </si>
  <si>
    <t>SIMTR 33</t>
  </si>
  <si>
    <t>SIMTR 34 - RTC 12189429</t>
  </si>
  <si>
    <t>SIMTR 35 - RTC 12142986</t>
  </si>
  <si>
    <t>SIMTR 36 - RTC 12360588</t>
  </si>
  <si>
    <t>SIMTR 38 - RTC 12819084</t>
  </si>
  <si>
    <t>SIMTR 37 - RTC 12618529</t>
  </si>
  <si>
    <t>SIMTR 39 - RTC 13027173</t>
  </si>
  <si>
    <t>SIMTR 40 - RTC 13243726</t>
  </si>
  <si>
    <t>SIMTR 41 - RTC 13441669</t>
  </si>
  <si>
    <t>SIMTR 42 - RTC 13637749</t>
  </si>
  <si>
    <t>SIMTR 43 - RTC 14055777</t>
  </si>
  <si>
    <t>SIMTR 44 - RTC 14176544</t>
  </si>
  <si>
    <t>SIMTR 45 - RTC 14495976</t>
  </si>
  <si>
    <t>SIMTR 46 - RTC 14787255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</si>
</sst>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_ ;\-#,##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0" applyNumberFormat="1" applyBorder="1"/>
    <xf numFmtId="164" fontId="0" fillId="0" borderId="0" xfId="1" applyNumberFormat="1" applyFont="1" applyAlignment="1">
      <alignment horizontal="center"/>
    </xf>
    <xf numFmtId="14" fontId="0" fillId="0" borderId="1" xfId="0" applyNumberFormat="1" applyBorder="1" applyAlignment="1">
      <alignment horizontal="center"/>
    </xf>
    <xf numFmtId="44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tabSelected="1" workbookViewId="0">
      <pane ySplit="1" topLeftCell="A38" activePane="bottomLeft" state="frozen"/>
      <selection pane="bottomLeft" activeCell="J56" sqref="J56"/>
    </sheetView>
  </sheetViews>
  <sheetFormatPr defaultRowHeight="15" x14ac:dyDescent="0.25"/>
  <cols>
    <col min="1" max="1" width="25.42578125" style="1" customWidth="1"/>
    <col min="2" max="3" width="11.5703125" style="1" customWidth="1"/>
    <col min="4" max="4" width="16.42578125" style="1" customWidth="1"/>
    <col min="5" max="5" width="16.5703125" style="1" customWidth="1"/>
    <col min="6" max="6" width="18.140625" style="1" customWidth="1"/>
    <col min="7" max="7" width="16.42578125" style="1" customWidth="1"/>
    <col min="8" max="8" width="13.7109375" style="1" customWidth="1"/>
    <col min="9" max="10" width="15.85546875" style="1" customWidth="1"/>
    <col min="11" max="11" width="11.42578125" style="1" bestFit="1" customWidth="1"/>
    <col min="12" max="12" width="12.140625" style="1" bestFit="1" customWidth="1"/>
    <col min="13" max="13" width="15.85546875" style="2" bestFit="1" customWidth="1"/>
    <col min="14" max="14" width="12.140625" customWidth="1"/>
    <col min="17" max="17" width="29.28515625" hidden="1" customWidth="1"/>
    <col min="18" max="18" width="9.5703125" hidden="1" customWidth="1"/>
  </cols>
  <sheetData>
    <row r="1" spans="1:18" s="1" customFormat="1" x14ac:dyDescent="0.25">
      <c r="A1" s="3" t="s">
        <v>0</v>
      </c>
      <c r="B1" s="3" t="s">
        <v>22</v>
      </c>
      <c r="C1" s="3" t="s">
        <v>23</v>
      </c>
      <c r="D1" s="3" t="s">
        <v>25</v>
      </c>
      <c r="E1" s="3" t="s">
        <v>24</v>
      </c>
      <c r="F1" s="3" t="s">
        <v>31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2</v>
      </c>
      <c r="L1" s="3" t="s">
        <v>3</v>
      </c>
      <c r="M1" s="4" t="s">
        <v>1</v>
      </c>
      <c r="N1" s="3" t="s">
        <v>34</v>
      </c>
    </row>
    <row r="2" spans="1:18" x14ac:dyDescent="0.25">
      <c r="A2" s="5" t="s">
        <v>4</v>
      </c>
      <c r="B2" s="9">
        <v>42982</v>
      </c>
      <c r="C2" s="9">
        <v>43101</v>
      </c>
      <c r="D2" s="5" t="s">
        <v>40</v>
      </c>
      <c r="E2" s="5"/>
      <c r="F2" s="5"/>
      <c r="G2" s="5"/>
      <c r="H2" s="5"/>
      <c r="I2" s="5"/>
      <c r="J2" s="5"/>
      <c r="K2" s="5">
        <v>90</v>
      </c>
      <c r="L2" s="5">
        <v>0</v>
      </c>
      <c r="M2" s="6">
        <f>K2*644.12+L2*322.06</f>
        <v>57970.8</v>
      </c>
      <c r="N2" s="7">
        <f>M2/(K2+L2)</f>
        <v>644.12</v>
      </c>
    </row>
    <row r="3" spans="1:18" x14ac:dyDescent="0.25">
      <c r="A3" s="5" t="s">
        <v>5</v>
      </c>
      <c r="B3" s="9">
        <v>43102</v>
      </c>
      <c r="C3" s="9">
        <v>43131</v>
      </c>
      <c r="D3" s="5" t="s">
        <v>40</v>
      </c>
      <c r="E3" s="5"/>
      <c r="F3" s="5"/>
      <c r="G3" s="5"/>
      <c r="H3" s="5"/>
      <c r="I3" s="5"/>
      <c r="J3" s="5"/>
      <c r="K3" s="5">
        <v>54</v>
      </c>
      <c r="L3" s="5">
        <v>31</v>
      </c>
      <c r="M3" s="6">
        <f t="shared" ref="M3:M10" si="0">K3*644.12+L3*322.06</f>
        <v>44766.340000000004</v>
      </c>
      <c r="N3" s="7">
        <f t="shared" ref="N3:N19" si="1">M3/(K3+L3)</f>
        <v>526.66282352941175</v>
      </c>
    </row>
    <row r="4" spans="1:18" x14ac:dyDescent="0.25">
      <c r="A4" s="5" t="s">
        <v>6</v>
      </c>
      <c r="B4" s="9">
        <v>43132</v>
      </c>
      <c r="C4" s="9">
        <v>43159</v>
      </c>
      <c r="D4" s="5" t="s">
        <v>40</v>
      </c>
      <c r="E4" s="5"/>
      <c r="F4" s="5"/>
      <c r="G4" s="5"/>
      <c r="H4" s="5"/>
      <c r="I4" s="5"/>
      <c r="J4" s="5"/>
      <c r="K4" s="5">
        <v>4</v>
      </c>
      <c r="L4" s="5">
        <v>52</v>
      </c>
      <c r="M4" s="6">
        <f t="shared" si="0"/>
        <v>19323.599999999999</v>
      </c>
      <c r="N4" s="7">
        <f t="shared" si="1"/>
        <v>345.06428571428569</v>
      </c>
    </row>
    <row r="5" spans="1:18" x14ac:dyDescent="0.25">
      <c r="A5" s="5" t="s">
        <v>7</v>
      </c>
      <c r="B5" s="9">
        <v>43160</v>
      </c>
      <c r="C5" s="9">
        <v>43188</v>
      </c>
      <c r="D5" s="5" t="s">
        <v>40</v>
      </c>
      <c r="E5" s="5"/>
      <c r="F5" s="5"/>
      <c r="G5" s="5"/>
      <c r="H5" s="5"/>
      <c r="I5" s="5"/>
      <c r="J5" s="5"/>
      <c r="K5" s="5">
        <v>16</v>
      </c>
      <c r="L5" s="5">
        <v>22</v>
      </c>
      <c r="M5" s="6">
        <f t="shared" si="0"/>
        <v>17391.239999999998</v>
      </c>
      <c r="N5" s="7">
        <f t="shared" si="1"/>
        <v>457.66421052631574</v>
      </c>
    </row>
    <row r="6" spans="1:18" x14ac:dyDescent="0.25">
      <c r="A6" s="5" t="s">
        <v>10</v>
      </c>
      <c r="B6" s="9">
        <v>43160</v>
      </c>
      <c r="C6" s="9">
        <v>43189</v>
      </c>
      <c r="D6" s="5" t="s">
        <v>40</v>
      </c>
      <c r="E6" s="5"/>
      <c r="F6" s="5"/>
      <c r="G6" s="5"/>
      <c r="H6" s="5"/>
      <c r="I6" s="5"/>
      <c r="J6" s="5"/>
      <c r="K6" s="5">
        <v>16</v>
      </c>
      <c r="L6" s="5">
        <v>0</v>
      </c>
      <c r="M6" s="6">
        <f>K6*644.12+L6*322.06</f>
        <v>10305.92</v>
      </c>
      <c r="N6" s="7">
        <f>M6/(K6+L6)</f>
        <v>644.12</v>
      </c>
    </row>
    <row r="7" spans="1:18" x14ac:dyDescent="0.25">
      <c r="A7" s="5" t="s">
        <v>8</v>
      </c>
      <c r="B7" s="9">
        <v>43199</v>
      </c>
      <c r="C7" s="9">
        <v>43220</v>
      </c>
      <c r="D7" s="5" t="s">
        <v>40</v>
      </c>
      <c r="E7" s="5"/>
      <c r="F7" s="5"/>
      <c r="G7" s="5"/>
      <c r="H7" s="5"/>
      <c r="I7" s="5"/>
      <c r="J7" s="5"/>
      <c r="K7" s="5">
        <v>0</v>
      </c>
      <c r="L7" s="5">
        <v>28</v>
      </c>
      <c r="M7" s="6">
        <f t="shared" si="0"/>
        <v>9017.68</v>
      </c>
      <c r="N7" s="7">
        <f t="shared" si="1"/>
        <v>322.06</v>
      </c>
    </row>
    <row r="8" spans="1:18" x14ac:dyDescent="0.25">
      <c r="A8" s="5" t="s">
        <v>12</v>
      </c>
      <c r="B8" s="9">
        <v>43235</v>
      </c>
      <c r="C8" s="9">
        <v>43278</v>
      </c>
      <c r="D8" s="5" t="s">
        <v>40</v>
      </c>
      <c r="E8" s="5"/>
      <c r="F8" s="5"/>
      <c r="G8" s="5"/>
      <c r="H8" s="5"/>
      <c r="I8" s="5"/>
      <c r="J8" s="5"/>
      <c r="K8" s="5">
        <v>17</v>
      </c>
      <c r="L8" s="5">
        <v>26</v>
      </c>
      <c r="M8" s="6">
        <f>K8*644.12+L8*322.06</f>
        <v>19323.599999999999</v>
      </c>
      <c r="N8" s="7">
        <f>M8/(K8+L8)</f>
        <v>449.38604651162785</v>
      </c>
    </row>
    <row r="9" spans="1:18" x14ac:dyDescent="0.25">
      <c r="A9" s="5" t="s">
        <v>9</v>
      </c>
      <c r="B9" s="9">
        <v>43262</v>
      </c>
      <c r="C9" s="9">
        <v>43280</v>
      </c>
      <c r="D9" s="5" t="s">
        <v>40</v>
      </c>
      <c r="E9" s="5"/>
      <c r="F9" s="5"/>
      <c r="G9" s="5"/>
      <c r="H9" s="5"/>
      <c r="I9" s="5"/>
      <c r="J9" s="5"/>
      <c r="K9" s="5">
        <v>0</v>
      </c>
      <c r="L9" s="5">
        <v>21</v>
      </c>
      <c r="M9" s="6">
        <f t="shared" si="0"/>
        <v>6763.26</v>
      </c>
      <c r="N9" s="7">
        <f t="shared" si="1"/>
        <v>322.06</v>
      </c>
    </row>
    <row r="10" spans="1:18" x14ac:dyDescent="0.25">
      <c r="A10" s="5" t="s">
        <v>11</v>
      </c>
      <c r="B10" s="9">
        <v>43291</v>
      </c>
      <c r="C10" s="9">
        <v>43312</v>
      </c>
      <c r="D10" s="5" t="s">
        <v>40</v>
      </c>
      <c r="E10" s="5"/>
      <c r="F10" s="5"/>
      <c r="G10" s="5"/>
      <c r="H10" s="5"/>
      <c r="I10" s="5"/>
      <c r="J10" s="5"/>
      <c r="K10" s="5">
        <v>5</v>
      </c>
      <c r="L10" s="5">
        <v>15</v>
      </c>
      <c r="M10" s="6">
        <f t="shared" si="0"/>
        <v>8051.5</v>
      </c>
      <c r="N10" s="7">
        <f t="shared" si="1"/>
        <v>402.57499999999999</v>
      </c>
    </row>
    <row r="11" spans="1:18" x14ac:dyDescent="0.25">
      <c r="A11" s="3" t="s">
        <v>21</v>
      </c>
      <c r="B11" s="3" t="s">
        <v>22</v>
      </c>
      <c r="C11" s="3" t="s">
        <v>23</v>
      </c>
      <c r="D11" s="3" t="s">
        <v>25</v>
      </c>
      <c r="E11" s="3" t="s">
        <v>24</v>
      </c>
      <c r="F11" s="3" t="s">
        <v>31</v>
      </c>
      <c r="G11" s="3" t="s">
        <v>27</v>
      </c>
      <c r="H11" s="3" t="s">
        <v>28</v>
      </c>
      <c r="I11" s="3" t="s">
        <v>29</v>
      </c>
      <c r="J11" s="3" t="s">
        <v>30</v>
      </c>
      <c r="K11" s="3" t="s">
        <v>2</v>
      </c>
      <c r="L11" s="3" t="s">
        <v>3</v>
      </c>
      <c r="M11" s="4" t="s">
        <v>1</v>
      </c>
      <c r="N11" s="3" t="s">
        <v>34</v>
      </c>
      <c r="Q11" s="4" t="s">
        <v>26</v>
      </c>
      <c r="R11" s="6">
        <f>58983.32/(4*22*8)</f>
        <v>83.783124999999998</v>
      </c>
    </row>
    <row r="12" spans="1:18" x14ac:dyDescent="0.25">
      <c r="A12" s="5" t="s">
        <v>13</v>
      </c>
      <c r="B12" s="9">
        <v>43371</v>
      </c>
      <c r="C12" s="9">
        <v>43384</v>
      </c>
      <c r="D12" s="5">
        <v>10</v>
      </c>
      <c r="E12" s="5">
        <v>2</v>
      </c>
      <c r="F12" s="5">
        <v>2</v>
      </c>
      <c r="G12" s="5">
        <f>1+1.5+1+0.25+6+1+0.25</f>
        <v>11</v>
      </c>
      <c r="H12" s="5">
        <f>9+10</f>
        <v>19</v>
      </c>
      <c r="I12" s="5">
        <f>1*F12*D12</f>
        <v>20</v>
      </c>
      <c r="J12" s="5">
        <f>G12+H12+I12</f>
        <v>50</v>
      </c>
      <c r="K12" s="5">
        <v>0</v>
      </c>
      <c r="L12" s="5">
        <v>68</v>
      </c>
      <c r="M12" s="6">
        <f>8*E12*D12*R$11 + 0.5*E12*D12*R$11 + J12*R$11</f>
        <v>18432.287499999999</v>
      </c>
      <c r="N12" s="7">
        <f t="shared" si="1"/>
        <v>271.06305147058822</v>
      </c>
    </row>
    <row r="13" spans="1:18" x14ac:dyDescent="0.25">
      <c r="A13" s="5" t="s">
        <v>15</v>
      </c>
      <c r="B13" s="9">
        <v>43374</v>
      </c>
      <c r="C13" s="9">
        <v>43388</v>
      </c>
      <c r="D13" s="5">
        <v>10</v>
      </c>
      <c r="E13" s="5">
        <v>2</v>
      </c>
      <c r="F13" s="5">
        <v>1</v>
      </c>
      <c r="G13" s="5">
        <f>0.25+0.25+0.5+2+3+0.5+0.5+2+4+2+1.5+0.25+1</f>
        <v>17.75</v>
      </c>
      <c r="H13" s="5">
        <v>0</v>
      </c>
      <c r="I13" s="5">
        <f t="shared" ref="I13:I19" si="2">1*F13*D13</f>
        <v>10</v>
      </c>
      <c r="J13" s="5">
        <f>G13+H13+I13</f>
        <v>27.75</v>
      </c>
      <c r="K13" s="5">
        <v>4</v>
      </c>
      <c r="L13" s="5">
        <v>26</v>
      </c>
      <c r="M13" s="6">
        <f t="shared" ref="M13:M19" si="3">8*E13*D13*R$11 + 0.5*E13*D13*R$11 + J13*R$11</f>
        <v>16568.11296875</v>
      </c>
      <c r="N13" s="7">
        <f>M13/(K13+L13)</f>
        <v>552.27043229166668</v>
      </c>
    </row>
    <row r="14" spans="1:18" x14ac:dyDescent="0.25">
      <c r="A14" s="5" t="s">
        <v>14</v>
      </c>
      <c r="B14" s="9">
        <v>43388</v>
      </c>
      <c r="C14" s="9">
        <v>43404</v>
      </c>
      <c r="D14" s="5">
        <v>13</v>
      </c>
      <c r="E14" s="5">
        <v>2.5</v>
      </c>
      <c r="F14" s="5">
        <v>2</v>
      </c>
      <c r="G14" s="5">
        <f>0.5+4+10</f>
        <v>14.5</v>
      </c>
      <c r="H14" s="5">
        <f>24</f>
        <v>24</v>
      </c>
      <c r="I14" s="5">
        <f t="shared" si="2"/>
        <v>26</v>
      </c>
      <c r="J14" s="5">
        <f t="shared" ref="J14:J19" si="4">G14+H14+I14</f>
        <v>64.5</v>
      </c>
      <c r="K14" s="5">
        <v>14</v>
      </c>
      <c r="L14" s="5">
        <v>34</v>
      </c>
      <c r="M14" s="6">
        <f t="shared" si="3"/>
        <v>28549.099843749998</v>
      </c>
      <c r="N14" s="7">
        <f t="shared" si="1"/>
        <v>594.77291341145826</v>
      </c>
    </row>
    <row r="15" spans="1:18" x14ac:dyDescent="0.25">
      <c r="A15" s="5" t="s">
        <v>16</v>
      </c>
      <c r="B15" s="9">
        <v>43390</v>
      </c>
      <c r="C15" s="9">
        <v>43402</v>
      </c>
      <c r="D15" s="5">
        <v>9</v>
      </c>
      <c r="E15" s="5">
        <v>2</v>
      </c>
      <c r="F15" s="5">
        <v>1</v>
      </c>
      <c r="G15" s="5">
        <f>0.25+0.5+0.5+0.5+1+2+0.25+2+0.5+1+2+6</f>
        <v>16.5</v>
      </c>
      <c r="H15" s="5">
        <f>1+3+1+1+13+3</f>
        <v>22</v>
      </c>
      <c r="I15" s="5">
        <f t="shared" si="2"/>
        <v>9</v>
      </c>
      <c r="J15" s="5">
        <f t="shared" si="4"/>
        <v>47.5</v>
      </c>
      <c r="K15" s="5">
        <v>9</v>
      </c>
      <c r="L15" s="5">
        <v>30</v>
      </c>
      <c r="M15" s="6">
        <f t="shared" si="3"/>
        <v>16798.516562500001</v>
      </c>
      <c r="N15" s="7">
        <f t="shared" si="1"/>
        <v>430.73119391025642</v>
      </c>
    </row>
    <row r="16" spans="1:18" x14ac:dyDescent="0.25">
      <c r="A16" s="5" t="s">
        <v>17</v>
      </c>
      <c r="B16" s="9">
        <v>43410</v>
      </c>
      <c r="C16" s="9">
        <v>43424</v>
      </c>
      <c r="D16" s="5">
        <v>10</v>
      </c>
      <c r="E16" s="5">
        <v>2</v>
      </c>
      <c r="F16" s="5">
        <v>1</v>
      </c>
      <c r="G16" s="5">
        <f>1+3.5+1+0.5+2+4+1+1.5+1+1.5</f>
        <v>17</v>
      </c>
      <c r="H16" s="5">
        <f>10</f>
        <v>10</v>
      </c>
      <c r="I16" s="5">
        <f t="shared" si="2"/>
        <v>10</v>
      </c>
      <c r="J16" s="5">
        <f t="shared" si="4"/>
        <v>37</v>
      </c>
      <c r="K16" s="5">
        <v>15</v>
      </c>
      <c r="L16" s="5">
        <v>22</v>
      </c>
      <c r="M16" s="6">
        <f t="shared" si="3"/>
        <v>17343.106874999998</v>
      </c>
      <c r="N16" s="7">
        <f t="shared" si="1"/>
        <v>468.73261824324317</v>
      </c>
    </row>
    <row r="17" spans="1:14" x14ac:dyDescent="0.25">
      <c r="A17" s="5" t="s">
        <v>19</v>
      </c>
      <c r="B17" s="9">
        <v>43411</v>
      </c>
      <c r="C17" s="9">
        <v>43431</v>
      </c>
      <c r="D17" s="5">
        <v>14</v>
      </c>
      <c r="E17" s="5">
        <v>2</v>
      </c>
      <c r="F17" s="5">
        <v>1</v>
      </c>
      <c r="G17" s="5">
        <f>2+6</f>
        <v>8</v>
      </c>
      <c r="H17" s="5">
        <f>21+32+2</f>
        <v>55</v>
      </c>
      <c r="I17" s="5">
        <f>1*F17*D17</f>
        <v>14</v>
      </c>
      <c r="J17" s="5">
        <f>G17+H17+I17</f>
        <v>77</v>
      </c>
      <c r="K17" s="5">
        <v>0</v>
      </c>
      <c r="L17" s="5">
        <v>30</v>
      </c>
      <c r="M17" s="6">
        <f t="shared" si="3"/>
        <v>26391.684374999997</v>
      </c>
      <c r="N17" s="7">
        <f>M17/(K17+L17)</f>
        <v>879.72281249999992</v>
      </c>
    </row>
    <row r="18" spans="1:14" x14ac:dyDescent="0.25">
      <c r="A18" s="5" t="s">
        <v>18</v>
      </c>
      <c r="B18" s="9">
        <v>43425</v>
      </c>
      <c r="C18" s="9">
        <v>43439</v>
      </c>
      <c r="D18" s="5">
        <v>11</v>
      </c>
      <c r="E18" s="5">
        <v>2</v>
      </c>
      <c r="F18" s="5">
        <v>1</v>
      </c>
      <c r="G18" s="5">
        <f>1+3.5+1+1.5+1+2+2+4+2</f>
        <v>18</v>
      </c>
      <c r="H18" s="5">
        <f>4+1</f>
        <v>5</v>
      </c>
      <c r="I18" s="5">
        <f t="shared" si="2"/>
        <v>11</v>
      </c>
      <c r="J18" s="5">
        <f t="shared" si="4"/>
        <v>34</v>
      </c>
      <c r="K18" s="5">
        <v>18</v>
      </c>
      <c r="L18" s="5">
        <v>0</v>
      </c>
      <c r="M18" s="6">
        <f t="shared" si="3"/>
        <v>18516.070625</v>
      </c>
      <c r="N18" s="7">
        <f t="shared" ref="N18" si="5">M18/(K18+L18)</f>
        <v>1028.6705902777778</v>
      </c>
    </row>
    <row r="19" spans="1:14" x14ac:dyDescent="0.25">
      <c r="A19" s="5" t="s">
        <v>20</v>
      </c>
      <c r="B19" s="9">
        <v>43432</v>
      </c>
      <c r="C19" s="9">
        <v>43446</v>
      </c>
      <c r="D19" s="5">
        <v>11</v>
      </c>
      <c r="E19" s="5">
        <v>2</v>
      </c>
      <c r="F19" s="5">
        <v>1</v>
      </c>
      <c r="G19" s="5">
        <f>2+3+1+2+2+3</f>
        <v>13</v>
      </c>
      <c r="H19" s="5">
        <f>4</f>
        <v>4</v>
      </c>
      <c r="I19" s="5">
        <f t="shared" si="2"/>
        <v>11</v>
      </c>
      <c r="J19" s="5">
        <f t="shared" si="4"/>
        <v>28</v>
      </c>
      <c r="K19" s="5">
        <v>0</v>
      </c>
      <c r="L19" s="5">
        <v>24</v>
      </c>
      <c r="M19" s="6">
        <f t="shared" si="3"/>
        <v>18013.371874999997</v>
      </c>
      <c r="N19" s="7">
        <f t="shared" si="1"/>
        <v>750.55716145833321</v>
      </c>
    </row>
    <row r="20" spans="1:14" x14ac:dyDescent="0.25">
      <c r="A20" s="5" t="s">
        <v>32</v>
      </c>
      <c r="B20" s="9">
        <v>43444</v>
      </c>
      <c r="C20" s="9">
        <v>43461</v>
      </c>
      <c r="D20" s="5">
        <v>12</v>
      </c>
      <c r="E20" s="5">
        <v>2</v>
      </c>
      <c r="F20" s="5">
        <v>1</v>
      </c>
      <c r="G20" s="5">
        <f>1+2+1+1+2+1</f>
        <v>8</v>
      </c>
      <c r="H20" s="5">
        <f>13</f>
        <v>13</v>
      </c>
      <c r="I20" s="5">
        <f t="shared" ref="I20:I25" si="6">1*F20*D20</f>
        <v>12</v>
      </c>
      <c r="J20" s="5">
        <f>G20+H20+I20</f>
        <v>33</v>
      </c>
      <c r="K20" s="5">
        <v>20</v>
      </c>
      <c r="L20" s="5">
        <v>25</v>
      </c>
      <c r="M20" s="6">
        <f>8*E20*D20*R$11 + 0.5*E20*D20*R$11 + J20*R$11</f>
        <v>19856.600624999999</v>
      </c>
      <c r="N20" s="7">
        <f>M20/(K20+L20)</f>
        <v>441.25779166666666</v>
      </c>
    </row>
    <row r="21" spans="1:14" x14ac:dyDescent="0.25">
      <c r="A21" s="5" t="s">
        <v>35</v>
      </c>
      <c r="B21" s="9">
        <v>43451</v>
      </c>
      <c r="C21" s="9">
        <v>43468</v>
      </c>
      <c r="D21" s="5">
        <v>10</v>
      </c>
      <c r="E21" s="5">
        <v>2</v>
      </c>
      <c r="F21" s="5">
        <v>1</v>
      </c>
      <c r="G21" s="5">
        <f>1+2+4+2+3+2+2+1</f>
        <v>17</v>
      </c>
      <c r="H21" s="5">
        <f>6+4+4</f>
        <v>14</v>
      </c>
      <c r="I21" s="5">
        <f t="shared" si="6"/>
        <v>10</v>
      </c>
      <c r="J21" s="5">
        <f t="shared" ref="J21:J25" si="7">G21+H21+I21</f>
        <v>41</v>
      </c>
      <c r="K21" s="5">
        <v>5</v>
      </c>
      <c r="L21" s="5">
        <v>30</v>
      </c>
      <c r="M21" s="6">
        <f t="shared" ref="M21:M27" si="8">8*E21*D21*R$11 + 0.5*E21*D21*R$11 + J21*R$11</f>
        <v>17678.239374999997</v>
      </c>
      <c r="N21" s="7">
        <f t="shared" ref="N21:N27" si="9">M21/(K21+L21)</f>
        <v>505.09255357142848</v>
      </c>
    </row>
    <row r="22" spans="1:14" x14ac:dyDescent="0.25">
      <c r="A22" s="5" t="s">
        <v>36</v>
      </c>
      <c r="B22" s="9">
        <v>43468</v>
      </c>
      <c r="C22" s="9">
        <v>43482</v>
      </c>
      <c r="D22" s="5">
        <v>11</v>
      </c>
      <c r="E22" s="5">
        <v>2</v>
      </c>
      <c r="F22" s="5">
        <v>1</v>
      </c>
      <c r="G22" s="5">
        <f>2+1+2+2</f>
        <v>7</v>
      </c>
      <c r="H22" s="5">
        <f>7</f>
        <v>7</v>
      </c>
      <c r="I22" s="5">
        <f t="shared" si="6"/>
        <v>11</v>
      </c>
      <c r="J22" s="5">
        <f t="shared" si="7"/>
        <v>25</v>
      </c>
      <c r="K22" s="5">
        <v>8</v>
      </c>
      <c r="L22" s="5">
        <v>5</v>
      </c>
      <c r="M22" s="6">
        <f t="shared" si="8"/>
        <v>17762.022499999999</v>
      </c>
      <c r="N22" s="7">
        <f t="shared" si="9"/>
        <v>1366.3094230769229</v>
      </c>
    </row>
    <row r="23" spans="1:14" x14ac:dyDescent="0.25">
      <c r="A23" s="5" t="s">
        <v>37</v>
      </c>
      <c r="B23" s="9">
        <v>43469</v>
      </c>
      <c r="C23" s="9">
        <v>43487</v>
      </c>
      <c r="D23" s="5">
        <v>13</v>
      </c>
      <c r="E23" s="5">
        <v>2</v>
      </c>
      <c r="F23" s="5">
        <v>1</v>
      </c>
      <c r="G23" s="5">
        <f>2+4+2+2+2+3</f>
        <v>15</v>
      </c>
      <c r="H23" s="5">
        <f>29+11</f>
        <v>40</v>
      </c>
      <c r="I23" s="5">
        <f t="shared" si="6"/>
        <v>13</v>
      </c>
      <c r="J23" s="5">
        <f t="shared" si="7"/>
        <v>68</v>
      </c>
      <c r="K23" s="5">
        <v>9</v>
      </c>
      <c r="L23" s="5">
        <v>16</v>
      </c>
      <c r="M23" s="6">
        <f t="shared" si="8"/>
        <v>24213.323124999999</v>
      </c>
      <c r="N23" s="7">
        <f t="shared" si="9"/>
        <v>968.53292499999998</v>
      </c>
    </row>
    <row r="24" spans="1:14" x14ac:dyDescent="0.25">
      <c r="A24" s="5" t="s">
        <v>38</v>
      </c>
      <c r="B24" s="9">
        <v>43487</v>
      </c>
      <c r="C24" s="9">
        <v>43497</v>
      </c>
      <c r="D24" s="5">
        <v>9</v>
      </c>
      <c r="E24" s="5">
        <v>2</v>
      </c>
      <c r="F24" s="5">
        <v>1</v>
      </c>
      <c r="G24" s="5">
        <v>0</v>
      </c>
      <c r="H24" s="5">
        <v>0</v>
      </c>
      <c r="I24" s="5">
        <f t="shared" si="6"/>
        <v>9</v>
      </c>
      <c r="J24" s="5">
        <f t="shared" si="7"/>
        <v>9</v>
      </c>
      <c r="K24" s="5">
        <v>0</v>
      </c>
      <c r="L24" s="5">
        <v>12</v>
      </c>
      <c r="M24" s="6">
        <f t="shared" si="8"/>
        <v>13572.866249999999</v>
      </c>
      <c r="N24" s="7">
        <f t="shared" si="9"/>
        <v>1131.0721874999999</v>
      </c>
    </row>
    <row r="25" spans="1:14" x14ac:dyDescent="0.25">
      <c r="A25" s="5" t="s">
        <v>39</v>
      </c>
      <c r="B25" s="9">
        <v>43488</v>
      </c>
      <c r="C25" s="9">
        <v>43504</v>
      </c>
      <c r="D25" s="5">
        <v>13</v>
      </c>
      <c r="E25" s="5">
        <v>2</v>
      </c>
      <c r="F25" s="5">
        <v>1</v>
      </c>
      <c r="G25" s="5">
        <f>1+1+1.5+1+1</f>
        <v>5.5</v>
      </c>
      <c r="H25" s="5">
        <f>15</f>
        <v>15</v>
      </c>
      <c r="I25" s="5">
        <f t="shared" si="6"/>
        <v>13</v>
      </c>
      <c r="J25" s="5">
        <f t="shared" si="7"/>
        <v>33.5</v>
      </c>
      <c r="K25" s="5">
        <v>0</v>
      </c>
      <c r="L25" s="5">
        <v>21</v>
      </c>
      <c r="M25" s="6">
        <f t="shared" si="8"/>
        <v>21322.805312500001</v>
      </c>
      <c r="N25" s="7">
        <f t="shared" si="9"/>
        <v>1015.3716815476191</v>
      </c>
    </row>
    <row r="26" spans="1:14" x14ac:dyDescent="0.25">
      <c r="A26" s="5" t="s">
        <v>41</v>
      </c>
      <c r="B26" s="9">
        <v>43509</v>
      </c>
      <c r="C26" s="9">
        <v>43523</v>
      </c>
      <c r="D26" s="5">
        <v>11</v>
      </c>
      <c r="E26" s="5">
        <v>2</v>
      </c>
      <c r="F26" s="5">
        <v>1</v>
      </c>
      <c r="G26" s="5">
        <f>1+6</f>
        <v>7</v>
      </c>
      <c r="H26" s="5">
        <f>19</f>
        <v>19</v>
      </c>
      <c r="I26" s="5">
        <f t="shared" ref="I26" si="10">1*F26*D26</f>
        <v>11</v>
      </c>
      <c r="J26" s="5">
        <f t="shared" ref="J26" si="11">G26+H26+I26</f>
        <v>37</v>
      </c>
      <c r="K26" s="5">
        <v>5</v>
      </c>
      <c r="L26" s="5">
        <v>14</v>
      </c>
      <c r="M26" s="6">
        <f t="shared" ref="M26" si="12">8*E26*D26*R$11 + 0.5*E26*D26*R$11 + J26*R$11</f>
        <v>18767.419999999998</v>
      </c>
      <c r="N26" s="7">
        <f t="shared" ref="N26" si="13">M26/(K26+L26)</f>
        <v>987.75894736842099</v>
      </c>
    </row>
    <row r="27" spans="1:14" x14ac:dyDescent="0.25">
      <c r="A27" s="5" t="s">
        <v>42</v>
      </c>
      <c r="B27" s="9">
        <v>43524</v>
      </c>
      <c r="C27" s="9">
        <v>43539</v>
      </c>
      <c r="D27" s="5">
        <v>10</v>
      </c>
      <c r="E27" s="5">
        <v>3</v>
      </c>
      <c r="F27" s="5">
        <v>1</v>
      </c>
      <c r="G27" s="5">
        <f>0</f>
        <v>0</v>
      </c>
      <c r="H27" s="5">
        <v>0</v>
      </c>
      <c r="I27" s="5">
        <f t="shared" ref="I27:I28" si="14">1*F27*D27</f>
        <v>10</v>
      </c>
      <c r="J27" s="5">
        <f t="shared" ref="J27:J28" si="15">G27+H27+I27</f>
        <v>10</v>
      </c>
      <c r="K27" s="5">
        <v>21</v>
      </c>
      <c r="L27" s="5">
        <v>13</v>
      </c>
      <c r="M27" s="6">
        <f t="shared" si="8"/>
        <v>22202.528125000001</v>
      </c>
      <c r="N27" s="7">
        <f t="shared" si="9"/>
        <v>653.01553308823532</v>
      </c>
    </row>
    <row r="28" spans="1:14" x14ac:dyDescent="0.25">
      <c r="A28" s="5" t="s">
        <v>43</v>
      </c>
      <c r="B28" s="9">
        <v>43535</v>
      </c>
      <c r="C28" s="9">
        <v>43542</v>
      </c>
      <c r="D28" s="5">
        <v>6</v>
      </c>
      <c r="E28" s="5">
        <v>1</v>
      </c>
      <c r="F28" s="5">
        <v>0</v>
      </c>
      <c r="G28" s="5">
        <v>0</v>
      </c>
      <c r="H28" s="5">
        <v>0</v>
      </c>
      <c r="I28" s="5">
        <f t="shared" si="14"/>
        <v>0</v>
      </c>
      <c r="J28" s="5">
        <f t="shared" si="15"/>
        <v>0</v>
      </c>
      <c r="K28" s="5">
        <v>0</v>
      </c>
      <c r="L28" s="5">
        <v>18</v>
      </c>
      <c r="M28" s="6">
        <f t="shared" ref="M28:M29" si="16">8*E28*D28*R$11 + 0.5*E28*D28*R$11 + J28*R$11</f>
        <v>4272.9393749999999</v>
      </c>
      <c r="N28" s="7">
        <f t="shared" ref="N28:N29" si="17">M28/(K28+L28)</f>
        <v>237.38552083333332</v>
      </c>
    </row>
    <row r="29" spans="1:14" x14ac:dyDescent="0.25">
      <c r="A29" s="5" t="s">
        <v>44</v>
      </c>
      <c r="B29" s="9">
        <v>43545</v>
      </c>
      <c r="C29" s="9">
        <v>43559</v>
      </c>
      <c r="D29" s="5">
        <v>11</v>
      </c>
      <c r="E29" s="5">
        <v>4</v>
      </c>
      <c r="F29" s="5">
        <v>1</v>
      </c>
      <c r="G29" s="5">
        <f>8+1+4+3+0.5+1+0.5+1</f>
        <v>19</v>
      </c>
      <c r="H29" s="5">
        <v>0</v>
      </c>
      <c r="I29" s="5">
        <f t="shared" ref="I29" si="18">1*F29*D29</f>
        <v>11</v>
      </c>
      <c r="J29" s="5">
        <f t="shared" ref="J29" si="19">G29+H29+I29</f>
        <v>30</v>
      </c>
      <c r="K29" s="5">
        <v>4</v>
      </c>
      <c r="L29" s="5">
        <v>41</v>
      </c>
      <c r="M29" s="6">
        <f t="shared" si="16"/>
        <v>33848.3825</v>
      </c>
      <c r="N29" s="7">
        <f t="shared" si="17"/>
        <v>752.18627777777772</v>
      </c>
    </row>
    <row r="30" spans="1:14" x14ac:dyDescent="0.25">
      <c r="A30" s="5" t="s">
        <v>45</v>
      </c>
      <c r="B30" s="9">
        <v>43563</v>
      </c>
      <c r="C30" s="9">
        <v>43577</v>
      </c>
      <c r="D30" s="5">
        <v>10</v>
      </c>
      <c r="E30" s="5">
        <v>4</v>
      </c>
      <c r="F30" s="5">
        <v>1</v>
      </c>
      <c r="G30" s="5">
        <f>2+2+2</f>
        <v>6</v>
      </c>
      <c r="H30" s="5">
        <f>16</f>
        <v>16</v>
      </c>
      <c r="I30" s="5">
        <f t="shared" ref="I30" si="20">1*F30*D30</f>
        <v>10</v>
      </c>
      <c r="J30" s="5">
        <f t="shared" ref="J30" si="21">G30+H30+I30</f>
        <v>32</v>
      </c>
      <c r="K30" s="5">
        <v>17</v>
      </c>
      <c r="L30" s="5">
        <v>26</v>
      </c>
      <c r="M30" s="6">
        <f t="shared" ref="M30" si="22">8*E30*D30*R$11 + 0.5*E30*D30*R$11 + J30*R$11</f>
        <v>31167.322499999998</v>
      </c>
      <c r="N30" s="7">
        <f t="shared" ref="N30" si="23">M30/(K30+L30)</f>
        <v>724.82145348837207</v>
      </c>
    </row>
    <row r="31" spans="1:14" x14ac:dyDescent="0.25">
      <c r="A31" s="5" t="s">
        <v>46</v>
      </c>
      <c r="B31" s="9">
        <v>43578</v>
      </c>
      <c r="C31" s="9">
        <v>43588</v>
      </c>
      <c r="D31" s="5">
        <v>8</v>
      </c>
      <c r="E31" s="5">
        <v>4</v>
      </c>
      <c r="F31" s="5">
        <v>1</v>
      </c>
      <c r="G31" s="5">
        <f>0.5+2+4+1+2+3+4+1+3+1+1+2+1</f>
        <v>25.5</v>
      </c>
      <c r="H31" s="5">
        <f>0</f>
        <v>0</v>
      </c>
      <c r="I31" s="5">
        <f t="shared" ref="I31" si="24">1*F31*D31</f>
        <v>8</v>
      </c>
      <c r="J31" s="5">
        <f t="shared" ref="J31" si="25">G31+H31+I31</f>
        <v>33.5</v>
      </c>
      <c r="K31" s="5">
        <v>17</v>
      </c>
      <c r="L31" s="5">
        <v>26</v>
      </c>
      <c r="M31" s="6">
        <f t="shared" ref="M31" si="26">8*E31*D31*R$11 + 0.5*E31*D31*R$11 + J31*R$11</f>
        <v>25595.744687499999</v>
      </c>
      <c r="N31" s="7">
        <f t="shared" ref="N31" si="27">M31/(K31+L31)</f>
        <v>595.24987645348835</v>
      </c>
    </row>
    <row r="32" spans="1:14" x14ac:dyDescent="0.25">
      <c r="A32" s="5" t="s">
        <v>47</v>
      </c>
      <c r="B32" s="9">
        <v>43592</v>
      </c>
      <c r="C32" s="9">
        <v>43606</v>
      </c>
      <c r="D32" s="5">
        <v>11</v>
      </c>
      <c r="E32" s="5">
        <v>4</v>
      </c>
      <c r="F32" s="5">
        <v>1</v>
      </c>
      <c r="G32" s="5">
        <f>2+3+0+3+4+0+0</f>
        <v>12</v>
      </c>
      <c r="H32" s="5">
        <f>0</f>
        <v>0</v>
      </c>
      <c r="I32" s="5">
        <f t="shared" ref="I32:I62" si="28">1*F32*D32</f>
        <v>11</v>
      </c>
      <c r="J32" s="5">
        <f t="shared" ref="J32:J62" si="29">G32+H32+I32</f>
        <v>23</v>
      </c>
      <c r="K32" s="5">
        <v>18</v>
      </c>
      <c r="L32" s="5">
        <v>34</v>
      </c>
      <c r="M32" s="6">
        <f t="shared" ref="M32:M62" si="30">8*E32*D32*R$11 + 0.5*E32*D32*R$11 + J32*R$11</f>
        <v>33261.900624999995</v>
      </c>
      <c r="N32" s="7">
        <f t="shared" ref="N32:N62" si="31">M32/(K32+L32)</f>
        <v>639.65193509615369</v>
      </c>
    </row>
    <row r="33" spans="1:14" x14ac:dyDescent="0.25">
      <c r="A33" s="5" t="s">
        <v>48</v>
      </c>
      <c r="B33" s="9">
        <v>43607</v>
      </c>
      <c r="C33" s="9">
        <v>43622</v>
      </c>
      <c r="D33" s="5">
        <v>10</v>
      </c>
      <c r="E33" s="5">
        <v>3</v>
      </c>
      <c r="F33" s="5">
        <v>1</v>
      </c>
      <c r="G33" s="5">
        <f>1+3+2+2+2+3+2+2</f>
        <v>17</v>
      </c>
      <c r="H33" s="5">
        <v>0</v>
      </c>
      <c r="I33" s="5">
        <f t="shared" si="28"/>
        <v>10</v>
      </c>
      <c r="J33" s="5">
        <f t="shared" si="29"/>
        <v>27</v>
      </c>
      <c r="K33" s="5">
        <v>10</v>
      </c>
      <c r="L33" s="5">
        <v>30</v>
      </c>
      <c r="M33" s="6">
        <f t="shared" si="30"/>
        <v>23626.841250000001</v>
      </c>
      <c r="N33" s="7">
        <f t="shared" si="31"/>
        <v>590.67103125000006</v>
      </c>
    </row>
    <row r="34" spans="1:14" x14ac:dyDescent="0.25">
      <c r="A34" s="5" t="s">
        <v>49</v>
      </c>
      <c r="B34" s="9">
        <v>43623</v>
      </c>
      <c r="C34" s="9">
        <v>43640</v>
      </c>
      <c r="D34" s="5">
        <v>10</v>
      </c>
      <c r="E34" s="5">
        <v>3</v>
      </c>
      <c r="F34" s="5">
        <v>1</v>
      </c>
      <c r="G34" s="5">
        <f>2+2+4+2</f>
        <v>10</v>
      </c>
      <c r="H34" s="5">
        <v>0</v>
      </c>
      <c r="I34" s="5">
        <f t="shared" si="28"/>
        <v>10</v>
      </c>
      <c r="J34" s="5">
        <f t="shared" si="29"/>
        <v>20</v>
      </c>
      <c r="K34" s="5">
        <v>10</v>
      </c>
      <c r="L34" s="5">
        <v>29</v>
      </c>
      <c r="M34" s="6">
        <f t="shared" si="30"/>
        <v>23040.359375</v>
      </c>
      <c r="N34" s="7">
        <f t="shared" si="31"/>
        <v>590.77844551282055</v>
      </c>
    </row>
    <row r="35" spans="1:14" x14ac:dyDescent="0.25">
      <c r="A35" s="5" t="s">
        <v>50</v>
      </c>
      <c r="B35" s="9">
        <v>43641</v>
      </c>
      <c r="C35" s="9">
        <v>43658</v>
      </c>
      <c r="D35" s="5">
        <v>14</v>
      </c>
      <c r="E35" s="5">
        <v>4</v>
      </c>
      <c r="F35" s="5">
        <v>1</v>
      </c>
      <c r="G35" s="5">
        <f>0</f>
        <v>0</v>
      </c>
      <c r="H35" s="5">
        <f>0</f>
        <v>0</v>
      </c>
      <c r="I35" s="5">
        <f t="shared" ref="I35:I40" si="32">1*F35*D35</f>
        <v>14</v>
      </c>
      <c r="J35" s="5">
        <f>G35+H35+I35</f>
        <v>14</v>
      </c>
      <c r="K35" s="5">
        <v>0</v>
      </c>
      <c r="L35" s="5">
        <v>23</v>
      </c>
      <c r="M35" s="6">
        <f t="shared" ref="M35:M39" si="33">8*E35*D35*R$11 + 0.5*E35*D35*R$11 + J35*R$11</f>
        <v>41053.731249999997</v>
      </c>
      <c r="N35" s="7">
        <f t="shared" ref="N35:N39" si="34">M35/(K35+L35)</f>
        <v>1784.9448369565216</v>
      </c>
    </row>
    <row r="36" spans="1:14" x14ac:dyDescent="0.25">
      <c r="A36" s="5" t="s">
        <v>51</v>
      </c>
      <c r="B36" s="9">
        <v>43662</v>
      </c>
      <c r="C36" s="9">
        <v>43672</v>
      </c>
      <c r="D36" s="5">
        <v>9</v>
      </c>
      <c r="E36" s="5">
        <v>4</v>
      </c>
      <c r="F36" s="5">
        <v>1</v>
      </c>
      <c r="G36" s="5">
        <f>2+3+2+2+2+3+2+3</f>
        <v>19</v>
      </c>
      <c r="H36" s="5">
        <f>0</f>
        <v>0</v>
      </c>
      <c r="I36" s="5">
        <f t="shared" si="32"/>
        <v>9</v>
      </c>
      <c r="J36" s="5">
        <f>G36+H36+I36</f>
        <v>28</v>
      </c>
      <c r="K36" s="5">
        <v>0</v>
      </c>
      <c r="L36" s="5">
        <v>40</v>
      </c>
      <c r="M36" s="6">
        <f t="shared" si="33"/>
        <v>27983.563750000001</v>
      </c>
      <c r="N36" s="7">
        <f t="shared" si="34"/>
        <v>699.58909375000007</v>
      </c>
    </row>
    <row r="37" spans="1:14" x14ac:dyDescent="0.25">
      <c r="A37" s="5" t="s">
        <v>52</v>
      </c>
      <c r="B37" s="9">
        <v>43676</v>
      </c>
      <c r="C37" s="9">
        <v>43690</v>
      </c>
      <c r="D37" s="5">
        <v>11</v>
      </c>
      <c r="E37" s="5">
        <v>4</v>
      </c>
      <c r="F37" s="5">
        <v>1</v>
      </c>
      <c r="G37" s="5">
        <f>1+2+1+2</f>
        <v>6</v>
      </c>
      <c r="H37" s="5">
        <f>0</f>
        <v>0</v>
      </c>
      <c r="I37" s="5">
        <f t="shared" si="32"/>
        <v>11</v>
      </c>
      <c r="J37" s="5">
        <f>G37+H37+I37</f>
        <v>17</v>
      </c>
      <c r="K37" s="5">
        <v>13</v>
      </c>
      <c r="L37" s="5">
        <v>25</v>
      </c>
      <c r="M37" s="6">
        <f t="shared" si="33"/>
        <v>32759.201874999999</v>
      </c>
      <c r="N37" s="7">
        <f t="shared" si="34"/>
        <v>862.08425986842099</v>
      </c>
    </row>
    <row r="38" spans="1:14" x14ac:dyDescent="0.25">
      <c r="A38" s="5" t="s">
        <v>53</v>
      </c>
      <c r="B38" s="9">
        <v>43691</v>
      </c>
      <c r="C38" s="9">
        <v>43705</v>
      </c>
      <c r="D38" s="5">
        <v>11</v>
      </c>
      <c r="E38" s="5">
        <v>4</v>
      </c>
      <c r="F38" s="5">
        <v>1</v>
      </c>
      <c r="G38" s="5">
        <v>0</v>
      </c>
      <c r="H38" s="5">
        <v>0</v>
      </c>
      <c r="I38" s="5">
        <f t="shared" si="32"/>
        <v>11</v>
      </c>
      <c r="J38" s="5">
        <f t="shared" si="29"/>
        <v>11</v>
      </c>
      <c r="K38" s="5">
        <v>13</v>
      </c>
      <c r="L38" s="5">
        <v>37</v>
      </c>
      <c r="M38" s="6">
        <f t="shared" si="33"/>
        <v>32256.503124999999</v>
      </c>
      <c r="N38" s="7">
        <f t="shared" si="34"/>
        <v>645.13006250000001</v>
      </c>
    </row>
    <row r="39" spans="1:14" x14ac:dyDescent="0.25">
      <c r="A39" s="5" t="s">
        <v>54</v>
      </c>
      <c r="B39" s="9">
        <v>43706</v>
      </c>
      <c r="C39" s="9">
        <v>43719</v>
      </c>
      <c r="D39" s="5">
        <v>10</v>
      </c>
      <c r="E39" s="5">
        <v>4</v>
      </c>
      <c r="F39" s="5">
        <v>1</v>
      </c>
      <c r="G39" s="5">
        <v>0</v>
      </c>
      <c r="H39" s="5">
        <v>0</v>
      </c>
      <c r="I39" s="5">
        <f t="shared" si="32"/>
        <v>10</v>
      </c>
      <c r="J39" s="5">
        <f t="shared" ref="J39:J44" si="35">G39+H39+I39</f>
        <v>10</v>
      </c>
      <c r="K39" s="5">
        <v>0</v>
      </c>
      <c r="L39" s="5">
        <v>43</v>
      </c>
      <c r="M39" s="6">
        <f t="shared" si="33"/>
        <v>29324.093749999996</v>
      </c>
      <c r="N39" s="7">
        <f t="shared" si="34"/>
        <v>681.95566860465112</v>
      </c>
    </row>
    <row r="40" spans="1:14" x14ac:dyDescent="0.25">
      <c r="A40" s="5" t="s">
        <v>55</v>
      </c>
      <c r="B40" s="9">
        <v>43720</v>
      </c>
      <c r="C40" s="9">
        <v>43735</v>
      </c>
      <c r="D40" s="5">
        <v>12</v>
      </c>
      <c r="E40" s="5">
        <v>4</v>
      </c>
      <c r="F40" s="5">
        <v>1</v>
      </c>
      <c r="G40" s="5">
        <v>0</v>
      </c>
      <c r="H40" s="5">
        <v>0</v>
      </c>
      <c r="I40" s="5">
        <f t="shared" si="32"/>
        <v>12</v>
      </c>
      <c r="J40" s="5">
        <f t="shared" si="35"/>
        <v>12</v>
      </c>
      <c r="K40" s="5">
        <v>8</v>
      </c>
      <c r="L40" s="5">
        <v>54</v>
      </c>
      <c r="M40" s="6">
        <f t="shared" ref="M40:M45" si="36">8*E40*D40*R$11 + 0.5*E40*D40*R$11 + J40*R$11</f>
        <v>35188.912499999999</v>
      </c>
      <c r="N40" s="7">
        <f t="shared" ref="N40:N45" si="37">M40/(K40+L40)</f>
        <v>567.56310483870971</v>
      </c>
    </row>
    <row r="41" spans="1:14" x14ac:dyDescent="0.25">
      <c r="A41" s="5" t="s">
        <v>56</v>
      </c>
      <c r="B41" s="9">
        <v>43738</v>
      </c>
      <c r="C41" s="9">
        <v>43752</v>
      </c>
      <c r="D41" s="5">
        <v>11</v>
      </c>
      <c r="E41" s="5">
        <v>4</v>
      </c>
      <c r="F41" s="5">
        <v>1</v>
      </c>
      <c r="G41" s="5">
        <v>0</v>
      </c>
      <c r="H41" s="5">
        <v>0</v>
      </c>
      <c r="I41" s="5">
        <f t="shared" ref="I41:I47" si="38">1*F41*D41</f>
        <v>11</v>
      </c>
      <c r="J41" s="5">
        <f t="shared" si="35"/>
        <v>11</v>
      </c>
      <c r="K41" s="5">
        <v>10</v>
      </c>
      <c r="L41" s="5">
        <v>35</v>
      </c>
      <c r="M41" s="6">
        <f t="shared" si="36"/>
        <v>32256.503124999999</v>
      </c>
      <c r="N41" s="7">
        <f t="shared" si="37"/>
        <v>716.81118055555555</v>
      </c>
    </row>
    <row r="42" spans="1:14" x14ac:dyDescent="0.25">
      <c r="A42" s="5" t="s">
        <v>57</v>
      </c>
      <c r="B42" s="9">
        <v>43753</v>
      </c>
      <c r="C42" s="9">
        <v>43767</v>
      </c>
      <c r="D42" s="5">
        <v>10</v>
      </c>
      <c r="E42" s="5">
        <v>4</v>
      </c>
      <c r="F42" s="5">
        <v>1</v>
      </c>
      <c r="G42" s="5">
        <v>0</v>
      </c>
      <c r="H42" s="5">
        <v>0</v>
      </c>
      <c r="I42" s="5">
        <f t="shared" si="38"/>
        <v>10</v>
      </c>
      <c r="J42" s="5">
        <f t="shared" si="35"/>
        <v>10</v>
      </c>
      <c r="K42" s="5">
        <v>8</v>
      </c>
      <c r="L42" s="5">
        <v>40</v>
      </c>
      <c r="M42" s="6">
        <f t="shared" si="36"/>
        <v>29324.093749999996</v>
      </c>
      <c r="N42" s="7">
        <f t="shared" si="37"/>
        <v>610.91861979166663</v>
      </c>
    </row>
    <row r="43" spans="1:14" x14ac:dyDescent="0.25">
      <c r="A43" s="5" t="s">
        <v>58</v>
      </c>
      <c r="B43" s="9">
        <v>43768</v>
      </c>
      <c r="C43" s="9">
        <v>43782</v>
      </c>
      <c r="D43" s="5">
        <v>11</v>
      </c>
      <c r="E43" s="5">
        <v>4</v>
      </c>
      <c r="F43" s="5">
        <v>1</v>
      </c>
      <c r="G43" s="5">
        <v>0</v>
      </c>
      <c r="H43" s="5">
        <v>0</v>
      </c>
      <c r="I43" s="5">
        <f t="shared" si="38"/>
        <v>11</v>
      </c>
      <c r="J43" s="5">
        <f t="shared" si="35"/>
        <v>11</v>
      </c>
      <c r="K43" s="5">
        <v>16</v>
      </c>
      <c r="L43" s="5">
        <v>30</v>
      </c>
      <c r="M43" s="6">
        <f t="shared" si="36"/>
        <v>32256.503124999999</v>
      </c>
      <c r="N43" s="7">
        <f t="shared" si="37"/>
        <v>701.22832880434783</v>
      </c>
    </row>
    <row r="44" spans="1:14" x14ac:dyDescent="0.25">
      <c r="A44" s="5" t="s">
        <v>59</v>
      </c>
      <c r="B44" s="9">
        <v>43783</v>
      </c>
      <c r="C44" s="9">
        <v>43797</v>
      </c>
      <c r="D44" s="5">
        <v>10</v>
      </c>
      <c r="E44" s="5">
        <v>4</v>
      </c>
      <c r="F44" s="5">
        <v>1</v>
      </c>
      <c r="G44" s="5">
        <v>0</v>
      </c>
      <c r="H44" s="5">
        <v>0</v>
      </c>
      <c r="I44" s="5">
        <f t="shared" si="38"/>
        <v>10</v>
      </c>
      <c r="J44" s="5">
        <f t="shared" si="35"/>
        <v>10</v>
      </c>
      <c r="K44" s="5">
        <v>4</v>
      </c>
      <c r="L44" s="5">
        <v>36</v>
      </c>
      <c r="M44" s="6">
        <f t="shared" si="36"/>
        <v>29324.093749999996</v>
      </c>
      <c r="N44" s="7">
        <f t="shared" si="37"/>
        <v>733.10234374999993</v>
      </c>
    </row>
    <row r="45" spans="1:14" x14ac:dyDescent="0.25">
      <c r="A45" s="5" t="s">
        <v>60</v>
      </c>
      <c r="B45" s="9">
        <v>43798</v>
      </c>
      <c r="C45" s="9">
        <v>43812</v>
      </c>
      <c r="D45" s="5">
        <v>11</v>
      </c>
      <c r="E45" s="5">
        <v>4</v>
      </c>
      <c r="F45" s="5">
        <v>1</v>
      </c>
      <c r="G45" s="5">
        <v>0</v>
      </c>
      <c r="H45" s="5">
        <v>0</v>
      </c>
      <c r="I45" s="5">
        <f t="shared" si="38"/>
        <v>11</v>
      </c>
      <c r="J45" s="5">
        <f>G45+H45+I45</f>
        <v>11</v>
      </c>
      <c r="K45" s="5">
        <v>0</v>
      </c>
      <c r="L45" s="5">
        <v>47</v>
      </c>
      <c r="M45" s="6">
        <f t="shared" si="36"/>
        <v>32256.503124999999</v>
      </c>
      <c r="N45" s="7">
        <f t="shared" si="37"/>
        <v>686.30857712765953</v>
      </c>
    </row>
    <row r="46" spans="1:14" x14ac:dyDescent="0.25">
      <c r="A46" s="5" t="s">
        <v>61</v>
      </c>
      <c r="B46" s="9">
        <v>43815</v>
      </c>
      <c r="C46" s="9">
        <v>43833</v>
      </c>
      <c r="D46" s="5">
        <v>12</v>
      </c>
      <c r="E46" s="5">
        <v>4</v>
      </c>
      <c r="F46" s="5">
        <v>1</v>
      </c>
      <c r="G46" s="5">
        <v>0</v>
      </c>
      <c r="H46" s="5">
        <v>0</v>
      </c>
      <c r="I46" s="5">
        <f t="shared" si="38"/>
        <v>12</v>
      </c>
      <c r="J46" s="5">
        <f>G46+H46+I46</f>
        <v>12</v>
      </c>
      <c r="K46" s="5">
        <v>8</v>
      </c>
      <c r="L46" s="5">
        <v>17</v>
      </c>
      <c r="M46" s="6">
        <f t="shared" ref="M46:M52" si="39">8*E46*D46*R$11 + 0.5*E46*D46*R$11 + J46*R$11</f>
        <v>35188.912499999999</v>
      </c>
      <c r="N46" s="7">
        <f t="shared" ref="N46:N52" si="40">M46/(K46+L46)</f>
        <v>1407.5564999999999</v>
      </c>
    </row>
    <row r="47" spans="1:14" x14ac:dyDescent="0.25">
      <c r="A47" s="5" t="s">
        <v>63</v>
      </c>
      <c r="B47" s="9">
        <v>43836</v>
      </c>
      <c r="C47" s="9">
        <v>43847</v>
      </c>
      <c r="D47" s="5">
        <v>10</v>
      </c>
      <c r="E47" s="5">
        <v>4</v>
      </c>
      <c r="F47" s="5">
        <v>1</v>
      </c>
      <c r="G47" s="5">
        <v>0</v>
      </c>
      <c r="H47" s="5">
        <v>0</v>
      </c>
      <c r="I47" s="5">
        <f t="shared" si="38"/>
        <v>10</v>
      </c>
      <c r="J47" s="5">
        <f>G47+H47+I47</f>
        <v>10</v>
      </c>
      <c r="K47" s="5">
        <v>21</v>
      </c>
      <c r="L47" s="5">
        <v>5</v>
      </c>
      <c r="M47" s="6">
        <f t="shared" si="39"/>
        <v>29324.093749999996</v>
      </c>
      <c r="N47" s="7">
        <f t="shared" si="40"/>
        <v>1127.8497596153845</v>
      </c>
    </row>
    <row r="48" spans="1:14" x14ac:dyDescent="0.25">
      <c r="A48" s="5" t="s">
        <v>62</v>
      </c>
      <c r="B48" s="9">
        <v>43850</v>
      </c>
      <c r="C48" s="9">
        <v>43861</v>
      </c>
      <c r="D48" s="5">
        <v>10</v>
      </c>
      <c r="E48" s="5">
        <v>4</v>
      </c>
      <c r="F48" s="5">
        <v>1</v>
      </c>
      <c r="G48" s="5">
        <v>0</v>
      </c>
      <c r="H48" s="5">
        <v>0</v>
      </c>
      <c r="I48" s="5">
        <f t="shared" ref="I48" si="41">1*F48*D48</f>
        <v>10</v>
      </c>
      <c r="J48" s="5">
        <f t="shared" ref="J48" si="42">G48+H48+I48</f>
        <v>10</v>
      </c>
      <c r="K48" s="5">
        <v>13</v>
      </c>
      <c r="L48" s="5">
        <v>43</v>
      </c>
      <c r="M48" s="6">
        <f t="shared" si="39"/>
        <v>29324.093749999996</v>
      </c>
      <c r="N48" s="7">
        <f t="shared" si="40"/>
        <v>523.64453124999989</v>
      </c>
    </row>
    <row r="49" spans="1:14" x14ac:dyDescent="0.25">
      <c r="A49" s="5" t="s">
        <v>64</v>
      </c>
      <c r="B49" s="9">
        <v>43865</v>
      </c>
      <c r="C49" s="9">
        <v>43875</v>
      </c>
      <c r="D49" s="5">
        <v>9</v>
      </c>
      <c r="E49" s="5">
        <v>4</v>
      </c>
      <c r="F49" s="5">
        <v>1</v>
      </c>
      <c r="G49" s="5">
        <v>0</v>
      </c>
      <c r="H49" s="5">
        <v>0</v>
      </c>
      <c r="I49" s="5">
        <f t="shared" ref="I49:I54" si="43">1*F49*D49</f>
        <v>9</v>
      </c>
      <c r="J49" s="5">
        <f t="shared" ref="J49:J54" si="44">G49+H49+I49</f>
        <v>9</v>
      </c>
      <c r="K49" s="5">
        <v>8</v>
      </c>
      <c r="L49" s="5">
        <v>37</v>
      </c>
      <c r="M49" s="6">
        <f t="shared" si="39"/>
        <v>26391.684375000001</v>
      </c>
      <c r="N49" s="7">
        <f t="shared" si="40"/>
        <v>586.48187500000006</v>
      </c>
    </row>
    <row r="50" spans="1:14" x14ac:dyDescent="0.25">
      <c r="A50" s="5" t="s">
        <v>65</v>
      </c>
      <c r="B50" s="9">
        <v>43878</v>
      </c>
      <c r="C50" s="9">
        <v>43889</v>
      </c>
      <c r="D50" s="5">
        <v>8</v>
      </c>
      <c r="E50" s="5">
        <v>4</v>
      </c>
      <c r="F50" s="5">
        <v>1</v>
      </c>
      <c r="G50" s="5">
        <v>0</v>
      </c>
      <c r="H50" s="5">
        <v>0</v>
      </c>
      <c r="I50" s="5">
        <f t="shared" si="43"/>
        <v>8</v>
      </c>
      <c r="J50" s="5">
        <f t="shared" si="44"/>
        <v>8</v>
      </c>
      <c r="K50" s="5">
        <v>12</v>
      </c>
      <c r="L50" s="5">
        <v>14</v>
      </c>
      <c r="M50" s="6">
        <f t="shared" si="39"/>
        <v>23459.274999999998</v>
      </c>
      <c r="N50" s="7">
        <f t="shared" si="40"/>
        <v>902.2798076923076</v>
      </c>
    </row>
    <row r="51" spans="1:14" x14ac:dyDescent="0.25">
      <c r="A51" s="5" t="s">
        <v>66</v>
      </c>
      <c r="B51" s="9">
        <v>43892</v>
      </c>
      <c r="C51" s="9">
        <v>43903</v>
      </c>
      <c r="D51" s="5">
        <v>10</v>
      </c>
      <c r="E51" s="5">
        <v>4</v>
      </c>
      <c r="F51" s="5">
        <v>1</v>
      </c>
      <c r="G51" s="5">
        <v>0</v>
      </c>
      <c r="H51" s="5">
        <v>0</v>
      </c>
      <c r="I51" s="5">
        <f t="shared" si="43"/>
        <v>10</v>
      </c>
      <c r="J51" s="5">
        <f t="shared" si="44"/>
        <v>10</v>
      </c>
      <c r="K51" s="5">
        <v>5</v>
      </c>
      <c r="L51" s="5">
        <v>11</v>
      </c>
      <c r="M51" s="6">
        <f t="shared" si="39"/>
        <v>29324.093749999996</v>
      </c>
      <c r="N51" s="7">
        <f t="shared" si="40"/>
        <v>1832.7558593749998</v>
      </c>
    </row>
    <row r="52" spans="1:14" x14ac:dyDescent="0.25">
      <c r="A52" s="5" t="s">
        <v>67</v>
      </c>
      <c r="B52" s="9">
        <v>43906</v>
      </c>
      <c r="C52" s="9">
        <v>43924</v>
      </c>
      <c r="D52" s="5">
        <v>15</v>
      </c>
      <c r="E52" s="5">
        <v>4</v>
      </c>
      <c r="F52" s="5">
        <v>1</v>
      </c>
      <c r="G52" s="5">
        <v>0</v>
      </c>
      <c r="H52" s="5">
        <v>0</v>
      </c>
      <c r="I52" s="5">
        <f t="shared" si="43"/>
        <v>15</v>
      </c>
      <c r="J52" s="5">
        <f t="shared" si="44"/>
        <v>15</v>
      </c>
      <c r="K52" s="5">
        <v>21</v>
      </c>
      <c r="L52" s="5">
        <v>23</v>
      </c>
      <c r="M52" s="6">
        <f t="shared" si="39"/>
        <v>43986.140625</v>
      </c>
      <c r="N52" s="7">
        <f t="shared" si="40"/>
        <v>999.6850142045455</v>
      </c>
    </row>
    <row r="53" spans="1:14" x14ac:dyDescent="0.25">
      <c r="A53" s="5" t="s">
        <v>68</v>
      </c>
      <c r="B53" s="9">
        <v>43927</v>
      </c>
      <c r="C53" s="9">
        <v>43944</v>
      </c>
      <c r="D53" s="5">
        <v>12</v>
      </c>
      <c r="E53" s="5">
        <v>4</v>
      </c>
      <c r="F53" s="5">
        <v>1</v>
      </c>
      <c r="G53" s="5">
        <v>0</v>
      </c>
      <c r="H53" s="5">
        <v>0</v>
      </c>
      <c r="I53" s="5">
        <f t="shared" si="43"/>
        <v>12</v>
      </c>
      <c r="J53" s="5">
        <f t="shared" si="44"/>
        <v>12</v>
      </c>
      <c r="K53" s="5">
        <v>17</v>
      </c>
      <c r="L53" s="5">
        <v>15</v>
      </c>
      <c r="M53" s="6">
        <f>8*E53*D53*R$11 + 0.5*E53*D53*R$11 + J53*R$11</f>
        <v>35188.912499999999</v>
      </c>
      <c r="N53" s="7">
        <f t="shared" ref="N53:N60" si="45">M53/(K53+L53)</f>
        <v>1099.653515625</v>
      </c>
    </row>
    <row r="54" spans="1:14" x14ac:dyDescent="0.25">
      <c r="A54" s="5" t="s">
        <v>69</v>
      </c>
      <c r="B54" s="9">
        <v>43948</v>
      </c>
      <c r="C54" s="9">
        <v>43969</v>
      </c>
      <c r="D54" s="5">
        <v>15</v>
      </c>
      <c r="E54" s="5">
        <v>4</v>
      </c>
      <c r="F54" s="5">
        <v>1</v>
      </c>
      <c r="G54" s="5">
        <v>0</v>
      </c>
      <c r="H54" s="5">
        <v>0</v>
      </c>
      <c r="I54" s="5">
        <f t="shared" si="43"/>
        <v>15</v>
      </c>
      <c r="J54" s="5">
        <f t="shared" si="44"/>
        <v>15</v>
      </c>
      <c r="K54" s="5">
        <v>17</v>
      </c>
      <c r="L54" s="5">
        <v>56</v>
      </c>
      <c r="M54" s="6">
        <f>8*E54*D54*R$11 + 0.5*E54*D54*R$11 + J54*R$11</f>
        <v>43986.140625</v>
      </c>
      <c r="N54" s="7">
        <f>M54/(K54+L54)</f>
        <v>602.54987157534242</v>
      </c>
    </row>
    <row r="55" spans="1:14" x14ac:dyDescent="0.25">
      <c r="A55" s="5" t="s">
        <v>70</v>
      </c>
      <c r="B55" s="9">
        <v>43970</v>
      </c>
      <c r="C55" s="9">
        <v>43984</v>
      </c>
      <c r="D55" s="5">
        <v>11</v>
      </c>
      <c r="E55" s="5">
        <v>4</v>
      </c>
      <c r="F55" s="5">
        <v>1</v>
      </c>
      <c r="G55" s="5">
        <v>0</v>
      </c>
      <c r="H55" s="5">
        <v>0</v>
      </c>
      <c r="I55" s="5">
        <f>1*F55*D55</f>
        <v>11</v>
      </c>
      <c r="J55" s="5">
        <f>G55+H55+I55</f>
        <v>11</v>
      </c>
      <c r="K55" s="5">
        <v>5</v>
      </c>
      <c r="L55" s="5">
        <v>64</v>
      </c>
      <c r="M55" s="6">
        <f>8*E55*D55*R$11 + 0.5*E55*D55*R$11 + J55*R$11</f>
        <v>32256.503124999999</v>
      </c>
      <c r="N55" s="7">
        <f>M55/(K55+L55)</f>
        <v>467.48555253623186</v>
      </c>
    </row>
    <row r="56" spans="1:14" x14ac:dyDescent="0.25">
      <c r="A56" s="5" t="s">
        <v>71</v>
      </c>
      <c r="B56" s="9">
        <v>43985</v>
      </c>
      <c r="C56" s="9">
        <v>43998</v>
      </c>
      <c r="D56" s="5">
        <v>9</v>
      </c>
      <c r="E56" s="5">
        <v>4</v>
      </c>
      <c r="F56" s="5">
        <v>1</v>
      </c>
      <c r="G56" s="5">
        <v>0</v>
      </c>
      <c r="H56" s="5">
        <v>0</v>
      </c>
      <c r="I56" s="5">
        <f>1*F56*D56</f>
        <v>9</v>
      </c>
      <c r="J56" s="5">
        <f>G56+H56+I56</f>
        <v>9</v>
      </c>
      <c r="K56" s="5">
        <v>8</v>
      </c>
      <c r="L56" s="5">
        <v>17</v>
      </c>
      <c r="M56" s="6">
        <f>8*E56*D56*R$11 + 0.5*E56*D56*R$11 + J56*R$11</f>
        <v>26391.684375000001</v>
      </c>
      <c r="N56" s="7">
        <f>M56/(K56+L56)</f>
        <v>1055.667375</v>
      </c>
    </row>
    <row r="57" spans="1:14" x14ac:dyDescent="0.25">
      <c r="A57" s="5"/>
      <c r="B57" s="9"/>
      <c r="C57" s="9"/>
      <c r="D57" s="5"/>
      <c r="E57" s="5"/>
      <c r="F57" s="5"/>
      <c r="G57" s="5"/>
      <c r="H57" s="5"/>
      <c r="I57" s="5">
        <f t="shared" ref="I55:I60" si="46">1*F57*D57</f>
        <v>0</v>
      </c>
      <c r="J57" s="5">
        <f t="shared" ref="J55:J60" si="47">G57+H57+I57</f>
        <v>0</v>
      </c>
      <c r="K57" s="5">
        <v>0</v>
      </c>
      <c r="L57" s="5">
        <v>0</v>
      </c>
      <c r="M57" s="6">
        <f t="shared" ref="M55:M60" si="48">8*E57*D57*R$11 + 0.5*E57*D57*R$11 + J57*R$11</f>
        <v>0</v>
      </c>
      <c r="N57" s="7" t="e">
        <f t="shared" si="45"/>
        <v>#DIV/0!</v>
      </c>
    </row>
    <row r="58" spans="1:14" x14ac:dyDescent="0.25">
      <c r="A58" s="5"/>
      <c r="B58" s="9"/>
      <c r="C58" s="9"/>
      <c r="D58" s="5"/>
      <c r="E58" s="5"/>
      <c r="F58" s="5"/>
      <c r="G58" s="5"/>
      <c r="H58" s="5"/>
      <c r="I58" s="5">
        <f t="shared" si="46"/>
        <v>0</v>
      </c>
      <c r="J58" s="5">
        <f t="shared" si="47"/>
        <v>0</v>
      </c>
      <c r="K58" s="5">
        <v>0</v>
      </c>
      <c r="L58" s="5">
        <v>0</v>
      </c>
      <c r="M58" s="6">
        <f t="shared" si="48"/>
        <v>0</v>
      </c>
      <c r="N58" s="7" t="e">
        <f t="shared" si="45"/>
        <v>#DIV/0!</v>
      </c>
    </row>
    <row r="59" spans="1:14" x14ac:dyDescent="0.25">
      <c r="A59" s="5"/>
      <c r="B59" s="9"/>
      <c r="C59" s="9"/>
      <c r="D59" s="5"/>
      <c r="E59" s="5"/>
      <c r="F59" s="5"/>
      <c r="G59" s="5"/>
      <c r="H59" s="5"/>
      <c r="I59" s="5">
        <f t="shared" si="46"/>
        <v>0</v>
      </c>
      <c r="J59" s="5">
        <f t="shared" si="47"/>
        <v>0</v>
      </c>
      <c r="K59" s="5">
        <v>0</v>
      </c>
      <c r="L59" s="5">
        <v>0</v>
      </c>
      <c r="M59" s="6">
        <f t="shared" si="48"/>
        <v>0</v>
      </c>
      <c r="N59" s="7" t="e">
        <f t="shared" si="45"/>
        <v>#DIV/0!</v>
      </c>
    </row>
    <row r="60" spans="1:14" x14ac:dyDescent="0.25">
      <c r="A60" s="5"/>
      <c r="B60" s="9"/>
      <c r="C60" s="9"/>
      <c r="D60" s="5"/>
      <c r="E60" s="5"/>
      <c r="F60" s="5"/>
      <c r="G60" s="5"/>
      <c r="H60" s="5"/>
      <c r="I60" s="5">
        <f t="shared" si="46"/>
        <v>0</v>
      </c>
      <c r="J60" s="5">
        <f t="shared" si="47"/>
        <v>0</v>
      </c>
      <c r="K60" s="5">
        <v>0</v>
      </c>
      <c r="L60" s="5">
        <v>0</v>
      </c>
      <c r="M60" s="6">
        <f t="shared" si="48"/>
        <v>0</v>
      </c>
      <c r="N60" s="7" t="e">
        <f t="shared" si="45"/>
        <v>#DIV/0!</v>
      </c>
    </row>
    <row r="61" spans="1:14" x14ac:dyDescent="0.25">
      <c r="A61" s="5"/>
      <c r="B61" s="9"/>
      <c r="C61" s="9"/>
      <c r="D61" s="5"/>
      <c r="E61" s="5"/>
      <c r="F61" s="5"/>
      <c r="G61" s="5"/>
      <c r="H61" s="5"/>
      <c r="I61" s="5">
        <f t="shared" ref="I61" si="49">1*F61*D61</f>
        <v>0</v>
      </c>
      <c r="J61" s="5">
        <f t="shared" ref="J61" si="50">G61+H61+I61</f>
        <v>0</v>
      </c>
      <c r="K61" s="5">
        <v>0</v>
      </c>
      <c r="L61" s="5">
        <v>0</v>
      </c>
      <c r="M61" s="6">
        <f t="shared" ref="M61" si="51">8*E61*D61*R$11 + 0.5*E61*D61*R$11 + J61*R$11</f>
        <v>0</v>
      </c>
      <c r="N61" s="7" t="e">
        <f t="shared" ref="N61" si="52">M61/(K61+L61)</f>
        <v>#DIV/0!</v>
      </c>
    </row>
    <row r="62" spans="1:14" x14ac:dyDescent="0.25">
      <c r="A62" s="5"/>
      <c r="B62" s="9"/>
      <c r="C62" s="9"/>
      <c r="D62" s="5"/>
      <c r="E62" s="5"/>
      <c r="F62" s="5"/>
      <c r="G62" s="5"/>
      <c r="H62" s="5"/>
      <c r="I62" s="5">
        <f t="shared" si="28"/>
        <v>0</v>
      </c>
      <c r="J62" s="5">
        <f t="shared" si="29"/>
        <v>0</v>
      </c>
      <c r="K62" s="5">
        <v>0</v>
      </c>
      <c r="L62" s="5">
        <v>0</v>
      </c>
      <c r="M62" s="6">
        <f t="shared" si="30"/>
        <v>0</v>
      </c>
      <c r="N62" s="7" t="e">
        <f t="shared" si="31"/>
        <v>#DIV/0!</v>
      </c>
    </row>
    <row r="63" spans="1:14" x14ac:dyDescent="0.25">
      <c r="M63" s="4" t="s">
        <v>33</v>
      </c>
    </row>
    <row r="64" spans="1:14" x14ac:dyDescent="0.25">
      <c r="K64" s="8">
        <f>SUM(K2:K62)</f>
        <v>613</v>
      </c>
      <c r="M64" s="6">
        <f>SUM(M2:M62)</f>
        <v>1392520.7237500001</v>
      </c>
    </row>
    <row r="68" spans="10:10" x14ac:dyDescent="0.25">
      <c r="J68" s="10"/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Cesar da Silva Alvares</dc:creator>
  <cp:lastModifiedBy>Pedro Cesar da Silva Alvares</cp:lastModifiedBy>
  <dcterms:created xsi:type="dcterms:W3CDTF">2018-12-20T14:34:41Z</dcterms:created>
  <dcterms:modified xsi:type="dcterms:W3CDTF">2020-06-19T21:35:25Z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{DFBA3954-4371-4B03-8881-A1704450DFF6}</vt:lpwstr>
  </property>
  <property fmtid="{D5CDD505-2E9C-101B-9397-08002B2CF9AE}" pid="3" name="DLPManualFileClassificationLastModifiedBy">
    <vt:lpwstr>CORPCAIXA\c106315</vt:lpwstr>
  </property>
  <property fmtid="{D5CDD505-2E9C-101B-9397-08002B2CF9AE}" pid="4" name="DLPManualFileClassificationLastModificationDate">
    <vt:lpwstr>1568134016</vt:lpwstr>
  </property>
  <property fmtid="{D5CDD505-2E9C-101B-9397-08002B2CF9AE}" pid="5" name="DLPManualFileClassificationVersion">
    <vt:lpwstr>11.2.0.14</vt:lpwstr>
  </property>
  <property fmtid="{D5CDD505-2E9C-101B-9397-08002B2CF9AE}" pid="6" name="MSIP_Label_218ac7aa-230a-49d4-af43-c1ab71d0c293_Enabled">
    <vt:lpwstr>True</vt:lpwstr>
  </property>
  <property fmtid="{D5CDD505-2E9C-101B-9397-08002B2CF9AE}" pid="7" name="MSIP_Label_218ac7aa-230a-49d4-af43-c1ab71d0c293_SiteId">
    <vt:lpwstr>ab9bba98-684a-43fb-add8-9c2bebede229</vt:lpwstr>
  </property>
  <property fmtid="{D5CDD505-2E9C-101B-9397-08002B2CF9AE}" pid="8" name="MSIP_Label_218ac7aa-230a-49d4-af43-c1ab71d0c293_Owner">
    <vt:lpwstr>c106315@corp.caixa.gov.br</vt:lpwstr>
  </property>
  <property fmtid="{D5CDD505-2E9C-101B-9397-08002B2CF9AE}" pid="9" name="MSIP_Label_218ac7aa-230a-49d4-af43-c1ab71d0c293_SetDate">
    <vt:lpwstr>2019-12-13T13:42:07.1914057Z</vt:lpwstr>
  </property>
  <property fmtid="{D5CDD505-2E9C-101B-9397-08002B2CF9AE}" pid="10" name="MSIP_Label_218ac7aa-230a-49d4-af43-c1ab71d0c293_Name">
    <vt:lpwstr>#CONFIDENCIAL</vt:lpwstr>
  </property>
  <property fmtid="{D5CDD505-2E9C-101B-9397-08002B2CF9AE}" pid="11" name="MSIP_Label_218ac7aa-230a-49d4-af43-c1ab71d0c293_Application">
    <vt:lpwstr>Microsoft Azure Information Protection</vt:lpwstr>
  </property>
  <property fmtid="{D5CDD505-2E9C-101B-9397-08002B2CF9AE}" pid="12" name="MSIP_Label_218ac7aa-230a-49d4-af43-c1ab71d0c293_ActionId">
    <vt:lpwstr>c5e38cdc-7041-48e7-8828-5d2cc6e81918</vt:lpwstr>
  </property>
  <property fmtid="{D5CDD505-2E9C-101B-9397-08002B2CF9AE}" pid="13" name="MSIP_Label_218ac7aa-230a-49d4-af43-c1ab71d0c293_Extended_MSFT_Method">
    <vt:lpwstr>Manual</vt:lpwstr>
  </property>
  <property fmtid="{D5CDD505-2E9C-101B-9397-08002B2CF9AE}" pid="14" name="MSIP_Label_87015ab6-ce86-4f0b-bcff-81aa84fd9c90_Enabled">
    <vt:lpwstr>True</vt:lpwstr>
  </property>
  <property fmtid="{D5CDD505-2E9C-101B-9397-08002B2CF9AE}" pid="15" name="MSIP_Label_87015ab6-ce86-4f0b-bcff-81aa84fd9c90_SiteId">
    <vt:lpwstr>ab9bba98-684a-43fb-add8-9c2bebede229</vt:lpwstr>
  </property>
  <property fmtid="{D5CDD505-2E9C-101B-9397-08002B2CF9AE}" pid="16" name="MSIP_Label_87015ab6-ce86-4f0b-bcff-81aa84fd9c90_Owner">
    <vt:lpwstr>c106315@corp.caixa.gov.br</vt:lpwstr>
  </property>
  <property fmtid="{D5CDD505-2E9C-101B-9397-08002B2CF9AE}" pid="17" name="MSIP_Label_87015ab6-ce86-4f0b-bcff-81aa84fd9c90_SetDate">
    <vt:lpwstr>2019-12-13T13:42:07.1914057Z</vt:lpwstr>
  </property>
  <property fmtid="{D5CDD505-2E9C-101B-9397-08002B2CF9AE}" pid="18" name="MSIP_Label_87015ab6-ce86-4f0b-bcff-81aa84fd9c90_Name">
    <vt:lpwstr>#CONFIDENCIAL 10</vt:lpwstr>
  </property>
  <property fmtid="{D5CDD505-2E9C-101B-9397-08002B2CF9AE}" pid="19" name="MSIP_Label_87015ab6-ce86-4f0b-bcff-81aa84fd9c90_Application">
    <vt:lpwstr>Microsoft Azure Information Protection</vt:lpwstr>
  </property>
  <property fmtid="{D5CDD505-2E9C-101B-9397-08002B2CF9AE}" pid="20" name="MSIP_Label_87015ab6-ce86-4f0b-bcff-81aa84fd9c90_ActionId">
    <vt:lpwstr>c5e38cdc-7041-48e7-8828-5d2cc6e81918</vt:lpwstr>
  </property>
  <property fmtid="{D5CDD505-2E9C-101B-9397-08002B2CF9AE}" pid="21" name="MSIP_Label_87015ab6-ce86-4f0b-bcff-81aa84fd9c90_Parent">
    <vt:lpwstr>218ac7aa-230a-49d4-af43-c1ab71d0c293</vt:lpwstr>
  </property>
  <property fmtid="{D5CDD505-2E9C-101B-9397-08002B2CF9AE}" pid="22" name="MSIP_Label_87015ab6-ce86-4f0b-bcff-81aa84fd9c90_Extended_MSFT_Method">
    <vt:lpwstr>Manual</vt:lpwstr>
  </property>
  <property fmtid="{D5CDD505-2E9C-101B-9397-08002B2CF9AE}" pid="23" name="Sensitivity">
    <vt:lpwstr>#CONFIDENCIAL #CONFIDENCIAL 10</vt:lpwstr>
  </property>
</Properties>
</file>