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rtazawani/Desktop/"/>
    </mc:Choice>
  </mc:AlternateContent>
  <xr:revisionPtr revIDLastSave="0" documentId="13_ncr:1_{4375B905-187B-194C-82C5-9D437A0B0D3F}" xr6:coauthVersionLast="47" xr6:coauthVersionMax="47" xr10:uidLastSave="{00000000-0000-0000-0000-000000000000}"/>
  <bookViews>
    <workbookView xWindow="0" yWindow="740" windowWidth="29400" windowHeight="17000" tabRatio="727" activeTab="2" xr2:uid="{00000000-000D-0000-FFFF-FFFF00000000}"/>
  </bookViews>
  <sheets>
    <sheet name="Cover" sheetId="25" r:id="rId1"/>
    <sheet name="Summary" sheetId="21" r:id="rId2"/>
    <sheet name="Assumptions" sheetId="2" r:id="rId3"/>
    <sheet name="Scenarios" sheetId="7" r:id="rId4"/>
    <sheet name="Model" sheetId="6" r:id="rId5"/>
    <sheet name="Valuations" sheetId="24" r:id="rId6"/>
  </sheets>
  <definedNames>
    <definedName name="_xlnm.Print_Area" localSheetId="2">Assumptions!$B$1:$O$44,Assumptions!$B$46:$O$81</definedName>
    <definedName name="_xlnm.Print_Area" localSheetId="0">Cover!$A$1:$H$21</definedName>
    <definedName name="_xlnm.Print_Area" localSheetId="4">Model!$B$1:$O$40,Model!$B$42:$O$71,Model!$B$73:$O$116,Model!$B$118:$O$161,Model!$B$163:$O$209,Model!$B$214:$O$232,Model!$B$234:$O$255,Model!$B$257:$O$277,Model!$B$279:$O$311,Model!$B$313:$O$331,Model!$B$333:$O$378,Model!$B$380:$O$404</definedName>
    <definedName name="_xlnm.Print_Area" localSheetId="3">Scenarios!$A$1:$K$43,Scenarios!$A$45:$K$56</definedName>
    <definedName name="_xlnm.Print_Area" localSheetId="1">Summary!$B$1:$Q$66</definedName>
    <definedName name="_xlnm.Print_Area" localSheetId="5">Valuations!$B$2:$O$39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1" l="1"/>
  <c r="F244" i="6"/>
  <c r="F243" i="6"/>
  <c r="F242" i="6"/>
  <c r="B1" i="2"/>
  <c r="I27" i="24"/>
  <c r="I26" i="24"/>
  <c r="G11" i="24"/>
  <c r="E263" i="6"/>
  <c r="J33" i="24"/>
  <c r="G51" i="7" a="1"/>
  <c r="G51" i="7" s="1"/>
  <c r="G39" i="7"/>
  <c r="H33" i="7"/>
  <c r="I33" i="7"/>
  <c r="J33" i="7"/>
  <c r="K33" i="7"/>
  <c r="G33" i="7"/>
  <c r="H27" i="7"/>
  <c r="I27" i="7"/>
  <c r="J27" i="7"/>
  <c r="K27" i="7"/>
  <c r="G27" i="7"/>
  <c r="G21" i="7"/>
  <c r="H21" i="7"/>
  <c r="I21" i="7"/>
  <c r="J21" i="7"/>
  <c r="K21" i="7"/>
  <c r="G12" i="7"/>
  <c r="H12" i="7"/>
  <c r="I12" i="7"/>
  <c r="J12" i="7"/>
  <c r="K12" i="7"/>
  <c r="L191" i="6" l="1"/>
  <c r="M191" i="6"/>
  <c r="N191" i="6"/>
  <c r="O191" i="6"/>
  <c r="K191" i="6"/>
  <c r="L188" i="6"/>
  <c r="M188" i="6"/>
  <c r="N188" i="6"/>
  <c r="O188" i="6"/>
  <c r="K188" i="6"/>
  <c r="L401" i="6"/>
  <c r="M401" i="6"/>
  <c r="N401" i="6"/>
  <c r="O401" i="6"/>
  <c r="K401" i="6" l="1"/>
  <c r="I107" i="6"/>
  <c r="J107" i="6"/>
  <c r="H107" i="6"/>
  <c r="L274" i="6"/>
  <c r="M274" i="6"/>
  <c r="N274" i="6"/>
  <c r="O274" i="6"/>
  <c r="K274" i="6"/>
  <c r="L143" i="6"/>
  <c r="M143" i="6"/>
  <c r="N143" i="6"/>
  <c r="O143" i="6"/>
  <c r="K143" i="6"/>
  <c r="J391" i="6" l="1"/>
  <c r="J345" i="6"/>
  <c r="K370" i="6"/>
  <c r="J371" i="6"/>
  <c r="K132" i="6"/>
  <c r="K149" i="6"/>
  <c r="K353" i="6" s="1"/>
  <c r="K156" i="6" l="1"/>
  <c r="L156" i="6" s="1"/>
  <c r="L356" i="6" s="1"/>
  <c r="K153" i="6"/>
  <c r="L153" i="6" s="1"/>
  <c r="M153" i="6" s="1"/>
  <c r="M355" i="6" s="1"/>
  <c r="K150" i="6"/>
  <c r="K400" i="6" s="1"/>
  <c r="J403" i="6"/>
  <c r="K398" i="6" s="1"/>
  <c r="K179" i="6"/>
  <c r="L179" i="6" s="1"/>
  <c r="M179" i="6" s="1"/>
  <c r="N179" i="6" s="1"/>
  <c r="O179" i="6" s="1"/>
  <c r="L299" i="6"/>
  <c r="M299" i="6"/>
  <c r="N299" i="6"/>
  <c r="O299" i="6"/>
  <c r="K299" i="6"/>
  <c r="J307" i="6"/>
  <c r="I307" i="6"/>
  <c r="K296" i="6"/>
  <c r="I304" i="6"/>
  <c r="L132" i="6"/>
  <c r="J363" i="6"/>
  <c r="K343" i="6"/>
  <c r="J248" i="6"/>
  <c r="K250" i="6" s="1"/>
  <c r="K139" i="6" s="1"/>
  <c r="J254" i="6"/>
  <c r="K246" i="6" s="1"/>
  <c r="K325" i="6"/>
  <c r="K330" i="6" s="1"/>
  <c r="K324" i="6"/>
  <c r="K225" i="6"/>
  <c r="K226" i="6" s="1"/>
  <c r="J154" i="6"/>
  <c r="I154" i="6"/>
  <c r="H154" i="6"/>
  <c r="J144" i="6"/>
  <c r="I144" i="6"/>
  <c r="H144" i="6"/>
  <c r="J135" i="6"/>
  <c r="I135" i="6"/>
  <c r="H135" i="6"/>
  <c r="L298" i="6"/>
  <c r="M298" i="6"/>
  <c r="N298" i="6"/>
  <c r="O298" i="6"/>
  <c r="L296" i="6"/>
  <c r="M296" i="6"/>
  <c r="N296" i="6"/>
  <c r="O296" i="6"/>
  <c r="L295" i="6"/>
  <c r="M295" i="6"/>
  <c r="N295" i="6"/>
  <c r="O295" i="6"/>
  <c r="K295" i="6"/>
  <c r="K297" i="6"/>
  <c r="K298" i="6"/>
  <c r="L294" i="6"/>
  <c r="M294" i="6"/>
  <c r="N294" i="6"/>
  <c r="O294" i="6"/>
  <c r="K294" i="6"/>
  <c r="I303" i="6"/>
  <c r="J194" i="6"/>
  <c r="I194" i="6"/>
  <c r="J306" i="6"/>
  <c r="I306" i="6"/>
  <c r="J305" i="6"/>
  <c r="I305" i="6"/>
  <c r="J304" i="6"/>
  <c r="J303" i="6"/>
  <c r="J302" i="6"/>
  <c r="I302" i="6"/>
  <c r="J207" i="6"/>
  <c r="I207" i="6"/>
  <c r="J199" i="6"/>
  <c r="I199" i="6"/>
  <c r="J183" i="6"/>
  <c r="I183" i="6"/>
  <c r="J176" i="6"/>
  <c r="I176" i="6"/>
  <c r="J291" i="6"/>
  <c r="I291" i="6"/>
  <c r="L97" i="6"/>
  <c r="M97" i="6"/>
  <c r="N97" i="6"/>
  <c r="O97" i="6"/>
  <c r="K97" i="6"/>
  <c r="K127" i="6" l="1"/>
  <c r="J16" i="24"/>
  <c r="K329" i="6"/>
  <c r="L324" i="6" s="1"/>
  <c r="J17" i="24"/>
  <c r="L150" i="6"/>
  <c r="L400" i="6" s="1"/>
  <c r="K196" i="6"/>
  <c r="L370" i="6"/>
  <c r="L149" i="6"/>
  <c r="L353" i="6" s="1"/>
  <c r="K356" i="6"/>
  <c r="K354" i="6"/>
  <c r="K355" i="6"/>
  <c r="L355" i="6"/>
  <c r="M156" i="6"/>
  <c r="M356" i="6" s="1"/>
  <c r="N153" i="6"/>
  <c r="K197" i="6"/>
  <c r="K251" i="6"/>
  <c r="K140" i="6" s="1"/>
  <c r="L325" i="6"/>
  <c r="L330" i="6" s="1"/>
  <c r="K181" i="6"/>
  <c r="K327" i="6"/>
  <c r="K130" i="6" s="1"/>
  <c r="H158" i="6"/>
  <c r="H160" i="6" s="1"/>
  <c r="I159" i="6" s="1"/>
  <c r="I158" i="6"/>
  <c r="J158" i="6"/>
  <c r="J308" i="6"/>
  <c r="J185" i="6"/>
  <c r="J201" i="6"/>
  <c r="J209" i="6" s="1"/>
  <c r="I185" i="6"/>
  <c r="I201" i="6"/>
  <c r="I209" i="6" s="1"/>
  <c r="L329" i="6" l="1"/>
  <c r="K17" i="24"/>
  <c r="K180" i="6"/>
  <c r="L354" i="6"/>
  <c r="L196" i="6"/>
  <c r="M370" i="6"/>
  <c r="M149" i="6"/>
  <c r="M353" i="6" s="1"/>
  <c r="M150" i="6"/>
  <c r="M400" i="6" s="1"/>
  <c r="O153" i="6"/>
  <c r="O355" i="6" s="1"/>
  <c r="N355" i="6"/>
  <c r="N156" i="6"/>
  <c r="K252" i="6"/>
  <c r="K141" i="6" s="1"/>
  <c r="M325" i="6"/>
  <c r="M330" i="6" s="1"/>
  <c r="L181" i="6"/>
  <c r="L327" i="6"/>
  <c r="L130" i="6" s="1"/>
  <c r="J211" i="6"/>
  <c r="I160" i="6"/>
  <c r="J159" i="6" s="1"/>
  <c r="J160" i="6" s="1"/>
  <c r="K159" i="6" s="1"/>
  <c r="I211" i="6"/>
  <c r="L180" i="6" l="1"/>
  <c r="M324" i="6"/>
  <c r="M196" i="6"/>
  <c r="N150" i="6"/>
  <c r="N400" i="6" s="1"/>
  <c r="M354" i="6"/>
  <c r="N370" i="6"/>
  <c r="N149" i="6"/>
  <c r="N353" i="6" s="1"/>
  <c r="O156" i="6"/>
  <c r="O356" i="6" s="1"/>
  <c r="N356" i="6"/>
  <c r="K254" i="6"/>
  <c r="M327" i="6"/>
  <c r="M130" i="6" s="1"/>
  <c r="N325" i="6"/>
  <c r="N330" i="6" s="1"/>
  <c r="M181" i="6"/>
  <c r="M329" i="6" l="1"/>
  <c r="L17" i="24"/>
  <c r="O149" i="6"/>
  <c r="O353" i="6" s="1"/>
  <c r="O370" i="6"/>
  <c r="N354" i="6"/>
  <c r="O150" i="6"/>
  <c r="O400" i="6" s="1"/>
  <c r="N196" i="6"/>
  <c r="L246" i="6"/>
  <c r="K172" i="6"/>
  <c r="O325" i="6"/>
  <c r="O330" i="6" s="1"/>
  <c r="O181" i="6" s="1"/>
  <c r="N181" i="6"/>
  <c r="M180" i="6" l="1"/>
  <c r="N324" i="6"/>
  <c r="O354" i="6"/>
  <c r="O196" i="6"/>
  <c r="J70" i="6"/>
  <c r="J67" i="6" s="1"/>
  <c r="F51" i="6"/>
  <c r="J45" i="7"/>
  <c r="N34" i="6" s="1"/>
  <c r="H49" i="7"/>
  <c r="H45" i="7" s="1"/>
  <c r="L34" i="6" s="1"/>
  <c r="I49" i="7"/>
  <c r="I45" i="7" s="1"/>
  <c r="M34" i="6" s="1"/>
  <c r="J49" i="7"/>
  <c r="K49" i="7"/>
  <c r="K45" i="7" s="1"/>
  <c r="O34" i="6" s="1"/>
  <c r="G49" i="7"/>
  <c r="G45" i="7" s="1"/>
  <c r="K34" i="6" s="1"/>
  <c r="H48" i="7"/>
  <c r="I48" i="7"/>
  <c r="J48" i="7"/>
  <c r="K48" i="7"/>
  <c r="G48" i="7"/>
  <c r="J37" i="6"/>
  <c r="J35" i="6"/>
  <c r="J28" i="6"/>
  <c r="J29" i="6"/>
  <c r="J30" i="6"/>
  <c r="J27" i="6"/>
  <c r="J20" i="6"/>
  <c r="J21" i="6"/>
  <c r="J22" i="6"/>
  <c r="J19" i="6"/>
  <c r="I89" i="6"/>
  <c r="J89" i="6"/>
  <c r="Z12" i="21" s="1"/>
  <c r="H89" i="6"/>
  <c r="X12" i="21" s="1"/>
  <c r="J95" i="6"/>
  <c r="I95" i="6"/>
  <c r="H95" i="6"/>
  <c r="K43" i="7"/>
  <c r="K39" i="7" s="1"/>
  <c r="O13" i="6" s="1"/>
  <c r="J43" i="7"/>
  <c r="J39" i="7" s="1"/>
  <c r="N13" i="6" s="1"/>
  <c r="I43" i="7"/>
  <c r="I39" i="7" s="1"/>
  <c r="M13" i="6" s="1"/>
  <c r="H43" i="7"/>
  <c r="H39" i="7" s="1"/>
  <c r="L13" i="6" s="1"/>
  <c r="G43" i="7"/>
  <c r="K42" i="7"/>
  <c r="J42" i="7"/>
  <c r="I42" i="7"/>
  <c r="H42" i="7"/>
  <c r="G42" i="7"/>
  <c r="K13" i="6"/>
  <c r="H37" i="7"/>
  <c r="L12" i="6" s="1"/>
  <c r="I37" i="7"/>
  <c r="M12" i="6" s="1"/>
  <c r="J37" i="7"/>
  <c r="N12" i="6" s="1"/>
  <c r="K37" i="7"/>
  <c r="O12" i="6" s="1"/>
  <c r="G37" i="7"/>
  <c r="K12" i="6" s="1"/>
  <c r="H31" i="7"/>
  <c r="L11" i="6" s="1"/>
  <c r="I31" i="7"/>
  <c r="M11" i="6" s="1"/>
  <c r="J31" i="7"/>
  <c r="N11" i="6" s="1"/>
  <c r="K31" i="7"/>
  <c r="O11" i="6" s="1"/>
  <c r="G31" i="7"/>
  <c r="K11" i="6" s="1"/>
  <c r="H30" i="7"/>
  <c r="I30" i="7"/>
  <c r="J30" i="7"/>
  <c r="K30" i="7"/>
  <c r="G30" i="7"/>
  <c r="H36" i="7"/>
  <c r="I36" i="7"/>
  <c r="J36" i="7"/>
  <c r="K36" i="7"/>
  <c r="G36" i="7"/>
  <c r="K393" i="6"/>
  <c r="L393" i="6" s="1"/>
  <c r="M393" i="6" s="1"/>
  <c r="N393" i="6" s="1"/>
  <c r="O393" i="6" s="1"/>
  <c r="K389" i="6"/>
  <c r="L365" i="6"/>
  <c r="M365" i="6"/>
  <c r="N365" i="6"/>
  <c r="O365" i="6"/>
  <c r="K365" i="6"/>
  <c r="K361" i="6"/>
  <c r="L373" i="6"/>
  <c r="M373" i="6"/>
  <c r="N373" i="6"/>
  <c r="O373" i="6"/>
  <c r="K373" i="6"/>
  <c r="K369" i="6"/>
  <c r="L347" i="6"/>
  <c r="M347" i="6"/>
  <c r="N347" i="6"/>
  <c r="O347" i="6"/>
  <c r="K347" i="6"/>
  <c r="L297" i="6"/>
  <c r="M297" i="6"/>
  <c r="N297" i="6"/>
  <c r="O297" i="6"/>
  <c r="H51" i="7" a="1"/>
  <c r="H51" i="7" s="1"/>
  <c r="L18" i="6" s="1"/>
  <c r="I51" i="7" a="1"/>
  <c r="I51" i="7" s="1"/>
  <c r="M18" i="6" s="1"/>
  <c r="J51" i="7" a="1"/>
  <c r="J51" i="7" s="1"/>
  <c r="N18" i="6" s="1"/>
  <c r="K51" i="7" a="1"/>
  <c r="K51" i="7" s="1"/>
  <c r="O18" i="6" s="1"/>
  <c r="K18" i="6"/>
  <c r="M54" i="6"/>
  <c r="N54" i="6"/>
  <c r="O54" i="6"/>
  <c r="L54" i="6"/>
  <c r="A25" i="7"/>
  <c r="H25" i="7" s="1"/>
  <c r="A24" i="7"/>
  <c r="H24" i="7" s="1"/>
  <c r="B46" i="2"/>
  <c r="J50" i="2"/>
  <c r="K50" i="2" s="1"/>
  <c r="L50" i="2" s="1"/>
  <c r="M50" i="2" s="1"/>
  <c r="N50" i="2" s="1"/>
  <c r="G6" i="7"/>
  <c r="H6" i="7" s="1"/>
  <c r="C14" i="7"/>
  <c r="C53" i="7" s="1"/>
  <c r="C15" i="7"/>
  <c r="C54" i="7" s="1"/>
  <c r="C16" i="7"/>
  <c r="C55" i="7" s="1"/>
  <c r="Y12" i="21" l="1"/>
  <c r="I98" i="6"/>
  <c r="N329" i="6"/>
  <c r="M17" i="24"/>
  <c r="N327" i="6"/>
  <c r="N130" i="6" s="1"/>
  <c r="K94" i="6"/>
  <c r="L94" i="6" s="1"/>
  <c r="M94" i="6" s="1"/>
  <c r="N94" i="6" s="1"/>
  <c r="O94" i="6" s="1"/>
  <c r="K93" i="6"/>
  <c r="K54" i="6"/>
  <c r="B1" i="7"/>
  <c r="B2" i="6" s="1"/>
  <c r="H98" i="6"/>
  <c r="J290" i="6"/>
  <c r="J98" i="6"/>
  <c r="I290" i="6"/>
  <c r="J68" i="6"/>
  <c r="J53" i="6"/>
  <c r="K37" i="6"/>
  <c r="K35" i="6"/>
  <c r="J31" i="6"/>
  <c r="J39" i="6" s="1"/>
  <c r="K19" i="6"/>
  <c r="K22" i="6"/>
  <c r="L22" i="6" s="1"/>
  <c r="M22" i="6" s="1"/>
  <c r="N22" i="6" s="1"/>
  <c r="O22" i="6" s="1"/>
  <c r="O30" i="6" s="1"/>
  <c r="O86" i="6" s="1"/>
  <c r="K21" i="6"/>
  <c r="L21" i="6" s="1"/>
  <c r="M21" i="6" s="1"/>
  <c r="N21" i="6" s="1"/>
  <c r="O21" i="6" s="1"/>
  <c r="O29" i="6" s="1"/>
  <c r="O85" i="6" s="1"/>
  <c r="K20" i="6"/>
  <c r="L20" i="6" s="1"/>
  <c r="M20" i="6" s="1"/>
  <c r="N20" i="6" s="1"/>
  <c r="O20" i="6" s="1"/>
  <c r="O28" i="6" s="1"/>
  <c r="O84" i="6" s="1"/>
  <c r="D268" i="6"/>
  <c r="K374" i="6"/>
  <c r="K348" i="6"/>
  <c r="K366" i="6"/>
  <c r="Y13" i="21"/>
  <c r="I25" i="7"/>
  <c r="M10" i="6" s="1"/>
  <c r="K24" i="7"/>
  <c r="K25" i="7"/>
  <c r="O10" i="6" s="1"/>
  <c r="J25" i="7"/>
  <c r="N10" i="6" s="1"/>
  <c r="G24" i="7"/>
  <c r="J24" i="7"/>
  <c r="L10" i="6"/>
  <c r="I24" i="7"/>
  <c r="G25" i="7"/>
  <c r="K10" i="6" s="1"/>
  <c r="C23" i="7"/>
  <c r="K7" i="6"/>
  <c r="T5" i="21"/>
  <c r="O1" i="6"/>
  <c r="O2" i="24" s="1"/>
  <c r="K371" i="6"/>
  <c r="I308" i="6"/>
  <c r="L7" i="6"/>
  <c r="I6" i="7"/>
  <c r="N180" i="6" l="1"/>
  <c r="O324" i="6"/>
  <c r="B235" i="6"/>
  <c r="B3" i="24"/>
  <c r="L240" i="6"/>
  <c r="K14" i="24"/>
  <c r="L386" i="6"/>
  <c r="K240" i="6"/>
  <c r="J14" i="24"/>
  <c r="K386" i="6"/>
  <c r="J101" i="6"/>
  <c r="J104" i="6" s="1"/>
  <c r="Z16" i="21"/>
  <c r="H101" i="6"/>
  <c r="H104" i="6" s="1"/>
  <c r="H110" i="6" s="1"/>
  <c r="X21" i="21" s="1"/>
  <c r="X16" i="21"/>
  <c r="X17" i="21" s="1"/>
  <c r="I101" i="6"/>
  <c r="I104" i="6" s="1"/>
  <c r="Y16" i="21"/>
  <c r="K68" i="6"/>
  <c r="L68" i="6" s="1"/>
  <c r="M68" i="6" s="1"/>
  <c r="K95" i="6"/>
  <c r="L93" i="6"/>
  <c r="O313" i="6"/>
  <c r="O234" i="6"/>
  <c r="K220" i="6"/>
  <c r="K319" i="6"/>
  <c r="L220" i="6"/>
  <c r="L319" i="6"/>
  <c r="B215" i="6"/>
  <c r="B314" i="6"/>
  <c r="O214" i="6"/>
  <c r="B258" i="6"/>
  <c r="B280" i="6"/>
  <c r="B334" i="6"/>
  <c r="B43" i="6"/>
  <c r="O163" i="6"/>
  <c r="O118" i="6"/>
  <c r="K169" i="6"/>
  <c r="K124" i="6"/>
  <c r="L169" i="6"/>
  <c r="L124" i="6"/>
  <c r="B381" i="6"/>
  <c r="B119" i="6"/>
  <c r="B74" i="6"/>
  <c r="B164" i="6"/>
  <c r="J113" i="6"/>
  <c r="L37" i="6"/>
  <c r="L88" i="6" s="1"/>
  <c r="K88" i="6"/>
  <c r="L35" i="6"/>
  <c r="K87" i="6"/>
  <c r="J62" i="6"/>
  <c r="J81" i="6"/>
  <c r="L19" i="6"/>
  <c r="L27" i="6" s="1"/>
  <c r="L83" i="6" s="1"/>
  <c r="K53" i="6"/>
  <c r="K29" i="6"/>
  <c r="K85" i="6" s="1"/>
  <c r="N30" i="6"/>
  <c r="N86" i="6" s="1"/>
  <c r="L30" i="6"/>
  <c r="L86" i="6" s="1"/>
  <c r="K30" i="6"/>
  <c r="K86" i="6" s="1"/>
  <c r="N29" i="6"/>
  <c r="N85" i="6" s="1"/>
  <c r="N28" i="6"/>
  <c r="N84" i="6" s="1"/>
  <c r="L29" i="6"/>
  <c r="L85" i="6" s="1"/>
  <c r="M28" i="6"/>
  <c r="M84" i="6" s="1"/>
  <c r="L28" i="6"/>
  <c r="L84" i="6" s="1"/>
  <c r="M29" i="6"/>
  <c r="M85" i="6" s="1"/>
  <c r="K27" i="6"/>
  <c r="K83" i="6" s="1"/>
  <c r="M30" i="6"/>
  <c r="M86" i="6" s="1"/>
  <c r="K28" i="6"/>
  <c r="K84" i="6" s="1"/>
  <c r="H113" i="6"/>
  <c r="O73" i="6"/>
  <c r="L48" i="6"/>
  <c r="L79" i="6"/>
  <c r="K79" i="6"/>
  <c r="I113" i="6"/>
  <c r="J310" i="6"/>
  <c r="K377" i="6"/>
  <c r="K103" i="6" s="1"/>
  <c r="Z13" i="21"/>
  <c r="L369" i="6"/>
  <c r="L371" i="6" s="1"/>
  <c r="J7" i="6"/>
  <c r="K285" i="6"/>
  <c r="K339" i="6"/>
  <c r="K263" i="6"/>
  <c r="K48" i="6"/>
  <c r="AA7" i="21"/>
  <c r="K7" i="21" s="1"/>
  <c r="K28" i="21" s="1"/>
  <c r="K49" i="21" s="1"/>
  <c r="O380" i="6"/>
  <c r="O333" i="6"/>
  <c r="O257" i="6"/>
  <c r="O42" i="6"/>
  <c r="O279" i="6"/>
  <c r="AB7" i="21"/>
  <c r="L7" i="21" s="1"/>
  <c r="L28" i="21" s="1"/>
  <c r="L49" i="21" s="1"/>
  <c r="J6" i="7"/>
  <c r="M7" i="6"/>
  <c r="L263" i="6"/>
  <c r="L285" i="6"/>
  <c r="L339" i="6"/>
  <c r="O329" i="6" l="1"/>
  <c r="O180" i="6" s="1"/>
  <c r="N17" i="24"/>
  <c r="O327" i="6"/>
  <c r="O130" i="6" s="1"/>
  <c r="M386" i="6"/>
  <c r="L14" i="24"/>
  <c r="J240" i="6"/>
  <c r="J386" i="6"/>
  <c r="H114" i="6"/>
  <c r="J114" i="6"/>
  <c r="M93" i="6"/>
  <c r="L95" i="6"/>
  <c r="M319" i="6"/>
  <c r="M240" i="6"/>
  <c r="J220" i="6"/>
  <c r="J319" i="6"/>
  <c r="M124" i="6"/>
  <c r="M220" i="6"/>
  <c r="J169" i="6"/>
  <c r="J124" i="6"/>
  <c r="M79" i="6"/>
  <c r="M169" i="6"/>
  <c r="M37" i="6"/>
  <c r="N37" i="6" s="1"/>
  <c r="K89" i="6"/>
  <c r="AA12" i="21" s="1"/>
  <c r="M35" i="6"/>
  <c r="L87" i="6"/>
  <c r="L89" i="6" s="1"/>
  <c r="AB12" i="21" s="1"/>
  <c r="K60" i="6"/>
  <c r="K81" i="6"/>
  <c r="J58" i="6"/>
  <c r="K58" i="6" s="1"/>
  <c r="J60" i="6"/>
  <c r="N68" i="6"/>
  <c r="M19" i="6"/>
  <c r="L53" i="6"/>
  <c r="K31" i="6"/>
  <c r="K39" i="6" s="1"/>
  <c r="L31" i="6"/>
  <c r="L39" i="6" s="1"/>
  <c r="L129" i="6" s="1"/>
  <c r="L390" i="6" s="1"/>
  <c r="J110" i="6"/>
  <c r="L287" i="6"/>
  <c r="J48" i="6"/>
  <c r="J79" i="6"/>
  <c r="I114" i="6"/>
  <c r="I110" i="6"/>
  <c r="Y21" i="21" s="1"/>
  <c r="L374" i="6"/>
  <c r="M369" i="6"/>
  <c r="M374" i="6" s="1"/>
  <c r="X22" i="21"/>
  <c r="Z18" i="21"/>
  <c r="Z17" i="21"/>
  <c r="Y18" i="21"/>
  <c r="Y17" i="21"/>
  <c r="J339" i="6"/>
  <c r="I7" i="6"/>
  <c r="I240" i="6" s="1"/>
  <c r="J285" i="6"/>
  <c r="K287" i="6" s="1"/>
  <c r="Z7" i="21"/>
  <c r="J7" i="21" s="1"/>
  <c r="J28" i="21" s="1"/>
  <c r="J49" i="21" s="1"/>
  <c r="AC7" i="21"/>
  <c r="M7" i="21" s="1"/>
  <c r="M28" i="21" s="1"/>
  <c r="M49" i="21" s="1"/>
  <c r="M339" i="6"/>
  <c r="M263" i="6"/>
  <c r="M48" i="6"/>
  <c r="M285" i="6"/>
  <c r="M287" i="6" s="1"/>
  <c r="K6" i="7"/>
  <c r="N7" i="6"/>
  <c r="N386" i="6" l="1"/>
  <c r="M14" i="24"/>
  <c r="J115" i="6"/>
  <c r="Z21" i="21"/>
  <c r="N93" i="6"/>
  <c r="M95" i="6"/>
  <c r="L182" i="6"/>
  <c r="K182" i="6"/>
  <c r="L131" i="6"/>
  <c r="K129" i="6"/>
  <c r="K390" i="6" s="1"/>
  <c r="K131" i="6"/>
  <c r="K205" i="6" s="1"/>
  <c r="N319" i="6"/>
  <c r="N240" i="6"/>
  <c r="I220" i="6"/>
  <c r="I319" i="6"/>
  <c r="L290" i="6"/>
  <c r="L228" i="6"/>
  <c r="L229" i="6" s="1"/>
  <c r="K18" i="24" s="1"/>
  <c r="K290" i="6"/>
  <c r="K302" i="6" s="1"/>
  <c r="K228" i="6"/>
  <c r="K229" i="6" s="1"/>
  <c r="J18" i="24" s="1"/>
  <c r="N124" i="6"/>
  <c r="N220" i="6"/>
  <c r="I169" i="6"/>
  <c r="I124" i="6"/>
  <c r="N79" i="6"/>
  <c r="N169" i="6"/>
  <c r="M88" i="6"/>
  <c r="N88" i="6"/>
  <c r="O37" i="6"/>
  <c r="O88" i="6" s="1"/>
  <c r="N35" i="6"/>
  <c r="M87" i="6"/>
  <c r="L60" i="6"/>
  <c r="L81" i="6"/>
  <c r="L58" i="6"/>
  <c r="K67" i="6"/>
  <c r="K70" i="6" s="1"/>
  <c r="O68" i="6"/>
  <c r="N19" i="6"/>
  <c r="M53" i="6"/>
  <c r="M27" i="6"/>
  <c r="H7" i="6"/>
  <c r="I79" i="6"/>
  <c r="Y23" i="21"/>
  <c r="Y22" i="21"/>
  <c r="M371" i="6"/>
  <c r="N369" i="6" s="1"/>
  <c r="I285" i="6"/>
  <c r="J287" i="6" s="1"/>
  <c r="I48" i="6"/>
  <c r="Y7" i="21"/>
  <c r="I7" i="21" s="1"/>
  <c r="I28" i="21" s="1"/>
  <c r="I49" i="21" s="1"/>
  <c r="AA13" i="21"/>
  <c r="K62" i="6"/>
  <c r="N339" i="6"/>
  <c r="N263" i="6"/>
  <c r="N48" i="6"/>
  <c r="AD7" i="21"/>
  <c r="N7" i="21" s="1"/>
  <c r="N28" i="21" s="1"/>
  <c r="N49" i="21" s="1"/>
  <c r="N285" i="6"/>
  <c r="N287" i="6" s="1"/>
  <c r="E17" i="2"/>
  <c r="O7" i="6"/>
  <c r="O386" i="6" l="1"/>
  <c r="N14" i="24"/>
  <c r="L142" i="6"/>
  <c r="K142" i="6"/>
  <c r="K144" i="6" s="1"/>
  <c r="K352" i="6" s="1"/>
  <c r="O93" i="6"/>
  <c r="O95" i="6" s="1"/>
  <c r="N95" i="6"/>
  <c r="L205" i="6"/>
  <c r="J299" i="6"/>
  <c r="L273" i="6"/>
  <c r="K273" i="6"/>
  <c r="H319" i="6"/>
  <c r="H240" i="6"/>
  <c r="O319" i="6"/>
  <c r="O240" i="6"/>
  <c r="K231" i="6"/>
  <c r="K178" i="6" s="1"/>
  <c r="O124" i="6"/>
  <c r="O220" i="6"/>
  <c r="H124" i="6"/>
  <c r="H220" i="6"/>
  <c r="K173" i="6"/>
  <c r="J294" i="6"/>
  <c r="J295" i="6"/>
  <c r="J297" i="6"/>
  <c r="J296" i="6"/>
  <c r="J298" i="6"/>
  <c r="O79" i="6"/>
  <c r="O169" i="6"/>
  <c r="H285" i="6"/>
  <c r="I287" i="6" s="1"/>
  <c r="H169" i="6"/>
  <c r="K91" i="6"/>
  <c r="K98" i="6" s="1"/>
  <c r="O35" i="6"/>
  <c r="O87" i="6" s="1"/>
  <c r="N87" i="6"/>
  <c r="M60" i="6"/>
  <c r="M81" i="6"/>
  <c r="M58" i="6"/>
  <c r="L67" i="6"/>
  <c r="L70" i="6" s="1"/>
  <c r="M31" i="6"/>
  <c r="M39" i="6" s="1"/>
  <c r="M83" i="6"/>
  <c r="M89" i="6" s="1"/>
  <c r="AC12" i="21" s="1"/>
  <c r="O19" i="6"/>
  <c r="N53" i="6"/>
  <c r="N81" i="6" s="1"/>
  <c r="N27" i="6"/>
  <c r="H48" i="6"/>
  <c r="X7" i="21"/>
  <c r="H7" i="21" s="1"/>
  <c r="H28" i="21" s="1"/>
  <c r="H49" i="21" s="1"/>
  <c r="H79" i="6"/>
  <c r="N374" i="6"/>
  <c r="N371" i="6"/>
  <c r="Z23" i="21"/>
  <c r="Z22" i="21"/>
  <c r="L302" i="6"/>
  <c r="AB13" i="21"/>
  <c r="L62" i="6"/>
  <c r="O285" i="6"/>
  <c r="O287" i="6" s="1"/>
  <c r="AE7" i="21"/>
  <c r="O7" i="21" s="1"/>
  <c r="O28" i="21" s="1"/>
  <c r="O49" i="21" s="1"/>
  <c r="O263" i="6"/>
  <c r="O48" i="6"/>
  <c r="O339" i="6"/>
  <c r="L107" i="6" l="1"/>
  <c r="L128" i="6"/>
  <c r="K107" i="6"/>
  <c r="K128" i="6"/>
  <c r="K113" i="6"/>
  <c r="AA16" i="21"/>
  <c r="I296" i="6"/>
  <c r="I299" i="6"/>
  <c r="I298" i="6"/>
  <c r="I295" i="6"/>
  <c r="I294" i="6"/>
  <c r="M131" i="6"/>
  <c r="M205" i="6" s="1"/>
  <c r="M129" i="6"/>
  <c r="M390" i="6" s="1"/>
  <c r="M182" i="6"/>
  <c r="AC13" i="21"/>
  <c r="M290" i="6"/>
  <c r="M302" i="6" s="1"/>
  <c r="M228" i="6"/>
  <c r="M229" i="6" s="1"/>
  <c r="L18" i="24" s="1"/>
  <c r="L173" i="6"/>
  <c r="I297" i="6"/>
  <c r="K291" i="6"/>
  <c r="K101" i="6"/>
  <c r="M62" i="6"/>
  <c r="L91" i="6"/>
  <c r="L98" i="6" s="1"/>
  <c r="N58" i="6"/>
  <c r="M67" i="6"/>
  <c r="M70" i="6" s="1"/>
  <c r="N31" i="6"/>
  <c r="N39" i="6" s="1"/>
  <c r="N83" i="6"/>
  <c r="N89" i="6" s="1"/>
  <c r="AD12" i="21" s="1"/>
  <c r="N60" i="6"/>
  <c r="O53" i="6"/>
  <c r="O81" i="6" s="1"/>
  <c r="O27" i="6"/>
  <c r="O369" i="6"/>
  <c r="O371" i="6" s="1"/>
  <c r="J15" i="24" l="1"/>
  <c r="M142" i="6"/>
  <c r="L113" i="6"/>
  <c r="AB16" i="21"/>
  <c r="K104" i="6"/>
  <c r="K266" i="6" s="1"/>
  <c r="K114" i="6"/>
  <c r="N131" i="6"/>
  <c r="N205" i="6" s="1"/>
  <c r="N129" i="6"/>
  <c r="N390" i="6" s="1"/>
  <c r="K307" i="6"/>
  <c r="K193" i="6" s="1"/>
  <c r="K306" i="6"/>
  <c r="K192" i="6" s="1"/>
  <c r="K304" i="6"/>
  <c r="K175" i="6" s="1"/>
  <c r="M273" i="6"/>
  <c r="N182" i="6"/>
  <c r="AD13" i="21"/>
  <c r="N290" i="6"/>
  <c r="N302" i="6" s="1"/>
  <c r="N228" i="6"/>
  <c r="N229" i="6" s="1"/>
  <c r="M18" i="24" s="1"/>
  <c r="M173" i="6"/>
  <c r="K305" i="6"/>
  <c r="K190" i="6" s="1"/>
  <c r="L225" i="6" s="1"/>
  <c r="L226" i="6" s="1"/>
  <c r="K303" i="6"/>
  <c r="N62" i="6"/>
  <c r="L291" i="6"/>
  <c r="L101" i="6"/>
  <c r="K15" i="24" s="1"/>
  <c r="M91" i="6"/>
  <c r="M98" i="6" s="1"/>
  <c r="O58" i="6"/>
  <c r="O67" i="6" s="1"/>
  <c r="O70" i="6" s="1"/>
  <c r="N67" i="6"/>
  <c r="N70" i="6" s="1"/>
  <c r="O31" i="6"/>
  <c r="O39" i="6" s="1"/>
  <c r="O129" i="6" s="1"/>
  <c r="O390" i="6" s="1"/>
  <c r="O83" i="6"/>
  <c r="O89" i="6" s="1"/>
  <c r="AE12" i="21" s="1"/>
  <c r="O60" i="6"/>
  <c r="O374" i="6"/>
  <c r="K16" i="24" l="1"/>
  <c r="N142" i="6"/>
  <c r="L114" i="6"/>
  <c r="M107" i="6"/>
  <c r="M128" i="6"/>
  <c r="M113" i="6"/>
  <c r="AC16" i="21"/>
  <c r="AC17" i="21" s="1"/>
  <c r="K183" i="6"/>
  <c r="K133" i="6"/>
  <c r="L307" i="6"/>
  <c r="L193" i="6" s="1"/>
  <c r="M132" i="6"/>
  <c r="K199" i="6"/>
  <c r="N273" i="6"/>
  <c r="O182" i="6"/>
  <c r="O131" i="6"/>
  <c r="O205" i="6" s="1"/>
  <c r="L231" i="6"/>
  <c r="M225" i="6" s="1"/>
  <c r="L127" i="6"/>
  <c r="O290" i="6"/>
  <c r="O302" i="6" s="1"/>
  <c r="O228" i="6"/>
  <c r="O229" i="6" s="1"/>
  <c r="N18" i="24" s="1"/>
  <c r="L306" i="6"/>
  <c r="L192" i="6" s="1"/>
  <c r="K174" i="6"/>
  <c r="K308" i="6"/>
  <c r="K310" i="6" s="1"/>
  <c r="N173" i="6"/>
  <c r="M291" i="6"/>
  <c r="M101" i="6"/>
  <c r="L15" i="24" s="1"/>
  <c r="O62" i="6"/>
  <c r="AA18" i="21"/>
  <c r="AA17" i="21"/>
  <c r="O91" i="6"/>
  <c r="O291" i="6" s="1"/>
  <c r="N91" i="6"/>
  <c r="N98" i="6" s="1"/>
  <c r="L303" i="6"/>
  <c r="L304" i="6"/>
  <c r="L175" i="6" s="1"/>
  <c r="L305" i="6"/>
  <c r="L190" i="6" s="1"/>
  <c r="AE13" i="21"/>
  <c r="J19" i="24" l="1"/>
  <c r="K134" i="6"/>
  <c r="O142" i="6"/>
  <c r="M114" i="6"/>
  <c r="N107" i="6"/>
  <c r="N128" i="6"/>
  <c r="N113" i="6"/>
  <c r="AD16" i="21"/>
  <c r="AD18" i="21" s="1"/>
  <c r="O98" i="6"/>
  <c r="AE16" i="21" s="1"/>
  <c r="AE17" i="21" s="1"/>
  <c r="L197" i="6"/>
  <c r="L199" i="6" s="1"/>
  <c r="L133" i="6"/>
  <c r="M307" i="6"/>
  <c r="M193" i="6" s="1"/>
  <c r="O307" i="6"/>
  <c r="O193" i="6" s="1"/>
  <c r="O273" i="6"/>
  <c r="L178" i="6"/>
  <c r="L183" i="6" s="1"/>
  <c r="M226" i="6"/>
  <c r="O306" i="6"/>
  <c r="O192" i="6" s="1"/>
  <c r="M304" i="6"/>
  <c r="M175" i="6" s="1"/>
  <c r="M306" i="6"/>
  <c r="M192" i="6" s="1"/>
  <c r="M303" i="6"/>
  <c r="M305" i="6"/>
  <c r="M190" i="6" s="1"/>
  <c r="L174" i="6"/>
  <c r="L308" i="6"/>
  <c r="L310" i="6" s="1"/>
  <c r="O173" i="6"/>
  <c r="N291" i="6"/>
  <c r="N101" i="6"/>
  <c r="M15" i="24" s="1"/>
  <c r="AB18" i="21"/>
  <c r="AB17" i="21"/>
  <c r="AC18" i="21"/>
  <c r="K268" i="6"/>
  <c r="K108" i="6" s="1"/>
  <c r="K106" i="6" s="1"/>
  <c r="O305" i="6"/>
  <c r="O190" i="6" s="1"/>
  <c r="O303" i="6"/>
  <c r="O174" i="6" s="1"/>
  <c r="O304" i="6"/>
  <c r="O175" i="6" s="1"/>
  <c r="J20" i="24" l="1"/>
  <c r="J22" i="24" s="1"/>
  <c r="K19" i="24"/>
  <c r="K20" i="24" s="1"/>
  <c r="L16" i="24"/>
  <c r="L134" i="6"/>
  <c r="N114" i="6"/>
  <c r="O107" i="6"/>
  <c r="O128" i="6"/>
  <c r="O101" i="6"/>
  <c r="N15" i="24" s="1"/>
  <c r="O113" i="6"/>
  <c r="M133" i="6"/>
  <c r="O133" i="6"/>
  <c r="N307" i="6"/>
  <c r="N193" i="6" s="1"/>
  <c r="K272" i="6"/>
  <c r="K275" i="6" s="1"/>
  <c r="M231" i="6"/>
  <c r="N225" i="6" s="1"/>
  <c r="N226" i="6" s="1"/>
  <c r="M127" i="6"/>
  <c r="M174" i="6"/>
  <c r="M308" i="6"/>
  <c r="M310" i="6" s="1"/>
  <c r="L19" i="24" s="1"/>
  <c r="O308" i="6"/>
  <c r="N304" i="6"/>
  <c r="N175" i="6" s="1"/>
  <c r="N306" i="6"/>
  <c r="N192" i="6" s="1"/>
  <c r="N305" i="6"/>
  <c r="N190" i="6" s="1"/>
  <c r="N303" i="6"/>
  <c r="AD17" i="21"/>
  <c r="AE18" i="21"/>
  <c r="L20" i="24" l="1"/>
  <c r="L22" i="24" s="1"/>
  <c r="K22" i="24"/>
  <c r="M16" i="24"/>
  <c r="M134" i="6"/>
  <c r="O114" i="6"/>
  <c r="M197" i="6"/>
  <c r="O132" i="6" s="1"/>
  <c r="N132" i="6"/>
  <c r="N133" i="6"/>
  <c r="K110" i="6"/>
  <c r="M178" i="6"/>
  <c r="M183" i="6" s="1"/>
  <c r="N231" i="6"/>
  <c r="N178" i="6" s="1"/>
  <c r="N183" i="6" s="1"/>
  <c r="N127" i="6"/>
  <c r="N174" i="6"/>
  <c r="N308" i="6"/>
  <c r="N310" i="6" s="1"/>
  <c r="M19" i="24" s="1"/>
  <c r="J34" i="24" l="1"/>
  <c r="J35" i="24" s="1"/>
  <c r="J37" i="24" s="1"/>
  <c r="M20" i="24"/>
  <c r="M22" i="24" s="1"/>
  <c r="AA21" i="21"/>
  <c r="AA23" i="21" s="1"/>
  <c r="N134" i="6"/>
  <c r="K394" i="6"/>
  <c r="K399" i="6" s="1"/>
  <c r="K357" i="6" s="1"/>
  <c r="M199" i="6"/>
  <c r="N197" i="6"/>
  <c r="K126" i="6"/>
  <c r="K135" i="6" s="1"/>
  <c r="O225" i="6"/>
  <c r="O226" i="6" s="1"/>
  <c r="O310" i="6"/>
  <c r="N19" i="24" s="1"/>
  <c r="N16" i="24" l="1"/>
  <c r="AA22" i="21"/>
  <c r="O134" i="6"/>
  <c r="K151" i="6"/>
  <c r="O197" i="6"/>
  <c r="O199" i="6" s="1"/>
  <c r="N199" i="6"/>
  <c r="K395" i="6"/>
  <c r="K351" i="6"/>
  <c r="O231" i="6"/>
  <c r="O178" i="6" s="1"/>
  <c r="O183" i="6" s="1"/>
  <c r="O127" i="6"/>
  <c r="N20" i="24" l="1"/>
  <c r="O20" i="24" s="1"/>
  <c r="O22" i="24" s="1"/>
  <c r="K152" i="6"/>
  <c r="K358" i="6"/>
  <c r="K359" i="6" s="1"/>
  <c r="K402" i="6"/>
  <c r="N22" i="24" l="1"/>
  <c r="I25" i="24" s="1"/>
  <c r="I28" i="24" s="1"/>
  <c r="I30" i="24" s="1"/>
  <c r="K362" i="6"/>
  <c r="K403" i="6"/>
  <c r="K391" i="6"/>
  <c r="K204" i="6" s="1"/>
  <c r="K363" i="6" l="1"/>
  <c r="K189" i="6" s="1"/>
  <c r="K148" i="6"/>
  <c r="L389" i="6"/>
  <c r="L391" i="6" s="1"/>
  <c r="L398" i="6"/>
  <c r="K206" i="6"/>
  <c r="L361" i="6" l="1"/>
  <c r="L366" i="6" s="1"/>
  <c r="M389" i="6"/>
  <c r="L204" i="6"/>
  <c r="K154" i="6"/>
  <c r="K158" i="6" s="1"/>
  <c r="K344" i="6" s="1"/>
  <c r="K194" i="6"/>
  <c r="K201" i="6" s="1"/>
  <c r="M391" i="6" l="1"/>
  <c r="K160" i="6"/>
  <c r="K345" i="6"/>
  <c r="N389" i="6" l="1"/>
  <c r="M204" i="6"/>
  <c r="L343" i="6"/>
  <c r="L348" i="6" s="1"/>
  <c r="L377" i="6" s="1"/>
  <c r="L103" i="6" s="1"/>
  <c r="L104" i="6" s="1"/>
  <c r="K207" i="6"/>
  <c r="L159" i="6"/>
  <c r="K171" i="6"/>
  <c r="K209" i="6" l="1"/>
  <c r="K115" i="6"/>
  <c r="N391" i="6"/>
  <c r="K176" i="6"/>
  <c r="K185" i="6" s="1"/>
  <c r="K248" i="6"/>
  <c r="L250" i="6" s="1"/>
  <c r="L266" i="6"/>
  <c r="K211" i="6" l="1"/>
  <c r="O389" i="6"/>
  <c r="N204" i="6"/>
  <c r="L268" i="6"/>
  <c r="L251" i="6"/>
  <c r="L140" i="6" s="1"/>
  <c r="L139" i="6"/>
  <c r="O391" i="6" l="1"/>
  <c r="O204" i="6" s="1"/>
  <c r="L252" i="6"/>
  <c r="L141" i="6" s="1"/>
  <c r="L144" i="6" s="1"/>
  <c r="L352" i="6" s="1"/>
  <c r="L272" i="6"/>
  <c r="L275" i="6" s="1"/>
  <c r="L108" i="6"/>
  <c r="L110" i="6" l="1"/>
  <c r="L106" i="6"/>
  <c r="L254" i="6"/>
  <c r="L126" i="6" l="1"/>
  <c r="L135" i="6" s="1"/>
  <c r="L351" i="6" s="1"/>
  <c r="AB21" i="21"/>
  <c r="L394" i="6"/>
  <c r="L399" i="6" s="1"/>
  <c r="L172" i="6"/>
  <c r="M246" i="6"/>
  <c r="AB22" i="21" l="1"/>
  <c r="AB23" i="21"/>
  <c r="L395" i="6"/>
  <c r="L358" i="6" s="1"/>
  <c r="L151" i="6"/>
  <c r="L357" i="6"/>
  <c r="L402" i="6" l="1"/>
  <c r="L403" i="6" s="1"/>
  <c r="M398" i="6" s="1"/>
  <c r="L152" i="6"/>
  <c r="L359" i="6"/>
  <c r="L362" i="6" s="1"/>
  <c r="L206" i="6" l="1"/>
  <c r="L363" i="6"/>
  <c r="M361" i="6" s="1"/>
  <c r="M366" i="6" s="1"/>
  <c r="L148" i="6"/>
  <c r="L189" i="6" l="1"/>
  <c r="L154" i="6" s="1"/>
  <c r="L158" i="6" s="1"/>
  <c r="L344" i="6" s="1"/>
  <c r="L345" i="6" s="1"/>
  <c r="L194" i="6" l="1"/>
  <c r="L201" i="6" s="1"/>
  <c r="L160" i="6"/>
  <c r="L171" i="6" s="1"/>
  <c r="M343" i="6"/>
  <c r="M348" i="6" s="1"/>
  <c r="M377" i="6" s="1"/>
  <c r="M103" i="6" s="1"/>
  <c r="M104" i="6" s="1"/>
  <c r="L207" i="6"/>
  <c r="L115" i="6" s="1"/>
  <c r="L209" i="6" l="1"/>
  <c r="M159" i="6"/>
  <c r="M266" i="6"/>
  <c r="L248" i="6"/>
  <c r="M250" i="6" s="1"/>
  <c r="L176" i="6"/>
  <c r="L185" i="6" s="1"/>
  <c r="L211" i="6" l="1"/>
  <c r="M139" i="6"/>
  <c r="M251" i="6"/>
  <c r="M140" i="6" s="1"/>
  <c r="M268" i="6"/>
  <c r="M108" i="6" l="1"/>
  <c r="M272" i="6"/>
  <c r="M275" i="6" s="1"/>
  <c r="M252" i="6"/>
  <c r="M141" i="6" s="1"/>
  <c r="M144" i="6" s="1"/>
  <c r="M352" i="6" s="1"/>
  <c r="M110" i="6" l="1"/>
  <c r="M106" i="6"/>
  <c r="M254" i="6"/>
  <c r="M126" i="6" l="1"/>
  <c r="M135" i="6" s="1"/>
  <c r="M351" i="6" s="1"/>
  <c r="AC21" i="21"/>
  <c r="M394" i="6"/>
  <c r="M395" i="6" s="1"/>
  <c r="M172" i="6"/>
  <c r="N246" i="6"/>
  <c r="AC22" i="21" l="1"/>
  <c r="AC23" i="21"/>
  <c r="M399" i="6"/>
  <c r="M151" i="6" s="1"/>
  <c r="M152" i="6"/>
  <c r="M358" i="6"/>
  <c r="M402" i="6"/>
  <c r="M403" i="6" l="1"/>
  <c r="M206" i="6" s="1"/>
  <c r="M357" i="6"/>
  <c r="M359" i="6" s="1"/>
  <c r="M362" i="6" s="1"/>
  <c r="N398" i="6" l="1"/>
  <c r="M363" i="6"/>
  <c r="M189" i="6" s="1"/>
  <c r="M194" i="6" s="1"/>
  <c r="M201" i="6" s="1"/>
  <c r="M148" i="6"/>
  <c r="N361" i="6" l="1"/>
  <c r="N366" i="6" s="1"/>
  <c r="M154" i="6"/>
  <c r="M158" i="6" s="1"/>
  <c r="M344" i="6" s="1"/>
  <c r="M345" i="6" s="1"/>
  <c r="M160" i="6" l="1"/>
  <c r="M171" i="6" s="1"/>
  <c r="N343" i="6"/>
  <c r="N348" i="6" s="1"/>
  <c r="N377" i="6" s="1"/>
  <c r="N103" i="6" s="1"/>
  <c r="N104" i="6" s="1"/>
  <c r="M207" i="6"/>
  <c r="M209" i="6" l="1"/>
  <c r="M115" i="6"/>
  <c r="N159" i="6"/>
  <c r="M248" i="6"/>
  <c r="N250" i="6" s="1"/>
  <c r="M176" i="6"/>
  <c r="M185" i="6" s="1"/>
  <c r="N266" i="6"/>
  <c r="M211" i="6" l="1"/>
  <c r="N139" i="6"/>
  <c r="N251" i="6"/>
  <c r="N140" i="6" s="1"/>
  <c r="N268" i="6"/>
  <c r="N252" i="6" l="1"/>
  <c r="N141" i="6" s="1"/>
  <c r="N144" i="6" s="1"/>
  <c r="N352" i="6" s="1"/>
  <c r="N108" i="6"/>
  <c r="N272" i="6"/>
  <c r="N275" i="6" s="1"/>
  <c r="N110" i="6" l="1"/>
  <c r="N106" i="6"/>
  <c r="N254" i="6"/>
  <c r="N172" i="6" s="1"/>
  <c r="N126" i="6" l="1"/>
  <c r="N135" i="6" s="1"/>
  <c r="N351" i="6" s="1"/>
  <c r="AD21" i="21"/>
  <c r="N394" i="6"/>
  <c r="N395" i="6" s="1"/>
  <c r="O246" i="6"/>
  <c r="AD22" i="21" l="1"/>
  <c r="AD23" i="21"/>
  <c r="N399" i="6"/>
  <c r="N151" i="6" s="1"/>
  <c r="N358" i="6"/>
  <c r="N152" i="6"/>
  <c r="N402" i="6"/>
  <c r="N403" i="6" l="1"/>
  <c r="N206" i="6" s="1"/>
  <c r="N357" i="6"/>
  <c r="N359" i="6" s="1"/>
  <c r="N362" i="6" s="1"/>
  <c r="O398" i="6" l="1"/>
  <c r="N363" i="6"/>
  <c r="N189" i="6" s="1"/>
  <c r="N148" i="6"/>
  <c r="N154" i="6" l="1"/>
  <c r="N158" i="6" s="1"/>
  <c r="N344" i="6" s="1"/>
  <c r="N345" i="6" s="1"/>
  <c r="O361" i="6"/>
  <c r="O366" i="6" s="1"/>
  <c r="N194" i="6"/>
  <c r="N201" i="6" s="1"/>
  <c r="N160" i="6" l="1"/>
  <c r="O159" i="6" s="1"/>
  <c r="O343" i="6"/>
  <c r="O348" i="6" s="1"/>
  <c r="O377" i="6" s="1"/>
  <c r="O103" i="6" s="1"/>
  <c r="O104" i="6" s="1"/>
  <c r="N207" i="6"/>
  <c r="N209" i="6" l="1"/>
  <c r="N115" i="6"/>
  <c r="N171" i="6"/>
  <c r="N248" i="6" s="1"/>
  <c r="O250" i="6" s="1"/>
  <c r="O266" i="6"/>
  <c r="N176" i="6" l="1"/>
  <c r="N185" i="6" s="1"/>
  <c r="N211" i="6" s="1"/>
  <c r="O139" i="6"/>
  <c r="O251" i="6"/>
  <c r="O140" i="6" s="1"/>
  <c r="O268" i="6"/>
  <c r="O272" i="6" l="1"/>
  <c r="O275" i="6" s="1"/>
  <c r="O108" i="6"/>
  <c r="O252" i="6"/>
  <c r="O141" i="6" s="1"/>
  <c r="O144" i="6" s="1"/>
  <c r="O352" i="6" s="1"/>
  <c r="O110" i="6" l="1"/>
  <c r="O106" i="6"/>
  <c r="O254" i="6"/>
  <c r="O126" i="6" l="1"/>
  <c r="O135" i="6" s="1"/>
  <c r="O351" i="6" s="1"/>
  <c r="AE21" i="21"/>
  <c r="O394" i="6"/>
  <c r="O399" i="6" s="1"/>
  <c r="O172" i="6"/>
  <c r="AE22" i="21" l="1"/>
  <c r="AE23" i="21"/>
  <c r="O395" i="6"/>
  <c r="O402" i="6" s="1"/>
  <c r="O403" i="6" s="1"/>
  <c r="O206" i="6" s="1"/>
  <c r="O151" i="6"/>
  <c r="O357" i="6"/>
  <c r="O358" i="6" l="1"/>
  <c r="O359" i="6" s="1"/>
  <c r="O362" i="6" s="1"/>
  <c r="O152" i="6"/>
  <c r="O363" i="6" l="1"/>
  <c r="O189" i="6" s="1"/>
  <c r="O194" i="6" s="1"/>
  <c r="O201" i="6" s="1"/>
  <c r="O148" i="6"/>
  <c r="O154" i="6" s="1"/>
  <c r="O158" i="6" s="1"/>
  <c r="O344" i="6" s="1"/>
  <c r="O345" i="6" s="1"/>
  <c r="O207" i="6" s="1"/>
  <c r="O115" i="6" s="1"/>
  <c r="O209" i="6" l="1"/>
  <c r="O160" i="6"/>
  <c r="O171" i="6" s="1"/>
  <c r="O248" i="6" s="1"/>
  <c r="O176" i="6" l="1"/>
  <c r="O185" i="6" s="1"/>
  <c r="O21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Murtaza Wani</author>
  </authors>
  <commentList>
    <comment ref="N63" authorId="0" shapeId="0" xr:uid="{B3F2FE35-FF96-42EA-AAC9-994065463B16}">
      <text>
        <r>
          <rPr>
            <b/>
            <sz val="9"/>
            <color indexed="81"/>
            <rFont val="Tahoma"/>
            <family val="2"/>
          </rPr>
          <t>Murtaza Wani:</t>
        </r>
        <r>
          <rPr>
            <sz val="9"/>
            <color indexed="81"/>
            <rFont val="Tahoma"/>
            <family val="2"/>
          </rPr>
          <t xml:space="preserve">
Company has given a detailed breakdown of long-term debt maturities
</t>
        </r>
      </text>
    </comment>
    <comment ref="N65" authorId="0" shapeId="0" xr:uid="{6B0635AB-FC2E-4721-8ACE-E15BAA546537}">
      <text>
        <r>
          <rPr>
            <b/>
            <sz val="9"/>
            <color indexed="81"/>
            <rFont val="Tahoma"/>
            <family val="2"/>
          </rPr>
          <t>Murtaza Wani:</t>
        </r>
        <r>
          <rPr>
            <sz val="9"/>
            <color indexed="81"/>
            <rFont val="Tahoma"/>
            <family val="2"/>
          </rPr>
          <t xml:space="preserve">
Full disclosure on Note 17--Leases on the 10-K
</t>
        </r>
      </text>
    </comment>
    <comment ref="J69" authorId="0" shapeId="0" xr:uid="{E162E5AC-3DA2-4772-8411-E9A57653A09D}">
      <text>
        <r>
          <rPr>
            <b/>
            <sz val="9"/>
            <color indexed="81"/>
            <rFont val="Tahoma"/>
            <family val="2"/>
          </rPr>
          <t>Murtaza Wani:</t>
        </r>
        <r>
          <rPr>
            <sz val="9"/>
            <color indexed="81"/>
            <rFont val="Tahoma"/>
            <family val="2"/>
          </rPr>
          <t xml:space="preserve">
9 Billion share buyback indicated in management plan for 2025 and 2026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Murtaza Wani</author>
  </authors>
  <commentList>
    <comment ref="F222" authorId="0" shapeId="0" xr:uid="{E5CD1E8F-0D0B-452D-B881-632611B8BEA3}">
      <text>
        <r>
          <rPr>
            <b/>
            <sz val="9"/>
            <color indexed="81"/>
            <rFont val="Tahoma"/>
            <family val="2"/>
          </rPr>
          <t>Murtaza Wani:</t>
        </r>
        <r>
          <rPr>
            <sz val="9"/>
            <color indexed="81"/>
            <rFont val="Tahoma"/>
            <family val="2"/>
          </rPr>
          <t xml:space="preserve">
CAPEX is 199 Mil for 2024</t>
        </r>
      </text>
    </comment>
    <comment ref="F223" authorId="0" shapeId="0" xr:uid="{41B036B0-5DFE-4FCF-B752-F45292BE33BA}">
      <text>
        <r>
          <rPr>
            <b/>
            <sz val="9"/>
            <color indexed="81"/>
            <rFont val="Tahoma"/>
            <family val="2"/>
          </rPr>
          <t>Murtaza Wani:</t>
        </r>
        <r>
          <rPr>
            <sz val="9"/>
            <color indexed="81"/>
            <rFont val="Tahoma"/>
            <family val="2"/>
          </rPr>
          <t xml:space="preserve">
DEP for 2024 was 280 Mil which is 280/5081 percent of Beg PP&amp;E</t>
        </r>
      </text>
    </comment>
    <comment ref="E263" authorId="0" shapeId="0" xr:uid="{B12AE04D-50D7-42BE-AD47-35BF902659DA}">
      <text>
        <r>
          <rPr>
            <b/>
            <sz val="9"/>
            <color indexed="81"/>
            <rFont val="Tahoma"/>
            <family val="2"/>
          </rPr>
          <t>Murtaza Wani:</t>
        </r>
        <r>
          <rPr>
            <sz val="9"/>
            <color indexed="81"/>
            <rFont val="Tahoma"/>
            <family val="2"/>
          </rPr>
          <t xml:space="preserve">
Looks it's going to be flat at this rate from Management discussion on page 37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<sst xmlns="http://schemas.openxmlformats.org/spreadsheetml/2006/main" count="490" uniqueCount="265">
  <si>
    <t>Pricing Case</t>
  </si>
  <si>
    <t>Pricing</t>
  </si>
  <si>
    <t>Projected</t>
  </si>
  <si>
    <t>Net Revenue</t>
  </si>
  <si>
    <t>Cost of Sales</t>
  </si>
  <si>
    <t>EBITDA</t>
  </si>
  <si>
    <t>EBIT</t>
  </si>
  <si>
    <t>Net Income</t>
  </si>
  <si>
    <t>Operating Activities</t>
  </si>
  <si>
    <t>Other</t>
  </si>
  <si>
    <t>Operating Cash Flow</t>
  </si>
  <si>
    <t>ASSETS</t>
  </si>
  <si>
    <t>Cash</t>
  </si>
  <si>
    <t>Accounts Receivable</t>
  </si>
  <si>
    <t>Inventory</t>
  </si>
  <si>
    <t>Total Current Assets</t>
  </si>
  <si>
    <t>Net PP&amp;E</t>
  </si>
  <si>
    <t>Total Assets</t>
  </si>
  <si>
    <t>LIABILITIES AND EQUITY</t>
  </si>
  <si>
    <t>Accounts Payable</t>
  </si>
  <si>
    <t>Total Current Liabilities</t>
  </si>
  <si>
    <t>Total Long Term Liabilities</t>
  </si>
  <si>
    <t>Total Liabilities</t>
  </si>
  <si>
    <t>Shareholder's Equity</t>
  </si>
  <si>
    <t>Total Liabilities and Equity</t>
  </si>
  <si>
    <t>Check</t>
  </si>
  <si>
    <t>Days In</t>
  </si>
  <si>
    <t>Inventories</t>
  </si>
  <si>
    <t>Account Balances</t>
  </si>
  <si>
    <t>Net Working Capital</t>
  </si>
  <si>
    <t>A</t>
  </si>
  <si>
    <t>Variable Costs</t>
  </si>
  <si>
    <t>Fixed Costs</t>
  </si>
  <si>
    <t>S,G &amp; A</t>
  </si>
  <si>
    <t>Income Statement</t>
  </si>
  <si>
    <t>Margins</t>
  </si>
  <si>
    <t>EBITDA Margin</t>
  </si>
  <si>
    <t>EBIT Margin</t>
  </si>
  <si>
    <t>Revenue</t>
  </si>
  <si>
    <t>Total Costs</t>
  </si>
  <si>
    <t>Depreciation</t>
  </si>
  <si>
    <t>Cash Flow Statement</t>
  </si>
  <si>
    <t>Income Tax Schedule</t>
  </si>
  <si>
    <t>Working Capital Schedule</t>
  </si>
  <si>
    <t>CAPEX</t>
  </si>
  <si>
    <t>Change in the Cash Position</t>
  </si>
  <si>
    <t>Beginning Cash</t>
  </si>
  <si>
    <t>Ending Cash</t>
  </si>
  <si>
    <t>Base Case</t>
  </si>
  <si>
    <t>Best Case</t>
  </si>
  <si>
    <t>Worst Case</t>
  </si>
  <si>
    <t>(days)</t>
  </si>
  <si>
    <t>Debt and Interest Schedule</t>
  </si>
  <si>
    <t>Amount Outstanding - Beginning</t>
  </si>
  <si>
    <t>Additions / (Repayments)</t>
  </si>
  <si>
    <t>Amount Outstanding - Ending</t>
  </si>
  <si>
    <t>Interest Rate</t>
  </si>
  <si>
    <t>Annual Interest Expense</t>
  </si>
  <si>
    <t>Annual Interest Income</t>
  </si>
  <si>
    <t>Change in Cash</t>
  </si>
  <si>
    <t>Financing Activities</t>
  </si>
  <si>
    <t>Interest Expense</t>
  </si>
  <si>
    <t>Net Interest Expense</t>
  </si>
  <si>
    <t>EBT</t>
  </si>
  <si>
    <t>COSTS PER UNIT</t>
  </si>
  <si>
    <t>The product pricing cases used in the model are as follows:</t>
  </si>
  <si>
    <t>-</t>
  </si>
  <si>
    <t>GENERAL</t>
  </si>
  <si>
    <t>PRODUCT PRICING</t>
  </si>
  <si>
    <t>ECONOMIC SCENARIOS</t>
  </si>
  <si>
    <t>Current Income Taxes</t>
  </si>
  <si>
    <t>Total Income Taxes</t>
  </si>
  <si>
    <t>Tax Rate</t>
  </si>
  <si>
    <t>Total Income Taxes (Same as Accounting Taxes Above)</t>
  </si>
  <si>
    <t>Cost Inflation</t>
  </si>
  <si>
    <t>SCENARIO SWITCH:</t>
  </si>
  <si>
    <t>Revenue Schedule</t>
  </si>
  <si>
    <t>Investing Activities</t>
  </si>
  <si>
    <t>Investing Cash Flow</t>
  </si>
  <si>
    <t>Financing Cash Flow</t>
  </si>
  <si>
    <t>Balance Sheet</t>
  </si>
  <si>
    <t>Days per Year</t>
  </si>
  <si>
    <t>Inputs and Assumptions</t>
  </si>
  <si>
    <t>SALES SCENARIOS</t>
  </si>
  <si>
    <t>Sales Volume Growth</t>
  </si>
  <si>
    <t>(%)</t>
  </si>
  <si>
    <t>Sales Volume</t>
  </si>
  <si>
    <t>Annual Sales Volume</t>
  </si>
  <si>
    <t>Change in Working Capital</t>
  </si>
  <si>
    <t>Shareholders' Equity Schedule</t>
  </si>
  <si>
    <t>Common Shares</t>
  </si>
  <si>
    <t>Dividend Payout Rate</t>
  </si>
  <si>
    <t>Retained Earnings</t>
  </si>
  <si>
    <t>EQUITY</t>
  </si>
  <si>
    <t>Common Dividend Payout Rate</t>
  </si>
  <si>
    <t>Common Stock Issuance / (Buy-back)</t>
  </si>
  <si>
    <t>New Issuance / (Buy-Back)</t>
  </si>
  <si>
    <t>Return on Equity</t>
  </si>
  <si>
    <t>Changes in working capital</t>
  </si>
  <si>
    <t>Dividends</t>
  </si>
  <si>
    <t>FINANCING COMPONENT</t>
  </si>
  <si>
    <t>and sales volume growth</t>
  </si>
  <si>
    <t>FCF After Mandatory Debt Repayment and Dividend</t>
  </si>
  <si>
    <t>Research Forecast</t>
  </si>
  <si>
    <t xml:space="preserve"> </t>
  </si>
  <si>
    <t>Income Statement Items</t>
  </si>
  <si>
    <t>First year of forecast in financial model:</t>
  </si>
  <si>
    <t>MM</t>
  </si>
  <si>
    <t>Deferred Income Taxes</t>
  </si>
  <si>
    <t>SUMMARY VALUES - BASE CASE</t>
  </si>
  <si>
    <t xml:space="preserve">   Growth</t>
  </si>
  <si>
    <t xml:space="preserve">   Margin</t>
  </si>
  <si>
    <t>SUMMARY VALUES - WORST CASE</t>
  </si>
  <si>
    <t>OTHER ASSUMPTIONS</t>
  </si>
  <si>
    <t>Working Capital Days</t>
  </si>
  <si>
    <t>days</t>
  </si>
  <si>
    <t>Investing Activities - Other</t>
  </si>
  <si>
    <t>Prepaid Expenses</t>
  </si>
  <si>
    <t>Three scenarios have been used for Inflation, Product Pricing</t>
  </si>
  <si>
    <t>(MM)</t>
  </si>
  <si>
    <t>($/unit)</t>
  </si>
  <si>
    <t>($ MM)</t>
  </si>
  <si>
    <t>($ Millions)</t>
  </si>
  <si>
    <t xml:space="preserve">Accounting EBT (as is on I/S)   </t>
  </si>
  <si>
    <t>Total Long Term Assets</t>
  </si>
  <si>
    <t>Summary Outputs</t>
  </si>
  <si>
    <t>SUMMARY VALUES - BEST CASE</t>
  </si>
  <si>
    <t>Costs of Production Schedule</t>
  </si>
  <si>
    <t>COSTS IN MILLIONS</t>
  </si>
  <si>
    <t>INTEREST RATES</t>
  </si>
  <si>
    <t>Tax rate assumed in the model:</t>
  </si>
  <si>
    <t>Interest earned on Cash balances:</t>
  </si>
  <si>
    <t>Economic and Sales Scenarios</t>
  </si>
  <si>
    <t>Trend</t>
  </si>
  <si>
    <t>Fixed Assets (PP&amp;E)-Ending</t>
  </si>
  <si>
    <t>Fixed Assets (PP&amp;E)-Beginning</t>
  </si>
  <si>
    <t>Fixed Assets (PP&amp;E) Schedule</t>
  </si>
  <si>
    <t>Footwear ASP - $/Unit</t>
  </si>
  <si>
    <t>Apparel ASP - $/Unit</t>
  </si>
  <si>
    <t>Equipment ASP - $/Unit</t>
  </si>
  <si>
    <t>Converse ASP - $/Unit</t>
  </si>
  <si>
    <t>Footwear ASP</t>
  </si>
  <si>
    <t>Apparel ASP</t>
  </si>
  <si>
    <t>Equipment ASP</t>
  </si>
  <si>
    <t>Converse ASP</t>
  </si>
  <si>
    <t>Sales Volume-Footwear</t>
  </si>
  <si>
    <t>Sales Volume-Apparel</t>
  </si>
  <si>
    <t>Sales Volume-Equipment</t>
  </si>
  <si>
    <t>Sales Volume-Converse</t>
  </si>
  <si>
    <t>(MM's units)</t>
  </si>
  <si>
    <t>Total Revenue</t>
  </si>
  <si>
    <t>Demand creation expense</t>
  </si>
  <si>
    <t>Operation overhead expense</t>
  </si>
  <si>
    <t>Corporate</t>
  </si>
  <si>
    <t>Converse</t>
  </si>
  <si>
    <t>Global Brand Divisions</t>
  </si>
  <si>
    <t>Equipment</t>
  </si>
  <si>
    <t>Apparel</t>
  </si>
  <si>
    <t>Footwear</t>
  </si>
  <si>
    <t>($/MM)</t>
  </si>
  <si>
    <t>Total</t>
  </si>
  <si>
    <t>Revenue-other</t>
  </si>
  <si>
    <t>Global Brand Divisions Growth</t>
  </si>
  <si>
    <t>Global Brand Div growth - %</t>
  </si>
  <si>
    <t>Variable Cost %</t>
  </si>
  <si>
    <t>Fixed Cost %</t>
  </si>
  <si>
    <t>Other (income) expense, net</t>
  </si>
  <si>
    <t>Short-term investments</t>
  </si>
  <si>
    <t>Operating lease right-of-use assets, net</t>
  </si>
  <si>
    <t>Identifiable intangible assets, net</t>
  </si>
  <si>
    <t>Goodwill</t>
  </si>
  <si>
    <t>Deferred income taxes and other assets</t>
  </si>
  <si>
    <t>Current portion of long-term debt</t>
  </si>
  <si>
    <t>Notes payable</t>
  </si>
  <si>
    <t>Accounts payable</t>
  </si>
  <si>
    <t>Current portion of operating lease liabilities</t>
  </si>
  <si>
    <t>Accrued liabilities</t>
  </si>
  <si>
    <t>Income taxes payable</t>
  </si>
  <si>
    <t>Long-term debt</t>
  </si>
  <si>
    <t>Operating lease liabilities</t>
  </si>
  <si>
    <t>Deferred Income Taxes and other liabilities</t>
  </si>
  <si>
    <t>Capital in excess of stated value</t>
  </si>
  <si>
    <t>Accumulated other comprehensive income</t>
  </si>
  <si>
    <t>Stock-based compensation</t>
  </si>
  <si>
    <t>Amortization, impairment and other</t>
  </si>
  <si>
    <t>Net foreign currency adjustments</t>
  </si>
  <si>
    <t>Purchases of short-term investments</t>
  </si>
  <si>
    <t>Maturities of short-term investments</t>
  </si>
  <si>
    <t>Sales of short-term investments</t>
  </si>
  <si>
    <t>CAPEX-Additions to PP&amp;E</t>
  </si>
  <si>
    <t>Increase (decrease) in notes payable, net</t>
  </si>
  <si>
    <t>Repayment of borrowings</t>
  </si>
  <si>
    <t>Proceeds from exercise of stock options and other stock issuances</t>
  </si>
  <si>
    <t>Repurchase of common stock</t>
  </si>
  <si>
    <t>Dividends-common and preferred</t>
  </si>
  <si>
    <t>Other financing activities</t>
  </si>
  <si>
    <t>Effect of exchange rate changes on cash</t>
  </si>
  <si>
    <t>Depreciation(% of beginning PP&amp;E)</t>
  </si>
  <si>
    <t>CAPEX(% of Revenue)</t>
  </si>
  <si>
    <t>Intangibles and Goodwill Schedule</t>
  </si>
  <si>
    <t>Intangibles-Beginning</t>
  </si>
  <si>
    <t>Goodwill-Beginning</t>
  </si>
  <si>
    <t>Intangibles-Ending</t>
  </si>
  <si>
    <t>Goodwill-Ending</t>
  </si>
  <si>
    <t>Impairement-%</t>
  </si>
  <si>
    <t>Amortization-%</t>
  </si>
  <si>
    <t>Short-term investments schedule</t>
  </si>
  <si>
    <t>Short-term investments-Beginning</t>
  </si>
  <si>
    <t>Short-term investments-Ending</t>
  </si>
  <si>
    <t>Sale of short-term investments</t>
  </si>
  <si>
    <t>% cash bought as short-term investments</t>
  </si>
  <si>
    <t>% of short-term investments maturing</t>
  </si>
  <si>
    <t>% of remaining short-term investments sold</t>
  </si>
  <si>
    <t>Stock based compensation</t>
  </si>
  <si>
    <t>% revenue</t>
  </si>
  <si>
    <t>Net foreign currency adjustmetns</t>
  </si>
  <si>
    <t>Long term debt</t>
  </si>
  <si>
    <t>% of revenue</t>
  </si>
  <si>
    <t>Deferred tax asset</t>
  </si>
  <si>
    <t>Increase (Decrease) in Deferred Income Taxes Asset</t>
  </si>
  <si>
    <t>Taxes as appearing on cash flow statement</t>
  </si>
  <si>
    <t>Current portion of op lease liability</t>
  </si>
  <si>
    <t>ROU asset depreciation(straight line)</t>
  </si>
  <si>
    <t>Operating lease ROU assets</t>
  </si>
  <si>
    <t>Operating lease liabilites</t>
  </si>
  <si>
    <t>Operating lease ROU asset</t>
  </si>
  <si>
    <t>Proceeds from the exercise of stock options and other issuances</t>
  </si>
  <si>
    <t>Notes Outstanding - Beginning</t>
  </si>
  <si>
    <t>Notes Outstanding - Ending</t>
  </si>
  <si>
    <t xml:space="preserve"> Capital in Excess of Stated Value</t>
  </si>
  <si>
    <t>Additions-Stock based compensation</t>
  </si>
  <si>
    <t>Dividend</t>
  </si>
  <si>
    <t>Current Tax(cash paid)</t>
  </si>
  <si>
    <t>Decrease (Increase) in Deferred Income Liability</t>
  </si>
  <si>
    <t>Shareholder's equity</t>
  </si>
  <si>
    <t>Share buyback</t>
  </si>
  <si>
    <t>Notes-Credit lines</t>
  </si>
  <si>
    <t>FCF</t>
  </si>
  <si>
    <t>Equity Value</t>
  </si>
  <si>
    <t>Interest rate on Notes payable:</t>
  </si>
  <si>
    <t>Interest rate on Long Term Debt:</t>
  </si>
  <si>
    <t>Amortization</t>
  </si>
  <si>
    <t>Change in working captial</t>
  </si>
  <si>
    <t>WACC</t>
  </si>
  <si>
    <t>Growth rate, g</t>
  </si>
  <si>
    <t>TV_2029</t>
  </si>
  <si>
    <t>Discounted FCF</t>
  </si>
  <si>
    <t>Enterprise Value</t>
  </si>
  <si>
    <t>Debt</t>
  </si>
  <si>
    <t>Valuation-Discounted FCF &amp; P/E Method</t>
  </si>
  <si>
    <t>P/E Multiple</t>
  </si>
  <si>
    <t>Intrinsic Share Price-P/E method</t>
  </si>
  <si>
    <t>Intrinsic Share Price-DCF method</t>
  </si>
  <si>
    <t>Valuation</t>
  </si>
  <si>
    <t>Growth Rate, g</t>
  </si>
  <si>
    <t>To calculate Termial Value</t>
  </si>
  <si>
    <t>Forward Looking</t>
  </si>
  <si>
    <t>For discounting</t>
  </si>
  <si>
    <t>Comments</t>
  </si>
  <si>
    <t>Additional tax assumption in "Other Assumptions" box</t>
  </si>
  <si>
    <t>Weighted avg diluted shares outstanding</t>
  </si>
  <si>
    <t>NIKE</t>
  </si>
  <si>
    <t>Three Statement Financial Model including valuation calculation</t>
  </si>
  <si>
    <t>Stock Price on 28-June-2024</t>
  </si>
  <si>
    <t>Wgtd Avg Diluted Shares O/S (in millions) 31-May-2024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</si>
</sst>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* #,##0.00_);_(* \(#,##0.00\);_(* &quot;-&quot;??_);_(@_)"/>
    <numFmt numFmtId="169" formatCode="_(* #,##0.0_);_(* \(#,##0.0\);_(* &quot;-&quot;??_);_(@_)"/>
    <numFmt numFmtId="170" formatCode="_(* #,##0_);_(* \(#,##0\);_(* &quot;-&quot;??_);_(@_)"/>
    <numFmt numFmtId="171" formatCode="0.0%"/>
    <numFmt numFmtId="172" formatCode="#,##0.0_);\(#,##0.0\)"/>
    <numFmt numFmtId="173" formatCode="&quot;$&quot;#,##0.0_);\(&quot;$&quot;#,##0.0\)"/>
    <numFmt numFmtId="174" formatCode="#,##0.000_);\(#,##0.000\)"/>
    <numFmt numFmtId="175" formatCode="0.0_);\(0.0\)"/>
    <numFmt numFmtId="176" formatCode="0.000_);\(0.000\)"/>
    <numFmt numFmtId="177" formatCode="0\A"/>
    <numFmt numFmtId="178" formatCode="&quot;- EBITDA margin of &quot;0.0%"/>
    <numFmt numFmtId="179" formatCode="&quot;- Opening UCC pool of &quot;&quot;$&quot;#,###.0&quot; million as of January 1, 1999&quot;"/>
    <numFmt numFmtId="180" formatCode="0%;\(0%\)"/>
    <numFmt numFmtId="181" formatCode="0.00\ "/>
    <numFmt numFmtId="182" formatCode="_-* #,##0_-;\-* #,##0_-;_-* &quot;-&quot;??_-;_-@_-"/>
    <numFmt numFmtId="183" formatCode="0_);\(0\)"/>
    <numFmt numFmtId="184" formatCode="0.0%\ ;\(0.0%\)"/>
    <numFmt numFmtId="185" formatCode="\+0%;\(0%\)"/>
    <numFmt numFmtId="186" formatCode="&quot;$&quot;#,##0.0"/>
    <numFmt numFmtId="187" formatCode="0.0\ \x"/>
    <numFmt numFmtId="188" formatCode="#,##0.0000_);\(#,##0.0000\)"/>
    <numFmt numFmtId="189" formatCode="&quot;$&quot;#,##0.000_);\(&quot;$&quot;#,##0.000\)"/>
    <numFmt numFmtId="190" formatCode="0\F"/>
    <numFmt numFmtId="191" formatCode="&quot;$&quot;#,##0.0000_);\(&quot;$&quot;#,##0.0000\)"/>
    <numFmt numFmtId="192" formatCode="0.0%;\(0.0%\)"/>
    <numFmt numFmtId="193" formatCode="0.0"/>
    <numFmt numFmtId="194" formatCode="#,##0;[Red]#,##0"/>
  </numFmts>
  <fonts count="73">
    <font>
      <sz val="10"/>
      <name val="Arial"/>
      <family val="2"/>
    </font>
    <font>
      <sz val="10"/>
      <name val="Book Antiqua"/>
      <family val="1"/>
    </font>
    <font>
      <sz val="10"/>
      <name val="Aldine401 BT"/>
    </font>
    <font>
      <sz val="10"/>
      <name val="Arial"/>
      <family val="2"/>
    </font>
    <font>
      <sz val="11"/>
      <color indexed="12"/>
      <name val="Book Antiqua"/>
      <family val="1"/>
    </font>
    <font>
      <sz val="8"/>
      <name val="Arial"/>
      <family val="2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indexed="12"/>
      <name val="Arial"/>
      <family val="2"/>
    </font>
    <font>
      <b/>
      <sz val="14"/>
      <color indexed="8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sz val="10"/>
      <color indexed="12"/>
      <name val="Arial"/>
      <family val="2"/>
    </font>
    <font>
      <b/>
      <i/>
      <sz val="12"/>
      <name val="Arial"/>
      <family val="2"/>
    </font>
    <font>
      <b/>
      <sz val="11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i/>
      <sz val="14"/>
      <color indexed="10"/>
      <name val="Arial"/>
      <family val="2"/>
    </font>
    <font>
      <b/>
      <i/>
      <sz val="9"/>
      <color indexed="10"/>
      <name val="Arial"/>
      <family val="2"/>
    </font>
    <font>
      <b/>
      <i/>
      <sz val="10"/>
      <name val="Arial"/>
      <family val="2"/>
    </font>
    <font>
      <sz val="10"/>
      <color indexed="9"/>
      <name val="Arial"/>
      <family val="2"/>
    </font>
    <font>
      <sz val="10"/>
      <color rgb="FF0000FF"/>
      <name val="Arial"/>
      <family val="2"/>
    </font>
    <font>
      <sz val="10"/>
      <color indexed="61"/>
      <name val="Arial"/>
      <family val="2"/>
    </font>
    <font>
      <i/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0"/>
      <color rgb="FF0000FF"/>
      <name val="Arial"/>
      <family val="2"/>
    </font>
    <font>
      <b/>
      <sz val="9"/>
      <name val="Arial"/>
      <family val="2"/>
    </font>
    <font>
      <b/>
      <sz val="10"/>
      <color indexed="10"/>
      <name val="Arial"/>
      <family val="2"/>
    </font>
    <font>
      <u/>
      <sz val="10"/>
      <color rgb="FF0000FF"/>
      <name val="Arial"/>
      <family val="2"/>
    </font>
    <font>
      <b/>
      <sz val="16"/>
      <color indexed="8"/>
      <name val="Arial"/>
      <family val="2"/>
    </font>
    <font>
      <b/>
      <sz val="9"/>
      <color indexed="12"/>
      <name val="Arial"/>
      <family val="2"/>
    </font>
    <font>
      <b/>
      <sz val="20"/>
      <name val="Arial"/>
      <family val="2"/>
    </font>
    <font>
      <b/>
      <u/>
      <sz val="9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i/>
      <sz val="10"/>
      <color indexed="8"/>
      <name val="Arial"/>
      <family val="2"/>
    </font>
    <font>
      <b/>
      <sz val="9"/>
      <color indexed="8"/>
      <name val="Arial"/>
      <family val="2"/>
    </font>
    <font>
      <i/>
      <sz val="9"/>
      <name val="Arial"/>
      <family val="2"/>
    </font>
    <font>
      <sz val="10"/>
      <color rgb="FF009B73"/>
      <name val="Arial"/>
      <family val="2"/>
    </font>
    <font>
      <i/>
      <sz val="10"/>
      <color rgb="FF009B73"/>
      <name val="Arial"/>
      <family val="2"/>
    </font>
    <font>
      <b/>
      <sz val="10"/>
      <color rgb="FF009B73"/>
      <name val="Arial"/>
      <family val="2"/>
    </font>
    <font>
      <sz val="9"/>
      <color rgb="FF009B73"/>
      <name val="Arial"/>
      <family val="2"/>
    </font>
    <font>
      <b/>
      <sz val="20"/>
      <color indexed="12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sz val="10"/>
      <color theme="0"/>
      <name val="Arial"/>
      <family val="2"/>
    </font>
    <font>
      <b/>
      <i/>
      <sz val="10"/>
      <color theme="0"/>
      <name val="Arial"/>
      <family val="2"/>
    </font>
    <font>
      <i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rgb="FF4586BB"/>
      <name val="Arial"/>
      <family val="2"/>
    </font>
    <font>
      <b/>
      <sz val="8"/>
      <color rgb="FF008ED6"/>
      <name val="Arial"/>
      <family val="2"/>
    </font>
    <font>
      <sz val="10"/>
      <color rgb="FF002F6C"/>
      <name val="Arial"/>
      <family val="2"/>
    </font>
    <font>
      <i/>
      <sz val="9"/>
      <color rgb="FF002F6C"/>
      <name val="Arial"/>
      <family val="2"/>
    </font>
    <font>
      <sz val="9"/>
      <color rgb="FF002F6C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2"/>
      <color rgb="FFFFC000"/>
      <name val="Arial"/>
      <family val="2"/>
    </font>
    <font>
      <b/>
      <sz val="18"/>
      <color rgb="FFFFC000"/>
      <name val="Arial"/>
      <family val="2"/>
    </font>
    <font>
      <b/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F6C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5B77CC"/>
        <bgColor indexed="64"/>
      </patternFill>
    </fill>
    <fill>
      <patternFill patternType="solid">
        <fgColor rgb="FFFFFF99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4586BB"/>
      </left>
      <right/>
      <top style="thin">
        <color rgb="FF4586BB"/>
      </top>
      <bottom/>
      <diagonal/>
    </border>
    <border>
      <left/>
      <right/>
      <top style="thin">
        <color rgb="FF4586BB"/>
      </top>
      <bottom/>
      <diagonal/>
    </border>
    <border>
      <left/>
      <right style="thin">
        <color rgb="FF4586BB"/>
      </right>
      <top style="thin">
        <color rgb="FF4586BB"/>
      </top>
      <bottom/>
      <diagonal/>
    </border>
    <border>
      <left style="thin">
        <color rgb="FF4586BB"/>
      </left>
      <right/>
      <top/>
      <bottom/>
      <diagonal/>
    </border>
    <border>
      <left/>
      <right style="thin">
        <color rgb="FF4586BB"/>
      </right>
      <top/>
      <bottom/>
      <diagonal/>
    </border>
    <border>
      <left style="thin">
        <color rgb="FF4586BB"/>
      </left>
      <right/>
      <top/>
      <bottom style="thin">
        <color rgb="FF4586BB"/>
      </bottom>
      <diagonal/>
    </border>
    <border>
      <left/>
      <right/>
      <top/>
      <bottom style="thin">
        <color rgb="FF4586BB"/>
      </bottom>
      <diagonal/>
    </border>
    <border>
      <left/>
      <right style="thin">
        <color rgb="FF4586BB"/>
      </right>
      <top/>
      <bottom style="thin">
        <color rgb="FF4586BB"/>
      </bottom>
      <diagonal/>
    </border>
    <border>
      <left style="thin">
        <color rgb="FF002F6C"/>
      </left>
      <right/>
      <top style="thin">
        <color rgb="FF002F6C"/>
      </top>
      <bottom/>
      <diagonal/>
    </border>
    <border>
      <left/>
      <right/>
      <top style="thin">
        <color rgb="FF002F6C"/>
      </top>
      <bottom/>
      <diagonal/>
    </border>
    <border>
      <left/>
      <right/>
      <top style="thin">
        <color rgb="FF002F6C"/>
      </top>
      <bottom style="thin">
        <color theme="0"/>
      </bottom>
      <diagonal/>
    </border>
    <border>
      <left/>
      <right style="thin">
        <color rgb="FF002F6C"/>
      </right>
      <top style="thin">
        <color rgb="FF002F6C"/>
      </top>
      <bottom/>
      <diagonal/>
    </border>
    <border>
      <left style="thin">
        <color rgb="FF002F6C"/>
      </left>
      <right/>
      <top/>
      <bottom/>
      <diagonal/>
    </border>
    <border>
      <left/>
      <right style="thin">
        <color rgb="FF002F6C"/>
      </right>
      <top/>
      <bottom/>
      <diagonal/>
    </border>
    <border>
      <left style="thin">
        <color rgb="FF002F6C"/>
      </left>
      <right/>
      <top/>
      <bottom style="thin">
        <color rgb="FF002F6C"/>
      </bottom>
      <diagonal/>
    </border>
    <border>
      <left/>
      <right/>
      <top/>
      <bottom style="thin">
        <color rgb="FF002F6C"/>
      </bottom>
      <diagonal/>
    </border>
    <border>
      <left/>
      <right style="thin">
        <color rgb="FF002F6C"/>
      </right>
      <top/>
      <bottom style="thin">
        <color rgb="FF002F6C"/>
      </bottom>
      <diagonal/>
    </border>
    <border>
      <left style="thin">
        <color rgb="FF002F6C"/>
      </left>
      <right/>
      <top/>
      <bottom style="thin">
        <color rgb="FF4586BB"/>
      </bottom>
      <diagonal/>
    </border>
    <border>
      <left/>
      <right style="thin">
        <color rgb="FF002F6C"/>
      </right>
      <top/>
      <bottom style="thin">
        <color rgb="FF4586BB"/>
      </bottom>
      <diagonal/>
    </border>
    <border>
      <left/>
      <right/>
      <top/>
      <bottom style="dotted">
        <color rgb="FF009966"/>
      </bottom>
      <diagonal/>
    </border>
    <border>
      <left/>
      <right/>
      <top style="thin">
        <color rgb="FF5B77CC"/>
      </top>
      <bottom/>
      <diagonal/>
    </border>
    <border>
      <left/>
      <right style="thin">
        <color rgb="FF4586BB"/>
      </right>
      <top style="thin">
        <color rgb="FF5B77CC"/>
      </top>
      <bottom/>
      <diagonal/>
    </border>
  </borders>
  <cellStyleXfs count="13">
    <xf numFmtId="0" fontId="0" fillId="0" borderId="0"/>
    <xf numFmtId="0" fontId="1" fillId="0" borderId="0" applyNumberFormat="0" applyFont="0" applyFill="0" applyBorder="0" applyProtection="0">
      <alignment horizontal="centerContinuous"/>
    </xf>
    <xf numFmtId="0" fontId="1" fillId="0" borderId="1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168" fontId="2" fillId="0" borderId="0" applyFont="0" applyFill="0" applyBorder="0" applyAlignment="0" applyProtection="0"/>
    <xf numFmtId="167" fontId="4" fillId="0" borderId="2">
      <protection locked="0"/>
    </xf>
    <xf numFmtId="0" fontId="1" fillId="0" borderId="3" applyNumberFormat="0" applyFont="0" applyFill="0" applyAlignment="0" applyProtection="0"/>
    <xf numFmtId="0" fontId="3" fillId="0" borderId="0"/>
    <xf numFmtId="0" fontId="6" fillId="0" borderId="0"/>
    <xf numFmtId="0" fontId="5" fillId="0" borderId="0" applyNumberFormat="0" applyFill="0" applyBorder="0" applyAlignment="0" applyProtection="0"/>
    <xf numFmtId="182" fontId="2" fillId="0" borderId="0" applyNumberFormat="0" applyFill="0" applyBorder="0" applyAlignment="0" applyProtection="0"/>
    <xf numFmtId="0" fontId="1" fillId="0" borderId="4" applyNumberFormat="0" applyFont="0" applyFill="0" applyAlignment="0" applyProtection="0"/>
    <xf numFmtId="0" fontId="7" fillId="0" borderId="0"/>
  </cellStyleXfs>
  <cellXfs count="622">
    <xf numFmtId="0" fontId="0" fillId="0" borderId="0" xfId="0"/>
    <xf numFmtId="0" fontId="8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0" fillId="0" borderId="0" xfId="0" applyFont="1" applyAlignment="1">
      <alignment horizontal="centerContinuous"/>
    </xf>
    <xf numFmtId="0" fontId="0" fillId="0" borderId="8" xfId="0" applyBorder="1"/>
    <xf numFmtId="0" fontId="0" fillId="0" borderId="5" xfId="0" applyBorder="1"/>
    <xf numFmtId="14" fontId="0" fillId="0" borderId="0" xfId="0" applyNumberFormat="1" applyAlignment="1">
      <alignment horizontal="left"/>
    </xf>
    <xf numFmtId="37" fontId="12" fillId="0" borderId="0" xfId="0" applyNumberFormat="1" applyFont="1" applyAlignment="1">
      <alignment horizontal="right"/>
    </xf>
    <xf numFmtId="10" fontId="0" fillId="0" borderId="0" xfId="0" applyNumberFormat="1"/>
    <xf numFmtId="0" fontId="0" fillId="0" borderId="0" xfId="0" quotePrefix="1" applyAlignment="1">
      <alignment horizontal="left"/>
    </xf>
    <xf numFmtId="0" fontId="0" fillId="0" borderId="1" xfId="0" applyBorder="1"/>
    <xf numFmtId="0" fontId="0" fillId="0" borderId="10" xfId="0" applyBorder="1"/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horizontal="centerContinuous" vertical="center"/>
    </xf>
    <xf numFmtId="0" fontId="14" fillId="0" borderId="0" xfId="0" applyFont="1" applyAlignment="1">
      <alignment horizontal="centerContinuous" vertical="center"/>
    </xf>
    <xf numFmtId="0" fontId="15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Continuous"/>
    </xf>
    <xf numFmtId="0" fontId="13" fillId="0" borderId="0" xfId="0" applyFont="1"/>
    <xf numFmtId="0" fontId="0" fillId="0" borderId="5" xfId="0" applyBorder="1" applyAlignment="1">
      <alignment horizontal="left"/>
    </xf>
    <xf numFmtId="0" fontId="12" fillId="0" borderId="0" xfId="0" applyFont="1"/>
    <xf numFmtId="178" fontId="0" fillId="0" borderId="1" xfId="0" applyNumberForma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/>
    <xf numFmtId="0" fontId="16" fillId="0" borderId="0" xfId="0" applyFont="1"/>
    <xf numFmtId="0" fontId="0" fillId="0" borderId="7" xfId="0" applyBorder="1"/>
    <xf numFmtId="178" fontId="0" fillId="0" borderId="0" xfId="0" applyNumberFormat="1" applyAlignment="1">
      <alignment horizontal="left"/>
    </xf>
    <xf numFmtId="0" fontId="17" fillId="0" borderId="0" xfId="8" applyFont="1"/>
    <xf numFmtId="0" fontId="18" fillId="0" borderId="0" xfId="8" applyFont="1" applyAlignment="1">
      <alignment horizontal="centerContinuous"/>
    </xf>
    <xf numFmtId="0" fontId="3" fillId="0" borderId="0" xfId="8" applyFont="1"/>
    <xf numFmtId="0" fontId="19" fillId="0" borderId="0" xfId="8" applyFont="1" applyAlignment="1">
      <alignment horizontal="centerContinuous"/>
    </xf>
    <xf numFmtId="0" fontId="20" fillId="0" borderId="0" xfId="8" quotePrefix="1" applyFont="1" applyAlignment="1">
      <alignment horizontal="left"/>
    </xf>
    <xf numFmtId="0" fontId="20" fillId="0" borderId="0" xfId="8" quotePrefix="1" applyFont="1" applyAlignment="1">
      <alignment horizontal="center"/>
    </xf>
    <xf numFmtId="0" fontId="3" fillId="0" borderId="7" xfId="8" applyFont="1" applyBorder="1"/>
    <xf numFmtId="0" fontId="3" fillId="0" borderId="8" xfId="8" applyFont="1" applyBorder="1"/>
    <xf numFmtId="0" fontId="3" fillId="0" borderId="8" xfId="8" applyFont="1" applyBorder="1" applyAlignment="1">
      <alignment horizontal="center"/>
    </xf>
    <xf numFmtId="0" fontId="3" fillId="0" borderId="9" xfId="8" applyFont="1" applyBorder="1" applyAlignment="1">
      <alignment horizontal="center"/>
    </xf>
    <xf numFmtId="0" fontId="11" fillId="0" borderId="1" xfId="8" applyFont="1" applyBorder="1" applyAlignment="1">
      <alignment horizontal="centerContinuous"/>
    </xf>
    <xf numFmtId="0" fontId="11" fillId="0" borderId="5" xfId="8" applyFont="1" applyBorder="1" applyAlignment="1">
      <alignment vertical="center"/>
    </xf>
    <xf numFmtId="0" fontId="11" fillId="0" borderId="0" xfId="8" applyFont="1"/>
    <xf numFmtId="0" fontId="21" fillId="0" borderId="6" xfId="8" applyFont="1" applyBorder="1" applyAlignment="1">
      <alignment horizontal="center" vertical="center"/>
    </xf>
    <xf numFmtId="0" fontId="13" fillId="0" borderId="0" xfId="8" quotePrefix="1" applyFont="1" applyAlignment="1">
      <alignment horizontal="right"/>
    </xf>
    <xf numFmtId="0" fontId="11" fillId="0" borderId="10" xfId="8" applyFont="1" applyBorder="1"/>
    <xf numFmtId="0" fontId="11" fillId="0" borderId="1" xfId="8" applyFont="1" applyBorder="1"/>
    <xf numFmtId="0" fontId="11" fillId="0" borderId="1" xfId="8" applyFont="1" applyBorder="1" applyAlignment="1">
      <alignment horizontal="center"/>
    </xf>
    <xf numFmtId="0" fontId="11" fillId="0" borderId="11" xfId="8" applyFont="1" applyBorder="1" applyAlignment="1">
      <alignment horizontal="center"/>
    </xf>
    <xf numFmtId="0" fontId="13" fillId="0" borderId="0" xfId="8" applyFont="1" applyAlignment="1">
      <alignment horizontal="right"/>
    </xf>
    <xf numFmtId="0" fontId="11" fillId="0" borderId="0" xfId="8" applyFont="1" applyAlignment="1">
      <alignment horizontal="center"/>
    </xf>
    <xf numFmtId="0" fontId="22" fillId="0" borderId="0" xfId="8" quotePrefix="1" applyFont="1" applyAlignment="1">
      <alignment horizontal="left"/>
    </xf>
    <xf numFmtId="0" fontId="23" fillId="0" borderId="0" xfId="8" applyFont="1" applyAlignment="1">
      <alignment horizontal="left"/>
    </xf>
    <xf numFmtId="0" fontId="3" fillId="0" borderId="0" xfId="8" applyFont="1" applyAlignment="1">
      <alignment horizontal="center"/>
    </xf>
    <xf numFmtId="0" fontId="21" fillId="0" borderId="0" xfId="8" applyFont="1" applyAlignment="1">
      <alignment horizontal="center"/>
    </xf>
    <xf numFmtId="171" fontId="12" fillId="0" borderId="0" xfId="0" applyNumberFormat="1" applyFont="1"/>
    <xf numFmtId="0" fontId="25" fillId="0" borderId="0" xfId="8" applyFont="1" applyAlignment="1">
      <alignment horizontal="center"/>
    </xf>
    <xf numFmtId="0" fontId="3" fillId="0" borderId="0" xfId="8" applyFont="1" applyAlignment="1">
      <alignment vertical="center"/>
    </xf>
    <xf numFmtId="181" fontId="3" fillId="0" borderId="0" xfId="8" applyNumberFormat="1" applyFont="1"/>
    <xf numFmtId="37" fontId="3" fillId="0" borderId="0" xfId="8" applyNumberFormat="1" applyFont="1"/>
    <xf numFmtId="0" fontId="3" fillId="0" borderId="0" xfId="8" quotePrefix="1" applyFont="1" applyAlignment="1">
      <alignment horizontal="left"/>
    </xf>
    <xf numFmtId="37" fontId="24" fillId="0" borderId="0" xfId="0" applyNumberFormat="1" applyFont="1"/>
    <xf numFmtId="37" fontId="25" fillId="0" borderId="0" xfId="0" applyNumberFormat="1" applyFont="1"/>
    <xf numFmtId="0" fontId="12" fillId="0" borderId="0" xfId="8" applyFont="1"/>
    <xf numFmtId="0" fontId="9" fillId="0" borderId="0" xfId="0" applyFont="1" applyAlignment="1">
      <alignment horizontal="left"/>
    </xf>
    <xf numFmtId="0" fontId="25" fillId="0" borderId="0" xfId="0" applyFont="1" applyAlignment="1">
      <alignment horizontal="centerContinuous"/>
    </xf>
    <xf numFmtId="0" fontId="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Continuous"/>
    </xf>
    <xf numFmtId="0" fontId="28" fillId="0" borderId="0" xfId="0" applyFont="1" applyAlignment="1">
      <alignment horizontal="centerContinuous"/>
    </xf>
    <xf numFmtId="0" fontId="29" fillId="0" borderId="0" xfId="0" applyFont="1" applyAlignment="1">
      <alignment horizontal="centerContinuous"/>
    </xf>
    <xf numFmtId="0" fontId="25" fillId="0" borderId="0" xfId="0" applyFont="1"/>
    <xf numFmtId="0" fontId="11" fillId="0" borderId="0" xfId="0" applyFont="1" applyAlignment="1">
      <alignment horizontal="centerContinuous"/>
    </xf>
    <xf numFmtId="0" fontId="30" fillId="0" borderId="1" xfId="0" applyFont="1" applyBorder="1" applyAlignment="1">
      <alignment horizontal="centerContinuous"/>
    </xf>
    <xf numFmtId="0" fontId="31" fillId="0" borderId="0" xfId="0" applyFont="1"/>
    <xf numFmtId="0" fontId="11" fillId="0" borderId="0" xfId="0" quotePrefix="1" applyFont="1" applyAlignment="1">
      <alignment horizontal="left"/>
    </xf>
    <xf numFmtId="0" fontId="5" fillId="0" borderId="0" xfId="0" applyFont="1"/>
    <xf numFmtId="171" fontId="0" fillId="0" borderId="0" xfId="0" applyNumberFormat="1"/>
    <xf numFmtId="0" fontId="5" fillId="0" borderId="0" xfId="0" quotePrefix="1" applyFont="1" applyAlignment="1">
      <alignment horizontal="left"/>
    </xf>
    <xf numFmtId="169" fontId="32" fillId="0" borderId="0" xfId="4" applyNumberFormat="1" applyFont="1" applyFill="1" applyBorder="1" applyProtection="1"/>
    <xf numFmtId="171" fontId="34" fillId="0" borderId="0" xfId="0" applyNumberFormat="1" applyFont="1"/>
    <xf numFmtId="169" fontId="12" fillId="0" borderId="0" xfId="4" applyNumberFormat="1" applyFont="1" applyFill="1" applyBorder="1" applyProtection="1"/>
    <xf numFmtId="0" fontId="11" fillId="0" borderId="0" xfId="0" applyFont="1" applyAlignment="1">
      <alignment horizontal="left"/>
    </xf>
    <xf numFmtId="0" fontId="27" fillId="0" borderId="0" xfId="0" quotePrefix="1" applyFont="1" applyAlignment="1">
      <alignment horizontal="left"/>
    </xf>
    <xf numFmtId="0" fontId="0" fillId="0" borderId="22" xfId="0" applyBorder="1"/>
    <xf numFmtId="0" fontId="11" fillId="0" borderId="22" xfId="0" quotePrefix="1" applyFont="1" applyBorder="1" applyAlignment="1">
      <alignment horizontal="left"/>
    </xf>
    <xf numFmtId="0" fontId="27" fillId="0" borderId="22" xfId="0" quotePrefix="1" applyFont="1" applyBorder="1" applyAlignment="1">
      <alignment horizontal="left"/>
    </xf>
    <xf numFmtId="170" fontId="35" fillId="0" borderId="22" xfId="4" applyNumberFormat="1" applyFont="1" applyFill="1" applyBorder="1" applyProtection="1"/>
    <xf numFmtId="170" fontId="35" fillId="0" borderId="0" xfId="4" applyNumberFormat="1" applyFont="1" applyFill="1" applyProtection="1"/>
    <xf numFmtId="170" fontId="11" fillId="0" borderId="0" xfId="4" applyNumberFormat="1" applyFont="1" applyFill="1" applyProtection="1"/>
    <xf numFmtId="0" fontId="11" fillId="0" borderId="0" xfId="0" applyFont="1"/>
    <xf numFmtId="0" fontId="27" fillId="0" borderId="0" xfId="0" applyFont="1"/>
    <xf numFmtId="169" fontId="36" fillId="0" borderId="0" xfId="4" applyNumberFormat="1" applyFont="1" applyFill="1" applyBorder="1" applyProtection="1"/>
    <xf numFmtId="0" fontId="5" fillId="0" borderId="22" xfId="0" applyFont="1" applyBorder="1"/>
    <xf numFmtId="0" fontId="12" fillId="0" borderId="0" xfId="0" applyFont="1" applyAlignment="1">
      <alignment horizontal="center"/>
    </xf>
    <xf numFmtId="173" fontId="11" fillId="0" borderId="0" xfId="4" applyNumberFormat="1" applyFont="1" applyFill="1" applyBorder="1" applyProtection="1"/>
    <xf numFmtId="0" fontId="25" fillId="0" borderId="1" xfId="0" applyFont="1" applyBorder="1"/>
    <xf numFmtId="0" fontId="27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right"/>
    </xf>
    <xf numFmtId="0" fontId="30" fillId="0" borderId="0" xfId="0" applyFont="1"/>
    <xf numFmtId="0" fontId="30" fillId="0" borderId="0" xfId="0" applyFont="1" applyAlignment="1">
      <alignment horizontal="left"/>
    </xf>
    <xf numFmtId="0" fontId="37" fillId="0" borderId="0" xfId="0" applyFont="1"/>
    <xf numFmtId="172" fontId="11" fillId="0" borderId="0" xfId="4" applyNumberFormat="1" applyFont="1" applyBorder="1" applyProtection="1"/>
    <xf numFmtId="37" fontId="0" fillId="0" borderId="0" xfId="4" applyNumberFormat="1" applyFont="1" applyBorder="1" applyProtection="1"/>
    <xf numFmtId="37" fontId="0" fillId="0" borderId="0" xfId="0" applyNumberFormat="1"/>
    <xf numFmtId="37" fontId="11" fillId="0" borderId="0" xfId="4" applyNumberFormat="1" applyFont="1" applyBorder="1" applyProtection="1"/>
    <xf numFmtId="173" fontId="11" fillId="0" borderId="0" xfId="4" applyNumberFormat="1" applyFont="1" applyBorder="1" applyProtection="1"/>
    <xf numFmtId="0" fontId="11" fillId="0" borderId="22" xfId="0" applyFont="1" applyBorder="1"/>
    <xf numFmtId="0" fontId="37" fillId="0" borderId="22" xfId="0" applyFont="1" applyBorder="1"/>
    <xf numFmtId="37" fontId="11" fillId="0" borderId="22" xfId="4" applyNumberFormat="1" applyFont="1" applyBorder="1" applyProtection="1"/>
    <xf numFmtId="0" fontId="11" fillId="0" borderId="1" xfId="0" quotePrefix="1" applyFont="1" applyBorder="1" applyAlignment="1">
      <alignment horizontal="left"/>
    </xf>
    <xf numFmtId="0" fontId="11" fillId="0" borderId="1" xfId="0" applyFont="1" applyBorder="1"/>
    <xf numFmtId="0" fontId="37" fillId="0" borderId="1" xfId="0" applyFont="1" applyBorder="1"/>
    <xf numFmtId="37" fontId="11" fillId="0" borderId="1" xfId="4" applyNumberFormat="1" applyFont="1" applyBorder="1" applyProtection="1"/>
    <xf numFmtId="170" fontId="0" fillId="0" borderId="0" xfId="4" applyNumberFormat="1" applyFont="1" applyBorder="1" applyProtection="1"/>
    <xf numFmtId="0" fontId="20" fillId="0" borderId="0" xfId="0" quotePrefix="1" applyFont="1"/>
    <xf numFmtId="164" fontId="12" fillId="0" borderId="0" xfId="0" applyNumberFormat="1" applyFont="1"/>
    <xf numFmtId="0" fontId="0" fillId="0" borderId="24" xfId="0" applyBorder="1"/>
    <xf numFmtId="0" fontId="0" fillId="0" borderId="25" xfId="0" applyBorder="1"/>
    <xf numFmtId="0" fontId="13" fillId="0" borderId="25" xfId="0" applyFont="1" applyBorder="1"/>
    <xf numFmtId="172" fontId="0" fillId="0" borderId="25" xfId="4" applyNumberFormat="1" applyFont="1" applyBorder="1" applyAlignment="1" applyProtection="1">
      <alignment horizontal="right"/>
    </xf>
    <xf numFmtId="37" fontId="13" fillId="0" borderId="0" xfId="0" applyNumberFormat="1" applyFont="1"/>
    <xf numFmtId="37" fontId="12" fillId="0" borderId="0" xfId="0" applyNumberFormat="1" applyFont="1"/>
    <xf numFmtId="172" fontId="11" fillId="0" borderId="0" xfId="4" applyNumberFormat="1" applyFont="1" applyFill="1" applyBorder="1" applyProtection="1"/>
    <xf numFmtId="187" fontId="0" fillId="0" borderId="0" xfId="4" applyNumberFormat="1" applyFont="1" applyBorder="1" applyProtection="1"/>
    <xf numFmtId="172" fontId="0" fillId="0" borderId="0" xfId="0" applyNumberFormat="1"/>
    <xf numFmtId="165" fontId="11" fillId="0" borderId="0" xfId="0" quotePrefix="1" applyNumberFormat="1" applyFont="1" applyAlignment="1">
      <alignment horizontal="left"/>
    </xf>
    <xf numFmtId="165" fontId="11" fillId="0" borderId="0" xfId="0" applyNumberFormat="1" applyFont="1" applyAlignment="1">
      <alignment horizontal="left"/>
    </xf>
    <xf numFmtId="173" fontId="11" fillId="0" borderId="0" xfId="0" applyNumberFormat="1" applyFont="1"/>
    <xf numFmtId="0" fontId="11" fillId="0" borderId="7" xfId="0" applyFont="1" applyBorder="1"/>
    <xf numFmtId="0" fontId="25" fillId="0" borderId="8" xfId="0" applyFont="1" applyBorder="1"/>
    <xf numFmtId="170" fontId="0" fillId="0" borderId="8" xfId="4" applyNumberFormat="1" applyFont="1" applyBorder="1" applyProtection="1"/>
    <xf numFmtId="192" fontId="20" fillId="0" borderId="0" xfId="0" applyNumberFormat="1" applyFont="1"/>
    <xf numFmtId="0" fontId="25" fillId="0" borderId="1" xfId="0" quotePrefix="1" applyFont="1" applyBorder="1"/>
    <xf numFmtId="180" fontId="20" fillId="0" borderId="1" xfId="0" applyNumberFormat="1" applyFont="1" applyBorder="1"/>
    <xf numFmtId="192" fontId="20" fillId="0" borderId="1" xfId="0" applyNumberFormat="1" applyFont="1" applyBorder="1"/>
    <xf numFmtId="0" fontId="20" fillId="0" borderId="0" xfId="0" quotePrefix="1" applyFont="1" applyAlignment="1">
      <alignment horizontal="left"/>
    </xf>
    <xf numFmtId="0" fontId="0" fillId="0" borderId="0" xfId="0" applyAlignment="1">
      <alignment horizontal="right"/>
    </xf>
    <xf numFmtId="177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37" fontId="0" fillId="0" borderId="0" xfId="4" applyNumberFormat="1" applyFont="1" applyProtection="1"/>
    <xf numFmtId="37" fontId="0" fillId="0" borderId="0" xfId="4" applyNumberFormat="1" applyFont="1" applyFill="1" applyProtection="1"/>
    <xf numFmtId="37" fontId="12" fillId="0" borderId="0" xfId="4" applyNumberFormat="1" applyFont="1" applyBorder="1" applyProtection="1"/>
    <xf numFmtId="170" fontId="0" fillId="0" borderId="0" xfId="4" applyNumberFormat="1" applyFont="1" applyProtection="1"/>
    <xf numFmtId="170" fontId="0" fillId="0" borderId="0" xfId="4" applyNumberFormat="1" applyFont="1" applyFill="1" applyBorder="1" applyProtection="1"/>
    <xf numFmtId="37" fontId="12" fillId="0" borderId="0" xfId="4" applyNumberFormat="1" applyFont="1" applyFill="1" applyProtection="1"/>
    <xf numFmtId="164" fontId="11" fillId="0" borderId="0" xfId="4" applyNumberFormat="1" applyFont="1" applyProtection="1"/>
    <xf numFmtId="189" fontId="11" fillId="0" borderId="0" xfId="4" applyNumberFormat="1" applyFont="1" applyProtection="1"/>
    <xf numFmtId="164" fontId="38" fillId="0" borderId="0" xfId="4" applyNumberFormat="1" applyFont="1" applyProtection="1"/>
    <xf numFmtId="37" fontId="11" fillId="0" borderId="0" xfId="4" applyNumberFormat="1" applyFont="1" applyProtection="1"/>
    <xf numFmtId="174" fontId="11" fillId="0" borderId="0" xfId="4" applyNumberFormat="1" applyFont="1" applyProtection="1"/>
    <xf numFmtId="0" fontId="11" fillId="0" borderId="8" xfId="0" quotePrefix="1" applyFont="1" applyBorder="1" applyAlignment="1">
      <alignment horizontal="left"/>
    </xf>
    <xf numFmtId="37" fontId="11" fillId="0" borderId="8" xfId="4" applyNumberFormat="1" applyFont="1" applyBorder="1" applyProtection="1"/>
    <xf numFmtId="0" fontId="0" fillId="0" borderId="10" xfId="0" applyBorder="1" applyAlignment="1">
      <alignment horizontal="left"/>
    </xf>
    <xf numFmtId="0" fontId="30" fillId="0" borderId="0" xfId="0" applyFont="1" applyAlignment="1">
      <alignment horizontal="centerContinuous"/>
    </xf>
    <xf numFmtId="0" fontId="20" fillId="0" borderId="0" xfId="0" applyFont="1" applyAlignment="1">
      <alignment horizontal="left"/>
    </xf>
    <xf numFmtId="37" fontId="12" fillId="0" borderId="0" xfId="4" applyNumberFormat="1" applyFont="1" applyFill="1" applyBorder="1" applyProtection="1"/>
    <xf numFmtId="37" fontId="0" fillId="0" borderId="0" xfId="4" applyNumberFormat="1" applyFont="1" applyFill="1" applyBorder="1" applyProtection="1"/>
    <xf numFmtId="169" fontId="0" fillId="0" borderId="0" xfId="4" applyNumberFormat="1" applyFont="1" applyBorder="1" applyProtection="1"/>
    <xf numFmtId="0" fontId="20" fillId="0" borderId="0" xfId="0" applyFont="1"/>
    <xf numFmtId="176" fontId="20" fillId="0" borderId="0" xfId="4" applyNumberFormat="1" applyFont="1" applyBorder="1" applyProtection="1"/>
    <xf numFmtId="0" fontId="20" fillId="0" borderId="1" xfId="0" quotePrefix="1" applyFont="1" applyBorder="1" applyAlignment="1">
      <alignment horizontal="left"/>
    </xf>
    <xf numFmtId="176" fontId="0" fillId="0" borderId="1" xfId="0" applyNumberFormat="1" applyBorder="1"/>
    <xf numFmtId="0" fontId="40" fillId="0" borderId="0" xfId="0" applyFont="1" applyAlignment="1">
      <alignment horizontal="centerContinuous"/>
    </xf>
    <xf numFmtId="0" fontId="41" fillId="0" borderId="0" xfId="0" applyFont="1" applyAlignment="1">
      <alignment horizontal="centerContinuous"/>
    </xf>
    <xf numFmtId="0" fontId="42" fillId="0" borderId="0" xfId="0" applyFont="1" applyAlignment="1">
      <alignment horizontal="centerContinuous"/>
    </xf>
    <xf numFmtId="0" fontId="37" fillId="0" borderId="0" xfId="0" applyFont="1" applyAlignment="1">
      <alignment horizontal="centerContinuous"/>
    </xf>
    <xf numFmtId="0" fontId="11" fillId="0" borderId="1" xfId="0" applyFont="1" applyBorder="1" applyAlignment="1">
      <alignment horizontal="centerContinuous"/>
    </xf>
    <xf numFmtId="0" fontId="43" fillId="0" borderId="0" xfId="0" applyFont="1" applyAlignment="1">
      <alignment horizontal="right"/>
    </xf>
    <xf numFmtId="0" fontId="44" fillId="0" borderId="0" xfId="0" applyFont="1"/>
    <xf numFmtId="0" fontId="44" fillId="0" borderId="7" xfId="0" applyFont="1" applyBorder="1" applyAlignment="1">
      <alignment horizontal="left" vertical="center"/>
    </xf>
    <xf numFmtId="188" fontId="45" fillId="0" borderId="0" xfId="0" applyNumberFormat="1" applyFont="1"/>
    <xf numFmtId="37" fontId="44" fillId="0" borderId="0" xfId="0" applyNumberFormat="1" applyFont="1"/>
    <xf numFmtId="0" fontId="44" fillId="0" borderId="10" xfId="0" applyFont="1" applyBorder="1" applyAlignment="1">
      <alignment horizontal="left" vertical="center"/>
    </xf>
    <xf numFmtId="0" fontId="44" fillId="0" borderId="1" xfId="0" quotePrefix="1" applyFont="1" applyBorder="1" applyAlignment="1">
      <alignment horizontal="left" vertical="center"/>
    </xf>
    <xf numFmtId="0" fontId="44" fillId="0" borderId="1" xfId="0" applyFont="1" applyBorder="1" applyAlignment="1">
      <alignment vertical="center"/>
    </xf>
    <xf numFmtId="0" fontId="26" fillId="0" borderId="0" xfId="0" applyFont="1" applyAlignment="1">
      <alignment vertical="center"/>
    </xf>
    <xf numFmtId="37" fontId="0" fillId="0" borderId="1" xfId="4" applyNumberFormat="1" applyFont="1" applyBorder="1" applyProtection="1"/>
    <xf numFmtId="0" fontId="46" fillId="0" borderId="0" xfId="0" applyFont="1"/>
    <xf numFmtId="0" fontId="11" fillId="0" borderId="13" xfId="0" applyFont="1" applyBorder="1"/>
    <xf numFmtId="37" fontId="47" fillId="0" borderId="0" xfId="0" applyNumberFormat="1" applyFont="1"/>
    <xf numFmtId="171" fontId="33" fillId="0" borderId="0" xfId="0" applyNumberFormat="1" applyFont="1"/>
    <xf numFmtId="37" fontId="24" fillId="0" borderId="8" xfId="0" applyNumberFormat="1" applyFont="1" applyBorder="1"/>
    <xf numFmtId="37" fontId="12" fillId="0" borderId="8" xfId="0" applyNumberFormat="1" applyFont="1" applyBorder="1"/>
    <xf numFmtId="0" fontId="11" fillId="0" borderId="10" xfId="0" applyFont="1" applyBorder="1"/>
    <xf numFmtId="37" fontId="41" fillId="0" borderId="1" xfId="0" applyNumberFormat="1" applyFont="1" applyBorder="1"/>
    <xf numFmtId="37" fontId="21" fillId="0" borderId="1" xfId="0" applyNumberFormat="1" applyFont="1" applyBorder="1"/>
    <xf numFmtId="37" fontId="26" fillId="0" borderId="1" xfId="0" applyNumberFormat="1" applyFont="1" applyBorder="1"/>
    <xf numFmtId="37" fontId="24" fillId="0" borderId="1" xfId="0" applyNumberFormat="1" applyFont="1" applyBorder="1"/>
    <xf numFmtId="37" fontId="12" fillId="0" borderId="1" xfId="0" applyNumberFormat="1" applyFont="1" applyBorder="1"/>
    <xf numFmtId="0" fontId="5" fillId="0" borderId="25" xfId="0" applyFont="1" applyBorder="1"/>
    <xf numFmtId="4" fontId="11" fillId="0" borderId="0" xfId="0" applyNumberFormat="1" applyFont="1"/>
    <xf numFmtId="4" fontId="0" fillId="0" borderId="0" xfId="4" applyNumberFormat="1" applyFont="1" applyFill="1" applyBorder="1" applyProtection="1"/>
    <xf numFmtId="4" fontId="0" fillId="0" borderId="0" xfId="0" applyNumberFormat="1"/>
    <xf numFmtId="168" fontId="44" fillId="0" borderId="0" xfId="4" applyFont="1" applyProtection="1"/>
    <xf numFmtId="4" fontId="0" fillId="0" borderId="0" xfId="4" applyNumberFormat="1" applyFont="1" applyFill="1" applyBorder="1" applyAlignment="1" applyProtection="1">
      <alignment horizontal="left"/>
    </xf>
    <xf numFmtId="168" fontId="44" fillId="0" borderId="0" xfId="4" applyFont="1" applyFill="1" applyProtection="1"/>
    <xf numFmtId="4" fontId="11" fillId="0" borderId="0" xfId="4" applyNumberFormat="1" applyFont="1" applyFill="1" applyBorder="1" applyProtection="1"/>
    <xf numFmtId="169" fontId="0" fillId="0" borderId="1" xfId="4" applyNumberFormat="1" applyFont="1" applyBorder="1" applyProtection="1"/>
    <xf numFmtId="177" fontId="13" fillId="0" borderId="0" xfId="0" quotePrefix="1" applyNumberFormat="1" applyFont="1" applyAlignment="1">
      <alignment horizontal="right"/>
    </xf>
    <xf numFmtId="191" fontId="0" fillId="0" borderId="0" xfId="0" applyNumberFormat="1"/>
    <xf numFmtId="164" fontId="0" fillId="0" borderId="0" xfId="0" applyNumberFormat="1"/>
    <xf numFmtId="164" fontId="11" fillId="0" borderId="0" xfId="0" applyNumberFormat="1" applyFont="1"/>
    <xf numFmtId="180" fontId="52" fillId="0" borderId="0" xfId="8" applyNumberFormat="1" applyFont="1"/>
    <xf numFmtId="0" fontId="53" fillId="0" borderId="0" xfId="7" applyFont="1" applyAlignment="1">
      <alignment horizontal="centerContinuous"/>
    </xf>
    <xf numFmtId="0" fontId="42" fillId="0" borderId="0" xfId="7" applyFont="1" applyAlignment="1">
      <alignment horizontal="centerContinuous"/>
    </xf>
    <xf numFmtId="0" fontId="3" fillId="0" borderId="0" xfId="7"/>
    <xf numFmtId="0" fontId="19" fillId="0" borderId="0" xfId="7" applyFont="1" applyAlignment="1">
      <alignment horizontal="centerContinuous"/>
    </xf>
    <xf numFmtId="0" fontId="54" fillId="0" borderId="0" xfId="7" applyFont="1" applyAlignment="1">
      <alignment horizontal="centerContinuous"/>
    </xf>
    <xf numFmtId="0" fontId="11" fillId="0" borderId="0" xfId="7" applyFont="1" applyAlignment="1">
      <alignment horizontal="centerContinuous"/>
    </xf>
    <xf numFmtId="0" fontId="55" fillId="0" borderId="0" xfId="7" applyFont="1" applyAlignment="1">
      <alignment horizontal="centerContinuous"/>
    </xf>
    <xf numFmtId="0" fontId="3" fillId="0" borderId="5" xfId="7" applyBorder="1"/>
    <xf numFmtId="0" fontId="3" fillId="0" borderId="1" xfId="7" applyBorder="1"/>
    <xf numFmtId="0" fontId="3" fillId="0" borderId="6" xfId="7" applyBorder="1"/>
    <xf numFmtId="177" fontId="13" fillId="0" borderId="0" xfId="0" applyNumberFormat="1" applyFont="1"/>
    <xf numFmtId="190" fontId="13" fillId="0" borderId="0" xfId="0" quotePrefix="1" applyNumberFormat="1" applyFont="1" applyAlignment="1">
      <alignment horizontal="right"/>
    </xf>
    <xf numFmtId="0" fontId="11" fillId="0" borderId="0" xfId="7" applyFont="1"/>
    <xf numFmtId="0" fontId="5" fillId="0" borderId="0" xfId="7" applyFont="1"/>
    <xf numFmtId="164" fontId="3" fillId="0" borderId="0" xfId="4" applyNumberFormat="1" applyFont="1" applyBorder="1"/>
    <xf numFmtId="0" fontId="48" fillId="0" borderId="0" xfId="7" applyFont="1"/>
    <xf numFmtId="0" fontId="25" fillId="0" borderId="0" xfId="7" applyFont="1"/>
    <xf numFmtId="0" fontId="3" fillId="0" borderId="10" xfId="7" applyBorder="1"/>
    <xf numFmtId="0" fontId="3" fillId="0" borderId="11" xfId="7" applyBorder="1"/>
    <xf numFmtId="0" fontId="20" fillId="0" borderId="0" xfId="7" applyFont="1"/>
    <xf numFmtId="0" fontId="3" fillId="0" borderId="0" xfId="7" applyAlignment="1">
      <alignment horizontal="right"/>
    </xf>
    <xf numFmtId="0" fontId="3" fillId="0" borderId="0" xfId="7" applyAlignment="1">
      <alignment vertical="center"/>
    </xf>
    <xf numFmtId="0" fontId="3" fillId="0" borderId="7" xfId="7" applyBorder="1" applyAlignment="1">
      <alignment vertical="center"/>
    </xf>
    <xf numFmtId="0" fontId="3" fillId="0" borderId="8" xfId="7" applyBorder="1" applyAlignment="1">
      <alignment vertical="center"/>
    </xf>
    <xf numFmtId="0" fontId="30" fillId="0" borderId="14" xfId="7" applyFont="1" applyBorder="1" applyAlignment="1">
      <alignment horizontal="centerContinuous" vertical="center"/>
    </xf>
    <xf numFmtId="0" fontId="20" fillId="0" borderId="14" xfId="7" applyFont="1" applyBorder="1" applyAlignment="1">
      <alignment horizontal="centerContinuous" vertical="center"/>
    </xf>
    <xf numFmtId="0" fontId="3" fillId="0" borderId="9" xfId="7" applyBorder="1" applyAlignment="1">
      <alignment vertical="center"/>
    </xf>
    <xf numFmtId="0" fontId="3" fillId="0" borderId="5" xfId="7" applyBorder="1" applyAlignment="1">
      <alignment vertical="center"/>
    </xf>
    <xf numFmtId="0" fontId="3" fillId="0" borderId="1" xfId="7" applyBorder="1" applyAlignment="1">
      <alignment vertical="center"/>
    </xf>
    <xf numFmtId="177" fontId="11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3" fillId="0" borderId="6" xfId="7" applyBorder="1" applyAlignment="1">
      <alignment vertical="center"/>
    </xf>
    <xf numFmtId="39" fontId="12" fillId="0" borderId="0" xfId="0" applyNumberFormat="1" applyFont="1" applyAlignment="1">
      <alignment horizontal="right"/>
    </xf>
    <xf numFmtId="0" fontId="0" fillId="0" borderId="31" xfId="0" applyBorder="1" applyAlignment="1">
      <alignment horizontal="center" vertical="center"/>
    </xf>
    <xf numFmtId="0" fontId="0" fillId="0" borderId="32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left"/>
    </xf>
    <xf numFmtId="0" fontId="0" fillId="0" borderId="34" xfId="0" applyBorder="1"/>
    <xf numFmtId="0" fontId="0" fillId="0" borderId="35" xfId="0" applyBorder="1"/>
    <xf numFmtId="0" fontId="0" fillId="0" borderId="31" xfId="0" applyBorder="1"/>
    <xf numFmtId="0" fontId="0" fillId="0" borderId="33" xfId="0" applyBorder="1"/>
    <xf numFmtId="37" fontId="12" fillId="0" borderId="34" xfId="0" applyNumberFormat="1" applyFont="1" applyBorder="1" applyAlignment="1">
      <alignment horizontal="right"/>
    </xf>
    <xf numFmtId="0" fontId="0" fillId="0" borderId="31" xfId="0" quotePrefix="1" applyBorder="1" applyAlignment="1">
      <alignment horizontal="left"/>
    </xf>
    <xf numFmtId="0" fontId="13" fillId="0" borderId="31" xfId="0" applyFont="1" applyBorder="1" applyAlignment="1">
      <alignment vertical="center"/>
    </xf>
    <xf numFmtId="0" fontId="14" fillId="0" borderId="32" xfId="0" applyFont="1" applyBorder="1" applyAlignment="1">
      <alignment horizontal="centerContinuous" vertical="center"/>
    </xf>
    <xf numFmtId="0" fontId="12" fillId="0" borderId="31" xfId="0" applyFont="1" applyBorder="1"/>
    <xf numFmtId="0" fontId="0" fillId="0" borderId="32" xfId="0" applyBorder="1" applyAlignment="1">
      <alignment horizontal="centerContinuous"/>
    </xf>
    <xf numFmtId="0" fontId="12" fillId="0" borderId="33" xfId="0" applyFont="1" applyBorder="1" applyAlignment="1">
      <alignment horizontal="left"/>
    </xf>
    <xf numFmtId="0" fontId="0" fillId="0" borderId="34" xfId="0" applyBorder="1" applyAlignment="1">
      <alignment horizontal="centerContinuous"/>
    </xf>
    <xf numFmtId="0" fontId="0" fillId="0" borderId="35" xfId="0" applyBorder="1" applyAlignment="1">
      <alignment horizontal="centerContinuous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13" fillId="0" borderId="31" xfId="0" applyFont="1" applyBorder="1"/>
    <xf numFmtId="0" fontId="0" fillId="0" borderId="31" xfId="0" applyBorder="1" applyAlignment="1">
      <alignment horizontal="left"/>
    </xf>
    <xf numFmtId="179" fontId="0" fillId="0" borderId="31" xfId="0" applyNumberFormat="1" applyBorder="1" applyAlignment="1">
      <alignment horizontal="left"/>
    </xf>
    <xf numFmtId="0" fontId="16" fillId="0" borderId="0" xfId="0" applyFont="1" applyAlignment="1">
      <alignment vertical="center"/>
    </xf>
    <xf numFmtId="177" fontId="11" fillId="0" borderId="0" xfId="0" quotePrefix="1" applyNumberFormat="1" applyFont="1" applyAlignment="1">
      <alignment horizontal="right"/>
    </xf>
    <xf numFmtId="0" fontId="11" fillId="0" borderId="0" xfId="0" quotePrefix="1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8" xfId="0" quotePrefix="1" applyFont="1" applyBorder="1" applyAlignment="1">
      <alignment horizontal="right"/>
    </xf>
    <xf numFmtId="171" fontId="51" fillId="0" borderId="0" xfId="0" applyNumberFormat="1" applyFont="1"/>
    <xf numFmtId="0" fontId="11" fillId="0" borderId="0" xfId="8" quotePrefix="1" applyFont="1" applyAlignment="1">
      <alignment horizontal="right"/>
    </xf>
    <xf numFmtId="0" fontId="60" fillId="0" borderId="0" xfId="7" applyFont="1"/>
    <xf numFmtId="0" fontId="3" fillId="0" borderId="12" xfId="7" applyBorder="1"/>
    <xf numFmtId="0" fontId="27" fillId="0" borderId="0" xfId="7" applyFont="1"/>
    <xf numFmtId="0" fontId="19" fillId="0" borderId="12" xfId="0" applyFont="1" applyBorder="1" applyAlignment="1">
      <alignment horizontal="centerContinuous"/>
    </xf>
    <xf numFmtId="0" fontId="28" fillId="0" borderId="12" xfId="0" applyFont="1" applyBorder="1" applyAlignment="1">
      <alignment horizontal="centerContinuous"/>
    </xf>
    <xf numFmtId="0" fontId="29" fillId="0" borderId="12" xfId="0" applyFont="1" applyBorder="1" applyAlignment="1">
      <alignment horizontal="centerContinuous"/>
    </xf>
    <xf numFmtId="0" fontId="3" fillId="0" borderId="12" xfId="8" applyFont="1" applyBorder="1"/>
    <xf numFmtId="0" fontId="3" fillId="0" borderId="12" xfId="8" applyFont="1" applyBorder="1" applyAlignment="1">
      <alignment horizontal="center"/>
    </xf>
    <xf numFmtId="0" fontId="10" fillId="0" borderId="12" xfId="0" applyFont="1" applyBorder="1"/>
    <xf numFmtId="0" fontId="0" fillId="0" borderId="12" xfId="0" applyBorder="1"/>
    <xf numFmtId="0" fontId="59" fillId="3" borderId="0" xfId="7" applyFont="1" applyFill="1" applyAlignment="1">
      <alignment vertical="center"/>
    </xf>
    <xf numFmtId="0" fontId="3" fillId="3" borderId="0" xfId="7" applyFill="1" applyAlignment="1">
      <alignment vertical="center"/>
    </xf>
    <xf numFmtId="177" fontId="59" fillId="3" borderId="0" xfId="0" applyNumberFormat="1" applyFont="1" applyFill="1" applyAlignment="1">
      <alignment vertical="center"/>
    </xf>
    <xf numFmtId="0" fontId="59" fillId="3" borderId="0" xfId="0" applyFont="1" applyFill="1" applyAlignment="1">
      <alignment vertical="center"/>
    </xf>
    <xf numFmtId="0" fontId="3" fillId="3" borderId="34" xfId="7" applyFill="1" applyBorder="1" applyAlignment="1">
      <alignment vertical="center"/>
    </xf>
    <xf numFmtId="177" fontId="59" fillId="3" borderId="34" xfId="0" applyNumberFormat="1" applyFont="1" applyFill="1" applyBorder="1" applyAlignment="1">
      <alignment vertical="center"/>
    </xf>
    <xf numFmtId="0" fontId="59" fillId="3" borderId="34" xfId="0" applyFont="1" applyFill="1" applyBorder="1" applyAlignment="1">
      <alignment vertical="center"/>
    </xf>
    <xf numFmtId="0" fontId="59" fillId="3" borderId="28" xfId="0" applyFont="1" applyFill="1" applyBorder="1" applyAlignment="1">
      <alignment vertical="center"/>
    </xf>
    <xf numFmtId="0" fontId="0" fillId="3" borderId="29" xfId="0" applyFill="1" applyBorder="1"/>
    <xf numFmtId="0" fontId="0" fillId="3" borderId="30" xfId="0" applyFill="1" applyBorder="1"/>
    <xf numFmtId="0" fontId="3" fillId="4" borderId="0" xfId="7" applyFill="1"/>
    <xf numFmtId="177" fontId="13" fillId="4" borderId="0" xfId="0" applyNumberFormat="1" applyFont="1" applyFill="1"/>
    <xf numFmtId="190" fontId="13" fillId="4" borderId="0" xfId="0" quotePrefix="1" applyNumberFormat="1" applyFont="1" applyFill="1" applyAlignment="1">
      <alignment horizontal="right"/>
    </xf>
    <xf numFmtId="0" fontId="13" fillId="4" borderId="0" xfId="0" applyFont="1" applyFill="1"/>
    <xf numFmtId="0" fontId="11" fillId="4" borderId="31" xfId="0" applyFont="1" applyFill="1" applyBorder="1" applyAlignment="1">
      <alignment vertical="center"/>
    </xf>
    <xf numFmtId="0" fontId="0" fillId="4" borderId="0" xfId="0" applyFill="1"/>
    <xf numFmtId="0" fontId="0" fillId="4" borderId="32" xfId="0" applyFill="1" applyBorder="1"/>
    <xf numFmtId="0" fontId="3" fillId="5" borderId="0" xfId="7" applyFill="1"/>
    <xf numFmtId="177" fontId="13" fillId="5" borderId="0" xfId="0" applyNumberFormat="1" applyFont="1" applyFill="1"/>
    <xf numFmtId="190" fontId="13" fillId="5" borderId="0" xfId="0" quotePrefix="1" applyNumberFormat="1" applyFont="1" applyFill="1" applyAlignment="1">
      <alignment horizontal="right"/>
    </xf>
    <xf numFmtId="0" fontId="13" fillId="5" borderId="0" xfId="0" applyFont="1" applyFill="1"/>
    <xf numFmtId="0" fontId="11" fillId="5" borderId="31" xfId="0" applyFont="1" applyFill="1" applyBorder="1" applyAlignment="1">
      <alignment vertical="center"/>
    </xf>
    <xf numFmtId="0" fontId="0" fillId="5" borderId="0" xfId="0" applyFill="1"/>
    <xf numFmtId="0" fontId="0" fillId="5" borderId="32" xfId="0" applyFill="1" applyBorder="1"/>
    <xf numFmtId="0" fontId="61" fillId="0" borderId="0" xfId="7" applyFont="1"/>
    <xf numFmtId="0" fontId="3" fillId="3" borderId="36" xfId="7" applyFill="1" applyBorder="1" applyAlignment="1">
      <alignment vertical="center"/>
    </xf>
    <xf numFmtId="0" fontId="3" fillId="3" borderId="37" xfId="7" applyFill="1" applyBorder="1" applyAlignment="1">
      <alignment vertical="center"/>
    </xf>
    <xf numFmtId="0" fontId="56" fillId="3" borderId="37" xfId="7" applyFont="1" applyFill="1" applyBorder="1" applyAlignment="1">
      <alignment vertical="center"/>
    </xf>
    <xf numFmtId="0" fontId="57" fillId="3" borderId="38" xfId="7" applyFont="1" applyFill="1" applyBorder="1" applyAlignment="1">
      <alignment horizontal="centerContinuous" vertical="center"/>
    </xf>
    <xf numFmtId="0" fontId="58" fillId="3" borderId="38" xfId="7" applyFont="1" applyFill="1" applyBorder="1" applyAlignment="1">
      <alignment horizontal="centerContinuous" vertical="center"/>
    </xf>
    <xf numFmtId="0" fontId="56" fillId="3" borderId="39" xfId="7" applyFont="1" applyFill="1" applyBorder="1" applyAlignment="1">
      <alignment vertical="center"/>
    </xf>
    <xf numFmtId="0" fontId="3" fillId="3" borderId="40" xfId="7" applyFill="1" applyBorder="1" applyAlignment="1">
      <alignment vertical="center"/>
    </xf>
    <xf numFmtId="0" fontId="56" fillId="3" borderId="41" xfId="7" applyFont="1" applyFill="1" applyBorder="1" applyAlignment="1">
      <alignment vertical="center"/>
    </xf>
    <xf numFmtId="0" fontId="3" fillId="4" borderId="40" xfId="7" applyFill="1" applyBorder="1"/>
    <xf numFmtId="0" fontId="13" fillId="4" borderId="41" xfId="0" applyFont="1" applyFill="1" applyBorder="1"/>
    <xf numFmtId="0" fontId="3" fillId="5" borderId="40" xfId="7" applyFill="1" applyBorder="1"/>
    <xf numFmtId="0" fontId="13" fillId="5" borderId="41" xfId="0" applyFont="1" applyFill="1" applyBorder="1"/>
    <xf numFmtId="0" fontId="3" fillId="0" borderId="40" xfId="7" applyBorder="1"/>
    <xf numFmtId="0" fontId="3" fillId="0" borderId="41" xfId="7" applyBorder="1"/>
    <xf numFmtId="164" fontId="3" fillId="0" borderId="41" xfId="4" applyNumberFormat="1" applyFont="1" applyBorder="1"/>
    <xf numFmtId="192" fontId="20" fillId="0" borderId="41" xfId="0" applyNumberFormat="1" applyFont="1" applyBorder="1"/>
    <xf numFmtId="0" fontId="3" fillId="0" borderId="42" xfId="7" applyBorder="1"/>
    <xf numFmtId="0" fontId="3" fillId="0" borderId="43" xfId="7" applyBorder="1"/>
    <xf numFmtId="0" fontId="3" fillId="0" borderId="43" xfId="7" applyBorder="1" applyAlignment="1">
      <alignment horizontal="left"/>
    </xf>
    <xf numFmtId="0" fontId="3" fillId="0" borderId="44" xfId="7" applyBorder="1"/>
    <xf numFmtId="0" fontId="3" fillId="3" borderId="39" xfId="7" applyFill="1" applyBorder="1" applyAlignment="1">
      <alignment vertical="center"/>
    </xf>
    <xf numFmtId="0" fontId="3" fillId="3" borderId="41" xfId="7" applyFill="1" applyBorder="1" applyAlignment="1">
      <alignment vertical="center"/>
    </xf>
    <xf numFmtId="0" fontId="3" fillId="3" borderId="45" xfId="7" applyFill="1" applyBorder="1" applyAlignment="1">
      <alignment vertical="center"/>
    </xf>
    <xf numFmtId="0" fontId="3" fillId="3" borderId="46" xfId="7" applyFill="1" applyBorder="1" applyAlignment="1">
      <alignment vertical="center"/>
    </xf>
    <xf numFmtId="0" fontId="21" fillId="6" borderId="0" xfId="8" applyFont="1" applyFill="1" applyAlignment="1">
      <alignment horizontal="center" vertical="center"/>
    </xf>
    <xf numFmtId="0" fontId="37" fillId="0" borderId="0" xfId="8" applyFont="1" applyAlignment="1">
      <alignment horizontal="center"/>
    </xf>
    <xf numFmtId="0" fontId="44" fillId="0" borderId="0" xfId="0" quotePrefix="1" applyFont="1" applyAlignment="1">
      <alignment horizontal="left" vertical="center"/>
    </xf>
    <xf numFmtId="0" fontId="44" fillId="0" borderId="0" xfId="0" applyFont="1" applyAlignment="1">
      <alignment vertical="center"/>
    </xf>
    <xf numFmtId="172" fontId="0" fillId="0" borderId="0" xfId="4" applyNumberFormat="1" applyFont="1" applyBorder="1" applyAlignment="1" applyProtection="1">
      <alignment horizontal="right"/>
    </xf>
    <xf numFmtId="172" fontId="0" fillId="0" borderId="0" xfId="4" applyNumberFormat="1" applyFont="1" applyFill="1" applyBorder="1" applyAlignment="1" applyProtection="1">
      <alignment horizontal="right"/>
    </xf>
    <xf numFmtId="172" fontId="49" fillId="0" borderId="0" xfId="4" applyNumberFormat="1" applyFont="1" applyFill="1" applyBorder="1" applyAlignment="1" applyProtection="1">
      <alignment horizontal="right"/>
    </xf>
    <xf numFmtId="172" fontId="12" fillId="0" borderId="0" xfId="4" applyNumberFormat="1" applyFont="1" applyBorder="1" applyAlignment="1" applyProtection="1">
      <alignment horizontal="right"/>
    </xf>
    <xf numFmtId="187" fontId="0" fillId="0" borderId="0" xfId="4" applyNumberFormat="1" applyFont="1" applyFill="1" applyBorder="1" applyProtection="1"/>
    <xf numFmtId="172" fontId="0" fillId="0" borderId="0" xfId="4" applyNumberFormat="1" applyFont="1" applyFill="1" applyBorder="1" applyProtection="1"/>
    <xf numFmtId="37" fontId="11" fillId="0" borderId="0" xfId="4" applyNumberFormat="1" applyFont="1" applyFill="1" applyBorder="1" applyProtection="1"/>
    <xf numFmtId="39" fontId="11" fillId="0" borderId="0" xfId="4" applyNumberFormat="1" applyFont="1" applyFill="1" applyBorder="1" applyProtection="1"/>
    <xf numFmtId="170" fontId="0" fillId="0" borderId="8" xfId="4" applyNumberFormat="1" applyFont="1" applyFill="1" applyBorder="1" applyProtection="1"/>
    <xf numFmtId="170" fontId="0" fillId="0" borderId="9" xfId="4" applyNumberFormat="1" applyFont="1" applyFill="1" applyBorder="1" applyProtection="1"/>
    <xf numFmtId="192" fontId="20" fillId="0" borderId="6" xfId="0" applyNumberFormat="1" applyFont="1" applyBorder="1"/>
    <xf numFmtId="192" fontId="20" fillId="0" borderId="11" xfId="0" applyNumberFormat="1" applyFont="1" applyBorder="1"/>
    <xf numFmtId="37" fontId="0" fillId="0" borderId="8" xfId="0" applyNumberFormat="1" applyBorder="1"/>
    <xf numFmtId="37" fontId="11" fillId="0" borderId="0" xfId="0" applyNumberFormat="1" applyFont="1"/>
    <xf numFmtId="9" fontId="25" fillId="0" borderId="9" xfId="0" applyNumberFormat="1" applyFont="1" applyBorder="1"/>
    <xf numFmtId="9" fontId="25" fillId="0" borderId="11" xfId="0" applyNumberFormat="1" applyFont="1" applyBorder="1"/>
    <xf numFmtId="0" fontId="5" fillId="0" borderId="8" xfId="0" applyFont="1" applyBorder="1"/>
    <xf numFmtId="0" fontId="13" fillId="0" borderId="8" xfId="0" applyFont="1" applyBorder="1"/>
    <xf numFmtId="172" fontId="0" fillId="0" borderId="8" xfId="0" applyNumberFormat="1" applyBorder="1"/>
    <xf numFmtId="172" fontId="0" fillId="0" borderId="9" xfId="0" applyNumberFormat="1" applyBorder="1"/>
    <xf numFmtId="0" fontId="5" fillId="0" borderId="1" xfId="0" applyFont="1" applyBorder="1"/>
    <xf numFmtId="0" fontId="13" fillId="0" borderId="1" xfId="0" applyFont="1" applyBorder="1"/>
    <xf numFmtId="171" fontId="0" fillId="0" borderId="1" xfId="0" applyNumberFormat="1" applyBorder="1" applyAlignment="1">
      <alignment horizontal="right"/>
    </xf>
    <xf numFmtId="0" fontId="11" fillId="0" borderId="0" xfId="0" quotePrefix="1" applyFont="1"/>
    <xf numFmtId="37" fontId="3" fillId="0" borderId="0" xfId="4" applyNumberFormat="1" applyFont="1" applyBorder="1" applyProtection="1"/>
    <xf numFmtId="37" fontId="11" fillId="0" borderId="8" xfId="4" applyNumberFormat="1" applyFont="1" applyBorder="1" applyAlignment="1" applyProtection="1">
      <alignment horizontal="right"/>
    </xf>
    <xf numFmtId="37" fontId="21" fillId="0" borderId="0" xfId="4" applyNumberFormat="1" applyFont="1" applyBorder="1" applyProtection="1"/>
    <xf numFmtId="37" fontId="49" fillId="0" borderId="0" xfId="4" applyNumberFormat="1" applyFont="1" applyFill="1" applyBorder="1" applyAlignment="1" applyProtection="1">
      <alignment horizontal="right"/>
    </xf>
    <xf numFmtId="37" fontId="12" fillId="0" borderId="0" xfId="4" applyNumberFormat="1" applyFont="1" applyFill="1" applyBorder="1" applyProtection="1">
      <protection locked="0"/>
    </xf>
    <xf numFmtId="3" fontId="12" fillId="0" borderId="0" xfId="4" applyNumberFormat="1" applyFont="1" applyFill="1" applyProtection="1">
      <protection locked="0"/>
    </xf>
    <xf numFmtId="3" fontId="0" fillId="0" borderId="0" xfId="4" applyNumberFormat="1" applyFont="1" applyFill="1" applyBorder="1" applyProtection="1"/>
    <xf numFmtId="3" fontId="0" fillId="0" borderId="0" xfId="0" applyNumberFormat="1"/>
    <xf numFmtId="3" fontId="0" fillId="0" borderId="0" xfId="4" applyNumberFormat="1" applyFont="1" applyFill="1" applyProtection="1"/>
    <xf numFmtId="3" fontId="0" fillId="0" borderId="0" xfId="4" applyNumberFormat="1" applyFont="1" applyProtection="1"/>
    <xf numFmtId="3" fontId="0" fillId="0" borderId="0" xfId="4" applyNumberFormat="1" applyFont="1" applyBorder="1" applyProtection="1"/>
    <xf numFmtId="3" fontId="11" fillId="0" borderId="26" xfId="4" applyNumberFormat="1" applyFont="1" applyBorder="1" applyProtection="1"/>
    <xf numFmtId="3" fontId="12" fillId="0" borderId="0" xfId="4" applyNumberFormat="1" applyFont="1" applyFill="1" applyBorder="1" applyProtection="1">
      <protection locked="0"/>
    </xf>
    <xf numFmtId="3" fontId="11" fillId="0" borderId="0" xfId="4" applyNumberFormat="1" applyFont="1" applyBorder="1" applyProtection="1"/>
    <xf numFmtId="3" fontId="20" fillId="0" borderId="0" xfId="4" applyNumberFormat="1" applyFont="1" applyProtection="1"/>
    <xf numFmtId="3" fontId="0" fillId="0" borderId="8" xfId="4" applyNumberFormat="1" applyFont="1" applyBorder="1" applyProtection="1"/>
    <xf numFmtId="3" fontId="0" fillId="0" borderId="8" xfId="4" applyNumberFormat="1" applyFont="1" applyFill="1" applyBorder="1" applyProtection="1"/>
    <xf numFmtId="0" fontId="44" fillId="0" borderId="0" xfId="0" applyFont="1" applyAlignment="1">
      <alignment horizontal="left" vertical="center"/>
    </xf>
    <xf numFmtId="173" fontId="11" fillId="0" borderId="0" xfId="0" applyNumberFormat="1" applyFont="1" applyAlignment="1">
      <alignment vertical="center"/>
    </xf>
    <xf numFmtId="37" fontId="65" fillId="0" borderId="0" xfId="4" applyNumberFormat="1" applyFont="1" applyFill="1" applyProtection="1">
      <protection locked="0"/>
    </xf>
    <xf numFmtId="37" fontId="47" fillId="0" borderId="0" xfId="0" applyNumberFormat="1" applyFont="1" applyAlignment="1">
      <alignment horizontal="right"/>
    </xf>
    <xf numFmtId="0" fontId="67" fillId="0" borderId="0" xfId="0" applyFont="1" applyAlignment="1">
      <alignment vertical="center"/>
    </xf>
    <xf numFmtId="0" fontId="44" fillId="0" borderId="5" xfId="0" applyFont="1" applyBorder="1" applyAlignment="1">
      <alignment horizontal="left" vertical="center"/>
    </xf>
    <xf numFmtId="164" fontId="11" fillId="0" borderId="0" xfId="0" applyNumberFormat="1" applyFont="1" applyAlignment="1">
      <alignment vertical="center"/>
    </xf>
    <xf numFmtId="37" fontId="21" fillId="0" borderId="0" xfId="0" applyNumberFormat="1" applyFont="1"/>
    <xf numFmtId="3" fontId="11" fillId="0" borderId="8" xfId="4" applyNumberFormat="1" applyFont="1" applyBorder="1" applyProtection="1"/>
    <xf numFmtId="3" fontId="11" fillId="0" borderId="8" xfId="4" applyNumberFormat="1" applyFont="1" applyFill="1" applyBorder="1" applyProtection="1"/>
    <xf numFmtId="3" fontId="11" fillId="0" borderId="26" xfId="4" applyNumberFormat="1" applyFont="1" applyFill="1" applyBorder="1" applyProtection="1"/>
    <xf numFmtId="0" fontId="25" fillId="0" borderId="0" xfId="0" quotePrefix="1" applyFont="1"/>
    <xf numFmtId="164" fontId="11" fillId="0" borderId="8" xfId="4" applyNumberFormat="1" applyFont="1" applyFill="1" applyBorder="1" applyProtection="1"/>
    <xf numFmtId="37" fontId="32" fillId="0" borderId="0" xfId="4" applyNumberFormat="1" applyFont="1" applyFill="1" applyProtection="1"/>
    <xf numFmtId="171" fontId="66" fillId="0" borderId="1" xfId="0" applyNumberFormat="1" applyFont="1" applyBorder="1" applyAlignment="1">
      <alignment horizontal="right"/>
    </xf>
    <xf numFmtId="171" fontId="66" fillId="0" borderId="11" xfId="0" applyNumberFormat="1" applyFont="1" applyBorder="1" applyAlignment="1">
      <alignment horizontal="right"/>
    </xf>
    <xf numFmtId="164" fontId="11" fillId="0" borderId="26" xfId="0" applyNumberFormat="1" applyFont="1" applyBorder="1"/>
    <xf numFmtId="37" fontId="32" fillId="0" borderId="0" xfId="4" applyNumberFormat="1" applyFont="1" applyFill="1" applyProtection="1">
      <protection locked="0"/>
    </xf>
    <xf numFmtId="37" fontId="32" fillId="0" borderId="0" xfId="4" applyNumberFormat="1" applyFont="1" applyFill="1" applyBorder="1" applyAlignment="1" applyProtection="1">
      <alignment horizontal="right"/>
      <protection locked="0"/>
    </xf>
    <xf numFmtId="37" fontId="12" fillId="0" borderId="0" xfId="4" applyNumberFormat="1" applyFont="1" applyFill="1" applyBorder="1" applyAlignment="1" applyProtection="1">
      <alignment horizontal="right"/>
      <protection locked="0"/>
    </xf>
    <xf numFmtId="37" fontId="12" fillId="0" borderId="0" xfId="4" applyNumberFormat="1" applyFont="1" applyFill="1" applyProtection="1">
      <protection locked="0"/>
    </xf>
    <xf numFmtId="37" fontId="12" fillId="0" borderId="1" xfId="4" applyNumberFormat="1" applyFont="1" applyFill="1" applyBorder="1" applyProtection="1">
      <protection locked="0"/>
    </xf>
    <xf numFmtId="37" fontId="11" fillId="0" borderId="8" xfId="4" applyNumberFormat="1" applyFont="1" applyFill="1" applyBorder="1" applyProtection="1"/>
    <xf numFmtId="37" fontId="0" fillId="0" borderId="8" xfId="4" applyNumberFormat="1" applyFont="1" applyBorder="1" applyProtection="1"/>
    <xf numFmtId="37" fontId="39" fillId="0" borderId="0" xfId="4" applyNumberFormat="1" applyFont="1" applyBorder="1" applyProtection="1"/>
    <xf numFmtId="37" fontId="14" fillId="0" borderId="0" xfId="4" applyNumberFormat="1" applyFont="1" applyBorder="1" applyProtection="1"/>
    <xf numFmtId="37" fontId="0" fillId="0" borderId="9" xfId="4" applyNumberFormat="1" applyFont="1" applyBorder="1" applyProtection="1"/>
    <xf numFmtId="37" fontId="14" fillId="0" borderId="6" xfId="4" applyNumberFormat="1" applyFont="1" applyBorder="1" applyProtection="1"/>
    <xf numFmtId="37" fontId="0" fillId="0" borderId="1" xfId="4" applyNumberFormat="1" applyFont="1" applyFill="1" applyBorder="1" applyProtection="1"/>
    <xf numFmtId="37" fontId="0" fillId="0" borderId="11" xfId="4" applyNumberFormat="1" applyFont="1" applyFill="1" applyBorder="1" applyProtection="1"/>
    <xf numFmtId="3" fontId="65" fillId="0" borderId="0" xfId="4" applyNumberFormat="1" applyFont="1" applyFill="1" applyProtection="1">
      <protection locked="0"/>
    </xf>
    <xf numFmtId="3" fontId="32" fillId="0" borderId="0" xfId="4" applyNumberFormat="1" applyFont="1" applyFill="1" applyProtection="1">
      <protection locked="0"/>
    </xf>
    <xf numFmtId="3" fontId="11" fillId="0" borderId="0" xfId="0" applyNumberFormat="1" applyFont="1" applyAlignment="1">
      <alignment vertical="center"/>
    </xf>
    <xf numFmtId="164" fontId="36" fillId="0" borderId="0" xfId="4" applyNumberFormat="1" applyFont="1" applyFill="1" applyProtection="1">
      <protection locked="0"/>
    </xf>
    <xf numFmtId="164" fontId="11" fillId="0" borderId="0" xfId="4" applyNumberFormat="1" applyFont="1" applyFill="1" applyProtection="1"/>
    <xf numFmtId="0" fontId="0" fillId="0" borderId="13" xfId="0" applyBorder="1"/>
    <xf numFmtId="173" fontId="12" fillId="0" borderId="0" xfId="0" applyNumberFormat="1" applyFont="1"/>
    <xf numFmtId="0" fontId="59" fillId="3" borderId="7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59" fillId="3" borderId="8" xfId="0" applyFont="1" applyFill="1" applyBorder="1" applyAlignment="1">
      <alignment vertical="center"/>
    </xf>
    <xf numFmtId="0" fontId="59" fillId="3" borderId="9" xfId="0" applyFont="1" applyFill="1" applyBorder="1" applyAlignment="1">
      <alignment vertical="center"/>
    </xf>
    <xf numFmtId="0" fontId="11" fillId="4" borderId="5" xfId="0" applyFont="1" applyFill="1" applyBorder="1" applyAlignment="1">
      <alignment vertical="center"/>
    </xf>
    <xf numFmtId="0" fontId="0" fillId="4" borderId="6" xfId="0" applyFill="1" applyBorder="1"/>
    <xf numFmtId="0" fontId="11" fillId="5" borderId="5" xfId="0" applyFont="1" applyFill="1" applyBorder="1" applyAlignment="1">
      <alignment vertical="center"/>
    </xf>
    <xf numFmtId="0" fontId="0" fillId="5" borderId="6" xfId="0" applyFill="1" applyBorder="1"/>
    <xf numFmtId="0" fontId="0" fillId="0" borderId="6" xfId="0" applyBorder="1"/>
    <xf numFmtId="0" fontId="11" fillId="0" borderId="5" xfId="0" applyFont="1" applyBorder="1"/>
    <xf numFmtId="173" fontId="12" fillId="0" borderId="6" xfId="0" applyNumberFormat="1" applyFont="1" applyBorder="1"/>
    <xf numFmtId="0" fontId="13" fillId="0" borderId="5" xfId="0" applyFont="1" applyBorder="1"/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5" fontId="12" fillId="0" borderId="1" xfId="0" applyNumberFormat="1" applyFont="1" applyBorder="1"/>
    <xf numFmtId="175" fontId="12" fillId="0" borderId="11" xfId="0" applyNumberFormat="1" applyFont="1" applyBorder="1"/>
    <xf numFmtId="0" fontId="0" fillId="0" borderId="7" xfId="0" quotePrefix="1" applyBorder="1"/>
    <xf numFmtId="0" fontId="0" fillId="0" borderId="5" xfId="0" quotePrefix="1" applyBorder="1"/>
    <xf numFmtId="0" fontId="11" fillId="0" borderId="8" xfId="0" applyFont="1" applyBorder="1" applyAlignment="1">
      <alignment horizontal="right"/>
    </xf>
    <xf numFmtId="0" fontId="0" fillId="0" borderId="10" xfId="0" quotePrefix="1" applyBorder="1"/>
    <xf numFmtId="0" fontId="0" fillId="0" borderId="14" xfId="0" applyBorder="1"/>
    <xf numFmtId="9" fontId="0" fillId="0" borderId="1" xfId="0" applyNumberFormat="1" applyBorder="1"/>
    <xf numFmtId="193" fontId="0" fillId="0" borderId="0" xfId="0" applyNumberFormat="1"/>
    <xf numFmtId="37" fontId="0" fillId="0" borderId="0" xfId="0" applyNumberFormat="1" applyAlignment="1">
      <alignment horizontal="right"/>
    </xf>
    <xf numFmtId="0" fontId="70" fillId="0" borderId="0" xfId="0" applyFont="1" applyAlignment="1">
      <alignment horizontal="left" vertical="top"/>
    </xf>
    <xf numFmtId="9" fontId="12" fillId="2" borderId="0" xfId="0" applyNumberFormat="1" applyFont="1" applyFill="1"/>
    <xf numFmtId="186" fontId="12" fillId="2" borderId="0" xfId="0" applyNumberFormat="1" applyFont="1" applyFill="1"/>
    <xf numFmtId="0" fontId="0" fillId="2" borderId="0" xfId="0" applyFill="1"/>
    <xf numFmtId="171" fontId="12" fillId="2" borderId="32" xfId="0" applyNumberFormat="1" applyFont="1" applyFill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185" fontId="12" fillId="2" borderId="0" xfId="0" quotePrefix="1" applyNumberFormat="1" applyFont="1" applyFill="1" applyAlignment="1">
      <alignment horizontal="centerContinuous"/>
    </xf>
    <xf numFmtId="185" fontId="12" fillId="2" borderId="34" xfId="0" quotePrefix="1" applyNumberFormat="1" applyFont="1" applyFill="1" applyBorder="1" applyAlignment="1">
      <alignment horizontal="centerContinuous"/>
    </xf>
    <xf numFmtId="0" fontId="12" fillId="2" borderId="48" xfId="0" applyFont="1" applyFill="1" applyBorder="1" applyAlignment="1">
      <alignment horizontal="left"/>
    </xf>
    <xf numFmtId="166" fontId="12" fillId="2" borderId="49" xfId="0" applyNumberFormat="1" applyFont="1" applyFill="1" applyBorder="1" applyAlignment="1">
      <alignment horizontal="right"/>
    </xf>
    <xf numFmtId="39" fontId="12" fillId="2" borderId="32" xfId="0" applyNumberFormat="1" applyFont="1" applyFill="1" applyBorder="1" applyAlignment="1">
      <alignment horizontal="right"/>
    </xf>
    <xf numFmtId="171" fontId="12" fillId="2" borderId="35" xfId="0" quotePrefix="1" applyNumberFormat="1" applyFont="1" applyFill="1" applyBorder="1" applyAlignment="1">
      <alignment horizontal="right"/>
    </xf>
    <xf numFmtId="171" fontId="12" fillId="2" borderId="32" xfId="0" quotePrefix="1" applyNumberFormat="1" applyFont="1" applyFill="1" applyBorder="1" applyAlignment="1">
      <alignment horizontal="right"/>
    </xf>
    <xf numFmtId="173" fontId="12" fillId="2" borderId="0" xfId="0" applyNumberFormat="1" applyFont="1" applyFill="1"/>
    <xf numFmtId="173" fontId="12" fillId="2" borderId="6" xfId="0" applyNumberFormat="1" applyFont="1" applyFill="1" applyBorder="1"/>
    <xf numFmtId="0" fontId="0" fillId="2" borderId="6" xfId="0" applyFill="1" applyBorder="1"/>
    <xf numFmtId="171" fontId="12" fillId="2" borderId="0" xfId="0" applyNumberFormat="1" applyFont="1" applyFill="1"/>
    <xf numFmtId="171" fontId="12" fillId="2" borderId="6" xfId="0" applyNumberFormat="1" applyFont="1" applyFill="1" applyBorder="1"/>
    <xf numFmtId="37" fontId="12" fillId="2" borderId="0" xfId="0" applyNumberFormat="1" applyFont="1" applyFill="1"/>
    <xf numFmtId="37" fontId="12" fillId="2" borderId="6" xfId="0" applyNumberFormat="1" applyFont="1" applyFill="1" applyBorder="1"/>
    <xf numFmtId="9" fontId="12" fillId="2" borderId="6" xfId="0" applyNumberFormat="1" applyFont="1" applyFill="1" applyBorder="1"/>
    <xf numFmtId="164" fontId="12" fillId="2" borderId="0" xfId="0" applyNumberFormat="1" applyFont="1" applyFill="1"/>
    <xf numFmtId="164" fontId="12" fillId="2" borderId="6" xfId="0" applyNumberFormat="1" applyFont="1" applyFill="1" applyBorder="1"/>
    <xf numFmtId="0" fontId="0" fillId="2" borderId="0" xfId="0" quotePrefix="1" applyFill="1"/>
    <xf numFmtId="175" fontId="12" fillId="2" borderId="0" xfId="0" applyNumberFormat="1" applyFont="1" applyFill="1"/>
    <xf numFmtId="175" fontId="12" fillId="2" borderId="6" xfId="0" applyNumberFormat="1" applyFont="1" applyFill="1" applyBorder="1"/>
    <xf numFmtId="164" fontId="3" fillId="2" borderId="0" xfId="4" applyNumberFormat="1" applyFont="1" applyFill="1" applyBorder="1"/>
    <xf numFmtId="0" fontId="3" fillId="2" borderId="0" xfId="7" applyFill="1"/>
    <xf numFmtId="192" fontId="48" fillId="2" borderId="0" xfId="0" applyNumberFormat="1" applyFont="1" applyFill="1"/>
    <xf numFmtId="0" fontId="25" fillId="2" borderId="0" xfId="7" applyFont="1" applyFill="1"/>
    <xf numFmtId="164" fontId="62" fillId="2" borderId="0" xfId="4" applyNumberFormat="1" applyFont="1" applyFill="1" applyBorder="1"/>
    <xf numFmtId="0" fontId="62" fillId="2" borderId="0" xfId="7" applyFont="1" applyFill="1"/>
    <xf numFmtId="192" fontId="63" fillId="2" borderId="0" xfId="0" applyNumberFormat="1" applyFont="1" applyFill="1"/>
    <xf numFmtId="0" fontId="62" fillId="2" borderId="47" xfId="7" applyFont="1" applyFill="1" applyBorder="1"/>
    <xf numFmtId="0" fontId="64" fillId="2" borderId="0" xfId="7" applyFont="1" applyFill="1"/>
    <xf numFmtId="0" fontId="3" fillId="2" borderId="0" xfId="8" applyFont="1" applyFill="1"/>
    <xf numFmtId="0" fontId="3" fillId="2" borderId="0" xfId="8" applyFont="1" applyFill="1" applyAlignment="1">
      <alignment horizontal="center"/>
    </xf>
    <xf numFmtId="0" fontId="11" fillId="2" borderId="0" xfId="8" applyFont="1" applyFill="1" applyAlignment="1">
      <alignment horizontal="left" vertical="center"/>
    </xf>
    <xf numFmtId="0" fontId="21" fillId="2" borderId="0" xfId="8" applyFont="1" applyFill="1" applyAlignment="1">
      <alignment horizontal="center"/>
    </xf>
    <xf numFmtId="171" fontId="11" fillId="2" borderId="13" xfId="0" applyNumberFormat="1" applyFont="1" applyFill="1" applyBorder="1" applyAlignment="1">
      <alignment vertical="center"/>
    </xf>
    <xf numFmtId="171" fontId="11" fillId="2" borderId="14" xfId="0" applyNumberFormat="1" applyFont="1" applyFill="1" applyBorder="1" applyAlignment="1">
      <alignment vertical="center"/>
    </xf>
    <xf numFmtId="171" fontId="11" fillId="2" borderId="15" xfId="0" applyNumberFormat="1" applyFont="1" applyFill="1" applyBorder="1" applyAlignment="1">
      <alignment vertical="center"/>
    </xf>
    <xf numFmtId="0" fontId="11" fillId="2" borderId="0" xfId="8" quotePrefix="1" applyFont="1" applyFill="1" applyAlignment="1">
      <alignment horizontal="left"/>
    </xf>
    <xf numFmtId="171" fontId="3" fillId="2" borderId="0" xfId="0" applyNumberFormat="1" applyFont="1" applyFill="1"/>
    <xf numFmtId="171" fontId="24" fillId="2" borderId="16" xfId="0" applyNumberFormat="1" applyFont="1" applyFill="1" applyBorder="1"/>
    <xf numFmtId="171" fontId="24" fillId="2" borderId="17" xfId="0" applyNumberFormat="1" applyFont="1" applyFill="1" applyBorder="1"/>
    <xf numFmtId="171" fontId="24" fillId="2" borderId="18" xfId="0" applyNumberFormat="1" applyFont="1" applyFill="1" applyBorder="1"/>
    <xf numFmtId="171" fontId="24" fillId="2" borderId="19" xfId="0" applyNumberFormat="1" applyFont="1" applyFill="1" applyBorder="1"/>
    <xf numFmtId="171" fontId="24" fillId="2" borderId="0" xfId="0" applyNumberFormat="1" applyFont="1" applyFill="1"/>
    <xf numFmtId="171" fontId="24" fillId="2" borderId="20" xfId="0" applyNumberFormat="1" applyFont="1" applyFill="1" applyBorder="1"/>
    <xf numFmtId="171" fontId="24" fillId="2" borderId="21" xfId="0" applyNumberFormat="1" applyFont="1" applyFill="1" applyBorder="1"/>
    <xf numFmtId="171" fontId="24" fillId="2" borderId="22" xfId="0" applyNumberFormat="1" applyFont="1" applyFill="1" applyBorder="1"/>
    <xf numFmtId="171" fontId="24" fillId="2" borderId="23" xfId="0" applyNumberFormat="1" applyFont="1" applyFill="1" applyBorder="1"/>
    <xf numFmtId="0" fontId="3" fillId="2" borderId="0" xfId="8" applyFont="1" applyFill="1" applyAlignment="1">
      <alignment horizontal="left"/>
    </xf>
    <xf numFmtId="0" fontId="25" fillId="2" borderId="0" xfId="8" applyFont="1" applyFill="1" applyAlignment="1">
      <alignment horizontal="center"/>
    </xf>
    <xf numFmtId="0" fontId="3" fillId="2" borderId="22" xfId="8" applyFont="1" applyFill="1" applyBorder="1"/>
    <xf numFmtId="0" fontId="3" fillId="2" borderId="22" xfId="8" applyFont="1" applyFill="1" applyBorder="1" applyAlignment="1">
      <alignment horizontal="center"/>
    </xf>
    <xf numFmtId="0" fontId="23" fillId="2" borderId="0" xfId="8" applyFont="1" applyFill="1" applyAlignment="1">
      <alignment horizontal="left"/>
    </xf>
    <xf numFmtId="0" fontId="3" fillId="2" borderId="0" xfId="8" applyFont="1" applyFill="1" applyAlignment="1">
      <alignment vertical="center"/>
    </xf>
    <xf numFmtId="0" fontId="21" fillId="2" borderId="0" xfId="8" applyFont="1" applyFill="1" applyAlignment="1">
      <alignment horizontal="center" vertical="center"/>
    </xf>
    <xf numFmtId="175" fontId="26" fillId="2" borderId="13" xfId="0" applyNumberFormat="1" applyFont="1" applyFill="1" applyBorder="1" applyAlignment="1">
      <alignment vertical="center"/>
    </xf>
    <xf numFmtId="175" fontId="26" fillId="2" borderId="14" xfId="0" applyNumberFormat="1" applyFont="1" applyFill="1" applyBorder="1" applyAlignment="1">
      <alignment vertical="center"/>
    </xf>
    <xf numFmtId="175" fontId="26" fillId="2" borderId="15" xfId="0" applyNumberFormat="1" applyFont="1" applyFill="1" applyBorder="1" applyAlignment="1">
      <alignment vertical="center"/>
    </xf>
    <xf numFmtId="0" fontId="11" fillId="2" borderId="0" xfId="8" applyFont="1" applyFill="1" applyAlignment="1">
      <alignment horizontal="left"/>
    </xf>
    <xf numFmtId="183" fontId="26" fillId="2" borderId="0" xfId="0" applyNumberFormat="1" applyFont="1" applyFill="1"/>
    <xf numFmtId="175" fontId="24" fillId="2" borderId="7" xfId="4" applyNumberFormat="1" applyFont="1" applyFill="1" applyBorder="1" applyProtection="1"/>
    <xf numFmtId="175" fontId="24" fillId="2" borderId="8" xfId="4" applyNumberFormat="1" applyFont="1" applyFill="1" applyBorder="1" applyProtection="1"/>
    <xf numFmtId="175" fontId="24" fillId="2" borderId="9" xfId="0" applyNumberFormat="1" applyFont="1" applyFill="1" applyBorder="1"/>
    <xf numFmtId="0" fontId="0" fillId="2" borderId="0" xfId="8" applyFont="1" applyFill="1" applyAlignment="1">
      <alignment horizontal="left"/>
    </xf>
    <xf numFmtId="175" fontId="25" fillId="2" borderId="5" xfId="4" applyNumberFormat="1" applyFont="1" applyFill="1" applyBorder="1" applyProtection="1"/>
    <xf numFmtId="175" fontId="25" fillId="2" borderId="0" xfId="4" applyNumberFormat="1" applyFont="1" applyFill="1" applyBorder="1" applyProtection="1"/>
    <xf numFmtId="175" fontId="25" fillId="2" borderId="6" xfId="4" applyNumberFormat="1" applyFont="1" applyFill="1" applyBorder="1" applyProtection="1"/>
    <xf numFmtId="175" fontId="25" fillId="2" borderId="10" xfId="4" applyNumberFormat="1" applyFont="1" applyFill="1" applyBorder="1" applyProtection="1"/>
    <xf numFmtId="175" fontId="25" fillId="2" borderId="1" xfId="4" applyNumberFormat="1" applyFont="1" applyFill="1" applyBorder="1" applyProtection="1"/>
    <xf numFmtId="175" fontId="25" fillId="2" borderId="11" xfId="4" applyNumberFormat="1" applyFont="1" applyFill="1" applyBorder="1" applyProtection="1"/>
    <xf numFmtId="0" fontId="3" fillId="2" borderId="0" xfId="8" quotePrefix="1" applyFont="1" applyFill="1" applyAlignment="1">
      <alignment horizontal="left"/>
    </xf>
    <xf numFmtId="37" fontId="24" fillId="2" borderId="0" xfId="0" applyNumberFormat="1" applyFont="1" applyFill="1"/>
    <xf numFmtId="37" fontId="25" fillId="2" borderId="0" xfId="0" applyNumberFormat="1" applyFont="1" applyFill="1"/>
    <xf numFmtId="181" fontId="3" fillId="2" borderId="0" xfId="8" applyNumberFormat="1" applyFont="1" applyFill="1"/>
    <xf numFmtId="9" fontId="26" fillId="2" borderId="13" xfId="0" applyNumberFormat="1" applyFont="1" applyFill="1" applyBorder="1" applyAlignment="1">
      <alignment vertical="center"/>
    </xf>
    <xf numFmtId="9" fontId="26" fillId="2" borderId="14" xfId="0" applyNumberFormat="1" applyFont="1" applyFill="1" applyBorder="1" applyAlignment="1">
      <alignment vertical="center"/>
    </xf>
    <xf numFmtId="9" fontId="26" fillId="2" borderId="15" xfId="0" applyNumberFormat="1" applyFont="1" applyFill="1" applyBorder="1" applyAlignment="1">
      <alignment vertical="center"/>
    </xf>
    <xf numFmtId="9" fontId="26" fillId="2" borderId="0" xfId="0" applyNumberFormat="1" applyFont="1" applyFill="1"/>
    <xf numFmtId="9" fontId="24" fillId="2" borderId="7" xfId="0" applyNumberFormat="1" applyFont="1" applyFill="1" applyBorder="1"/>
    <xf numFmtId="9" fontId="24" fillId="2" borderId="8" xfId="0" applyNumberFormat="1" applyFont="1" applyFill="1" applyBorder="1"/>
    <xf numFmtId="9" fontId="24" fillId="2" borderId="9" xfId="0" applyNumberFormat="1" applyFont="1" applyFill="1" applyBorder="1"/>
    <xf numFmtId="9" fontId="25" fillId="2" borderId="5" xfId="4" applyNumberFormat="1" applyFont="1" applyFill="1" applyBorder="1" applyProtection="1"/>
    <xf numFmtId="9" fontId="25" fillId="2" borderId="0" xfId="4" applyNumberFormat="1" applyFont="1" applyFill="1" applyBorder="1" applyProtection="1"/>
    <xf numFmtId="9" fontId="25" fillId="2" borderId="6" xfId="4" applyNumberFormat="1" applyFont="1" applyFill="1" applyBorder="1" applyProtection="1"/>
    <xf numFmtId="9" fontId="25" fillId="2" borderId="10" xfId="4" applyNumberFormat="1" applyFont="1" applyFill="1" applyBorder="1" applyProtection="1"/>
    <xf numFmtId="9" fontId="25" fillId="2" borderId="1" xfId="4" applyNumberFormat="1" applyFont="1" applyFill="1" applyBorder="1" applyProtection="1"/>
    <xf numFmtId="9" fontId="25" fillId="2" borderId="11" xfId="4" applyNumberFormat="1" applyFont="1" applyFill="1" applyBorder="1" applyProtection="1"/>
    <xf numFmtId="9" fontId="11" fillId="2" borderId="13" xfId="0" applyNumberFormat="1" applyFont="1" applyFill="1" applyBorder="1" applyAlignment="1">
      <alignment vertical="center"/>
    </xf>
    <xf numFmtId="9" fontId="11" fillId="2" borderId="14" xfId="0" applyNumberFormat="1" applyFont="1" applyFill="1" applyBorder="1" applyAlignment="1">
      <alignment vertical="center"/>
    </xf>
    <xf numFmtId="9" fontId="11" fillId="2" borderId="15" xfId="0" applyNumberFormat="1" applyFont="1" applyFill="1" applyBorder="1" applyAlignment="1">
      <alignment vertical="center"/>
    </xf>
    <xf numFmtId="9" fontId="3" fillId="2" borderId="0" xfId="0" applyNumberFormat="1" applyFont="1" applyFill="1"/>
    <xf numFmtId="9" fontId="24" fillId="2" borderId="5" xfId="0" applyNumberFormat="1" applyFont="1" applyFill="1" applyBorder="1"/>
    <xf numFmtId="9" fontId="24" fillId="2" borderId="0" xfId="0" applyNumberFormat="1" applyFont="1" applyFill="1"/>
    <xf numFmtId="9" fontId="24" fillId="2" borderId="6" xfId="0" applyNumberFormat="1" applyFont="1" applyFill="1" applyBorder="1"/>
    <xf numFmtId="9" fontId="24" fillId="2" borderId="10" xfId="0" applyNumberFormat="1" applyFont="1" applyFill="1" applyBorder="1"/>
    <xf numFmtId="9" fontId="24" fillId="2" borderId="1" xfId="0" applyNumberFormat="1" applyFont="1" applyFill="1" applyBorder="1"/>
    <xf numFmtId="9" fontId="24" fillId="2" borderId="11" xfId="0" applyNumberFormat="1" applyFont="1" applyFill="1" applyBorder="1"/>
    <xf numFmtId="37" fontId="0" fillId="2" borderId="0" xfId="0" applyNumberFormat="1" applyFill="1"/>
    <xf numFmtId="164" fontId="0" fillId="2" borderId="8" xfId="0" applyNumberFormat="1" applyFill="1" applyBorder="1"/>
    <xf numFmtId="184" fontId="49" fillId="2" borderId="0" xfId="0" applyNumberFormat="1" applyFont="1" applyFill="1"/>
    <xf numFmtId="164" fontId="11" fillId="2" borderId="14" xfId="0" applyNumberFormat="1" applyFont="1" applyFill="1" applyBorder="1"/>
    <xf numFmtId="37" fontId="0" fillId="2" borderId="1" xfId="0" applyNumberFormat="1" applyFill="1" applyBorder="1"/>
    <xf numFmtId="164" fontId="0" fillId="2" borderId="0" xfId="0" applyNumberFormat="1" applyFill="1"/>
    <xf numFmtId="3" fontId="0" fillId="2" borderId="0" xfId="0" applyNumberFormat="1" applyFill="1"/>
    <xf numFmtId="184" fontId="49" fillId="2" borderId="1" xfId="0" applyNumberFormat="1" applyFont="1" applyFill="1" applyBorder="1"/>
    <xf numFmtId="164" fontId="11" fillId="2" borderId="0" xfId="0" applyNumberFormat="1" applyFont="1" applyFill="1"/>
    <xf numFmtId="37" fontId="0" fillId="2" borderId="0" xfId="4" applyNumberFormat="1" applyFont="1" applyFill="1" applyProtection="1"/>
    <xf numFmtId="37" fontId="0" fillId="2" borderId="1" xfId="4" applyNumberFormat="1" applyFont="1" applyFill="1" applyBorder="1" applyProtection="1"/>
    <xf numFmtId="0" fontId="0" fillId="2" borderId="1" xfId="0" applyFill="1" applyBorder="1"/>
    <xf numFmtId="37" fontId="49" fillId="2" borderId="1" xfId="0" applyNumberFormat="1" applyFont="1" applyFill="1" applyBorder="1"/>
    <xf numFmtId="164" fontId="11" fillId="2" borderId="26" xfId="0" applyNumberFormat="1" applyFont="1" applyFill="1" applyBorder="1"/>
    <xf numFmtId="9" fontId="49" fillId="2" borderId="9" xfId="0" applyNumberFormat="1" applyFont="1" applyFill="1" applyBorder="1" applyAlignment="1">
      <alignment vertical="center"/>
    </xf>
    <xf numFmtId="9" fontId="49" fillId="2" borderId="11" xfId="0" applyNumberFormat="1" applyFont="1" applyFill="1" applyBorder="1" applyAlignment="1">
      <alignment vertical="center"/>
    </xf>
    <xf numFmtId="0" fontId="0" fillId="2" borderId="25" xfId="0" applyFill="1" applyBorder="1"/>
    <xf numFmtId="37" fontId="44" fillId="2" borderId="25" xfId="0" applyNumberFormat="1" applyFont="1" applyFill="1" applyBorder="1"/>
    <xf numFmtId="37" fontId="44" fillId="2" borderId="27" xfId="0" applyNumberFormat="1" applyFont="1" applyFill="1" applyBorder="1"/>
    <xf numFmtId="183" fontId="12" fillId="2" borderId="0" xfId="4" applyNumberFormat="1" applyFont="1" applyFill="1" applyProtection="1"/>
    <xf numFmtId="175" fontId="0" fillId="2" borderId="0" xfId="4" applyNumberFormat="1" applyFont="1" applyFill="1" applyProtection="1"/>
    <xf numFmtId="175" fontId="49" fillId="2" borderId="0" xfId="4" applyNumberFormat="1" applyFont="1" applyFill="1" applyProtection="1"/>
    <xf numFmtId="183" fontId="0" fillId="2" borderId="0" xfId="0" applyNumberFormat="1" applyFill="1"/>
    <xf numFmtId="37" fontId="0" fillId="2" borderId="0" xfId="4" applyNumberFormat="1" applyFont="1" applyFill="1" applyBorder="1" applyProtection="1"/>
    <xf numFmtId="37" fontId="11" fillId="2" borderId="0" xfId="0" applyNumberFormat="1" applyFont="1" applyFill="1"/>
    <xf numFmtId="164" fontId="11" fillId="2" borderId="26" xfId="4" applyNumberFormat="1" applyFont="1" applyFill="1" applyBorder="1" applyProtection="1"/>
    <xf numFmtId="37" fontId="47" fillId="2" borderId="0" xfId="0" applyNumberFormat="1" applyFont="1" applyFill="1"/>
    <xf numFmtId="37" fontId="26" fillId="2" borderId="0" xfId="0" applyNumberFormat="1" applyFont="1" applyFill="1"/>
    <xf numFmtId="37" fontId="44" fillId="2" borderId="0" xfId="0" applyNumberFormat="1" applyFont="1" applyFill="1"/>
    <xf numFmtId="172" fontId="44" fillId="2" borderId="0" xfId="0" applyNumberFormat="1" applyFont="1" applyFill="1"/>
    <xf numFmtId="37" fontId="12" fillId="2" borderId="8" xfId="0" applyNumberFormat="1" applyFont="1" applyFill="1" applyBorder="1"/>
    <xf numFmtId="37" fontId="12" fillId="2" borderId="9" xfId="0" applyNumberFormat="1" applyFont="1" applyFill="1" applyBorder="1"/>
    <xf numFmtId="37" fontId="44" fillId="2" borderId="6" xfId="0" applyNumberFormat="1" applyFont="1" applyFill="1" applyBorder="1"/>
    <xf numFmtId="37" fontId="26" fillId="2" borderId="1" xfId="0" applyNumberFormat="1" applyFont="1" applyFill="1" applyBorder="1"/>
    <xf numFmtId="37" fontId="26" fillId="2" borderId="11" xfId="0" applyNumberFormat="1" applyFont="1" applyFill="1" applyBorder="1"/>
    <xf numFmtId="9" fontId="49" fillId="2" borderId="15" xfId="0" applyNumberFormat="1" applyFont="1" applyFill="1" applyBorder="1" applyAlignment="1">
      <alignment vertical="center"/>
    </xf>
    <xf numFmtId="0" fontId="43" fillId="2" borderId="0" xfId="0" applyFont="1" applyFill="1" applyAlignment="1">
      <alignment horizontal="right"/>
    </xf>
    <xf numFmtId="0" fontId="25" fillId="2" borderId="0" xfId="0" applyFont="1" applyFill="1"/>
    <xf numFmtId="9" fontId="49" fillId="2" borderId="6" xfId="0" applyNumberFormat="1" applyFont="1" applyFill="1" applyBorder="1" applyAlignment="1">
      <alignment vertical="center"/>
    </xf>
    <xf numFmtId="0" fontId="44" fillId="2" borderId="0" xfId="0" applyFont="1" applyFill="1" applyAlignment="1">
      <alignment vertical="center"/>
    </xf>
    <xf numFmtId="171" fontId="49" fillId="2" borderId="9" xfId="0" applyNumberFormat="1" applyFont="1" applyFill="1" applyBorder="1" applyAlignment="1">
      <alignment vertical="center"/>
    </xf>
    <xf numFmtId="37" fontId="3" fillId="2" borderId="0" xfId="4" applyNumberFormat="1" applyFont="1" applyFill="1" applyBorder="1" applyProtection="1"/>
    <xf numFmtId="39" fontId="11" fillId="2" borderId="0" xfId="4" applyNumberFormat="1" applyFont="1" applyFill="1" applyBorder="1" applyProtection="1"/>
    <xf numFmtId="172" fontId="12" fillId="2" borderId="0" xfId="4" applyNumberFormat="1" applyFont="1" applyFill="1" applyBorder="1" applyProtection="1"/>
    <xf numFmtId="172" fontId="65" fillId="2" borderId="0" xfId="4" applyNumberFormat="1" applyFont="1" applyFill="1" applyBorder="1" applyProtection="1"/>
    <xf numFmtId="0" fontId="13" fillId="2" borderId="0" xfId="0" applyFont="1" applyFill="1"/>
    <xf numFmtId="172" fontId="11" fillId="2" borderId="0" xfId="4" applyNumberFormat="1" applyFont="1" applyFill="1" applyBorder="1" applyProtection="1"/>
    <xf numFmtId="172" fontId="3" fillId="2" borderId="0" xfId="4" applyNumberFormat="1" applyFont="1" applyFill="1" applyBorder="1" applyProtection="1"/>
    <xf numFmtId="37" fontId="11" fillId="2" borderId="0" xfId="4" applyNumberFormat="1" applyFont="1" applyFill="1" applyBorder="1" applyProtection="1"/>
    <xf numFmtId="173" fontId="11" fillId="2" borderId="0" xfId="4" applyNumberFormat="1" applyFont="1" applyFill="1" applyBorder="1" applyProtection="1"/>
    <xf numFmtId="173" fontId="11" fillId="2" borderId="26" xfId="4" applyNumberFormat="1" applyFont="1" applyFill="1" applyBorder="1" applyProtection="1"/>
    <xf numFmtId="37" fontId="11" fillId="2" borderId="22" xfId="4" applyNumberFormat="1" applyFont="1" applyFill="1" applyBorder="1" applyProtection="1"/>
    <xf numFmtId="0" fontId="31" fillId="2" borderId="0" xfId="0" applyFont="1" applyFill="1"/>
    <xf numFmtId="171" fontId="0" fillId="2" borderId="0" xfId="0" applyNumberFormat="1" applyFill="1"/>
    <xf numFmtId="169" fontId="32" fillId="2" borderId="0" xfId="4" applyNumberFormat="1" applyFont="1" applyFill="1" applyBorder="1" applyProtection="1"/>
    <xf numFmtId="169" fontId="32" fillId="2" borderId="0" xfId="4" applyNumberFormat="1" applyFont="1" applyFill="1" applyProtection="1"/>
    <xf numFmtId="169" fontId="49" fillId="2" borderId="0" xfId="4" applyNumberFormat="1" applyFont="1" applyFill="1" applyProtection="1"/>
    <xf numFmtId="171" fontId="20" fillId="2" borderId="0" xfId="0" applyNumberFormat="1" applyFont="1" applyFill="1"/>
    <xf numFmtId="169" fontId="12" fillId="2" borderId="0" xfId="4" applyNumberFormat="1" applyFont="1" applyFill="1" applyBorder="1" applyProtection="1"/>
    <xf numFmtId="170" fontId="35" fillId="2" borderId="22" xfId="4" applyNumberFormat="1" applyFont="1" applyFill="1" applyBorder="1" applyProtection="1"/>
    <xf numFmtId="170" fontId="11" fillId="2" borderId="22" xfId="4" applyNumberFormat="1" applyFont="1" applyFill="1" applyBorder="1" applyProtection="1"/>
    <xf numFmtId="170" fontId="35" fillId="2" borderId="0" xfId="4" applyNumberFormat="1" applyFont="1" applyFill="1" applyProtection="1"/>
    <xf numFmtId="170" fontId="11" fillId="2" borderId="0" xfId="4" applyNumberFormat="1" applyFont="1" applyFill="1" applyProtection="1"/>
    <xf numFmtId="171" fontId="20" fillId="2" borderId="1" xfId="0" applyNumberFormat="1" applyFont="1" applyFill="1" applyBorder="1"/>
    <xf numFmtId="171" fontId="50" fillId="2" borderId="1" xfId="0" applyNumberFormat="1" applyFont="1" applyFill="1" applyBorder="1"/>
    <xf numFmtId="169" fontId="36" fillId="2" borderId="0" xfId="4" applyNumberFormat="1" applyFont="1" applyFill="1" applyBorder="1" applyProtection="1"/>
    <xf numFmtId="0" fontId="0" fillId="2" borderId="22" xfId="0" applyFill="1" applyBorder="1"/>
    <xf numFmtId="37" fontId="32" fillId="2" borderId="0" xfId="4" applyNumberFormat="1" applyFont="1" applyFill="1" applyProtection="1"/>
    <xf numFmtId="37" fontId="36" fillId="2" borderId="8" xfId="4" applyNumberFormat="1" applyFont="1" applyFill="1" applyBorder="1" applyProtection="1"/>
    <xf numFmtId="37" fontId="11" fillId="2" borderId="8" xfId="0" applyNumberFormat="1" applyFont="1" applyFill="1" applyBorder="1"/>
    <xf numFmtId="9" fontId="66" fillId="2" borderId="0" xfId="0" applyNumberFormat="1" applyFont="1" applyFill="1"/>
    <xf numFmtId="37" fontId="0" fillId="2" borderId="8" xfId="0" applyNumberFormat="1" applyFill="1" applyBorder="1"/>
    <xf numFmtId="0" fontId="0" fillId="2" borderId="0" xfId="0" applyFill="1" applyAlignment="1">
      <alignment horizontal="centerContinuous"/>
    </xf>
    <xf numFmtId="0" fontId="27" fillId="2" borderId="0" xfId="7" quotePrefix="1" applyFont="1" applyFill="1" applyAlignment="1">
      <alignment horizontal="right" vertical="center"/>
    </xf>
    <xf numFmtId="37" fontId="49" fillId="2" borderId="0" xfId="0" applyNumberFormat="1" applyFont="1" applyFill="1"/>
    <xf numFmtId="9" fontId="49" fillId="0" borderId="9" xfId="0" applyNumberFormat="1" applyFont="1" applyBorder="1"/>
    <xf numFmtId="9" fontId="49" fillId="0" borderId="6" xfId="0" applyNumberFormat="1" applyFont="1" applyBorder="1"/>
    <xf numFmtId="0" fontId="49" fillId="0" borderId="11" xfId="0" applyFont="1" applyBorder="1"/>
    <xf numFmtId="194" fontId="49" fillId="0" borderId="6" xfId="0" applyNumberFormat="1" applyFont="1" applyBorder="1" applyAlignment="1">
      <alignment horizontal="right"/>
    </xf>
    <xf numFmtId="3" fontId="0" fillId="0" borderId="8" xfId="4" applyNumberFormat="1" applyFont="1" applyFill="1" applyBorder="1" applyProtection="1">
      <protection locked="0"/>
    </xf>
    <xf numFmtId="186" fontId="0" fillId="0" borderId="15" xfId="0" applyNumberFormat="1" applyBorder="1"/>
    <xf numFmtId="37" fontId="11" fillId="0" borderId="0" xfId="0" applyNumberFormat="1" applyFont="1" applyAlignment="1">
      <alignment horizontal="right"/>
    </xf>
    <xf numFmtId="37" fontId="11" fillId="0" borderId="8" xfId="0" applyNumberFormat="1" applyFont="1" applyBorder="1"/>
    <xf numFmtId="0" fontId="71" fillId="0" borderId="0" xfId="7" applyFont="1" applyAlignment="1">
      <alignment horizontal="centerContinuous"/>
    </xf>
    <xf numFmtId="0" fontId="71" fillId="2" borderId="0" xfId="0" applyFont="1" applyFill="1" applyAlignment="1">
      <alignment horizontal="centerContinuous"/>
    </xf>
    <xf numFmtId="0" fontId="71" fillId="0" borderId="0" xfId="0" applyFont="1" applyAlignment="1">
      <alignment horizontal="centerContinuous"/>
    </xf>
    <xf numFmtId="0" fontId="71" fillId="0" borderId="0" xfId="8" applyFont="1" applyAlignment="1">
      <alignment horizontal="centerContinuous"/>
    </xf>
    <xf numFmtId="0" fontId="72" fillId="0" borderId="0" xfId="0" applyFont="1" applyAlignment="1">
      <alignment horizontal="centerContinuous"/>
    </xf>
  </cellXfs>
  <cellStyles count="13">
    <cellStyle name="Across" xfId="1" xr:uid="{00000000-0005-0000-0000-000000000000}"/>
    <cellStyle name="Bottom" xfId="2" xr:uid="{00000000-0005-0000-0000-000001000000}"/>
    <cellStyle name="Center" xfId="3" xr:uid="{00000000-0005-0000-0000-000002000000}"/>
    <cellStyle name="Comma" xfId="4" builtinId="3"/>
    <cellStyle name="Currency [2]" xfId="5" xr:uid="{00000000-0005-0000-0000-000004000000}"/>
    <cellStyle name="Double" xfId="6" xr:uid="{00000000-0005-0000-0000-000005000000}"/>
    <cellStyle name="Normal" xfId="0" builtinId="0"/>
    <cellStyle name="Normal 2" xfId="12" xr:uid="{00000000-0005-0000-0000-000007000000}"/>
    <cellStyle name="Normal_DrydenNewDCF3" xfId="7" xr:uid="{00000000-0005-0000-0000-000008000000}"/>
    <cellStyle name="Normal_TrainingDCF1" xfId="8" xr:uid="{00000000-0005-0000-0000-00000A000000}"/>
    <cellStyle name="Numbers" xfId="9" xr:uid="{00000000-0005-0000-0000-00000B000000}"/>
    <cellStyle name="Numbers - Bold - Italic" xfId="10" xr:uid="{00000000-0005-0000-0000-00000C000000}"/>
    <cellStyle name="Outline" xfId="11" xr:uid="{00000000-0005-0000-0000-00000D000000}"/>
  </cellStyles>
  <dxfs count="2"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</dxfs>
  <tableStyles count="0" defaultTableStyle="TableStyleMedium9" defaultPivotStyle="PivotStyleLight16"/>
  <colors>
    <mruColors>
      <color rgb="FF009B73"/>
      <color rgb="FF5B77CC"/>
      <color rgb="FFFFFF99"/>
      <color rgb="FF009966"/>
      <color rgb="FF002F6C"/>
      <color rgb="FF008ED6"/>
      <color rgb="FF6B72A9"/>
      <color rgb="FF6B729F"/>
      <color rgb="FF4586BB"/>
      <color rgb="FF827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1" fmlaLink="$D$6" fmlaRange="$C$14:$C$16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76200</xdr:rowOff>
    </xdr:from>
    <xdr:to>
      <xdr:col>5</xdr:col>
      <xdr:colOff>389751</xdr:colOff>
      <xdr:row>9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234950"/>
          <a:ext cx="3012301" cy="1257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1282700</xdr:colOff>
          <xdr:row>4</xdr:row>
          <xdr:rowOff>63500</xdr:rowOff>
        </xdr:from>
        <xdr:to>
          <xdr:col>4</xdr:col>
          <xdr:colOff>50800</xdr:colOff>
          <xdr:row>6</xdr:row>
          <xdr:rowOff>38100</xdr:rowOff>
        </xdr:to>
        <xdr:sp macro="" textlink="">
          <xdr:nvSpPr>
            <xdr:cNvPr id="10242" name="Drop Down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3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3F10-61DB-4950-B05F-1FD6B1B9429B}">
  <dimension ref="A13:H21"/>
  <sheetViews>
    <sheetView showGridLines="0" workbookViewId="0">
      <selection activeCell="F30" sqref="F30"/>
    </sheetView>
  </sheetViews>
  <sheetFormatPr baseColWidth="10" defaultColWidth="8.83203125" defaultRowHeight="13"/>
  <cols>
    <col min="1" max="1" width="2.83203125" customWidth="1"/>
    <col min="2" max="2" width="11.1640625" customWidth="1"/>
  </cols>
  <sheetData>
    <row r="13" spans="2:2" ht="30.5" customHeight="1">
      <c r="B13" s="431" t="s">
        <v>261</v>
      </c>
    </row>
    <row r="14" spans="2:2">
      <c r="B14" s="7">
        <v>45831</v>
      </c>
    </row>
    <row r="16" spans="2:2" ht="12" customHeight="1"/>
    <row r="19" spans="1:8">
      <c r="B19" t="s">
        <v>262</v>
      </c>
    </row>
    <row r="21" spans="1:8" ht="14" thickBot="1">
      <c r="A21" s="275"/>
      <c r="B21" s="275"/>
      <c r="C21" s="275"/>
      <c r="D21" s="275"/>
      <c r="E21" s="275"/>
      <c r="F21" s="275"/>
      <c r="G21" s="275"/>
      <c r="H21" s="275"/>
    </row>
  </sheetData>
  <printOptions horizontalCentered="1"/>
  <pageMargins left="0.25" right="0.25" top="0.25" bottom="0.5" header="0.25" footer="0.25"/>
  <pageSetup paperSize="9" scale="95" orientation="landscape" r:id="rId1"/>
  <headerFooter>
    <oddFooter>&amp;L&amp;K000000C:\Documents\nike.xlsx&amp;C&amp;K000000Page &amp;P of &amp;N
&amp;R&amp;K000000&amp;D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1:AF66"/>
  <sheetViews>
    <sheetView showGridLines="0" zoomScaleNormal="100" workbookViewId="0">
      <selection activeCell="A48" sqref="A47:A48"/>
    </sheetView>
  </sheetViews>
  <sheetFormatPr baseColWidth="10" defaultColWidth="10.6640625" defaultRowHeight="13"/>
  <cols>
    <col min="1" max="1" width="2.5" style="206" customWidth="1"/>
    <col min="2" max="2" width="4.6640625" style="206" customWidth="1"/>
    <col min="3" max="4" width="1.6640625" style="206" customWidth="1"/>
    <col min="5" max="5" width="20.6640625" style="206" customWidth="1"/>
    <col min="6" max="6" width="9.33203125" style="206" customWidth="1"/>
    <col min="7" max="7" width="1.83203125" style="206" customWidth="1"/>
    <col min="8" max="15" width="9.33203125" style="206" customWidth="1"/>
    <col min="16" max="16" width="1.6640625" style="206" customWidth="1"/>
    <col min="17" max="17" width="4.6640625" style="206" customWidth="1"/>
    <col min="18" max="19" width="2.6640625" style="206" customWidth="1"/>
    <col min="20" max="21" width="1.6640625" style="206" customWidth="1"/>
    <col min="22" max="22" width="20.6640625" style="206" customWidth="1"/>
    <col min="23" max="31" width="9.33203125" style="206" customWidth="1"/>
    <col min="32" max="32" width="1.6640625" style="206" customWidth="1"/>
    <col min="33" max="16384" width="10.6640625" style="206"/>
  </cols>
  <sheetData>
    <row r="1" spans="2:32" ht="22.75" customHeight="1">
      <c r="B1" s="617" t="str">
        <f>Cover!B13</f>
        <v>NIKE</v>
      </c>
      <c r="C1" s="204"/>
      <c r="D1" s="204"/>
      <c r="E1" s="204"/>
      <c r="F1" s="204"/>
      <c r="G1" s="204"/>
      <c r="H1" s="205"/>
      <c r="I1" s="205"/>
      <c r="J1" s="205"/>
      <c r="K1" s="205"/>
      <c r="L1" s="205"/>
      <c r="M1" s="205"/>
      <c r="N1" s="205"/>
      <c r="O1" s="205"/>
      <c r="P1" s="205"/>
      <c r="Q1" s="205"/>
      <c r="T1" s="204"/>
      <c r="U1" s="204"/>
      <c r="V1" s="204"/>
      <c r="W1" s="204"/>
      <c r="X1" s="205"/>
      <c r="Y1" s="205"/>
      <c r="Z1" s="205"/>
      <c r="AA1" s="205"/>
      <c r="AB1" s="205"/>
      <c r="AC1" s="205"/>
      <c r="AD1" s="205"/>
      <c r="AE1" s="205"/>
    </row>
    <row r="2" spans="2:32" ht="18">
      <c r="B2" s="207" t="s">
        <v>125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</row>
    <row r="3" spans="2:32" ht="3" customHeight="1" thickBot="1"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</row>
    <row r="4" spans="2:32" ht="6" customHeight="1"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</row>
    <row r="5" spans="2:32" ht="15" customHeight="1">
      <c r="C5" s="209" t="s">
        <v>109</v>
      </c>
      <c r="D5" s="210"/>
      <c r="E5" s="210"/>
      <c r="F5" s="210"/>
      <c r="G5" s="210"/>
      <c r="H5" s="208"/>
      <c r="I5" s="208"/>
      <c r="J5" s="208"/>
      <c r="K5" s="208"/>
      <c r="L5" s="208"/>
      <c r="M5" s="208"/>
      <c r="N5" s="208"/>
      <c r="O5" s="208"/>
      <c r="P5" s="208"/>
      <c r="T5" s="209" t="str">
        <f>"SUMMMARY VALUES - "&amp;UPPER(CHOOSE(Scenarios!$D$6,Scenarios!C14,Scenarios!C15,Scenarios!C16))</f>
        <v>SUMMMARY VALUES - BASE CASE</v>
      </c>
      <c r="U5" s="210"/>
      <c r="V5" s="210"/>
      <c r="W5" s="210"/>
      <c r="X5" s="208"/>
      <c r="Y5" s="208"/>
      <c r="Z5" s="208"/>
      <c r="AA5" s="208"/>
      <c r="AB5" s="208"/>
      <c r="AC5" s="208"/>
      <c r="AD5" s="208"/>
      <c r="AE5" s="208"/>
    </row>
    <row r="6" spans="2:32" s="225" customFormat="1" ht="15" customHeight="1">
      <c r="C6" s="301"/>
      <c r="D6" s="302"/>
      <c r="E6" s="302"/>
      <c r="F6" s="302"/>
      <c r="G6" s="302"/>
      <c r="H6" s="303"/>
      <c r="I6" s="303"/>
      <c r="J6" s="303"/>
      <c r="K6" s="304" t="s">
        <v>2</v>
      </c>
      <c r="L6" s="305"/>
      <c r="M6" s="305"/>
      <c r="N6" s="305"/>
      <c r="O6" s="305"/>
      <c r="P6" s="306"/>
      <c r="T6" s="226"/>
      <c r="U6" s="227"/>
      <c r="V6" s="227"/>
      <c r="W6" s="227"/>
      <c r="X6" s="227"/>
      <c r="Y6" s="227"/>
      <c r="Z6" s="227"/>
      <c r="AA6" s="228" t="s">
        <v>2</v>
      </c>
      <c r="AB6" s="229"/>
      <c r="AC6" s="229"/>
      <c r="AD6" s="229"/>
      <c r="AE6" s="229"/>
      <c r="AF6" s="230"/>
    </row>
    <row r="7" spans="2:32" s="225" customFormat="1" ht="15" customHeight="1">
      <c r="C7" s="307"/>
      <c r="D7" s="276" t="s">
        <v>122</v>
      </c>
      <c r="E7" s="277"/>
      <c r="F7" s="276" t="s">
        <v>133</v>
      </c>
      <c r="G7" s="277"/>
      <c r="H7" s="278">
        <f>X7</f>
        <v>2022</v>
      </c>
      <c r="I7" s="278">
        <f t="shared" ref="I7:O7" si="0">Y7</f>
        <v>2023</v>
      </c>
      <c r="J7" s="278">
        <f t="shared" si="0"/>
        <v>2024</v>
      </c>
      <c r="K7" s="279">
        <f t="shared" si="0"/>
        <v>2025</v>
      </c>
      <c r="L7" s="279">
        <f t="shared" si="0"/>
        <v>2026</v>
      </c>
      <c r="M7" s="279">
        <f t="shared" si="0"/>
        <v>2027</v>
      </c>
      <c r="N7" s="279">
        <f t="shared" si="0"/>
        <v>2028</v>
      </c>
      <c r="O7" s="279">
        <f t="shared" si="0"/>
        <v>2029</v>
      </c>
      <c r="P7" s="308"/>
      <c r="T7" s="231"/>
      <c r="U7" s="232"/>
      <c r="V7" s="232"/>
      <c r="W7" s="232"/>
      <c r="X7" s="233">
        <f>Model!H7</f>
        <v>2022</v>
      </c>
      <c r="Y7" s="233">
        <f>Model!I7</f>
        <v>2023</v>
      </c>
      <c r="Z7" s="233">
        <f>Model!J7</f>
        <v>2024</v>
      </c>
      <c r="AA7" s="234">
        <f>Model!K7</f>
        <v>2025</v>
      </c>
      <c r="AB7" s="234">
        <f>Model!L7</f>
        <v>2026</v>
      </c>
      <c r="AC7" s="234">
        <f>Model!M7</f>
        <v>2027</v>
      </c>
      <c r="AD7" s="234">
        <f>Model!N7</f>
        <v>2028</v>
      </c>
      <c r="AE7" s="234">
        <f>Model!O7</f>
        <v>2029</v>
      </c>
      <c r="AF7" s="235"/>
    </row>
    <row r="8" spans="2:32" ht="3" customHeight="1">
      <c r="C8" s="309"/>
      <c r="D8" s="286"/>
      <c r="E8" s="286"/>
      <c r="F8" s="286"/>
      <c r="G8" s="286"/>
      <c r="H8" s="287"/>
      <c r="I8" s="287"/>
      <c r="J8" s="288"/>
      <c r="K8" s="289"/>
      <c r="L8" s="289"/>
      <c r="M8" s="289"/>
      <c r="N8" s="289"/>
      <c r="O8" s="289"/>
      <c r="P8" s="310"/>
      <c r="T8" s="211"/>
      <c r="X8" s="214"/>
      <c r="Y8" s="214"/>
      <c r="Z8" s="215"/>
      <c r="AA8" s="21"/>
      <c r="AB8" s="21"/>
      <c r="AC8" s="21"/>
      <c r="AD8" s="21"/>
      <c r="AE8" s="21"/>
      <c r="AF8" s="213"/>
    </row>
    <row r="9" spans="2:32" ht="3" customHeight="1">
      <c r="C9" s="311"/>
      <c r="D9" s="293"/>
      <c r="E9" s="293"/>
      <c r="F9" s="293"/>
      <c r="G9" s="293"/>
      <c r="H9" s="294"/>
      <c r="I9" s="294"/>
      <c r="J9" s="295"/>
      <c r="K9" s="296"/>
      <c r="L9" s="296"/>
      <c r="M9" s="296"/>
      <c r="N9" s="296"/>
      <c r="O9" s="296"/>
      <c r="P9" s="312"/>
      <c r="T9" s="211"/>
      <c r="X9" s="214"/>
      <c r="Y9" s="214"/>
      <c r="Z9" s="215"/>
      <c r="AA9" s="21"/>
      <c r="AB9" s="21"/>
      <c r="AC9" s="21"/>
      <c r="AD9" s="21"/>
      <c r="AE9" s="21"/>
      <c r="AF9" s="213"/>
    </row>
    <row r="10" spans="2:32" ht="13" customHeight="1">
      <c r="C10" s="313"/>
      <c r="D10" s="216" t="s">
        <v>105</v>
      </c>
      <c r="P10" s="314"/>
      <c r="T10" s="211"/>
      <c r="U10" s="216" t="s">
        <v>105</v>
      </c>
      <c r="AF10" s="213"/>
    </row>
    <row r="11" spans="2:32" ht="3" customHeight="1">
      <c r="C11" s="313"/>
      <c r="D11" s="216"/>
      <c r="P11" s="314"/>
      <c r="T11" s="211"/>
      <c r="U11" s="216"/>
      <c r="AF11" s="213"/>
    </row>
    <row r="12" spans="2:32">
      <c r="C12" s="313"/>
      <c r="E12" s="206" t="s">
        <v>3</v>
      </c>
      <c r="F12" s="300"/>
      <c r="H12" s="458">
        <v>46710</v>
      </c>
      <c r="I12" s="458">
        <v>51217</v>
      </c>
      <c r="J12" s="458">
        <v>51362</v>
      </c>
      <c r="K12" s="458">
        <v>53936.2</v>
      </c>
      <c r="L12" s="458">
        <v>56189.317833333334</v>
      </c>
      <c r="M12" s="458">
        <v>60768.783546209161</v>
      </c>
      <c r="N12" s="458">
        <v>63604.917252161235</v>
      </c>
      <c r="O12" s="458">
        <v>68035.020253035982</v>
      </c>
      <c r="P12" s="314"/>
      <c r="T12" s="211"/>
      <c r="V12" s="206" t="s">
        <v>3</v>
      </c>
      <c r="W12" s="217" t="s">
        <v>119</v>
      </c>
      <c r="X12" s="458">
        <f>Model!H89</f>
        <v>46710</v>
      </c>
      <c r="Y12" s="458">
        <f>Model!I89</f>
        <v>51217</v>
      </c>
      <c r="Z12" s="458">
        <f>Model!J89</f>
        <v>51362</v>
      </c>
      <c r="AA12" s="458">
        <f ca="1">Model!K89</f>
        <v>52233.716617647056</v>
      </c>
      <c r="AB12" s="458">
        <f ca="1">Model!L89</f>
        <v>53129.522680844639</v>
      </c>
      <c r="AC12" s="458">
        <f ca="1">Model!M89</f>
        <v>54967.176227249867</v>
      </c>
      <c r="AD12" s="458">
        <f ca="1">Model!N89</f>
        <v>58041.320672849004</v>
      </c>
      <c r="AE12" s="458">
        <f ca="1">Model!O89</f>
        <v>61133.412668276105</v>
      </c>
      <c r="AF12" s="213"/>
    </row>
    <row r="13" spans="2:32">
      <c r="C13" s="313"/>
      <c r="E13" s="219" t="s">
        <v>110</v>
      </c>
      <c r="F13" s="220"/>
      <c r="G13" s="219"/>
      <c r="H13" s="459" t="s">
        <v>104</v>
      </c>
      <c r="I13" s="460">
        <v>9.6488974523656568E-2</v>
      </c>
      <c r="J13" s="460">
        <v>2.8310912392370824E-3</v>
      </c>
      <c r="K13" s="460">
        <v>5.0118764845605623E-2</v>
      </c>
      <c r="L13" s="460">
        <v>4.1773759243946218E-2</v>
      </c>
      <c r="M13" s="460">
        <v>8.1500646198611415E-2</v>
      </c>
      <c r="N13" s="460">
        <v>4.6670898123136739E-2</v>
      </c>
      <c r="O13" s="460">
        <v>6.9650322526348729E-2</v>
      </c>
      <c r="P13" s="314"/>
      <c r="T13" s="211"/>
      <c r="V13" s="219" t="s">
        <v>110</v>
      </c>
      <c r="W13" s="220" t="s">
        <v>85</v>
      </c>
      <c r="X13" s="459" t="s">
        <v>104</v>
      </c>
      <c r="Y13" s="460">
        <f>Y12/X12-1</f>
        <v>9.6488974523656568E-2</v>
      </c>
      <c r="Z13" s="460">
        <f t="shared" ref="Z13:AE13" si="1">Z12/Y12-1</f>
        <v>2.8310912392370824E-3</v>
      </c>
      <c r="AA13" s="460">
        <f t="shared" ca="1" si="1"/>
        <v>1.6972014673241942E-2</v>
      </c>
      <c r="AB13" s="460">
        <f t="shared" ca="1" si="1"/>
        <v>1.7149958325862968E-2</v>
      </c>
      <c r="AC13" s="460">
        <f t="shared" ca="1" si="1"/>
        <v>3.4588180990148043E-2</v>
      </c>
      <c r="AD13" s="460">
        <f t="shared" ca="1" si="1"/>
        <v>5.5926912324725464E-2</v>
      </c>
      <c r="AE13" s="460">
        <f t="shared" ca="1" si="1"/>
        <v>5.3273977221430568E-2</v>
      </c>
      <c r="AF13" s="213"/>
    </row>
    <row r="14" spans="2:32" ht="3" customHeight="1">
      <c r="C14" s="313"/>
      <c r="E14" s="266"/>
      <c r="F14" s="266"/>
      <c r="G14" s="266"/>
      <c r="H14" s="459"/>
      <c r="I14" s="459"/>
      <c r="J14" s="459"/>
      <c r="K14" s="459"/>
      <c r="L14" s="459"/>
      <c r="M14" s="459"/>
      <c r="N14" s="459"/>
      <c r="O14" s="459"/>
      <c r="P14" s="314"/>
      <c r="T14" s="211"/>
      <c r="X14" s="459"/>
      <c r="Y14" s="459"/>
      <c r="Z14" s="459"/>
      <c r="AA14" s="459"/>
      <c r="AB14" s="459"/>
      <c r="AC14" s="459"/>
      <c r="AD14" s="459"/>
      <c r="AE14" s="459"/>
      <c r="AF14" s="213"/>
    </row>
    <row r="15" spans="2:32" ht="3" customHeight="1">
      <c r="C15" s="313"/>
      <c r="H15" s="459"/>
      <c r="I15" s="459"/>
      <c r="J15" s="459"/>
      <c r="K15" s="459"/>
      <c r="L15" s="459"/>
      <c r="M15" s="459"/>
      <c r="N15" s="459"/>
      <c r="O15" s="459"/>
      <c r="P15" s="314"/>
      <c r="T15" s="211"/>
      <c r="X15" s="459"/>
      <c r="Y15" s="459"/>
      <c r="Z15" s="459"/>
      <c r="AA15" s="459"/>
      <c r="AB15" s="459"/>
      <c r="AC15" s="459"/>
      <c r="AD15" s="459"/>
      <c r="AE15" s="459"/>
      <c r="AF15" s="213"/>
    </row>
    <row r="16" spans="2:32">
      <c r="C16" s="313"/>
      <c r="E16" s="206" t="s">
        <v>5</v>
      </c>
      <c r="F16" s="300"/>
      <c r="H16" s="458">
        <v>6856</v>
      </c>
      <c r="I16" s="458">
        <v>5635</v>
      </c>
      <c r="J16" s="458">
        <v>6539</v>
      </c>
      <c r="K16" s="458">
        <v>7145.0112499999959</v>
      </c>
      <c r="L16" s="458">
        <v>7524.1055233333318</v>
      </c>
      <c r="M16" s="458">
        <v>10145.328658081158</v>
      </c>
      <c r="N16" s="458">
        <v>10654.101729994785</v>
      </c>
      <c r="O16" s="458">
        <v>12629.011979699</v>
      </c>
      <c r="P16" s="315"/>
      <c r="T16" s="211"/>
      <c r="V16" s="206" t="s">
        <v>5</v>
      </c>
      <c r="W16" s="217" t="s">
        <v>119</v>
      </c>
      <c r="X16" s="458">
        <f>Model!H98</f>
        <v>6856</v>
      </c>
      <c r="Y16" s="458">
        <f>Model!I98</f>
        <v>6195</v>
      </c>
      <c r="Z16" s="458">
        <f>Model!J98</f>
        <v>6539</v>
      </c>
      <c r="AA16" s="458">
        <f ca="1">Model!K98</f>
        <v>7025.4531176470591</v>
      </c>
      <c r="AB16" s="458">
        <f ca="1">Model!L98</f>
        <v>7505.6529082446395</v>
      </c>
      <c r="AC16" s="458">
        <f ca="1">Model!M98</f>
        <v>8435.8290591978694</v>
      </c>
      <c r="AD16" s="458">
        <f ca="1">Model!N98</f>
        <v>9834.4942124496447</v>
      </c>
      <c r="AE16" s="458">
        <f ca="1">Model!O98</f>
        <v>11186.210782822553</v>
      </c>
      <c r="AF16" s="213"/>
    </row>
    <row r="17" spans="3:32">
      <c r="C17" s="313"/>
      <c r="E17" s="219" t="s">
        <v>111</v>
      </c>
      <c r="F17" s="220"/>
      <c r="G17" s="219"/>
      <c r="H17" s="460">
        <v>0.14677799186469706</v>
      </c>
      <c r="I17" s="460">
        <v>0.11002206298689889</v>
      </c>
      <c r="J17" s="460">
        <v>0.12731202055994703</v>
      </c>
      <c r="K17" s="460">
        <v>0.13247153581453636</v>
      </c>
      <c r="L17" s="460">
        <v>0.13390633332924692</v>
      </c>
      <c r="M17" s="460">
        <v>0.16694967491601265</v>
      </c>
      <c r="N17" s="460">
        <v>0.16750437215029579</v>
      </c>
      <c r="O17" s="460">
        <v>0.18562516675572602</v>
      </c>
      <c r="P17" s="316"/>
      <c r="T17" s="211"/>
      <c r="V17" s="219" t="s">
        <v>111</v>
      </c>
      <c r="W17" s="220" t="s">
        <v>85</v>
      </c>
      <c r="X17" s="460">
        <f>X16/X12</f>
        <v>0.14677799186469706</v>
      </c>
      <c r="Y17" s="460">
        <f t="shared" ref="Y17:AE17" si="2">Y16/Y12</f>
        <v>0.12095593260050373</v>
      </c>
      <c r="Z17" s="460">
        <f t="shared" si="2"/>
        <v>0.12731202055994703</v>
      </c>
      <c r="AA17" s="460">
        <f t="shared" ca="1" si="2"/>
        <v>0.13450034905755728</v>
      </c>
      <c r="AB17" s="460">
        <f t="shared" ca="1" si="2"/>
        <v>0.1412708514874487</v>
      </c>
      <c r="AC17" s="460">
        <f t="shared" ca="1" si="2"/>
        <v>0.15347030060852615</v>
      </c>
      <c r="AD17" s="460">
        <f t="shared" ca="1" si="2"/>
        <v>0.16943953201688769</v>
      </c>
      <c r="AE17" s="460">
        <f t="shared" ca="1" si="2"/>
        <v>0.18298030969613122</v>
      </c>
      <c r="AF17" s="213"/>
    </row>
    <row r="18" spans="3:32">
      <c r="C18" s="313"/>
      <c r="E18" s="219" t="s">
        <v>110</v>
      </c>
      <c r="F18" s="220"/>
      <c r="G18" s="219"/>
      <c r="H18" s="461"/>
      <c r="I18" s="460">
        <v>-0.17809218203033839</v>
      </c>
      <c r="J18" s="460">
        <v>0.16042590949423241</v>
      </c>
      <c r="K18" s="460">
        <v>9.2676441351888128E-2</v>
      </c>
      <c r="L18" s="460">
        <v>5.3057197542318191E-2</v>
      </c>
      <c r="M18" s="460">
        <v>0.34837671090856404</v>
      </c>
      <c r="N18" s="460">
        <v>5.0148505687725553E-2</v>
      </c>
      <c r="O18" s="460">
        <v>0.18536619038883351</v>
      </c>
      <c r="P18" s="316"/>
      <c r="T18" s="211"/>
      <c r="V18" s="219" t="s">
        <v>110</v>
      </c>
      <c r="W18" s="220" t="s">
        <v>85</v>
      </c>
      <c r="X18" s="461"/>
      <c r="Y18" s="460">
        <f>Y16/X16-1</f>
        <v>-9.6411901983663895E-2</v>
      </c>
      <c r="Z18" s="460">
        <f t="shared" ref="Z18:AE18" si="3">Z16/Y16-1</f>
        <v>5.5528652138821633E-2</v>
      </c>
      <c r="AA18" s="460">
        <f t="shared" ca="1" si="3"/>
        <v>7.4392585662495625E-2</v>
      </c>
      <c r="AB18" s="460">
        <f t="shared" ca="1" si="3"/>
        <v>6.8351433360416047E-2</v>
      </c>
      <c r="AC18" s="460">
        <f t="shared" ca="1" si="3"/>
        <v>0.12393007807907974</v>
      </c>
      <c r="AD18" s="460">
        <f t="shared" ca="1" si="3"/>
        <v>0.16580055658273007</v>
      </c>
      <c r="AE18" s="460">
        <f t="shared" ca="1" si="3"/>
        <v>0.13744647575894131</v>
      </c>
      <c r="AF18" s="213"/>
    </row>
    <row r="19" spans="3:32" ht="3" customHeight="1">
      <c r="C19" s="313"/>
      <c r="E19" s="266"/>
      <c r="F19" s="266"/>
      <c r="G19" s="266"/>
      <c r="H19" s="459"/>
      <c r="I19" s="459"/>
      <c r="J19" s="459"/>
      <c r="K19" s="459"/>
      <c r="L19" s="459"/>
      <c r="M19" s="459"/>
      <c r="N19" s="459"/>
      <c r="O19" s="459"/>
      <c r="P19" s="314"/>
      <c r="T19" s="211"/>
      <c r="X19" s="459"/>
      <c r="Y19" s="459"/>
      <c r="Z19" s="459"/>
      <c r="AA19" s="459"/>
      <c r="AB19" s="459"/>
      <c r="AC19" s="459"/>
      <c r="AD19" s="459"/>
      <c r="AE19" s="459"/>
      <c r="AF19" s="213"/>
    </row>
    <row r="20" spans="3:32" ht="3" customHeight="1">
      <c r="C20" s="313"/>
      <c r="H20" s="459"/>
      <c r="I20" s="459"/>
      <c r="J20" s="459"/>
      <c r="K20" s="459"/>
      <c r="L20" s="459"/>
      <c r="M20" s="459"/>
      <c r="N20" s="459"/>
      <c r="O20" s="459"/>
      <c r="P20" s="314"/>
      <c r="T20" s="211"/>
      <c r="X20" s="459"/>
      <c r="Y20" s="459"/>
      <c r="Z20" s="459"/>
      <c r="AA20" s="459"/>
      <c r="AB20" s="459"/>
      <c r="AC20" s="459"/>
      <c r="AD20" s="459"/>
      <c r="AE20" s="459"/>
      <c r="AF20" s="213"/>
    </row>
    <row r="21" spans="3:32">
      <c r="C21" s="313"/>
      <c r="E21" s="206" t="s">
        <v>7</v>
      </c>
      <c r="F21" s="300"/>
      <c r="H21" s="458">
        <v>6046</v>
      </c>
      <c r="I21" s="458">
        <v>4510</v>
      </c>
      <c r="J21" s="458">
        <v>5700</v>
      </c>
      <c r="K21" s="458">
        <v>5929.7880624999962</v>
      </c>
      <c r="L21" s="458">
        <v>6282.7687921838888</v>
      </c>
      <c r="M21" s="458">
        <v>8534.5531614309912</v>
      </c>
      <c r="N21" s="458">
        <v>8985.2885821338423</v>
      </c>
      <c r="O21" s="458">
        <v>10686.38903488327</v>
      </c>
      <c r="P21" s="315"/>
      <c r="T21" s="211"/>
      <c r="V21" s="206" t="s">
        <v>7</v>
      </c>
      <c r="W21" s="217" t="s">
        <v>119</v>
      </c>
      <c r="X21" s="458">
        <f>Model!H110</f>
        <v>6046</v>
      </c>
      <c r="Y21" s="458">
        <f>Model!I110</f>
        <v>5070</v>
      </c>
      <c r="Z21" s="458">
        <f>Model!J110</f>
        <v>5700</v>
      </c>
      <c r="AA21" s="458">
        <f ca="1">Model!K110</f>
        <v>5828.1636500000004</v>
      </c>
      <c r="AB21" s="458">
        <f ca="1">Model!L110</f>
        <v>6252.5520563406662</v>
      </c>
      <c r="AC21" s="458">
        <f ca="1">Model!M110</f>
        <v>7039.3390967267078</v>
      </c>
      <c r="AD21" s="458">
        <f ca="1">Model!N110</f>
        <v>8273.8626897981812</v>
      </c>
      <c r="AE21" s="458">
        <f ca="1">Model!O110</f>
        <v>9440.5030615270553</v>
      </c>
      <c r="AF21" s="213"/>
    </row>
    <row r="22" spans="3:32">
      <c r="C22" s="313"/>
      <c r="E22" s="219" t="s">
        <v>111</v>
      </c>
      <c r="F22" s="268"/>
      <c r="G22" s="219"/>
      <c r="H22" s="460">
        <v>0.12943695140226932</v>
      </c>
      <c r="I22" s="460">
        <v>8.8056699923853413E-2</v>
      </c>
      <c r="J22" s="460">
        <v>0.11097698687745804</v>
      </c>
      <c r="K22" s="460">
        <v>0.10994078304552408</v>
      </c>
      <c r="L22" s="460">
        <v>0.11181429201222204</v>
      </c>
      <c r="M22" s="460">
        <v>0.14044304762067905</v>
      </c>
      <c r="N22" s="460">
        <v>0.14126720024666853</v>
      </c>
      <c r="O22" s="460">
        <v>0.15707188731830213</v>
      </c>
      <c r="P22" s="315"/>
      <c r="T22" s="211"/>
      <c r="V22" s="219" t="s">
        <v>111</v>
      </c>
      <c r="W22" s="220" t="s">
        <v>85</v>
      </c>
      <c r="X22" s="460">
        <f>Summary!X21/Summary!X12</f>
        <v>0.12943695140226932</v>
      </c>
      <c r="Y22" s="460">
        <f>Summary!Y21/Summary!Y12</f>
        <v>9.8990569537458259E-2</v>
      </c>
      <c r="Z22" s="460">
        <f>Summary!Z21/Summary!Z12</f>
        <v>0.11097698687745804</v>
      </c>
      <c r="AA22" s="460">
        <f ca="1">Summary!AA21/Summary!AA12</f>
        <v>0.11157857467165121</v>
      </c>
      <c r="AB22" s="460">
        <f ca="1">Summary!AB21/Summary!AB12</f>
        <v>0.11768507866898203</v>
      </c>
      <c r="AC22" s="460">
        <f ca="1">Summary!AC21/Summary!AC12</f>
        <v>0.12806441188872586</v>
      </c>
      <c r="AD22" s="460">
        <f ca="1">Summary!AD21/Summary!AD12</f>
        <v>0.14255124786760046</v>
      </c>
      <c r="AE22" s="460">
        <f ca="1">Summary!AE21/Summary!AE12</f>
        <v>0.15442460431177607</v>
      </c>
      <c r="AF22" s="213"/>
    </row>
    <row r="23" spans="3:32">
      <c r="C23" s="313"/>
      <c r="E23" s="219" t="s">
        <v>110</v>
      </c>
      <c r="F23" s="268"/>
      <c r="G23" s="219"/>
      <c r="H23" s="461"/>
      <c r="I23" s="460">
        <v>-0.25405226596096597</v>
      </c>
      <c r="J23" s="460">
        <v>0.26385809312638586</v>
      </c>
      <c r="K23" s="460">
        <v>4.0313695175437925E-2</v>
      </c>
      <c r="L23" s="460">
        <v>5.9526702466171422E-2</v>
      </c>
      <c r="M23" s="460">
        <v>0.35840637205183268</v>
      </c>
      <c r="N23" s="460">
        <v>5.2813007567847459E-2</v>
      </c>
      <c r="O23" s="460">
        <v>0.18932062528652227</v>
      </c>
      <c r="P23" s="315"/>
      <c r="T23" s="211"/>
      <c r="V23" s="219" t="s">
        <v>110</v>
      </c>
      <c r="W23" s="220" t="s">
        <v>85</v>
      </c>
      <c r="X23" s="461"/>
      <c r="Y23" s="460">
        <f>Y21/X21-1</f>
        <v>-0.16142904399603042</v>
      </c>
      <c r="Z23" s="460">
        <f t="shared" ref="Z23:AE23" si="4">Z21/Y21-1</f>
        <v>0.12426035502958577</v>
      </c>
      <c r="AA23" s="460">
        <f t="shared" ca="1" si="4"/>
        <v>2.2484850877193097E-2</v>
      </c>
      <c r="AB23" s="460">
        <f t="shared" ca="1" si="4"/>
        <v>7.2816830793806853E-2</v>
      </c>
      <c r="AC23" s="460">
        <f t="shared" ca="1" si="4"/>
        <v>0.12583454456619303</v>
      </c>
      <c r="AD23" s="460">
        <f t="shared" ca="1" si="4"/>
        <v>0.17537492882613459</v>
      </c>
      <c r="AE23" s="460">
        <f t="shared" ca="1" si="4"/>
        <v>0.14100311009117439</v>
      </c>
      <c r="AF23" s="213"/>
    </row>
    <row r="24" spans="3:32" ht="4" customHeight="1">
      <c r="C24" s="317"/>
      <c r="D24" s="318"/>
      <c r="E24" s="319"/>
      <c r="F24" s="318"/>
      <c r="G24" s="318"/>
      <c r="H24" s="318"/>
      <c r="I24" s="318"/>
      <c r="J24" s="318"/>
      <c r="K24" s="318"/>
      <c r="L24" s="318"/>
      <c r="M24" s="318"/>
      <c r="N24" s="318"/>
      <c r="O24" s="318"/>
      <c r="P24" s="320"/>
      <c r="T24" s="221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12"/>
      <c r="AF24" s="222"/>
    </row>
    <row r="25" spans="3:32" ht="8" customHeight="1"/>
    <row r="26" spans="3:32" ht="15" customHeight="1">
      <c r="C26" s="209" t="s">
        <v>126</v>
      </c>
      <c r="D26" s="210"/>
      <c r="E26" s="210"/>
      <c r="F26" s="210"/>
      <c r="G26" s="210"/>
      <c r="H26" s="208"/>
      <c r="I26" s="208"/>
      <c r="J26" s="208"/>
      <c r="K26" s="208"/>
      <c r="L26" s="208"/>
      <c r="M26" s="208"/>
      <c r="N26" s="208"/>
      <c r="O26" s="208"/>
      <c r="P26" s="208"/>
    </row>
    <row r="27" spans="3:32" s="225" customFormat="1" ht="15" customHeight="1">
      <c r="C27" s="301"/>
      <c r="D27" s="302"/>
      <c r="E27" s="302"/>
      <c r="F27" s="302"/>
      <c r="G27" s="302"/>
      <c r="H27" s="303"/>
      <c r="I27" s="303"/>
      <c r="J27" s="303"/>
      <c r="K27" s="304" t="s">
        <v>2</v>
      </c>
      <c r="L27" s="305"/>
      <c r="M27" s="305"/>
      <c r="N27" s="305"/>
      <c r="O27" s="305"/>
      <c r="P27" s="321"/>
    </row>
    <row r="28" spans="3:32" s="225" customFormat="1" ht="15" customHeight="1">
      <c r="C28" s="307"/>
      <c r="D28" s="276" t="s">
        <v>122</v>
      </c>
      <c r="E28" s="277"/>
      <c r="F28" s="276" t="s">
        <v>133</v>
      </c>
      <c r="G28" s="277"/>
      <c r="H28" s="278">
        <f t="shared" ref="H28:O28" si="5">H7</f>
        <v>2022</v>
      </c>
      <c r="I28" s="278">
        <f t="shared" si="5"/>
        <v>2023</v>
      </c>
      <c r="J28" s="278">
        <f t="shared" si="5"/>
        <v>2024</v>
      </c>
      <c r="K28" s="279">
        <f t="shared" si="5"/>
        <v>2025</v>
      </c>
      <c r="L28" s="279">
        <f t="shared" si="5"/>
        <v>2026</v>
      </c>
      <c r="M28" s="279">
        <f t="shared" si="5"/>
        <v>2027</v>
      </c>
      <c r="N28" s="279">
        <f t="shared" si="5"/>
        <v>2028</v>
      </c>
      <c r="O28" s="279">
        <f t="shared" si="5"/>
        <v>2029</v>
      </c>
      <c r="P28" s="322"/>
    </row>
    <row r="29" spans="3:32" ht="3" customHeight="1">
      <c r="C29" s="309"/>
      <c r="D29" s="286"/>
      <c r="E29" s="286"/>
      <c r="F29" s="286"/>
      <c r="G29" s="286"/>
      <c r="H29" s="287"/>
      <c r="I29" s="287"/>
      <c r="J29" s="288"/>
      <c r="K29" s="289"/>
      <c r="L29" s="289"/>
      <c r="M29" s="289"/>
      <c r="N29" s="289"/>
      <c r="O29" s="289"/>
      <c r="P29" s="310"/>
    </row>
    <row r="30" spans="3:32" ht="3" customHeight="1">
      <c r="C30" s="311"/>
      <c r="D30" s="293"/>
      <c r="E30" s="293"/>
      <c r="F30" s="293"/>
      <c r="G30" s="293"/>
      <c r="H30" s="294"/>
      <c r="I30" s="294"/>
      <c r="J30" s="295"/>
      <c r="K30" s="296"/>
      <c r="L30" s="296"/>
      <c r="M30" s="296"/>
      <c r="N30" s="296"/>
      <c r="O30" s="296"/>
      <c r="P30" s="312"/>
    </row>
    <row r="31" spans="3:32" ht="13" customHeight="1">
      <c r="C31" s="313"/>
      <c r="D31" s="216" t="s">
        <v>105</v>
      </c>
      <c r="P31" s="314"/>
    </row>
    <row r="32" spans="3:32" ht="3" customHeight="1">
      <c r="C32" s="313"/>
      <c r="D32" s="216"/>
      <c r="P32" s="314"/>
    </row>
    <row r="33" spans="3:31">
      <c r="C33" s="313"/>
      <c r="E33" s="206" t="s">
        <v>3</v>
      </c>
      <c r="F33" s="300"/>
      <c r="H33" s="462">
        <v>46710</v>
      </c>
      <c r="I33" s="462">
        <v>51217</v>
      </c>
      <c r="J33" s="462">
        <v>51362</v>
      </c>
      <c r="K33" s="462">
        <v>56095.528000000013</v>
      </c>
      <c r="L33" s="462">
        <v>58440.114213333341</v>
      </c>
      <c r="M33" s="462">
        <v>63812.553688797409</v>
      </c>
      <c r="N33" s="462">
        <v>67434.11404039654</v>
      </c>
      <c r="O33" s="462">
        <v>72132.168460115412</v>
      </c>
      <c r="P33" s="314"/>
      <c r="W33" s="217"/>
      <c r="X33" s="218"/>
      <c r="Y33" s="218"/>
      <c r="Z33" s="218"/>
      <c r="AA33" s="218"/>
      <c r="AB33" s="218"/>
      <c r="AC33" s="218"/>
      <c r="AD33" s="218"/>
      <c r="AE33" s="218"/>
    </row>
    <row r="34" spans="3:31">
      <c r="C34" s="313"/>
      <c r="E34" s="219" t="s">
        <v>110</v>
      </c>
      <c r="F34" s="220"/>
      <c r="G34" s="219"/>
      <c r="H34" s="463" t="s">
        <v>104</v>
      </c>
      <c r="I34" s="464">
        <v>9.6488974523656568E-2</v>
      </c>
      <c r="J34" s="464">
        <v>2.8310912392370824E-3</v>
      </c>
      <c r="K34" s="464">
        <v>9.2160118375453015E-2</v>
      </c>
      <c r="L34" s="464">
        <v>4.1796312414303927E-2</v>
      </c>
      <c r="M34" s="464">
        <v>9.1930680625506467E-2</v>
      </c>
      <c r="N34" s="464">
        <v>5.6753101737016198E-2</v>
      </c>
      <c r="O34" s="464">
        <v>6.9668809126853803E-2</v>
      </c>
      <c r="P34" s="314"/>
      <c r="V34" s="223"/>
      <c r="W34" s="217"/>
      <c r="Y34" s="132"/>
      <c r="Z34" s="132"/>
      <c r="AA34" s="132"/>
      <c r="AB34" s="132"/>
      <c r="AC34" s="132"/>
      <c r="AD34" s="132"/>
      <c r="AE34" s="132"/>
    </row>
    <row r="35" spans="3:31" ht="3" customHeight="1">
      <c r="C35" s="313"/>
      <c r="H35" s="465"/>
      <c r="I35" s="465"/>
      <c r="J35" s="465"/>
      <c r="K35" s="465"/>
      <c r="L35" s="465"/>
      <c r="M35" s="465"/>
      <c r="N35" s="465"/>
      <c r="O35" s="465"/>
      <c r="P35" s="314"/>
    </row>
    <row r="36" spans="3:31" ht="3" customHeight="1">
      <c r="C36" s="313"/>
      <c r="H36" s="463"/>
      <c r="I36" s="463"/>
      <c r="J36" s="463"/>
      <c r="K36" s="463"/>
      <c r="L36" s="463"/>
      <c r="M36" s="463"/>
      <c r="N36" s="463"/>
      <c r="O36" s="463"/>
      <c r="P36" s="314"/>
    </row>
    <row r="37" spans="3:31">
      <c r="C37" s="313"/>
      <c r="E37" s="206" t="s">
        <v>5</v>
      </c>
      <c r="F37" s="300"/>
      <c r="H37" s="462">
        <v>6856</v>
      </c>
      <c r="I37" s="462">
        <v>5635</v>
      </c>
      <c r="J37" s="462">
        <v>6539</v>
      </c>
      <c r="K37" s="462">
        <v>9396.5768750000134</v>
      </c>
      <c r="L37" s="462">
        <v>9966.5382022333433</v>
      </c>
      <c r="M37" s="462">
        <v>13241.795089771716</v>
      </c>
      <c r="N37" s="462">
        <v>14529.240816063902</v>
      </c>
      <c r="O37" s="462">
        <v>17035.16423968603</v>
      </c>
      <c r="P37" s="315"/>
      <c r="W37" s="217"/>
      <c r="X37" s="218"/>
      <c r="Y37" s="218"/>
      <c r="Z37" s="218"/>
      <c r="AA37" s="218"/>
      <c r="AB37" s="218"/>
      <c r="AC37" s="218"/>
      <c r="AD37" s="218"/>
      <c r="AE37" s="218"/>
    </row>
    <row r="38" spans="3:31">
      <c r="C38" s="313"/>
      <c r="E38" s="219" t="s">
        <v>111</v>
      </c>
      <c r="F38" s="220"/>
      <c r="G38" s="219"/>
      <c r="H38" s="464">
        <v>0.14677799186469706</v>
      </c>
      <c r="I38" s="464">
        <v>0.11002206298689889</v>
      </c>
      <c r="J38" s="464">
        <v>0.12731202055994703</v>
      </c>
      <c r="K38" s="464">
        <v>0.167510267039469</v>
      </c>
      <c r="L38" s="464">
        <v>0.17054275708378816</v>
      </c>
      <c r="M38" s="464">
        <v>0.20751081604333874</v>
      </c>
      <c r="N38" s="464">
        <v>0.21545831843153054</v>
      </c>
      <c r="O38" s="464">
        <v>0.23616597980283113</v>
      </c>
      <c r="P38" s="316"/>
      <c r="V38" s="223"/>
      <c r="W38" s="217"/>
      <c r="X38" s="132"/>
      <c r="Y38" s="132"/>
      <c r="Z38" s="132"/>
      <c r="AA38" s="132"/>
      <c r="AB38" s="132"/>
      <c r="AC38" s="132"/>
      <c r="AD38" s="132"/>
      <c r="AE38" s="132"/>
    </row>
    <row r="39" spans="3:31">
      <c r="C39" s="313"/>
      <c r="E39" s="219" t="s">
        <v>110</v>
      </c>
      <c r="F39" s="220"/>
      <c r="G39" s="219"/>
      <c r="H39" s="466"/>
      <c r="I39" s="464">
        <v>-0.17809218203033839</v>
      </c>
      <c r="J39" s="464">
        <v>0.16042590949423241</v>
      </c>
      <c r="K39" s="464">
        <v>0.43700518045572911</v>
      </c>
      <c r="L39" s="464">
        <v>6.0656272471918626E-2</v>
      </c>
      <c r="M39" s="464">
        <v>0.32862532818109691</v>
      </c>
      <c r="N39" s="464">
        <v>9.7225921226242296E-2</v>
      </c>
      <c r="O39" s="464">
        <v>0.17247449163699691</v>
      </c>
      <c r="P39" s="316"/>
      <c r="V39" s="223"/>
      <c r="W39" s="217"/>
      <c r="Y39" s="132"/>
      <c r="Z39" s="132"/>
      <c r="AA39" s="132"/>
      <c r="AB39" s="132"/>
      <c r="AC39" s="132"/>
      <c r="AD39" s="132"/>
      <c r="AE39" s="132"/>
    </row>
    <row r="40" spans="3:31" ht="3" customHeight="1">
      <c r="C40" s="313"/>
      <c r="H40" s="465"/>
      <c r="I40" s="465"/>
      <c r="J40" s="465"/>
      <c r="K40" s="465"/>
      <c r="L40" s="465"/>
      <c r="M40" s="465"/>
      <c r="N40" s="465"/>
      <c r="O40" s="465"/>
      <c r="P40" s="314"/>
    </row>
    <row r="41" spans="3:31" ht="3" customHeight="1">
      <c r="C41" s="313"/>
      <c r="H41" s="463"/>
      <c r="I41" s="463"/>
      <c r="J41" s="463"/>
      <c r="K41" s="463"/>
      <c r="L41" s="463"/>
      <c r="M41" s="463"/>
      <c r="N41" s="463"/>
      <c r="O41" s="463"/>
      <c r="P41" s="314"/>
    </row>
    <row r="42" spans="3:31">
      <c r="C42" s="313"/>
      <c r="E42" s="206" t="s">
        <v>7</v>
      </c>
      <c r="F42" s="300"/>
      <c r="H42" s="462">
        <v>6046</v>
      </c>
      <c r="I42" s="462">
        <v>4510</v>
      </c>
      <c r="J42" s="462">
        <v>5700</v>
      </c>
      <c r="K42" s="462">
        <v>7843.6188437500105</v>
      </c>
      <c r="L42" s="462">
        <v>8357.5463669830187</v>
      </c>
      <c r="M42" s="462">
        <v>11167.069033208349</v>
      </c>
      <c r="N42" s="462">
        <v>12280.476612586146</v>
      </c>
      <c r="O42" s="462">
        <v>14434.520786787549</v>
      </c>
      <c r="P42" s="315"/>
      <c r="W42" s="217"/>
      <c r="X42" s="224"/>
      <c r="Y42" s="224"/>
      <c r="Z42" s="224"/>
      <c r="AA42" s="218"/>
      <c r="AB42" s="218"/>
      <c r="AC42" s="218"/>
      <c r="AD42" s="218"/>
      <c r="AE42" s="218"/>
    </row>
    <row r="43" spans="3:31">
      <c r="C43" s="313"/>
      <c r="E43" s="219" t="s">
        <v>111</v>
      </c>
      <c r="F43" s="220"/>
      <c r="G43" s="219"/>
      <c r="H43" s="464">
        <v>0.12943695140226932</v>
      </c>
      <c r="I43" s="464">
        <v>8.8056699923853413E-2</v>
      </c>
      <c r="J43" s="464">
        <v>0.11097698687745804</v>
      </c>
      <c r="K43" s="464">
        <v>0.13982609886032285</v>
      </c>
      <c r="L43" s="464">
        <v>0.14301043862566942</v>
      </c>
      <c r="M43" s="464">
        <v>0.17499799628248977</v>
      </c>
      <c r="N43" s="464">
        <v>0.18211074301694691</v>
      </c>
      <c r="O43" s="464">
        <v>0.20011211495421682</v>
      </c>
      <c r="P43" s="315"/>
      <c r="W43" s="217"/>
      <c r="X43" s="224"/>
      <c r="Y43" s="224"/>
      <c r="Z43" s="224"/>
      <c r="AA43" s="218"/>
      <c r="AB43" s="218"/>
      <c r="AC43" s="218"/>
      <c r="AD43" s="218"/>
      <c r="AE43" s="218"/>
    </row>
    <row r="44" spans="3:31">
      <c r="C44" s="313"/>
      <c r="E44" s="219" t="s">
        <v>110</v>
      </c>
      <c r="F44" s="220"/>
      <c r="G44" s="219"/>
      <c r="H44" s="466"/>
      <c r="I44" s="464">
        <v>-0.25405226596096597</v>
      </c>
      <c r="J44" s="464">
        <v>0.26385809312638586</v>
      </c>
      <c r="K44" s="464">
        <v>0.37607348135965091</v>
      </c>
      <c r="L44" s="464">
        <v>6.5521736008694376E-2</v>
      </c>
      <c r="M44" s="464">
        <v>0.33616596819905364</v>
      </c>
      <c r="N44" s="464">
        <v>9.9704548800296111E-2</v>
      </c>
      <c r="O44" s="464">
        <v>0.17540395557561195</v>
      </c>
      <c r="P44" s="315"/>
      <c r="W44" s="217"/>
      <c r="X44" s="224"/>
      <c r="Y44" s="224"/>
      <c r="Z44" s="224"/>
      <c r="AA44" s="218"/>
      <c r="AB44" s="218"/>
      <c r="AC44" s="218"/>
      <c r="AD44" s="218"/>
      <c r="AE44" s="218"/>
    </row>
    <row r="45" spans="3:31" ht="4" customHeight="1">
      <c r="C45" s="317"/>
      <c r="D45" s="318"/>
      <c r="E45" s="318"/>
      <c r="F45" s="318"/>
      <c r="G45" s="318"/>
      <c r="H45" s="318"/>
      <c r="I45" s="318"/>
      <c r="J45" s="318"/>
      <c r="K45" s="318"/>
      <c r="L45" s="318"/>
      <c r="M45" s="318"/>
      <c r="N45" s="318"/>
      <c r="O45" s="318"/>
      <c r="P45" s="320"/>
    </row>
    <row r="46" spans="3:31" ht="10" customHeight="1"/>
    <row r="47" spans="3:31" ht="13" customHeight="1">
      <c r="C47" s="209" t="s">
        <v>112</v>
      </c>
      <c r="D47" s="210"/>
      <c r="E47" s="210"/>
      <c r="F47" s="210"/>
      <c r="G47" s="210"/>
      <c r="H47" s="208"/>
      <c r="I47" s="208"/>
      <c r="J47" s="208"/>
      <c r="K47" s="208"/>
      <c r="L47" s="208"/>
      <c r="M47" s="208"/>
      <c r="N47" s="208"/>
      <c r="O47" s="208"/>
      <c r="P47" s="208"/>
    </row>
    <row r="48" spans="3:31" s="225" customFormat="1" ht="15" customHeight="1">
      <c r="C48" s="301"/>
      <c r="D48" s="302"/>
      <c r="E48" s="302"/>
      <c r="F48" s="302"/>
      <c r="G48" s="302"/>
      <c r="H48" s="303"/>
      <c r="I48" s="303"/>
      <c r="J48" s="303"/>
      <c r="K48" s="304" t="s">
        <v>2</v>
      </c>
      <c r="L48" s="305"/>
      <c r="M48" s="305"/>
      <c r="N48" s="305"/>
      <c r="O48" s="305"/>
      <c r="P48" s="321"/>
    </row>
    <row r="49" spans="3:31" s="225" customFormat="1" ht="15" customHeight="1">
      <c r="C49" s="323"/>
      <c r="D49" s="276" t="s">
        <v>122</v>
      </c>
      <c r="E49" s="280"/>
      <c r="F49" s="276" t="s">
        <v>133</v>
      </c>
      <c r="G49" s="280"/>
      <c r="H49" s="281">
        <f>H28</f>
        <v>2022</v>
      </c>
      <c r="I49" s="281">
        <f t="shared" ref="I49:O49" si="6">I28</f>
        <v>2023</v>
      </c>
      <c r="J49" s="281">
        <f t="shared" si="6"/>
        <v>2024</v>
      </c>
      <c r="K49" s="282">
        <f t="shared" si="6"/>
        <v>2025</v>
      </c>
      <c r="L49" s="282">
        <f t="shared" si="6"/>
        <v>2026</v>
      </c>
      <c r="M49" s="282">
        <f t="shared" si="6"/>
        <v>2027</v>
      </c>
      <c r="N49" s="282">
        <f t="shared" si="6"/>
        <v>2028</v>
      </c>
      <c r="O49" s="282">
        <f t="shared" si="6"/>
        <v>2029</v>
      </c>
      <c r="P49" s="324"/>
    </row>
    <row r="50" spans="3:31" ht="3" customHeight="1">
      <c r="C50" s="309"/>
      <c r="D50" s="286"/>
      <c r="E50" s="286"/>
      <c r="F50" s="286"/>
      <c r="G50" s="286"/>
      <c r="H50" s="287"/>
      <c r="I50" s="287"/>
      <c r="J50" s="288"/>
      <c r="K50" s="289"/>
      <c r="L50" s="289"/>
      <c r="M50" s="289"/>
      <c r="N50" s="289"/>
      <c r="O50" s="289"/>
      <c r="P50" s="310"/>
      <c r="X50" s="225"/>
      <c r="Y50" s="225"/>
      <c r="Z50" s="225"/>
      <c r="AA50" s="225"/>
      <c r="AB50" s="225"/>
      <c r="AC50" s="225"/>
      <c r="AD50" s="225"/>
      <c r="AE50" s="225"/>
    </row>
    <row r="51" spans="3:31" ht="3" customHeight="1">
      <c r="C51" s="311"/>
      <c r="D51" s="293"/>
      <c r="E51" s="293"/>
      <c r="F51" s="293"/>
      <c r="G51" s="293"/>
      <c r="H51" s="294"/>
      <c r="I51" s="294"/>
      <c r="J51" s="295"/>
      <c r="K51" s="296"/>
      <c r="L51" s="296"/>
      <c r="M51" s="296"/>
      <c r="N51" s="296"/>
      <c r="O51" s="296"/>
      <c r="P51" s="312"/>
      <c r="X51" s="225"/>
      <c r="Y51" s="225"/>
      <c r="Z51" s="225"/>
      <c r="AA51" s="225"/>
      <c r="AB51" s="225"/>
      <c r="AC51" s="225"/>
      <c r="AD51" s="225"/>
      <c r="AE51" s="225"/>
    </row>
    <row r="52" spans="3:31" ht="13" customHeight="1">
      <c r="C52" s="313"/>
      <c r="D52" s="216" t="s">
        <v>105</v>
      </c>
      <c r="P52" s="314"/>
      <c r="X52" s="225"/>
      <c r="Y52" s="225"/>
      <c r="Z52" s="225"/>
      <c r="AA52" s="225"/>
      <c r="AB52" s="225"/>
      <c r="AC52" s="225"/>
      <c r="AD52" s="225"/>
      <c r="AE52" s="225"/>
    </row>
    <row r="53" spans="3:31">
      <c r="C53" s="313"/>
      <c r="E53" s="206" t="s">
        <v>3</v>
      </c>
      <c r="F53" s="300"/>
      <c r="H53" s="462">
        <v>46710</v>
      </c>
      <c r="I53" s="462">
        <v>51217</v>
      </c>
      <c r="J53" s="462">
        <v>51362</v>
      </c>
      <c r="K53" s="462">
        <v>51283.825599999996</v>
      </c>
      <c r="L53" s="462">
        <v>53425.178709333333</v>
      </c>
      <c r="M53" s="462">
        <v>57222.091472849148</v>
      </c>
      <c r="N53" s="462">
        <v>59316.064244939575</v>
      </c>
      <c r="O53" s="462">
        <v>62226.651886271873</v>
      </c>
      <c r="P53" s="314"/>
      <c r="W53" s="217"/>
      <c r="X53" s="225"/>
      <c r="Y53" s="225"/>
      <c r="Z53" s="225"/>
      <c r="AA53" s="225"/>
      <c r="AB53" s="225"/>
      <c r="AC53" s="225"/>
      <c r="AD53" s="225"/>
      <c r="AE53" s="225"/>
    </row>
    <row r="54" spans="3:31">
      <c r="C54" s="313"/>
      <c r="E54" s="219" t="s">
        <v>110</v>
      </c>
      <c r="F54" s="220"/>
      <c r="G54" s="219"/>
      <c r="H54" s="463" t="s">
        <v>104</v>
      </c>
      <c r="I54" s="464">
        <v>9.6488974523656568E-2</v>
      </c>
      <c r="J54" s="464">
        <v>2.8310912392370824E-3</v>
      </c>
      <c r="K54" s="464">
        <v>-1.5220279584129415E-3</v>
      </c>
      <c r="L54" s="464">
        <v>4.1754940944447316E-2</v>
      </c>
      <c r="M54" s="464">
        <v>7.1069725085495916E-2</v>
      </c>
      <c r="N54" s="464">
        <v>3.6593782544351416E-2</v>
      </c>
      <c r="O54" s="464">
        <v>4.906912955845022E-2</v>
      </c>
      <c r="P54" s="314"/>
      <c r="V54" s="223"/>
      <c r="W54" s="217"/>
      <c r="X54" s="225"/>
      <c r="Y54" s="225"/>
      <c r="Z54" s="225"/>
      <c r="AA54" s="225"/>
      <c r="AB54" s="225"/>
      <c r="AC54" s="225"/>
      <c r="AD54" s="225"/>
      <c r="AE54" s="225"/>
    </row>
    <row r="55" spans="3:31" ht="3" customHeight="1">
      <c r="C55" s="313"/>
      <c r="H55" s="465"/>
      <c r="I55" s="465"/>
      <c r="J55" s="465"/>
      <c r="K55" s="465"/>
      <c r="L55" s="465"/>
      <c r="M55" s="465"/>
      <c r="N55" s="465"/>
      <c r="O55" s="465"/>
      <c r="P55" s="314"/>
      <c r="X55" s="225"/>
      <c r="Y55" s="225"/>
      <c r="Z55" s="225"/>
      <c r="AA55" s="225"/>
      <c r="AB55" s="225"/>
      <c r="AC55" s="225"/>
      <c r="AD55" s="225"/>
      <c r="AE55" s="225"/>
    </row>
    <row r="56" spans="3:31" ht="3" customHeight="1">
      <c r="C56" s="313"/>
      <c r="H56" s="463"/>
      <c r="I56" s="463"/>
      <c r="J56" s="463"/>
      <c r="K56" s="463"/>
      <c r="L56" s="463"/>
      <c r="M56" s="463"/>
      <c r="N56" s="463"/>
      <c r="O56" s="463"/>
      <c r="P56" s="314"/>
      <c r="X56" s="225"/>
      <c r="Y56" s="225"/>
      <c r="Z56" s="225"/>
      <c r="AA56" s="225"/>
      <c r="AB56" s="225"/>
      <c r="AC56" s="225"/>
      <c r="AD56" s="225"/>
      <c r="AE56" s="225"/>
    </row>
    <row r="57" spans="3:31">
      <c r="C57" s="313"/>
      <c r="E57" s="206" t="s">
        <v>5</v>
      </c>
      <c r="F57" s="300"/>
      <c r="H57" s="462">
        <v>6856</v>
      </c>
      <c r="I57" s="462">
        <v>5635</v>
      </c>
      <c r="J57" s="462">
        <v>6539</v>
      </c>
      <c r="K57" s="462">
        <v>4480.9443499999979</v>
      </c>
      <c r="L57" s="462">
        <v>4512.5791655833455</v>
      </c>
      <c r="M57" s="462">
        <v>6344.1766286366546</v>
      </c>
      <c r="N57" s="462">
        <v>6371.8477628663459</v>
      </c>
      <c r="O57" s="462">
        <v>7397.8122493121191</v>
      </c>
      <c r="P57" s="315"/>
      <c r="W57" s="217"/>
      <c r="X57" s="225"/>
      <c r="Y57" s="225"/>
      <c r="Z57" s="225"/>
      <c r="AA57" s="225"/>
      <c r="AB57" s="225"/>
      <c r="AC57" s="225"/>
      <c r="AD57" s="225"/>
      <c r="AE57" s="225"/>
    </row>
    <row r="58" spans="3:31">
      <c r="C58" s="313"/>
      <c r="E58" s="219" t="s">
        <v>111</v>
      </c>
      <c r="F58" s="220"/>
      <c r="G58" s="219"/>
      <c r="H58" s="464">
        <v>0.14677799186469706</v>
      </c>
      <c r="I58" s="464">
        <v>0.11002206298689889</v>
      </c>
      <c r="J58" s="464">
        <v>0.12731202055994703</v>
      </c>
      <c r="K58" s="464">
        <v>8.7375391706347241E-2</v>
      </c>
      <c r="L58" s="464">
        <v>8.4465401419331176E-2</v>
      </c>
      <c r="M58" s="464">
        <v>0.11086935946140403</v>
      </c>
      <c r="N58" s="464">
        <v>0.10742195801384355</v>
      </c>
      <c r="O58" s="464">
        <v>0.11888494760786232</v>
      </c>
      <c r="P58" s="316"/>
      <c r="V58" s="223"/>
      <c r="W58" s="217"/>
      <c r="X58" s="225"/>
      <c r="Y58" s="225"/>
      <c r="Z58" s="225"/>
      <c r="AA58" s="225"/>
      <c r="AB58" s="225"/>
      <c r="AC58" s="225"/>
      <c r="AD58" s="225"/>
      <c r="AE58" s="225"/>
    </row>
    <row r="59" spans="3:31">
      <c r="C59" s="313"/>
      <c r="E59" s="219" t="s">
        <v>110</v>
      </c>
      <c r="F59" s="220"/>
      <c r="G59" s="219"/>
      <c r="H59" s="466"/>
      <c r="I59" s="464">
        <v>-0.17809218203033839</v>
      </c>
      <c r="J59" s="464">
        <v>0.16042590949423241</v>
      </c>
      <c r="K59" s="464">
        <v>-0.31473553295610979</v>
      </c>
      <c r="L59" s="464">
        <v>7.0598546003695084E-3</v>
      </c>
      <c r="M59" s="464">
        <v>0.40588705390978697</v>
      </c>
      <c r="N59" s="464">
        <v>4.361658864412421E-3</v>
      </c>
      <c r="O59" s="464">
        <v>0.16101522268389035</v>
      </c>
      <c r="P59" s="316"/>
      <c r="V59" s="223"/>
      <c r="W59" s="217"/>
      <c r="X59" s="225"/>
      <c r="Y59" s="225"/>
      <c r="Z59" s="225"/>
      <c r="AA59" s="225"/>
      <c r="AB59" s="225"/>
      <c r="AC59" s="225"/>
      <c r="AD59" s="225"/>
      <c r="AE59" s="225"/>
    </row>
    <row r="60" spans="3:31" ht="3" customHeight="1">
      <c r="C60" s="313"/>
      <c r="H60" s="465"/>
      <c r="I60" s="465"/>
      <c r="J60" s="465"/>
      <c r="K60" s="465"/>
      <c r="L60" s="465"/>
      <c r="M60" s="465"/>
      <c r="N60" s="465"/>
      <c r="O60" s="465"/>
      <c r="P60" s="314"/>
      <c r="X60" s="225"/>
      <c r="Y60" s="225"/>
      <c r="Z60" s="225"/>
      <c r="AA60" s="225"/>
      <c r="AB60" s="225"/>
      <c r="AC60" s="225"/>
      <c r="AD60" s="225"/>
      <c r="AE60" s="225"/>
    </row>
    <row r="61" spans="3:31" ht="3" customHeight="1">
      <c r="C61" s="313"/>
      <c r="H61" s="463"/>
      <c r="I61" s="463"/>
      <c r="J61" s="463"/>
      <c r="K61" s="463"/>
      <c r="L61" s="463"/>
      <c r="M61" s="463"/>
      <c r="N61" s="463"/>
      <c r="O61" s="463"/>
      <c r="P61" s="314"/>
      <c r="X61" s="225"/>
      <c r="Y61" s="225"/>
      <c r="Z61" s="225"/>
      <c r="AA61" s="225"/>
      <c r="AB61" s="225"/>
      <c r="AC61" s="225"/>
      <c r="AD61" s="225"/>
      <c r="AE61" s="225"/>
    </row>
    <row r="62" spans="3:31">
      <c r="C62" s="313"/>
      <c r="E62" s="206" t="s">
        <v>7</v>
      </c>
      <c r="F62" s="300"/>
      <c r="H62" s="462">
        <v>6046</v>
      </c>
      <c r="I62" s="462">
        <v>4510</v>
      </c>
      <c r="J62" s="462">
        <v>5700</v>
      </c>
      <c r="K62" s="462">
        <v>3665.3311974999983</v>
      </c>
      <c r="L62" s="462">
        <v>3724.6647501512407</v>
      </c>
      <c r="M62" s="462">
        <v>5303.0062850172089</v>
      </c>
      <c r="N62" s="462">
        <v>5343.5201633920078</v>
      </c>
      <c r="O62" s="462">
        <v>6236.1945265739741</v>
      </c>
      <c r="P62" s="315"/>
      <c r="W62" s="217"/>
      <c r="X62" s="225"/>
      <c r="Y62" s="225"/>
      <c r="Z62" s="225"/>
      <c r="AA62" s="225"/>
      <c r="AB62" s="225"/>
      <c r="AC62" s="225"/>
      <c r="AD62" s="225"/>
      <c r="AE62" s="225"/>
    </row>
    <row r="63" spans="3:31">
      <c r="C63" s="313"/>
      <c r="E63" s="219" t="s">
        <v>111</v>
      </c>
      <c r="F63" s="220"/>
      <c r="G63" s="219"/>
      <c r="H63" s="464">
        <v>0.12943695140226932</v>
      </c>
      <c r="I63" s="464">
        <v>8.8056699923853413E-2</v>
      </c>
      <c r="J63" s="464">
        <v>0.11097698687745804</v>
      </c>
      <c r="K63" s="464">
        <v>7.1471485495029033E-2</v>
      </c>
      <c r="L63" s="464">
        <v>6.9717403668703964E-2</v>
      </c>
      <c r="M63" s="464">
        <v>9.2674107997841884E-2</v>
      </c>
      <c r="N63" s="464">
        <v>9.0085548180110067E-2</v>
      </c>
      <c r="O63" s="464">
        <v>0.10021742031005483</v>
      </c>
      <c r="P63" s="315"/>
      <c r="W63" s="217"/>
      <c r="X63" s="225"/>
      <c r="Y63" s="225"/>
      <c r="Z63" s="225"/>
      <c r="AA63" s="225"/>
      <c r="AB63" s="225"/>
      <c r="AC63" s="225"/>
      <c r="AD63" s="225"/>
      <c r="AE63" s="225"/>
    </row>
    <row r="64" spans="3:31">
      <c r="C64" s="313"/>
      <c r="E64" s="219" t="s">
        <v>110</v>
      </c>
      <c r="F64" s="220"/>
      <c r="G64" s="219"/>
      <c r="H64" s="466"/>
      <c r="I64" s="464">
        <v>-0.25405226596096597</v>
      </c>
      <c r="J64" s="464">
        <v>0.26385809312638586</v>
      </c>
      <c r="K64" s="464">
        <v>-0.35695943903508798</v>
      </c>
      <c r="L64" s="464">
        <v>1.6187773888403756E-2</v>
      </c>
      <c r="M64" s="464">
        <v>0.42375398612771242</v>
      </c>
      <c r="N64" s="464">
        <v>7.6397945235826548E-3</v>
      </c>
      <c r="O64" s="464">
        <v>0.16705735842405933</v>
      </c>
      <c r="P64" s="315"/>
      <c r="W64" s="217"/>
      <c r="X64" s="225"/>
      <c r="Y64" s="225"/>
      <c r="Z64" s="225"/>
      <c r="AA64" s="225"/>
      <c r="AB64" s="225"/>
      <c r="AC64" s="225"/>
      <c r="AD64" s="225"/>
      <c r="AE64" s="225"/>
    </row>
    <row r="65" spans="2:31" ht="4" customHeight="1">
      <c r="C65" s="317"/>
      <c r="D65" s="318"/>
      <c r="E65" s="318"/>
      <c r="F65" s="318"/>
      <c r="G65" s="318"/>
      <c r="H65" s="318"/>
      <c r="I65" s="318"/>
      <c r="J65" s="318"/>
      <c r="K65" s="318"/>
      <c r="L65" s="318"/>
      <c r="M65" s="318"/>
      <c r="N65" s="318"/>
      <c r="O65" s="318"/>
      <c r="P65" s="320"/>
      <c r="X65" s="225"/>
      <c r="Y65" s="225"/>
      <c r="Z65" s="225"/>
      <c r="AA65" s="225"/>
      <c r="AB65" s="225"/>
      <c r="AC65" s="225"/>
      <c r="AD65" s="225"/>
      <c r="AE65" s="225"/>
    </row>
    <row r="66" spans="2:31" ht="12" customHeight="1">
      <c r="B66" s="212"/>
      <c r="C66" s="212"/>
      <c r="D66" s="212"/>
      <c r="E66" s="212"/>
      <c r="F66" s="212"/>
      <c r="G66" s="212"/>
      <c r="H66" s="212"/>
      <c r="I66" s="212"/>
      <c r="J66" s="212"/>
      <c r="K66" s="212"/>
      <c r="L66" s="212"/>
      <c r="M66" s="212"/>
      <c r="N66" s="212"/>
      <c r="O66" s="212"/>
      <c r="P66" s="212"/>
      <c r="Q66" s="212"/>
      <c r="X66" s="225"/>
      <c r="Y66" s="225"/>
      <c r="Z66" s="225"/>
      <c r="AA66" s="225"/>
      <c r="AB66" s="225"/>
      <c r="AC66" s="225"/>
      <c r="AD66" s="225"/>
      <c r="AE66" s="225"/>
    </row>
  </sheetData>
  <printOptions horizontalCentered="1"/>
  <pageMargins left="0.25" right="0.25" top="0.25" bottom="0.5" header="0.25" footer="0.25"/>
  <pageSetup scale="85" orientation="landscape" r:id="rId1"/>
  <headerFooter alignWithMargins="0">
    <oddFooter>&amp;L&amp;9&amp;K000000C:\Documents\nike.xls&amp;C&amp;"Calibri,Regular"&amp;9&amp;K000000Page &amp;P of &amp;N 
&amp;R&amp;9&amp;K000000&amp;D&amp;T</oddFooter>
  </headerFooter>
  <extLs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 high="1" low="1" xr2:uid="{4924D4C9-984C-4594-998A-20C6D0FE1C6A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Summary!H62:O62</xm:f>
              <xm:sqref>F62</xm:sqref>
            </x14:sparkline>
          </x14:sparklines>
        </x14:sparklineGroup>
        <x14:sparklineGroup lineWeight="1" displayEmptyCellsAs="gap" high="1" low="1" xr2:uid="{EDAF874D-F657-491B-9B83-DF36A749AF6C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Summary!H57:O57</xm:f>
              <xm:sqref>F57</xm:sqref>
            </x14:sparkline>
          </x14:sparklines>
        </x14:sparklineGroup>
        <x14:sparklineGroup lineWeight="1" displayEmptyCellsAs="gap" high="1" low="1" xr2:uid="{210DCF42-6BB4-4817-B593-1DB3DE3EEC14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Summary!H53:O53</xm:f>
              <xm:sqref>F53</xm:sqref>
            </x14:sparkline>
          </x14:sparklines>
        </x14:sparklineGroup>
        <x14:sparklineGroup lineWeight="1" displayEmptyCellsAs="gap" high="1" low="1" xr2:uid="{AD712293-37A1-4BBB-9B0B-D14D90E896D3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Summary!H42:O42</xm:f>
              <xm:sqref>F42</xm:sqref>
            </x14:sparkline>
          </x14:sparklines>
        </x14:sparklineGroup>
        <x14:sparklineGroup lineWeight="1" displayEmptyCellsAs="gap" high="1" low="1" xr2:uid="{64F1AC68-22C1-494C-8DB9-8B7DE5149FDB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Summary!H37:O37</xm:f>
              <xm:sqref>F37</xm:sqref>
            </x14:sparkline>
          </x14:sparklines>
        </x14:sparklineGroup>
        <x14:sparklineGroup lineWeight="1" displayEmptyCellsAs="gap" high="1" low="1" xr2:uid="{922AC61D-B8DA-48C6-B9FA-F462165B173B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Summary!H33:O33</xm:f>
              <xm:sqref>F33</xm:sqref>
            </x14:sparkline>
          </x14:sparklines>
        </x14:sparklineGroup>
        <x14:sparklineGroup lineWeight="1" displayEmptyCellsAs="gap" high="1" low="1" xr2:uid="{7C576C4A-CC28-42C3-BB62-0E794D368835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Summary!H21:O21</xm:f>
              <xm:sqref>F21</xm:sqref>
            </x14:sparkline>
          </x14:sparklines>
        </x14:sparklineGroup>
        <x14:sparklineGroup lineWeight="1" displayEmptyCellsAs="gap" high="1" low="1" xr2:uid="{B52FA5C1-8ABD-4858-952B-1FE363D8F282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Summary!H12:O12</xm:f>
              <xm:sqref>F12</xm:sqref>
            </x14:sparkline>
          </x14:sparklines>
        </x14:sparklineGroup>
        <x14:sparklineGroup lineWeight="1" displayEmptyCellsAs="gap" high="1" low="1" xr2:uid="{6432E141-2854-439F-993C-6CC4FD658F77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Summary!H16:O16</xm:f>
              <xm:sqref>F16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B1:Q84"/>
  <sheetViews>
    <sheetView showGridLines="0" tabSelected="1" zoomScaleNormal="100" zoomScaleSheetLayoutView="100" workbookViewId="0">
      <selection activeCell="J9" sqref="J9"/>
    </sheetView>
  </sheetViews>
  <sheetFormatPr baseColWidth="10" defaultColWidth="8.83203125" defaultRowHeight="13"/>
  <cols>
    <col min="1" max="1" width="2.5" customWidth="1"/>
    <col min="2" max="2" width="5.5" customWidth="1"/>
    <col min="3" max="3" width="2.1640625" customWidth="1"/>
    <col min="4" max="4" width="13.5" customWidth="1"/>
    <col min="5" max="7" width="10.5" customWidth="1"/>
    <col min="8" max="8" width="12.1640625" customWidth="1"/>
    <col min="9" max="12" width="10.5" customWidth="1"/>
    <col min="13" max="13" width="13.83203125" customWidth="1"/>
    <col min="14" max="14" width="10.5" customWidth="1"/>
    <col min="15" max="15" width="5.5" customWidth="1"/>
  </cols>
  <sheetData>
    <row r="1" spans="2:17" ht="22.5" customHeight="1">
      <c r="B1" s="618" t="str">
        <f>Cover!B13</f>
        <v>NIKE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7" ht="18.75" customHeight="1">
      <c r="B2" s="4" t="s">
        <v>82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7" ht="3" customHeight="1" thickBot="1">
      <c r="B3" s="274"/>
      <c r="C3" s="274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</row>
    <row r="4" spans="2:17" ht="12" customHeight="1"/>
    <row r="5" spans="2:17" ht="16" customHeight="1">
      <c r="C5" s="283" t="s">
        <v>67</v>
      </c>
      <c r="D5" s="284"/>
      <c r="E5" s="284"/>
      <c r="F5" s="284"/>
      <c r="G5" s="284"/>
      <c r="H5" s="285"/>
      <c r="J5" s="283" t="s">
        <v>93</v>
      </c>
      <c r="K5" s="284"/>
      <c r="L5" s="284"/>
      <c r="M5" s="284"/>
      <c r="N5" s="285"/>
    </row>
    <row r="6" spans="2:17" ht="3" customHeight="1">
      <c r="C6" s="290"/>
      <c r="D6" s="291"/>
      <c r="E6" s="291"/>
      <c r="F6" s="291"/>
      <c r="G6" s="291"/>
      <c r="H6" s="292"/>
      <c r="J6" s="290"/>
      <c r="K6" s="291"/>
      <c r="L6" s="291"/>
      <c r="M6" s="291"/>
      <c r="N6" s="292"/>
    </row>
    <row r="7" spans="2:17" ht="5" customHeight="1">
      <c r="C7" s="297"/>
      <c r="D7" s="298"/>
      <c r="E7" s="298"/>
      <c r="F7" s="298"/>
      <c r="G7" s="298"/>
      <c r="H7" s="299"/>
      <c r="J7" s="297"/>
      <c r="K7" s="298"/>
      <c r="L7" s="298"/>
      <c r="M7" s="298"/>
      <c r="N7" s="299"/>
    </row>
    <row r="8" spans="2:17" ht="14.25" customHeight="1">
      <c r="C8" s="237" t="s">
        <v>66</v>
      </c>
      <c r="D8" s="19" t="s">
        <v>106</v>
      </c>
      <c r="G8" s="440">
        <v>2025</v>
      </c>
      <c r="H8" s="238"/>
      <c r="J8" s="243" t="s">
        <v>263</v>
      </c>
      <c r="K8" s="7"/>
      <c r="M8" s="8"/>
      <c r="N8" s="441">
        <v>75.37</v>
      </c>
      <c r="Q8" s="9"/>
    </row>
    <row r="9" spans="2:17" ht="14.25" customHeight="1">
      <c r="C9" s="237" t="s">
        <v>66</v>
      </c>
      <c r="D9" s="10" t="s">
        <v>118</v>
      </c>
      <c r="H9" s="238"/>
      <c r="J9" s="243" t="s">
        <v>264</v>
      </c>
      <c r="N9" s="442">
        <v>1529.7</v>
      </c>
    </row>
    <row r="10" spans="2:17" ht="14.25" customHeight="1">
      <c r="C10" s="239"/>
      <c r="D10" s="240" t="s">
        <v>101</v>
      </c>
      <c r="E10" s="241"/>
      <c r="F10" s="241"/>
      <c r="G10" s="241"/>
      <c r="H10" s="242"/>
      <c r="J10" s="244" t="s">
        <v>94</v>
      </c>
      <c r="K10" s="241"/>
      <c r="L10" s="241"/>
      <c r="M10" s="245"/>
      <c r="N10" s="443">
        <v>0.5</v>
      </c>
    </row>
    <row r="11" spans="2:17" ht="14.25" customHeight="1">
      <c r="M11" s="8"/>
      <c r="N11" s="236"/>
    </row>
    <row r="12" spans="2:17" ht="6" customHeight="1">
      <c r="M12" s="8"/>
      <c r="N12" s="236"/>
    </row>
    <row r="13" spans="2:17" s="13" customFormat="1" ht="16" customHeight="1">
      <c r="C13" s="283" t="s">
        <v>68</v>
      </c>
      <c r="D13" s="284"/>
      <c r="E13" s="284"/>
      <c r="F13" s="284"/>
      <c r="G13" s="284"/>
      <c r="H13" s="285"/>
      <c r="J13" s="283"/>
      <c r="K13" s="284"/>
      <c r="L13" s="284"/>
      <c r="M13" s="284"/>
      <c r="N13" s="285"/>
    </row>
    <row r="14" spans="2:17" s="13" customFormat="1" ht="3" customHeight="1">
      <c r="C14" s="290"/>
      <c r="D14" s="291"/>
      <c r="E14" s="291"/>
      <c r="F14" s="291"/>
      <c r="G14" s="291"/>
      <c r="H14" s="292"/>
      <c r="J14" s="290"/>
      <c r="K14" s="291"/>
      <c r="L14" s="291"/>
      <c r="M14" s="291"/>
      <c r="N14" s="292"/>
    </row>
    <row r="15" spans="2:17" s="13" customFormat="1" ht="3" customHeight="1">
      <c r="C15" s="297"/>
      <c r="D15" s="298"/>
      <c r="E15" s="298"/>
      <c r="F15" s="298"/>
      <c r="G15" s="298"/>
      <c r="H15" s="299"/>
      <c r="J15" s="297"/>
      <c r="K15" s="298"/>
      <c r="L15" s="298"/>
      <c r="M15" s="298"/>
      <c r="N15" s="299"/>
    </row>
    <row r="16" spans="2:17" ht="14.25" customHeight="1">
      <c r="C16" s="237" t="s">
        <v>66</v>
      </c>
      <c r="D16" s="10" t="s">
        <v>65</v>
      </c>
      <c r="H16" s="238"/>
      <c r="J16" s="243"/>
      <c r="N16" s="238"/>
    </row>
    <row r="17" spans="3:14" ht="14.25" customHeight="1">
      <c r="C17" s="247" t="s">
        <v>0</v>
      </c>
      <c r="D17" s="14"/>
      <c r="E17" s="15" t="str">
        <f>Scenarios!G6&amp;" - "&amp;Scenarios!K6</f>
        <v>2025 - 2029</v>
      </c>
      <c r="F17" s="16"/>
      <c r="G17" s="15"/>
      <c r="H17" s="248"/>
      <c r="J17" s="246" t="s">
        <v>130</v>
      </c>
      <c r="N17" s="444">
        <v>0.15</v>
      </c>
    </row>
    <row r="18" spans="3:14" s="17" customFormat="1" ht="16">
      <c r="C18" s="249" t="s">
        <v>48</v>
      </c>
      <c r="D18"/>
      <c r="E18" s="3" t="s">
        <v>103</v>
      </c>
      <c r="F18" s="3"/>
      <c r="G18" s="3"/>
      <c r="H18" s="250"/>
      <c r="I18" s="18"/>
      <c r="J18" s="243" t="s">
        <v>259</v>
      </c>
      <c r="K18"/>
      <c r="L18"/>
      <c r="M18"/>
      <c r="N18" s="238"/>
    </row>
    <row r="19" spans="3:14" ht="14.25" customHeight="1">
      <c r="C19" s="249" t="s">
        <v>49</v>
      </c>
      <c r="F19" s="438">
        <v>0.04</v>
      </c>
      <c r="G19" s="3"/>
      <c r="H19" s="250" t="s">
        <v>104</v>
      </c>
      <c r="I19" s="19"/>
      <c r="J19" s="243"/>
      <c r="N19" s="238"/>
    </row>
    <row r="20" spans="3:14" ht="15.75" customHeight="1">
      <c r="C20" s="251" t="s">
        <v>50</v>
      </c>
      <c r="D20" s="241"/>
      <c r="E20" s="241"/>
      <c r="F20" s="439">
        <v>-0.04</v>
      </c>
      <c r="G20" s="252"/>
      <c r="H20" s="253" t="s">
        <v>104</v>
      </c>
      <c r="I20" s="19"/>
      <c r="J20" s="244"/>
      <c r="K20" s="241"/>
      <c r="L20" s="241"/>
      <c r="M20" s="241"/>
      <c r="N20" s="242"/>
    </row>
    <row r="21" spans="3:14" ht="14.25" customHeight="1">
      <c r="I21" s="19"/>
    </row>
    <row r="22" spans="3:14" ht="6" customHeight="1">
      <c r="I22" s="19"/>
    </row>
    <row r="23" spans="3:14" s="13" customFormat="1" ht="16" customHeight="1">
      <c r="C23" s="283" t="s">
        <v>253</v>
      </c>
      <c r="D23" s="284"/>
      <c r="E23" s="284"/>
      <c r="F23" s="284"/>
      <c r="G23" s="284"/>
      <c r="H23" s="285"/>
      <c r="J23" s="283" t="s">
        <v>129</v>
      </c>
      <c r="K23" s="284"/>
      <c r="L23" s="284"/>
      <c r="M23" s="284"/>
      <c r="N23" s="285"/>
    </row>
    <row r="24" spans="3:14" ht="3" customHeight="1">
      <c r="C24" s="290"/>
      <c r="D24" s="291"/>
      <c r="E24" s="291"/>
      <c r="F24" s="291"/>
      <c r="G24" s="291"/>
      <c r="H24" s="292"/>
      <c r="J24" s="290"/>
      <c r="K24" s="291"/>
      <c r="L24" s="291"/>
      <c r="M24" s="291"/>
      <c r="N24" s="292"/>
    </row>
    <row r="25" spans="3:14" ht="3" customHeight="1">
      <c r="C25" s="297"/>
      <c r="D25" s="298"/>
      <c r="E25" s="298"/>
      <c r="F25" s="298"/>
      <c r="G25" s="298"/>
      <c r="H25" s="299"/>
      <c r="J25" s="297"/>
      <c r="K25" s="298"/>
      <c r="L25" s="298"/>
      <c r="M25" s="298"/>
      <c r="N25" s="299"/>
    </row>
    <row r="26" spans="3:14" ht="15.75" customHeight="1">
      <c r="C26" s="247"/>
      <c r="D26" s="10"/>
      <c r="E26" s="21"/>
      <c r="G26" s="21" t="s">
        <v>258</v>
      </c>
      <c r="H26" s="238"/>
      <c r="J26" s="256"/>
      <c r="N26" s="238"/>
    </row>
    <row r="27" spans="3:14" ht="14.25" customHeight="1">
      <c r="C27" s="254" t="s">
        <v>243</v>
      </c>
      <c r="D27" s="10"/>
      <c r="E27" s="432">
        <v>0.09</v>
      </c>
      <c r="G27" t="s">
        <v>257</v>
      </c>
      <c r="H27" s="238"/>
      <c r="J27" s="257" t="s">
        <v>131</v>
      </c>
      <c r="M27" s="23"/>
      <c r="N27" s="435">
        <v>0.01</v>
      </c>
    </row>
    <row r="28" spans="3:14" ht="14.25" customHeight="1">
      <c r="C28" s="254" t="s">
        <v>254</v>
      </c>
      <c r="D28" s="10"/>
      <c r="E28" s="432">
        <v>0.02</v>
      </c>
      <c r="G28" t="s">
        <v>255</v>
      </c>
      <c r="H28" s="238"/>
      <c r="J28" s="258" t="s">
        <v>239</v>
      </c>
      <c r="N28" s="435">
        <v>0.05</v>
      </c>
    </row>
    <row r="29" spans="3:14" ht="14.25" customHeight="1">
      <c r="C29" s="254" t="s">
        <v>250</v>
      </c>
      <c r="D29" s="19"/>
      <c r="E29" s="433">
        <v>20</v>
      </c>
      <c r="G29" t="s">
        <v>256</v>
      </c>
      <c r="H29" s="238"/>
      <c r="J29" s="258" t="s">
        <v>240</v>
      </c>
      <c r="N29" s="435">
        <v>0.03</v>
      </c>
    </row>
    <row r="30" spans="3:14" ht="14.25" customHeight="1">
      <c r="C30" s="254"/>
      <c r="D30" s="19"/>
      <c r="H30" s="238"/>
      <c r="J30" s="243"/>
      <c r="N30" s="238"/>
    </row>
    <row r="31" spans="3:14" ht="15.75" customHeight="1">
      <c r="C31" s="255"/>
      <c r="D31" s="240"/>
      <c r="E31" s="241"/>
      <c r="F31" s="241"/>
      <c r="G31" s="241"/>
      <c r="H31" s="242"/>
      <c r="J31" s="244"/>
      <c r="K31" s="241"/>
      <c r="L31" s="241"/>
      <c r="M31" s="241"/>
      <c r="N31" s="242"/>
    </row>
    <row r="32" spans="3:14" ht="14.25" customHeight="1"/>
    <row r="33" spans="2:15" ht="3.5" customHeight="1"/>
    <row r="34" spans="2:15" ht="14.25" customHeight="1">
      <c r="C34" s="283" t="s">
        <v>167</v>
      </c>
      <c r="D34" s="284"/>
      <c r="E34" s="284"/>
      <c r="F34" s="284"/>
      <c r="G34" s="284"/>
      <c r="H34" s="285"/>
    </row>
    <row r="35" spans="2:15" ht="2.5" customHeight="1">
      <c r="C35" s="290"/>
      <c r="D35" s="291"/>
      <c r="E35" s="291"/>
      <c r="F35" s="291"/>
      <c r="G35" s="291"/>
      <c r="H35" s="292"/>
    </row>
    <row r="36" spans="2:15" ht="4" customHeight="1">
      <c r="C36" s="297"/>
      <c r="D36" s="298"/>
      <c r="E36" s="298"/>
      <c r="F36" s="298"/>
      <c r="G36" s="298"/>
      <c r="H36" s="299"/>
    </row>
    <row r="37" spans="2:15" ht="14.25" customHeight="1">
      <c r="C37" s="247"/>
      <c r="D37" s="10"/>
      <c r="E37" s="21"/>
      <c r="G37" s="21"/>
      <c r="H37" s="238"/>
    </row>
    <row r="38" spans="2:15" ht="14.25" customHeight="1">
      <c r="C38" s="254" t="s">
        <v>210</v>
      </c>
      <c r="D38" s="10"/>
      <c r="E38" s="432"/>
      <c r="H38" s="435">
        <v>0.65</v>
      </c>
    </row>
    <row r="39" spans="2:15" ht="14.25" customHeight="1">
      <c r="C39" s="254" t="s">
        <v>211</v>
      </c>
      <c r="D39" s="10"/>
      <c r="E39" s="434"/>
      <c r="H39" s="435">
        <v>0.28000000000000003</v>
      </c>
    </row>
    <row r="40" spans="2:15" ht="14.25" customHeight="1">
      <c r="C40" s="254" t="s">
        <v>212</v>
      </c>
      <c r="D40" s="19"/>
      <c r="E40" s="434"/>
      <c r="F40" s="434"/>
      <c r="H40" s="435">
        <v>0.73</v>
      </c>
    </row>
    <row r="41" spans="2:15" ht="14.25" customHeight="1">
      <c r="C41" s="254"/>
      <c r="D41" s="19"/>
      <c r="F41" s="434"/>
      <c r="H41" s="238"/>
    </row>
    <row r="42" spans="2:15" ht="14.25" customHeight="1">
      <c r="C42" s="255"/>
      <c r="D42" s="240"/>
      <c r="E42" s="241"/>
      <c r="F42" s="241"/>
      <c r="G42" s="241"/>
      <c r="H42" s="242"/>
    </row>
    <row r="43" spans="2:15" ht="14.25" customHeight="1">
      <c r="C43" s="25"/>
      <c r="J43" s="26"/>
    </row>
    <row r="44" spans="2:15" ht="14.25" customHeight="1">
      <c r="B44" s="11"/>
      <c r="C44" s="436"/>
      <c r="D44" s="11"/>
      <c r="E44" s="11"/>
      <c r="F44" s="11"/>
      <c r="G44" s="11"/>
      <c r="H44" s="11"/>
      <c r="I44" s="11"/>
      <c r="J44" s="437"/>
      <c r="K44" s="11"/>
      <c r="L44" s="11"/>
      <c r="M44" s="11"/>
      <c r="N44" s="11"/>
      <c r="O44" s="11"/>
    </row>
    <row r="45" spans="2:15" ht="14.25" customHeight="1">
      <c r="C45" s="25"/>
      <c r="J45" s="26"/>
    </row>
    <row r="46" spans="2:15" ht="22.5" customHeight="1">
      <c r="B46" s="619" t="str">
        <f>Summary!B1</f>
        <v>NIKE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2:15" ht="18.75" customHeight="1">
      <c r="B47" s="4" t="s">
        <v>82</v>
      </c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2:15" ht="3" customHeight="1" thickBot="1">
      <c r="B48" s="274"/>
      <c r="C48" s="274"/>
      <c r="D48" s="275"/>
      <c r="E48" s="275"/>
      <c r="F48" s="275"/>
      <c r="G48" s="275"/>
      <c r="H48" s="275"/>
      <c r="I48" s="275"/>
      <c r="J48" s="275"/>
      <c r="K48" s="275"/>
      <c r="L48" s="275"/>
      <c r="M48" s="275"/>
      <c r="N48" s="275"/>
      <c r="O48" s="275"/>
    </row>
    <row r="49" spans="3:17" ht="12" customHeight="1">
      <c r="C49" s="25"/>
      <c r="J49" s="26"/>
    </row>
    <row r="50" spans="3:17" s="13" customFormat="1" ht="16" customHeight="1">
      <c r="C50" s="407" t="s">
        <v>113</v>
      </c>
      <c r="D50" s="408"/>
      <c r="E50" s="408"/>
      <c r="F50" s="408"/>
      <c r="G50" s="408"/>
      <c r="H50" s="408"/>
      <c r="I50" s="408"/>
      <c r="J50" s="409">
        <f>G8</f>
        <v>2025</v>
      </c>
      <c r="K50" s="409">
        <f>J50+1</f>
        <v>2026</v>
      </c>
      <c r="L50" s="409">
        <f>K50+1</f>
        <v>2027</v>
      </c>
      <c r="M50" s="409">
        <f>L50+1</f>
        <v>2028</v>
      </c>
      <c r="N50" s="410">
        <f>M50+1</f>
        <v>2029</v>
      </c>
      <c r="Q50" s="259"/>
    </row>
    <row r="51" spans="3:17" s="13" customFormat="1" ht="3" customHeight="1">
      <c r="C51" s="411"/>
      <c r="D51" s="291"/>
      <c r="E51" s="291"/>
      <c r="F51" s="291"/>
      <c r="G51" s="291"/>
      <c r="H51" s="291"/>
      <c r="I51" s="291"/>
      <c r="J51" s="291"/>
      <c r="K51" s="291"/>
      <c r="L51" s="291"/>
      <c r="M51" s="291"/>
      <c r="N51" s="412"/>
      <c r="Q51" s="259"/>
    </row>
    <row r="52" spans="3:17" s="13" customFormat="1" ht="3" customHeight="1">
      <c r="C52" s="413"/>
      <c r="D52" s="298"/>
      <c r="E52" s="298"/>
      <c r="F52" s="298"/>
      <c r="G52" s="298"/>
      <c r="H52" s="298"/>
      <c r="I52" s="298"/>
      <c r="J52" s="298"/>
      <c r="K52" s="298"/>
      <c r="L52" s="298"/>
      <c r="M52" s="298"/>
      <c r="N52" s="414"/>
      <c r="Q52" s="259"/>
    </row>
    <row r="53" spans="3:17" ht="8.25" customHeight="1">
      <c r="C53" s="6"/>
      <c r="L53" s="26"/>
      <c r="N53" s="415"/>
    </row>
    <row r="54" spans="3:17" ht="14.25" customHeight="1">
      <c r="C54" s="416" t="s">
        <v>34</v>
      </c>
      <c r="J54" s="406"/>
      <c r="K54" s="406"/>
      <c r="L54" s="406"/>
      <c r="M54" s="406"/>
      <c r="N54" s="417"/>
      <c r="Q54" s="27"/>
    </row>
    <row r="55" spans="3:17" ht="14.25" customHeight="1">
      <c r="C55" s="416"/>
      <c r="D55" t="s">
        <v>166</v>
      </c>
      <c r="G55" t="s">
        <v>107</v>
      </c>
      <c r="J55" s="445">
        <v>-250</v>
      </c>
      <c r="K55" s="445">
        <v>-250</v>
      </c>
      <c r="L55" s="445">
        <v>-260</v>
      </c>
      <c r="M55" s="445">
        <v>-260</v>
      </c>
      <c r="N55" s="446">
        <v>-260</v>
      </c>
    </row>
    <row r="56" spans="3:17" ht="14.25" customHeight="1">
      <c r="C56" s="416"/>
      <c r="J56" s="434"/>
      <c r="K56" s="434"/>
      <c r="L56" s="434"/>
      <c r="M56" s="434"/>
      <c r="N56" s="447"/>
    </row>
    <row r="57" spans="3:17" ht="14.25" customHeight="1">
      <c r="C57" s="416" t="s">
        <v>41</v>
      </c>
      <c r="J57" s="445"/>
      <c r="K57" s="445"/>
      <c r="L57" s="445"/>
      <c r="M57" s="445"/>
      <c r="N57" s="446"/>
      <c r="Q57" s="27"/>
    </row>
    <row r="58" spans="3:17" ht="14.25" customHeight="1">
      <c r="C58" s="416"/>
      <c r="D58" t="s">
        <v>116</v>
      </c>
      <c r="G58" t="s">
        <v>107</v>
      </c>
      <c r="J58" s="445">
        <v>0</v>
      </c>
      <c r="K58" s="445">
        <v>0</v>
      </c>
      <c r="L58" s="445">
        <v>0</v>
      </c>
      <c r="M58" s="445">
        <v>0</v>
      </c>
      <c r="N58" s="446">
        <v>0</v>
      </c>
    </row>
    <row r="59" spans="3:17" ht="14.25" customHeight="1">
      <c r="C59" s="416"/>
      <c r="D59" t="s">
        <v>213</v>
      </c>
      <c r="G59" t="s">
        <v>214</v>
      </c>
      <c r="J59" s="448">
        <v>1.6E-2</v>
      </c>
      <c r="K59" s="448">
        <v>1.6E-2</v>
      </c>
      <c r="L59" s="448">
        <v>1.6E-2</v>
      </c>
      <c r="M59" s="448">
        <v>1.6E-2</v>
      </c>
      <c r="N59" s="449">
        <v>1.6E-2</v>
      </c>
    </row>
    <row r="60" spans="3:17" ht="14.25" customHeight="1">
      <c r="C60" s="416"/>
      <c r="D60" t="s">
        <v>215</v>
      </c>
      <c r="G60" t="s">
        <v>214</v>
      </c>
      <c r="J60" s="448">
        <v>3.0000000000000001E-3</v>
      </c>
      <c r="K60" s="448">
        <v>3.0000000000000001E-3</v>
      </c>
      <c r="L60" s="448">
        <v>3.0000000000000001E-3</v>
      </c>
      <c r="M60" s="448">
        <v>3.0000000000000001E-3</v>
      </c>
      <c r="N60" s="449">
        <v>3.0000000000000001E-3</v>
      </c>
    </row>
    <row r="61" spans="3:17" ht="14.25" customHeight="1">
      <c r="C61" s="416"/>
      <c r="J61" s="448"/>
      <c r="K61" s="448"/>
      <c r="L61" s="448"/>
      <c r="M61" s="448"/>
      <c r="N61" s="449"/>
    </row>
    <row r="62" spans="3:17" ht="14.25" customHeight="1">
      <c r="C62" s="416" t="s">
        <v>80</v>
      </c>
      <c r="J62" s="448"/>
      <c r="K62" s="448"/>
      <c r="L62" s="448"/>
      <c r="M62" s="448"/>
      <c r="N62" s="449"/>
    </row>
    <row r="63" spans="3:17" ht="14.25" customHeight="1">
      <c r="C63" s="416"/>
      <c r="D63" t="s">
        <v>172</v>
      </c>
      <c r="G63" t="s">
        <v>107</v>
      </c>
      <c r="J63" s="450">
        <v>0</v>
      </c>
      <c r="K63" s="450">
        <v>2000</v>
      </c>
      <c r="L63" s="450">
        <v>0</v>
      </c>
      <c r="M63" s="450">
        <v>0</v>
      </c>
      <c r="N63" s="451">
        <v>0</v>
      </c>
    </row>
    <row r="64" spans="3:17" ht="14.25" customHeight="1">
      <c r="C64" s="416"/>
      <c r="D64" t="s">
        <v>218</v>
      </c>
      <c r="G64" t="s">
        <v>217</v>
      </c>
      <c r="J64" s="432">
        <v>0.08</v>
      </c>
      <c r="K64" s="432">
        <v>0.08</v>
      </c>
      <c r="L64" s="432">
        <v>0.08</v>
      </c>
      <c r="M64" s="432">
        <v>0.08</v>
      </c>
      <c r="N64" s="452">
        <v>0.08</v>
      </c>
    </row>
    <row r="65" spans="3:14" ht="12.5" customHeight="1">
      <c r="C65" s="6"/>
      <c r="D65" t="s">
        <v>221</v>
      </c>
      <c r="G65" t="s">
        <v>107</v>
      </c>
      <c r="J65" s="450">
        <v>572</v>
      </c>
      <c r="K65" s="450">
        <v>554</v>
      </c>
      <c r="L65" s="450">
        <v>485</v>
      </c>
      <c r="M65" s="450">
        <v>403</v>
      </c>
      <c r="N65" s="451">
        <v>362</v>
      </c>
    </row>
    <row r="66" spans="3:14" ht="12.5" customHeight="1">
      <c r="C66" s="6"/>
      <c r="D66" t="s">
        <v>222</v>
      </c>
      <c r="G66" t="s">
        <v>107</v>
      </c>
      <c r="J66" s="453">
        <v>205</v>
      </c>
      <c r="K66" s="453">
        <v>205</v>
      </c>
      <c r="L66" s="453">
        <v>205</v>
      </c>
      <c r="M66" s="453">
        <v>205</v>
      </c>
      <c r="N66" s="454">
        <v>205</v>
      </c>
    </row>
    <row r="67" spans="3:14" ht="12.5" customHeight="1">
      <c r="C67" s="6"/>
      <c r="J67" s="434"/>
      <c r="K67" s="434"/>
      <c r="L67" s="455"/>
      <c r="M67" s="434"/>
      <c r="N67" s="447"/>
    </row>
    <row r="68" spans="3:14" ht="12.5" customHeight="1">
      <c r="C68" s="416" t="s">
        <v>234</v>
      </c>
      <c r="J68" s="434"/>
      <c r="K68" s="434"/>
      <c r="L68" s="455"/>
      <c r="M68" s="434"/>
      <c r="N68" s="447"/>
    </row>
    <row r="69" spans="3:14" ht="12.5" customHeight="1">
      <c r="C69" s="416"/>
      <c r="D69" t="s">
        <v>235</v>
      </c>
      <c r="G69" t="s">
        <v>107</v>
      </c>
      <c r="J69" s="453">
        <v>4500</v>
      </c>
      <c r="K69" s="453">
        <v>4500</v>
      </c>
      <c r="L69" s="453">
        <v>2500</v>
      </c>
      <c r="M69" s="453">
        <v>2500</v>
      </c>
      <c r="N69" s="454">
        <v>2500</v>
      </c>
    </row>
    <row r="70" spans="3:14" ht="12" customHeight="1">
      <c r="C70" s="6"/>
      <c r="J70" s="434"/>
      <c r="K70" s="434"/>
      <c r="L70" s="455"/>
      <c r="M70" s="434"/>
      <c r="N70" s="447"/>
    </row>
    <row r="71" spans="3:14" ht="14.25" customHeight="1">
      <c r="C71" s="416" t="s">
        <v>114</v>
      </c>
      <c r="J71" s="434"/>
      <c r="K71" s="434"/>
      <c r="L71" s="455"/>
      <c r="M71" s="434"/>
      <c r="N71" s="447"/>
    </row>
    <row r="72" spans="3:14" ht="14.25" customHeight="1">
      <c r="C72" s="6"/>
      <c r="D72" t="s">
        <v>13</v>
      </c>
      <c r="G72" t="s">
        <v>115</v>
      </c>
      <c r="J72" s="456">
        <v>28</v>
      </c>
      <c r="K72" s="456">
        <v>28</v>
      </c>
      <c r="L72" s="456">
        <v>30</v>
      </c>
      <c r="M72" s="456">
        <v>30</v>
      </c>
      <c r="N72" s="457">
        <v>30</v>
      </c>
    </row>
    <row r="73" spans="3:14" ht="14.25" customHeight="1">
      <c r="C73" s="418"/>
      <c r="D73" t="s">
        <v>27</v>
      </c>
      <c r="G73" t="s">
        <v>115</v>
      </c>
      <c r="J73" s="456">
        <v>100</v>
      </c>
      <c r="K73" s="456">
        <v>102</v>
      </c>
      <c r="L73" s="456">
        <v>104</v>
      </c>
      <c r="M73" s="456">
        <v>106</v>
      </c>
      <c r="N73" s="457">
        <v>104</v>
      </c>
    </row>
    <row r="74" spans="3:14" ht="14.25" customHeight="1">
      <c r="C74" s="418"/>
      <c r="D74" t="s">
        <v>117</v>
      </c>
      <c r="G74" t="s">
        <v>115</v>
      </c>
      <c r="J74" s="456">
        <v>24</v>
      </c>
      <c r="K74" s="456">
        <v>23.5</v>
      </c>
      <c r="L74" s="456">
        <v>23.5</v>
      </c>
      <c r="M74" s="456">
        <v>24</v>
      </c>
      <c r="N74" s="457">
        <v>24.5</v>
      </c>
    </row>
    <row r="75" spans="3:14" ht="14.25" customHeight="1">
      <c r="C75" s="418"/>
      <c r="D75" t="s">
        <v>223</v>
      </c>
      <c r="G75" t="s">
        <v>115</v>
      </c>
      <c r="J75" s="456">
        <v>34</v>
      </c>
      <c r="K75" s="456">
        <v>34</v>
      </c>
      <c r="L75" s="456">
        <v>34.5</v>
      </c>
      <c r="M75" s="456">
        <v>34.5</v>
      </c>
      <c r="N75" s="457">
        <v>35</v>
      </c>
    </row>
    <row r="76" spans="3:14" ht="14.25" customHeight="1">
      <c r="C76" s="419"/>
      <c r="D76" t="s">
        <v>19</v>
      </c>
      <c r="G76" t="s">
        <v>115</v>
      </c>
      <c r="J76" s="456">
        <v>36</v>
      </c>
      <c r="K76" s="456">
        <v>36.4</v>
      </c>
      <c r="L76" s="456">
        <v>36.5</v>
      </c>
      <c r="M76" s="456">
        <v>35.5</v>
      </c>
      <c r="N76" s="457">
        <v>36</v>
      </c>
    </row>
    <row r="77" spans="3:14" ht="14.25" customHeight="1">
      <c r="C77" s="419"/>
      <c r="D77" t="s">
        <v>176</v>
      </c>
      <c r="G77" t="s">
        <v>115</v>
      </c>
      <c r="J77" s="456">
        <v>72.5</v>
      </c>
      <c r="K77" s="456">
        <v>72.8</v>
      </c>
      <c r="L77" s="456">
        <v>73</v>
      </c>
      <c r="M77" s="456">
        <v>73.2</v>
      </c>
      <c r="N77" s="457">
        <v>73.5</v>
      </c>
    </row>
    <row r="78" spans="3:14" ht="14.25" customHeight="1">
      <c r="C78" s="419"/>
      <c r="D78" t="s">
        <v>177</v>
      </c>
      <c r="G78" t="s">
        <v>115</v>
      </c>
      <c r="J78" s="456">
        <v>5</v>
      </c>
      <c r="K78" s="456">
        <v>5</v>
      </c>
      <c r="L78" s="456">
        <v>5</v>
      </c>
      <c r="M78" s="456">
        <v>5.5</v>
      </c>
      <c r="N78" s="457">
        <v>5.5</v>
      </c>
    </row>
    <row r="79" spans="3:14" ht="14.25" customHeight="1">
      <c r="C79" s="419"/>
      <c r="D79" t="s">
        <v>224</v>
      </c>
      <c r="G79" t="s">
        <v>115</v>
      </c>
      <c r="J79" s="456">
        <v>33</v>
      </c>
      <c r="K79" s="456">
        <v>33</v>
      </c>
      <c r="L79" s="456">
        <v>32</v>
      </c>
      <c r="M79" s="456">
        <v>32</v>
      </c>
      <c r="N79" s="457">
        <v>31.5</v>
      </c>
    </row>
    <row r="80" spans="3:14" ht="12" customHeight="1">
      <c r="C80" s="420"/>
      <c r="D80" s="11"/>
      <c r="E80" s="11"/>
      <c r="F80" s="11"/>
      <c r="G80" s="11"/>
      <c r="H80" s="11"/>
      <c r="I80" s="11"/>
      <c r="J80" s="421"/>
      <c r="K80" s="421"/>
      <c r="L80" s="421"/>
      <c r="M80" s="421"/>
      <c r="N80" s="422"/>
    </row>
    <row r="81" spans="2:15" ht="9" customHeight="1">
      <c r="B81" s="11"/>
      <c r="C81" s="11"/>
      <c r="D81" s="24"/>
      <c r="E81" s="20"/>
      <c r="F81" s="20"/>
      <c r="G81" s="20"/>
      <c r="H81" s="20"/>
      <c r="I81" s="11"/>
      <c r="J81" s="11"/>
      <c r="K81" s="11"/>
      <c r="L81" s="11"/>
      <c r="M81" s="11"/>
      <c r="N81" s="11"/>
      <c r="O81" s="11"/>
    </row>
    <row r="82" spans="2:15" ht="12.75" customHeight="1">
      <c r="D82" s="29"/>
      <c r="E82" s="3"/>
      <c r="F82" s="3"/>
      <c r="G82" s="3"/>
      <c r="H82" s="3"/>
    </row>
    <row r="83" spans="2:15">
      <c r="D83" s="26"/>
    </row>
    <row r="84" spans="2:15">
      <c r="D84" s="26"/>
    </row>
  </sheetData>
  <sheetProtection formatCells="0" formatColumns="0" formatRows="0" insertColumns="0" insertRows="0"/>
  <phoneticPr fontId="0" type="noConversion"/>
  <conditionalFormatting sqref="J355:N359">
    <cfRule type="cellIs" dxfId="1" priority="1" stopIfTrue="1" operator="greaterThan">
      <formula>330</formula>
    </cfRule>
  </conditionalFormatting>
  <printOptions horizontalCentered="1"/>
  <pageMargins left="0.25" right="0.25" top="0.25" bottom="0.5" header="0.25" footer="0.25"/>
  <pageSetup paperSize="9" scale="85" orientation="landscape" r:id="rId1"/>
  <headerFooter alignWithMargins="0">
    <oddFooter>&amp;L&amp;9&amp;K000000C:\Documents\nike.xls&amp;C&amp;"Calibri,Regular"&amp;K000000Page &amp;P of &amp;N
&amp;R&amp;9&amp;K000000&amp;D&amp;T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M62"/>
  <sheetViews>
    <sheetView showGridLines="0" zoomScaleNormal="100" zoomScaleSheetLayoutView="100" workbookViewId="0">
      <selection activeCell="D7" sqref="D7"/>
    </sheetView>
  </sheetViews>
  <sheetFormatPr baseColWidth="10" defaultColWidth="10.5" defaultRowHeight="13"/>
  <cols>
    <col min="1" max="1" width="5" style="32" bestFit="1" customWidth="1"/>
    <col min="2" max="2" width="1.5" style="32" customWidth="1"/>
    <col min="3" max="3" width="18.5" style="32" customWidth="1"/>
    <col min="4" max="4" width="11.5" style="53" customWidth="1"/>
    <col min="5" max="5" width="1.5" style="53" customWidth="1"/>
    <col min="6" max="6" width="6.6640625" style="32" customWidth="1"/>
    <col min="7" max="11" width="12.6640625" style="32" customWidth="1"/>
    <col min="12" max="12" width="13.5" style="32" customWidth="1"/>
    <col min="13" max="13" width="10.5" style="32" customWidth="1"/>
    <col min="14" max="17" width="13.5" style="32" customWidth="1"/>
    <col min="18" max="16384" width="10.5" style="32"/>
  </cols>
  <sheetData>
    <row r="1" spans="1:11" s="30" customFormat="1" ht="22.75" customHeight="1">
      <c r="B1" s="620" t="str">
        <f>Assumptions!B1</f>
        <v>NIKE</v>
      </c>
      <c r="C1" s="31"/>
      <c r="D1" s="31"/>
      <c r="E1" s="31"/>
      <c r="F1" s="31"/>
      <c r="G1" s="31"/>
      <c r="H1" s="31"/>
      <c r="I1" s="31"/>
      <c r="J1" s="31"/>
      <c r="K1" s="31"/>
    </row>
    <row r="2" spans="1:11" ht="18">
      <c r="B2" s="33" t="s">
        <v>132</v>
      </c>
      <c r="C2" s="33"/>
      <c r="D2" s="33"/>
      <c r="E2" s="33"/>
      <c r="F2" s="33"/>
      <c r="G2" s="33"/>
      <c r="H2" s="33"/>
      <c r="I2" s="33"/>
      <c r="J2" s="33"/>
      <c r="K2" s="33"/>
    </row>
    <row r="3" spans="1:11" ht="3" customHeight="1" thickBot="1">
      <c r="B3" s="272"/>
      <c r="C3" s="272"/>
      <c r="D3" s="273"/>
      <c r="E3" s="273"/>
      <c r="F3" s="272"/>
      <c r="G3" s="272"/>
      <c r="H3" s="272"/>
      <c r="I3" s="272"/>
      <c r="J3" s="272"/>
      <c r="K3" s="272"/>
    </row>
    <row r="4" spans="1:11" ht="12.75" customHeight="1">
      <c r="C4" s="34"/>
      <c r="D4" s="35"/>
      <c r="E4" s="35"/>
      <c r="F4" s="34"/>
    </row>
    <row r="5" spans="1:11" ht="6" customHeight="1">
      <c r="B5" s="36"/>
      <c r="C5" s="37"/>
      <c r="D5" s="38"/>
      <c r="E5" s="39"/>
      <c r="G5" s="40"/>
      <c r="H5" s="40"/>
      <c r="I5" s="40"/>
      <c r="J5" s="40"/>
      <c r="K5" s="40"/>
    </row>
    <row r="6" spans="1:11" ht="16.25" customHeight="1">
      <c r="B6" s="41" t="s">
        <v>75</v>
      </c>
      <c r="C6" s="42"/>
      <c r="D6" s="325">
        <v>1</v>
      </c>
      <c r="E6" s="43"/>
      <c r="F6" s="42"/>
      <c r="G6" s="265">
        <f>Assumptions!G8</f>
        <v>2025</v>
      </c>
      <c r="H6" s="265">
        <f>G6+1</f>
        <v>2026</v>
      </c>
      <c r="I6" s="265">
        <f>H6+1</f>
        <v>2027</v>
      </c>
      <c r="J6" s="265">
        <f>I6+1</f>
        <v>2028</v>
      </c>
      <c r="K6" s="265">
        <f>J6+1</f>
        <v>2029</v>
      </c>
    </row>
    <row r="7" spans="1:11" ht="6" customHeight="1">
      <c r="B7" s="45"/>
      <c r="C7" s="46"/>
      <c r="D7" s="47"/>
      <c r="E7" s="48"/>
      <c r="F7" s="42"/>
      <c r="G7" s="44"/>
      <c r="H7" s="44"/>
      <c r="I7" s="49"/>
      <c r="J7" s="49"/>
      <c r="K7" s="44"/>
    </row>
    <row r="8" spans="1:11">
      <c r="B8" s="42"/>
      <c r="C8" s="42"/>
      <c r="D8" s="50"/>
      <c r="E8" s="50"/>
      <c r="F8" s="42"/>
      <c r="G8" s="44"/>
      <c r="H8" s="44"/>
      <c r="I8" s="49"/>
      <c r="J8" s="49"/>
      <c r="K8" s="44"/>
    </row>
    <row r="9" spans="1:11">
      <c r="B9" s="42"/>
      <c r="C9" s="42"/>
      <c r="D9" s="326"/>
      <c r="E9" s="50"/>
      <c r="F9" s="42"/>
      <c r="G9" s="44"/>
      <c r="H9" s="44"/>
      <c r="I9" s="49"/>
      <c r="J9" s="49"/>
      <c r="K9" s="44"/>
    </row>
    <row r="10" spans="1:11" ht="16">
      <c r="A10" s="51"/>
      <c r="B10" s="52" t="s">
        <v>69</v>
      </c>
    </row>
    <row r="11" spans="1:11" ht="12.75" customHeight="1">
      <c r="B11" s="467"/>
      <c r="C11" s="467"/>
      <c r="D11" s="468"/>
      <c r="E11" s="468"/>
      <c r="F11" s="467"/>
      <c r="G11" s="467"/>
      <c r="H11" s="467"/>
      <c r="I11" s="467"/>
      <c r="J11" s="467"/>
      <c r="K11" s="467"/>
    </row>
    <row r="12" spans="1:11" ht="16.25" customHeight="1">
      <c r="B12" s="469" t="s">
        <v>74</v>
      </c>
      <c r="C12" s="467"/>
      <c r="D12" s="470"/>
      <c r="E12" s="470"/>
      <c r="F12" s="467"/>
      <c r="G12" s="471">
        <f>CHOOSE($D$6,G14,G15,G16)</f>
        <v>0.02</v>
      </c>
      <c r="H12" s="472">
        <f t="shared" ref="H12:K12" si="0">CHOOSE($D$6,H14,H15,H16)</f>
        <v>0.02</v>
      </c>
      <c r="I12" s="472">
        <f t="shared" si="0"/>
        <v>0.02</v>
      </c>
      <c r="J12" s="472">
        <f t="shared" si="0"/>
        <v>2.5000000000000001E-2</v>
      </c>
      <c r="K12" s="473">
        <f t="shared" si="0"/>
        <v>2.5000000000000001E-2</v>
      </c>
    </row>
    <row r="13" spans="1:11" ht="4.5" customHeight="1">
      <c r="B13" s="474"/>
      <c r="C13" s="467"/>
      <c r="D13" s="470"/>
      <c r="E13" s="470"/>
      <c r="F13" s="467"/>
      <c r="G13" s="448"/>
      <c r="H13" s="475"/>
      <c r="I13" s="475"/>
      <c r="J13" s="475"/>
      <c r="K13" s="475"/>
    </row>
    <row r="14" spans="1:11">
      <c r="B14" s="474"/>
      <c r="C14" s="467" t="str">
        <f>Assumptions!C18</f>
        <v>Base Case</v>
      </c>
      <c r="D14" s="470"/>
      <c r="E14" s="470"/>
      <c r="F14" s="467"/>
      <c r="G14" s="476">
        <v>0.02</v>
      </c>
      <c r="H14" s="477">
        <v>0.02</v>
      </c>
      <c r="I14" s="477">
        <v>0.02</v>
      </c>
      <c r="J14" s="477">
        <v>2.5000000000000001E-2</v>
      </c>
      <c r="K14" s="478">
        <v>2.5000000000000001E-2</v>
      </c>
    </row>
    <row r="15" spans="1:11">
      <c r="B15" s="474"/>
      <c r="C15" s="467" t="str">
        <f>Assumptions!C19</f>
        <v>Best Case</v>
      </c>
      <c r="D15" s="470"/>
      <c r="E15" s="470"/>
      <c r="F15" s="467"/>
      <c r="G15" s="479">
        <v>1.7999999999999999E-2</v>
      </c>
      <c r="H15" s="480">
        <v>1.7999999999999999E-2</v>
      </c>
      <c r="I15" s="480">
        <v>1.7999999999999999E-2</v>
      </c>
      <c r="J15" s="480">
        <v>0.02</v>
      </c>
      <c r="K15" s="481">
        <v>0.02</v>
      </c>
    </row>
    <row r="16" spans="1:11">
      <c r="B16" s="474"/>
      <c r="C16" s="467" t="str">
        <f>Assumptions!C20</f>
        <v>Worst Case</v>
      </c>
      <c r="D16" s="470"/>
      <c r="E16" s="470"/>
      <c r="F16" s="467"/>
      <c r="G16" s="482">
        <v>2.5000000000000001E-2</v>
      </c>
      <c r="H16" s="483">
        <v>2.5000000000000001E-2</v>
      </c>
      <c r="I16" s="483">
        <v>2.5000000000000001E-2</v>
      </c>
      <c r="J16" s="483">
        <v>2.5000000000000001E-2</v>
      </c>
      <c r="K16" s="484">
        <v>2.5000000000000001E-2</v>
      </c>
    </row>
    <row r="17" spans="1:13" ht="10" customHeight="1">
      <c r="B17" s="487"/>
      <c r="C17" s="487"/>
      <c r="D17" s="488"/>
      <c r="E17" s="488"/>
      <c r="F17" s="487"/>
      <c r="G17" s="487"/>
      <c r="H17" s="487"/>
      <c r="I17" s="487"/>
      <c r="J17" s="487"/>
      <c r="K17" s="487"/>
    </row>
    <row r="18" spans="1:13">
      <c r="B18" s="467"/>
      <c r="C18" s="467"/>
      <c r="D18" s="468"/>
      <c r="E18" s="468"/>
      <c r="F18" s="467"/>
      <c r="G18" s="467"/>
      <c r="H18" s="467"/>
      <c r="I18" s="467"/>
      <c r="J18" s="467"/>
      <c r="K18" s="467"/>
    </row>
    <row r="19" spans="1:13" ht="12.75" customHeight="1">
      <c r="B19" s="489" t="s">
        <v>83</v>
      </c>
      <c r="C19" s="467"/>
      <c r="D19" s="468"/>
      <c r="E19" s="468"/>
      <c r="F19" s="467"/>
      <c r="G19" s="467"/>
      <c r="H19" s="467"/>
      <c r="I19" s="467"/>
      <c r="J19" s="467"/>
      <c r="K19" s="467"/>
    </row>
    <row r="20" spans="1:13" ht="12.75" customHeight="1">
      <c r="B20" s="467"/>
      <c r="C20" s="467"/>
      <c r="D20" s="468"/>
      <c r="E20" s="468"/>
      <c r="F20" s="467"/>
      <c r="G20" s="467"/>
      <c r="H20" s="467"/>
      <c r="I20" s="467"/>
      <c r="J20" s="467"/>
      <c r="K20" s="467"/>
    </row>
    <row r="21" spans="1:13" s="57" customFormat="1" ht="16.25" customHeight="1">
      <c r="B21" s="469" t="s">
        <v>137</v>
      </c>
      <c r="C21" s="490"/>
      <c r="D21" s="491"/>
      <c r="E21" s="491"/>
      <c r="F21" s="490"/>
      <c r="G21" s="492">
        <f>CHOOSE($D$6, G23,G24, G25)</f>
        <v>87.5</v>
      </c>
      <c r="H21" s="493">
        <f t="shared" ref="H21:K21" si="1">CHOOSE($D$6, H23,H24, H25)</f>
        <v>90</v>
      </c>
      <c r="I21" s="493">
        <f t="shared" si="1"/>
        <v>92.5</v>
      </c>
      <c r="J21" s="493">
        <f t="shared" si="1"/>
        <v>95</v>
      </c>
      <c r="K21" s="494">
        <f t="shared" si="1"/>
        <v>97.5</v>
      </c>
    </row>
    <row r="22" spans="1:13" ht="4.5" customHeight="1">
      <c r="B22" s="495"/>
      <c r="C22" s="467"/>
      <c r="D22" s="470"/>
      <c r="E22" s="470"/>
      <c r="F22" s="467"/>
      <c r="G22" s="496"/>
      <c r="H22" s="496"/>
      <c r="I22" s="496"/>
      <c r="J22" s="496"/>
      <c r="K22" s="496"/>
    </row>
    <row r="23" spans="1:13">
      <c r="B23" s="467"/>
      <c r="C23" s="485" t="str">
        <f>C14</f>
        <v>Base Case</v>
      </c>
      <c r="D23" s="486"/>
      <c r="E23" s="486"/>
      <c r="F23" s="467"/>
      <c r="G23" s="497">
        <v>87.5</v>
      </c>
      <c r="H23" s="498">
        <v>90</v>
      </c>
      <c r="I23" s="498">
        <v>92.5</v>
      </c>
      <c r="J23" s="498">
        <v>95</v>
      </c>
      <c r="K23" s="499">
        <v>97.5</v>
      </c>
      <c r="L23" s="58"/>
      <c r="M23" s="59"/>
    </row>
    <row r="24" spans="1:13">
      <c r="A24" s="203">
        <f>Assumptions!F19</f>
        <v>0.04</v>
      </c>
      <c r="B24" s="467"/>
      <c r="C24" s="500" t="s">
        <v>49</v>
      </c>
      <c r="D24" s="486"/>
      <c r="E24" s="486"/>
      <c r="F24" s="467"/>
      <c r="G24" s="501">
        <f>G23*(1+$A24)</f>
        <v>91</v>
      </c>
      <c r="H24" s="502">
        <f t="shared" ref="H24:K24" si="2">H23*(1+$A24)</f>
        <v>93.600000000000009</v>
      </c>
      <c r="I24" s="502">
        <f t="shared" si="2"/>
        <v>96.2</v>
      </c>
      <c r="J24" s="502">
        <f t="shared" si="2"/>
        <v>98.8</v>
      </c>
      <c r="K24" s="503">
        <f t="shared" si="2"/>
        <v>101.4</v>
      </c>
      <c r="L24" s="58"/>
      <c r="M24" s="59"/>
    </row>
    <row r="25" spans="1:13">
      <c r="A25" s="203">
        <f>Assumptions!F20</f>
        <v>-0.04</v>
      </c>
      <c r="B25" s="467"/>
      <c r="C25" s="500" t="s">
        <v>50</v>
      </c>
      <c r="D25" s="486"/>
      <c r="E25" s="486"/>
      <c r="F25" s="467"/>
      <c r="G25" s="504">
        <f>G23*(1+$A25)</f>
        <v>84</v>
      </c>
      <c r="H25" s="505">
        <f t="shared" ref="H25:K25" si="3">H23*(1+$A25)</f>
        <v>86.399999999999991</v>
      </c>
      <c r="I25" s="505">
        <f t="shared" si="3"/>
        <v>88.8</v>
      </c>
      <c r="J25" s="505">
        <f t="shared" si="3"/>
        <v>91.2</v>
      </c>
      <c r="K25" s="506">
        <f t="shared" si="3"/>
        <v>93.6</v>
      </c>
      <c r="L25" s="58"/>
      <c r="M25" s="59"/>
    </row>
    <row r="26" spans="1:13" ht="14" customHeight="1">
      <c r="B26" s="467"/>
      <c r="C26" s="507"/>
      <c r="D26" s="486"/>
      <c r="E26" s="486"/>
      <c r="F26" s="467"/>
      <c r="G26" s="508"/>
      <c r="H26" s="508"/>
      <c r="I26" s="508"/>
      <c r="J26" s="508"/>
      <c r="K26" s="509"/>
      <c r="L26" s="58"/>
    </row>
    <row r="27" spans="1:13" ht="12.5" customHeight="1">
      <c r="A27" s="57"/>
      <c r="B27" s="469" t="s">
        <v>138</v>
      </c>
      <c r="C27" s="490"/>
      <c r="D27" s="491"/>
      <c r="E27" s="491"/>
      <c r="F27" s="490"/>
      <c r="G27" s="492">
        <f>CHOOSE($D$6, G29,G30, G31)</f>
        <v>52.5</v>
      </c>
      <c r="H27" s="493">
        <f t="shared" ref="H27:K27" si="4">CHOOSE($D$6, H29,H30, H31)</f>
        <v>55</v>
      </c>
      <c r="I27" s="493">
        <f t="shared" si="4"/>
        <v>57.5</v>
      </c>
      <c r="J27" s="493">
        <f t="shared" si="4"/>
        <v>60</v>
      </c>
      <c r="K27" s="494">
        <f t="shared" si="4"/>
        <v>62.5</v>
      </c>
      <c r="L27" s="58"/>
    </row>
    <row r="28" spans="1:13" ht="5.5" customHeight="1">
      <c r="B28" s="495"/>
      <c r="C28" s="467"/>
      <c r="D28" s="470"/>
      <c r="E28" s="470"/>
      <c r="F28" s="467"/>
      <c r="G28" s="496"/>
      <c r="H28" s="496"/>
      <c r="I28" s="496"/>
      <c r="J28" s="496"/>
      <c r="K28" s="496"/>
      <c r="L28" s="58"/>
    </row>
    <row r="29" spans="1:13">
      <c r="B29" s="467"/>
      <c r="C29" s="485" t="s">
        <v>48</v>
      </c>
      <c r="D29" s="486"/>
      <c r="E29" s="486"/>
      <c r="F29" s="467"/>
      <c r="G29" s="497">
        <v>52.5</v>
      </c>
      <c r="H29" s="498">
        <v>55</v>
      </c>
      <c r="I29" s="498">
        <v>57.5</v>
      </c>
      <c r="J29" s="498">
        <v>60</v>
      </c>
      <c r="K29" s="499">
        <v>62.5</v>
      </c>
      <c r="L29" s="58"/>
    </row>
    <row r="30" spans="1:13">
      <c r="A30" s="203">
        <v>0.04</v>
      </c>
      <c r="B30" s="467"/>
      <c r="C30" s="500" t="s">
        <v>49</v>
      </c>
      <c r="D30" s="486"/>
      <c r="E30" s="486"/>
      <c r="F30" s="467"/>
      <c r="G30" s="501">
        <f>G29*(1+$A30)</f>
        <v>54.6</v>
      </c>
      <c r="H30" s="502">
        <f t="shared" ref="H30:K30" si="5">H29*(1+$A30)</f>
        <v>57.2</v>
      </c>
      <c r="I30" s="502">
        <f t="shared" si="5"/>
        <v>59.800000000000004</v>
      </c>
      <c r="J30" s="502">
        <f t="shared" si="5"/>
        <v>62.400000000000006</v>
      </c>
      <c r="K30" s="503">
        <f t="shared" si="5"/>
        <v>65</v>
      </c>
      <c r="L30" s="58"/>
    </row>
    <row r="31" spans="1:13">
      <c r="A31" s="203">
        <v>-0.04</v>
      </c>
      <c r="B31" s="467"/>
      <c r="C31" s="500" t="s">
        <v>50</v>
      </c>
      <c r="D31" s="486"/>
      <c r="E31" s="486"/>
      <c r="F31" s="467"/>
      <c r="G31" s="504">
        <f>G29*(1+$A31)</f>
        <v>50.4</v>
      </c>
      <c r="H31" s="505">
        <f t="shared" ref="H31:K31" si="6">H29*(1+$A31)</f>
        <v>52.8</v>
      </c>
      <c r="I31" s="505">
        <f t="shared" si="6"/>
        <v>55.199999999999996</v>
      </c>
      <c r="J31" s="505">
        <f t="shared" si="6"/>
        <v>57.599999999999994</v>
      </c>
      <c r="K31" s="506">
        <f t="shared" si="6"/>
        <v>60</v>
      </c>
      <c r="L31" s="58"/>
    </row>
    <row r="32" spans="1:13" ht="9.5" customHeight="1">
      <c r="A32" s="203"/>
      <c r="B32" s="467"/>
      <c r="C32" s="510"/>
      <c r="D32" s="510"/>
      <c r="E32" s="510"/>
      <c r="F32" s="510"/>
      <c r="G32" s="510"/>
      <c r="H32" s="510"/>
      <c r="I32" s="510"/>
      <c r="J32" s="510"/>
      <c r="K32" s="510"/>
      <c r="L32" s="58"/>
    </row>
    <row r="33" spans="1:12">
      <c r="A33" s="57"/>
      <c r="B33" s="469" t="s">
        <v>139</v>
      </c>
      <c r="C33" s="490"/>
      <c r="D33" s="491"/>
      <c r="E33" s="491"/>
      <c r="F33" s="490"/>
      <c r="G33" s="492">
        <f>CHOOSE($D$6, G35,G36, G37)</f>
        <v>22.5</v>
      </c>
      <c r="H33" s="493">
        <f t="shared" ref="H33:K33" si="7">CHOOSE($D$6, H35,H36, H37)</f>
        <v>25</v>
      </c>
      <c r="I33" s="493">
        <f t="shared" si="7"/>
        <v>27.5</v>
      </c>
      <c r="J33" s="493">
        <f t="shared" si="7"/>
        <v>30</v>
      </c>
      <c r="K33" s="494">
        <f t="shared" si="7"/>
        <v>32.5</v>
      </c>
      <c r="L33" s="58"/>
    </row>
    <row r="34" spans="1:12" ht="7" customHeight="1">
      <c r="B34" s="495"/>
      <c r="C34" s="467"/>
      <c r="D34" s="470"/>
      <c r="E34" s="470"/>
      <c r="F34" s="467"/>
      <c r="G34" s="496"/>
      <c r="H34" s="496"/>
      <c r="I34" s="496"/>
      <c r="J34" s="496"/>
      <c r="K34" s="496"/>
      <c r="L34" s="58"/>
    </row>
    <row r="35" spans="1:12">
      <c r="B35" s="467"/>
      <c r="C35" s="485" t="s">
        <v>48</v>
      </c>
      <c r="D35" s="486"/>
      <c r="E35" s="486"/>
      <c r="F35" s="467"/>
      <c r="G35" s="497">
        <v>22.5</v>
      </c>
      <c r="H35" s="498">
        <v>25</v>
      </c>
      <c r="I35" s="498">
        <v>27.5</v>
      </c>
      <c r="J35" s="498">
        <v>30</v>
      </c>
      <c r="K35" s="499">
        <v>32.5</v>
      </c>
      <c r="L35" s="58"/>
    </row>
    <row r="36" spans="1:12">
      <c r="A36" s="203">
        <v>0.04</v>
      </c>
      <c r="B36" s="467"/>
      <c r="C36" s="500" t="s">
        <v>49</v>
      </c>
      <c r="D36" s="486"/>
      <c r="E36" s="486"/>
      <c r="F36" s="467"/>
      <c r="G36" s="501">
        <f>G35*(1+$A36)</f>
        <v>23.400000000000002</v>
      </c>
      <c r="H36" s="502">
        <f t="shared" ref="H36:K36" si="8">H35*(1+$A36)</f>
        <v>26</v>
      </c>
      <c r="I36" s="502">
        <f t="shared" si="8"/>
        <v>28.6</v>
      </c>
      <c r="J36" s="502">
        <f t="shared" si="8"/>
        <v>31.200000000000003</v>
      </c>
      <c r="K36" s="503">
        <f t="shared" si="8"/>
        <v>33.800000000000004</v>
      </c>
      <c r="L36" s="58"/>
    </row>
    <row r="37" spans="1:12">
      <c r="A37" s="203">
        <v>-0.04</v>
      </c>
      <c r="B37" s="467"/>
      <c r="C37" s="500" t="s">
        <v>50</v>
      </c>
      <c r="D37" s="486"/>
      <c r="E37" s="486"/>
      <c r="F37" s="467"/>
      <c r="G37" s="504">
        <f>G35*(1+$A37)</f>
        <v>21.599999999999998</v>
      </c>
      <c r="H37" s="505">
        <f t="shared" ref="H37:K37" si="9">H35*(1+$A37)</f>
        <v>24</v>
      </c>
      <c r="I37" s="505">
        <f t="shared" si="9"/>
        <v>26.4</v>
      </c>
      <c r="J37" s="505">
        <f t="shared" si="9"/>
        <v>28.799999999999997</v>
      </c>
      <c r="K37" s="506">
        <f t="shared" si="9"/>
        <v>31.2</v>
      </c>
      <c r="L37" s="58"/>
    </row>
    <row r="38" spans="1:12" ht="11" customHeight="1">
      <c r="A38" s="203"/>
      <c r="B38" s="467"/>
      <c r="C38" s="510"/>
      <c r="D38" s="510"/>
      <c r="E38" s="510"/>
      <c r="F38" s="510"/>
      <c r="G38" s="510"/>
      <c r="H38" s="510"/>
      <c r="I38" s="510"/>
      <c r="J38" s="510"/>
      <c r="K38" s="510"/>
      <c r="L38" s="58"/>
    </row>
    <row r="39" spans="1:12">
      <c r="A39" s="57"/>
      <c r="B39" s="469" t="s">
        <v>140</v>
      </c>
      <c r="C39" s="490"/>
      <c r="D39" s="491"/>
      <c r="E39" s="491"/>
      <c r="F39" s="490"/>
      <c r="G39" s="492">
        <f ca="1">OFFSET(G40, $D$6,0)</f>
        <v>65</v>
      </c>
      <c r="H39" s="493">
        <f t="shared" ref="H39:K39" ca="1" si="10">OFFSET(H40, $D$6,0)</f>
        <v>67.5</v>
      </c>
      <c r="I39" s="493">
        <f t="shared" ca="1" si="10"/>
        <v>67.5</v>
      </c>
      <c r="J39" s="493">
        <f t="shared" ca="1" si="10"/>
        <v>70</v>
      </c>
      <c r="K39" s="494">
        <f t="shared" ca="1" si="10"/>
        <v>70</v>
      </c>
      <c r="L39" s="58"/>
    </row>
    <row r="40" spans="1:12" ht="3.5" customHeight="1">
      <c r="B40" s="495"/>
      <c r="C40" s="467"/>
      <c r="D40" s="470"/>
      <c r="E40" s="470"/>
      <c r="F40" s="467"/>
      <c r="G40" s="496"/>
      <c r="H40" s="496"/>
      <c r="I40" s="496"/>
      <c r="J40" s="496"/>
      <c r="K40" s="496"/>
      <c r="L40" s="58"/>
    </row>
    <row r="41" spans="1:12">
      <c r="B41" s="467"/>
      <c r="C41" s="485" t="s">
        <v>48</v>
      </c>
      <c r="D41" s="486"/>
      <c r="E41" s="486"/>
      <c r="F41" s="467"/>
      <c r="G41" s="497">
        <v>65</v>
      </c>
      <c r="H41" s="498">
        <v>67.5</v>
      </c>
      <c r="I41" s="498">
        <v>67.5</v>
      </c>
      <c r="J41" s="498">
        <v>70</v>
      </c>
      <c r="K41" s="499">
        <v>70</v>
      </c>
      <c r="L41" s="58"/>
    </row>
    <row r="42" spans="1:12">
      <c r="A42" s="203">
        <v>0.04</v>
      </c>
      <c r="B42" s="467"/>
      <c r="C42" s="500" t="s">
        <v>49</v>
      </c>
      <c r="D42" s="486"/>
      <c r="E42" s="486"/>
      <c r="F42" s="467"/>
      <c r="G42" s="501">
        <f>G41*(1+$A42)</f>
        <v>67.600000000000009</v>
      </c>
      <c r="H42" s="502">
        <f t="shared" ref="H42" si="11">H41*(1+$A42)</f>
        <v>70.2</v>
      </c>
      <c r="I42" s="502">
        <f t="shared" ref="I42" si="12">I41*(1+$A42)</f>
        <v>70.2</v>
      </c>
      <c r="J42" s="502">
        <f t="shared" ref="J42" si="13">J41*(1+$A42)</f>
        <v>72.8</v>
      </c>
      <c r="K42" s="503">
        <f t="shared" ref="K42" si="14">K41*(1+$A42)</f>
        <v>72.8</v>
      </c>
      <c r="L42" s="58"/>
    </row>
    <row r="43" spans="1:12">
      <c r="A43" s="203">
        <v>-0.04</v>
      </c>
      <c r="B43" s="467"/>
      <c r="C43" s="500" t="s">
        <v>50</v>
      </c>
      <c r="D43" s="486"/>
      <c r="E43" s="486"/>
      <c r="F43" s="467"/>
      <c r="G43" s="504">
        <f>G41*(1+$A43)</f>
        <v>62.4</v>
      </c>
      <c r="H43" s="505">
        <f t="shared" ref="H43:K43" si="15">H41*(1+$A43)</f>
        <v>64.8</v>
      </c>
      <c r="I43" s="505">
        <f t="shared" si="15"/>
        <v>64.8</v>
      </c>
      <c r="J43" s="505">
        <f t="shared" si="15"/>
        <v>67.2</v>
      </c>
      <c r="K43" s="506">
        <f t="shared" si="15"/>
        <v>67.2</v>
      </c>
      <c r="L43" s="58"/>
    </row>
    <row r="44" spans="1:12" ht="15.5" customHeight="1">
      <c r="A44" s="203"/>
      <c r="B44" s="467"/>
      <c r="C44" s="510"/>
      <c r="D44" s="510"/>
      <c r="E44" s="510"/>
      <c r="F44" s="510"/>
      <c r="G44" s="510"/>
      <c r="H44" s="510"/>
      <c r="I44" s="510"/>
      <c r="J44" s="510"/>
      <c r="K44" s="510"/>
      <c r="L44" s="58"/>
    </row>
    <row r="45" spans="1:12">
      <c r="A45" s="57"/>
      <c r="B45" s="469" t="s">
        <v>163</v>
      </c>
      <c r="C45" s="490"/>
      <c r="D45" s="491"/>
      <c r="E45" s="491"/>
      <c r="F45" s="490"/>
      <c r="G45" s="511">
        <f ca="1">OFFSET(G46, $D$6,0)</f>
        <v>-0.15</v>
      </c>
      <c r="H45" s="512">
        <f t="shared" ref="H45:K45" ca="1" si="16">OFFSET(H46, $D$6,0)</f>
        <v>-0.15</v>
      </c>
      <c r="I45" s="512">
        <f t="shared" ca="1" si="16"/>
        <v>-0.1</v>
      </c>
      <c r="J45" s="512">
        <f t="shared" ca="1" si="16"/>
        <v>0</v>
      </c>
      <c r="K45" s="513">
        <f t="shared" ca="1" si="16"/>
        <v>0</v>
      </c>
      <c r="L45" s="58"/>
    </row>
    <row r="46" spans="1:12" ht="4.5" customHeight="1">
      <c r="B46" s="495"/>
      <c r="C46" s="467"/>
      <c r="D46" s="470"/>
      <c r="E46" s="470"/>
      <c r="F46" s="467"/>
      <c r="G46" s="514"/>
      <c r="H46" s="514"/>
      <c r="I46" s="514"/>
      <c r="J46" s="514"/>
      <c r="K46" s="514"/>
      <c r="L46" s="58"/>
    </row>
    <row r="47" spans="1:12">
      <c r="B47" s="467"/>
      <c r="C47" s="485" t="s">
        <v>48</v>
      </c>
      <c r="D47" s="486"/>
      <c r="E47" s="486"/>
      <c r="F47" s="467"/>
      <c r="G47" s="515">
        <v>-0.15</v>
      </c>
      <c r="H47" s="516">
        <v>-0.15</v>
      </c>
      <c r="I47" s="516">
        <v>-0.1</v>
      </c>
      <c r="J47" s="516">
        <v>0</v>
      </c>
      <c r="K47" s="517">
        <v>0</v>
      </c>
      <c r="L47" s="58"/>
    </row>
    <row r="48" spans="1:12">
      <c r="A48" s="203">
        <v>0.05</v>
      </c>
      <c r="B48" s="467"/>
      <c r="C48" s="500" t="s">
        <v>49</v>
      </c>
      <c r="D48" s="486"/>
      <c r="E48" s="486"/>
      <c r="F48" s="467"/>
      <c r="G48" s="518">
        <f>G47+$A$48</f>
        <v>-9.9999999999999992E-2</v>
      </c>
      <c r="H48" s="519">
        <f t="shared" ref="H48:K48" si="17">H47+$A$48</f>
        <v>-9.9999999999999992E-2</v>
      </c>
      <c r="I48" s="519">
        <f t="shared" si="17"/>
        <v>-0.05</v>
      </c>
      <c r="J48" s="519">
        <f t="shared" si="17"/>
        <v>0.05</v>
      </c>
      <c r="K48" s="520">
        <f t="shared" si="17"/>
        <v>0.05</v>
      </c>
      <c r="L48" s="58"/>
    </row>
    <row r="49" spans="1:12">
      <c r="A49" s="203">
        <v>-0.05</v>
      </c>
      <c r="B49" s="467"/>
      <c r="C49" s="500" t="s">
        <v>50</v>
      </c>
      <c r="D49" s="486"/>
      <c r="E49" s="486"/>
      <c r="F49" s="467"/>
      <c r="G49" s="521">
        <f>G47+$A49</f>
        <v>-0.2</v>
      </c>
      <c r="H49" s="522">
        <f t="shared" ref="H49:K49" si="18">H47+$A49</f>
        <v>-0.2</v>
      </c>
      <c r="I49" s="522">
        <f t="shared" si="18"/>
        <v>-0.15000000000000002</v>
      </c>
      <c r="J49" s="522">
        <f t="shared" si="18"/>
        <v>-0.05</v>
      </c>
      <c r="K49" s="523">
        <f t="shared" si="18"/>
        <v>-0.05</v>
      </c>
      <c r="L49" s="58"/>
    </row>
    <row r="50" spans="1:12" ht="13" customHeight="1">
      <c r="B50" s="467"/>
      <c r="C50" s="507"/>
      <c r="D50" s="486"/>
      <c r="E50" s="486"/>
      <c r="F50" s="467"/>
      <c r="G50" s="508"/>
      <c r="H50" s="508"/>
      <c r="I50" s="508"/>
      <c r="J50" s="508"/>
      <c r="K50" s="509"/>
      <c r="L50" s="58"/>
    </row>
    <row r="51" spans="1:12" ht="16.25" customHeight="1">
      <c r="B51" s="469" t="s">
        <v>84</v>
      </c>
      <c r="C51" s="467"/>
      <c r="D51" s="470"/>
      <c r="E51" s="470"/>
      <c r="F51" s="467"/>
      <c r="G51" s="524" cm="1">
        <f t="array" ref="G51">INDEX(G53:G55,$D$6)</f>
        <v>-0.02</v>
      </c>
      <c r="H51" s="525" cm="1">
        <f t="array" ref="H51">INDEX(H53:H55,$D$6)</f>
        <v>-0.02</v>
      </c>
      <c r="I51" s="525" cm="1">
        <f t="array" ref="I51">INDEX(I53:I55,$D$6)</f>
        <v>0</v>
      </c>
      <c r="J51" s="525" cm="1">
        <f t="array" ref="J51">INDEX(J53:J55,$D$6)</f>
        <v>0.02</v>
      </c>
      <c r="K51" s="526" cm="1">
        <f t="array" ref="K51">INDEX(K53:K55,$D$6)</f>
        <v>0.02</v>
      </c>
    </row>
    <row r="52" spans="1:12" ht="4.5" customHeight="1">
      <c r="B52" s="474"/>
      <c r="C52" s="467"/>
      <c r="D52" s="470"/>
      <c r="E52" s="470"/>
      <c r="F52" s="467"/>
      <c r="G52" s="432"/>
      <c r="H52" s="527"/>
      <c r="I52" s="527"/>
      <c r="J52" s="527"/>
      <c r="K52" s="527"/>
    </row>
    <row r="53" spans="1:12">
      <c r="B53" s="474"/>
      <c r="C53" s="467" t="str">
        <f>C14</f>
        <v>Base Case</v>
      </c>
      <c r="D53" s="470"/>
      <c r="E53" s="470"/>
      <c r="F53" s="467"/>
      <c r="G53" s="515">
        <v>-0.02</v>
      </c>
      <c r="H53" s="516">
        <v>-0.02</v>
      </c>
      <c r="I53" s="516">
        <v>0</v>
      </c>
      <c r="J53" s="516">
        <v>0.02</v>
      </c>
      <c r="K53" s="517">
        <v>0.02</v>
      </c>
    </row>
    <row r="54" spans="1:12">
      <c r="B54" s="474"/>
      <c r="C54" s="467" t="str">
        <f>C15</f>
        <v>Best Case</v>
      </c>
      <c r="D54" s="470"/>
      <c r="E54" s="470"/>
      <c r="F54" s="467"/>
      <c r="G54" s="528">
        <v>0</v>
      </c>
      <c r="H54" s="529">
        <v>0</v>
      </c>
      <c r="I54" s="529">
        <v>0.01</v>
      </c>
      <c r="J54" s="529">
        <v>0.02</v>
      </c>
      <c r="K54" s="530">
        <v>0.02</v>
      </c>
    </row>
    <row r="55" spans="1:12">
      <c r="B55" s="474"/>
      <c r="C55" s="467" t="str">
        <f>C16</f>
        <v>Worst Case</v>
      </c>
      <c r="D55" s="470"/>
      <c r="E55" s="470"/>
      <c r="F55" s="467"/>
      <c r="G55" s="531">
        <v>-0.05</v>
      </c>
      <c r="H55" s="532">
        <v>-0.03</v>
      </c>
      <c r="I55" s="532">
        <v>-0.01</v>
      </c>
      <c r="J55" s="532">
        <v>0</v>
      </c>
      <c r="K55" s="533">
        <v>0.02</v>
      </c>
    </row>
    <row r="56" spans="1:12">
      <c r="C56" s="60"/>
      <c r="D56" s="56"/>
      <c r="E56" s="56"/>
      <c r="G56" s="61"/>
      <c r="H56" s="61"/>
      <c r="I56" s="61"/>
      <c r="J56" s="61"/>
      <c r="K56" s="62"/>
      <c r="L56" s="58"/>
    </row>
    <row r="59" spans="1:12">
      <c r="C59" s="42"/>
      <c r="D59" s="54"/>
      <c r="E59" s="54"/>
      <c r="G59" s="63"/>
    </row>
    <row r="60" spans="1:12">
      <c r="D60" s="56"/>
      <c r="E60" s="56"/>
      <c r="H60" s="59"/>
    </row>
    <row r="61" spans="1:12">
      <c r="D61" s="56"/>
      <c r="E61" s="56"/>
    </row>
    <row r="62" spans="1:12">
      <c r="G62" s="63"/>
    </row>
  </sheetData>
  <sheetProtection formatCells="0" formatColumns="0" formatRows="0" insertColumns="0" insertRows="0"/>
  <phoneticPr fontId="0" type="noConversion"/>
  <conditionalFormatting sqref="J368:M372">
    <cfRule type="cellIs" dxfId="0" priority="1" stopIfTrue="1" operator="greaterThan">
      <formula>330</formula>
    </cfRule>
  </conditionalFormatting>
  <dataValidations count="1">
    <dataValidation type="list" allowBlank="1" showInputMessage="1" showErrorMessage="1" errorTitle="Error" error="Must pick one of the three options" promptTitle="Drop Down" prompt="Choose a case" sqref="D9" xr:uid="{AEB1644F-9589-4C2A-ABD1-02BE32AF63B3}">
      <formula1>$C$14:$C$16</formula1>
    </dataValidation>
  </dataValidations>
  <printOptions horizontalCentered="1"/>
  <pageMargins left="0.25" right="0.25" top="0.25" bottom="0.5" header="0.25" footer="0.25"/>
  <pageSetup paperSize="9" scale="85" orientation="landscape" r:id="rId1"/>
  <headerFooter alignWithMargins="0">
    <oddFooter>&amp;L&amp;9&amp;K000000C:\Documents\nike.xls&amp;C&amp;9&amp;K000000Page &amp;P of &amp;N
&amp;R&amp;K000000&amp;D&amp;T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2" r:id="rId4" name="Drop Down 2">
              <controlPr defaultSize="0" autoLine="0" autoPict="0">
                <anchor moveWithCells="1">
                  <from>
                    <xdr:col>2</xdr:col>
                    <xdr:colOff>1282700</xdr:colOff>
                    <xdr:row>4</xdr:row>
                    <xdr:rowOff>63500</xdr:rowOff>
                  </from>
                  <to>
                    <xdr:col>4</xdr:col>
                    <xdr:colOff>50800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P404"/>
  <sheetViews>
    <sheetView showGridLines="0" zoomScaleNormal="100" zoomScaleSheetLayoutView="90" workbookViewId="0">
      <selection activeCell="Q8" sqref="Q8"/>
    </sheetView>
  </sheetViews>
  <sheetFormatPr baseColWidth="10" defaultColWidth="9.5" defaultRowHeight="13"/>
  <cols>
    <col min="1" max="1" width="3.5" customWidth="1"/>
    <col min="2" max="2" width="1.83203125" customWidth="1"/>
    <col min="3" max="3" width="2.5" customWidth="1"/>
    <col min="4" max="4" width="11.5" customWidth="1"/>
    <col min="5" max="5" width="21" customWidth="1"/>
    <col min="6" max="6" width="12.5" style="71" customWidth="1"/>
    <col min="7" max="7" width="8.5" customWidth="1"/>
    <col min="8" max="15" width="10.6640625" customWidth="1"/>
  </cols>
  <sheetData>
    <row r="1" spans="1:16" ht="12.75" customHeight="1">
      <c r="A1" s="64"/>
      <c r="B1" s="2"/>
      <c r="C1" s="3"/>
      <c r="D1" s="3"/>
      <c r="E1" s="3"/>
      <c r="F1" s="65"/>
      <c r="G1" s="3"/>
      <c r="H1" s="3"/>
      <c r="I1" s="3"/>
      <c r="J1" s="3"/>
      <c r="K1" s="3"/>
      <c r="L1" s="3"/>
      <c r="M1" s="606"/>
      <c r="N1" s="606"/>
      <c r="O1" s="607" t="str">
        <f>"Currently Running: "&amp;CHOOSE(Scenarios!D6,Scenarios!C14,Scenarios!C15,Scenarios!C16)&amp;" Scenario"</f>
        <v>Currently Running: Base Case Scenario</v>
      </c>
      <c r="P1" s="434"/>
    </row>
    <row r="2" spans="1:16" ht="20.5" customHeight="1">
      <c r="A2" s="66"/>
      <c r="B2" s="619" t="str">
        <f>Scenarios!B1</f>
        <v>NIKE</v>
      </c>
      <c r="C2" s="3"/>
      <c r="D2" s="3"/>
      <c r="E2" s="3"/>
      <c r="F2" s="65"/>
      <c r="G2" s="3"/>
      <c r="H2" s="3"/>
      <c r="I2" s="3"/>
      <c r="J2" s="3"/>
      <c r="K2" s="3"/>
      <c r="L2" s="3"/>
      <c r="M2" s="606"/>
      <c r="N2" s="606"/>
      <c r="O2" s="606"/>
      <c r="P2" s="434"/>
    </row>
    <row r="3" spans="1:16" ht="16" customHeight="1">
      <c r="A3" s="67"/>
      <c r="B3" s="68" t="s">
        <v>76</v>
      </c>
      <c r="C3" s="69"/>
      <c r="D3" s="69"/>
      <c r="E3" s="69"/>
      <c r="F3" s="70"/>
      <c r="G3" s="69"/>
      <c r="H3" s="69"/>
      <c r="I3" s="69"/>
      <c r="J3" s="69"/>
      <c r="K3" s="69"/>
      <c r="L3" s="69"/>
      <c r="M3" s="69"/>
      <c r="N3" s="69"/>
      <c r="O3" s="69"/>
    </row>
    <row r="4" spans="1:16" ht="3" customHeight="1" thickBot="1">
      <c r="A4" s="67"/>
      <c r="B4" s="269"/>
      <c r="C4" s="270"/>
      <c r="D4" s="270"/>
      <c r="E4" s="270"/>
      <c r="F4" s="271"/>
      <c r="G4" s="270"/>
      <c r="H4" s="270"/>
      <c r="I4" s="270"/>
      <c r="J4" s="270"/>
      <c r="K4" s="270"/>
      <c r="L4" s="270"/>
      <c r="M4" s="270"/>
      <c r="N4" s="270"/>
      <c r="O4" s="270"/>
    </row>
    <row r="5" spans="1:16" ht="12.75" customHeight="1">
      <c r="A5" s="68"/>
      <c r="B5" s="69"/>
      <c r="C5" s="69"/>
      <c r="D5" s="69"/>
      <c r="E5" s="69"/>
      <c r="F5" s="70"/>
      <c r="G5" s="69"/>
      <c r="H5" s="69"/>
      <c r="I5" s="69"/>
      <c r="J5" s="69"/>
      <c r="K5" s="69"/>
      <c r="L5" s="69"/>
      <c r="M5" s="69"/>
      <c r="N5" s="69"/>
      <c r="O5" s="69"/>
    </row>
    <row r="6" spans="1:16">
      <c r="G6" s="72"/>
      <c r="K6" s="73" t="s">
        <v>2</v>
      </c>
      <c r="L6" s="20"/>
      <c r="M6" s="20"/>
      <c r="N6" s="20"/>
      <c r="O6" s="20"/>
    </row>
    <row r="7" spans="1:16">
      <c r="G7" s="21"/>
      <c r="H7" s="260">
        <f>I7-1</f>
        <v>2022</v>
      </c>
      <c r="I7" s="260">
        <f>J7-1</f>
        <v>2023</v>
      </c>
      <c r="J7" s="260">
        <f>K7-1</f>
        <v>2024</v>
      </c>
      <c r="K7" s="90">
        <f>Scenarios!G6</f>
        <v>2025</v>
      </c>
      <c r="L7" s="90">
        <f>Scenarios!H6</f>
        <v>2026</v>
      </c>
      <c r="M7" s="90">
        <f>Scenarios!I6</f>
        <v>2027</v>
      </c>
      <c r="N7" s="90">
        <f>Scenarios!J6</f>
        <v>2028</v>
      </c>
      <c r="O7" s="90">
        <f>Scenarios!K6</f>
        <v>2029</v>
      </c>
    </row>
    <row r="8" spans="1:16" ht="12.75" customHeight="1">
      <c r="H8" s="74"/>
      <c r="I8" s="74"/>
      <c r="J8" s="74"/>
    </row>
    <row r="9" spans="1:16">
      <c r="B9" s="75" t="s">
        <v>1</v>
      </c>
      <c r="F9" s="76"/>
      <c r="H9" s="74"/>
      <c r="I9" s="586"/>
      <c r="J9" s="586"/>
      <c r="K9" s="587"/>
      <c r="L9" s="434"/>
      <c r="M9" s="434"/>
      <c r="N9" s="434"/>
      <c r="O9" s="434"/>
      <c r="P9" s="434"/>
    </row>
    <row r="10" spans="1:16">
      <c r="C10" s="10" t="s">
        <v>141</v>
      </c>
      <c r="F10" s="78" t="s">
        <v>120</v>
      </c>
      <c r="H10" s="79"/>
      <c r="I10" s="588"/>
      <c r="J10" s="589">
        <v>85</v>
      </c>
      <c r="K10" s="590">
        <f>Scenarios!G21</f>
        <v>87.5</v>
      </c>
      <c r="L10" s="590">
        <f>Scenarios!H21</f>
        <v>90</v>
      </c>
      <c r="M10" s="590">
        <f>Scenarios!I21</f>
        <v>92.5</v>
      </c>
      <c r="N10" s="590">
        <f>Scenarios!J21</f>
        <v>95</v>
      </c>
      <c r="O10" s="590">
        <f>Scenarios!K21</f>
        <v>97.5</v>
      </c>
      <c r="P10" s="434"/>
    </row>
    <row r="11" spans="1:16">
      <c r="C11" t="s">
        <v>142</v>
      </c>
      <c r="F11" s="78" t="s">
        <v>120</v>
      </c>
      <c r="H11" s="80"/>
      <c r="I11" s="591"/>
      <c r="J11" s="589">
        <v>50</v>
      </c>
      <c r="K11" s="590">
        <f>Scenarios!G27</f>
        <v>52.5</v>
      </c>
      <c r="L11" s="590">
        <f>Scenarios!H27</f>
        <v>55</v>
      </c>
      <c r="M11" s="590">
        <f>Scenarios!I27</f>
        <v>57.5</v>
      </c>
      <c r="N11" s="590">
        <f>Scenarios!J27</f>
        <v>60</v>
      </c>
      <c r="O11" s="590">
        <f>Scenarios!K27</f>
        <v>62.5</v>
      </c>
      <c r="P11" s="434"/>
    </row>
    <row r="12" spans="1:16">
      <c r="C12" t="s">
        <v>143</v>
      </c>
      <c r="F12" s="78" t="s">
        <v>120</v>
      </c>
      <c r="H12" s="80"/>
      <c r="I12" s="591"/>
      <c r="J12" s="589">
        <v>20</v>
      </c>
      <c r="K12" s="590">
        <f>Scenarios!G33</f>
        <v>22.5</v>
      </c>
      <c r="L12" s="590">
        <f>Scenarios!H33</f>
        <v>25</v>
      </c>
      <c r="M12" s="590">
        <f>Scenarios!I33</f>
        <v>27.5</v>
      </c>
      <c r="N12" s="590">
        <f>Scenarios!J33</f>
        <v>30</v>
      </c>
      <c r="O12" s="590">
        <f>Scenarios!K33</f>
        <v>32.5</v>
      </c>
      <c r="P12" s="434"/>
    </row>
    <row r="13" spans="1:16">
      <c r="C13" s="19" t="s">
        <v>144</v>
      </c>
      <c r="F13" s="78" t="s">
        <v>120</v>
      </c>
      <c r="H13" s="81"/>
      <c r="I13" s="592"/>
      <c r="J13" s="592">
        <v>65</v>
      </c>
      <c r="K13" s="590">
        <f ca="1">Scenarios!G39</f>
        <v>65</v>
      </c>
      <c r="L13" s="590">
        <f ca="1">Scenarios!H39</f>
        <v>67.5</v>
      </c>
      <c r="M13" s="590">
        <f ca="1">Scenarios!I39</f>
        <v>67.5</v>
      </c>
      <c r="N13" s="590">
        <f ca="1">Scenarios!J39</f>
        <v>70</v>
      </c>
      <c r="O13" s="590">
        <f ca="1">Scenarios!K39</f>
        <v>70</v>
      </c>
      <c r="P13" s="434"/>
    </row>
    <row r="14" spans="1:16">
      <c r="B14" s="84"/>
      <c r="C14" s="85"/>
      <c r="D14" s="84"/>
      <c r="E14" s="84"/>
      <c r="F14" s="86"/>
      <c r="G14" s="84"/>
      <c r="H14" s="87"/>
      <c r="I14" s="593"/>
      <c r="J14" s="593"/>
      <c r="K14" s="594"/>
      <c r="L14" s="594"/>
      <c r="M14" s="594"/>
      <c r="N14" s="594"/>
      <c r="O14" s="594"/>
      <c r="P14" s="434"/>
    </row>
    <row r="15" spans="1:16">
      <c r="C15" s="75"/>
      <c r="F15" s="83"/>
      <c r="H15" s="88"/>
      <c r="I15" s="595"/>
      <c r="J15" s="595"/>
      <c r="K15" s="596"/>
      <c r="L15" s="596"/>
      <c r="M15" s="596"/>
      <c r="N15" s="596"/>
      <c r="O15" s="596"/>
      <c r="P15" s="434"/>
    </row>
    <row r="16" spans="1:16">
      <c r="B16" s="82" t="s">
        <v>86</v>
      </c>
      <c r="F16" s="76"/>
      <c r="I16" s="434"/>
      <c r="J16" s="434"/>
      <c r="K16" s="434"/>
      <c r="L16" s="434"/>
      <c r="M16" s="434"/>
      <c r="N16" s="434"/>
      <c r="O16" s="434"/>
      <c r="P16" s="434"/>
    </row>
    <row r="17" spans="2:16" ht="5" customHeight="1">
      <c r="B17" s="82"/>
      <c r="F17" s="76"/>
      <c r="I17" s="434"/>
      <c r="J17" s="434"/>
      <c r="K17" s="434"/>
      <c r="L17" s="434"/>
      <c r="M17" s="434"/>
      <c r="N17" s="434"/>
      <c r="O17" s="434"/>
      <c r="P17" s="434"/>
    </row>
    <row r="18" spans="2:16">
      <c r="C18" t="s">
        <v>84</v>
      </c>
      <c r="F18" s="76" t="s">
        <v>85</v>
      </c>
      <c r="H18" s="80"/>
      <c r="I18" s="591"/>
      <c r="J18" s="597"/>
      <c r="K18" s="598">
        <f>Scenarios!G51</f>
        <v>-0.02</v>
      </c>
      <c r="L18" s="598">
        <f>Scenarios!H51</f>
        <v>-0.02</v>
      </c>
      <c r="M18" s="598">
        <f>Scenarios!I51</f>
        <v>0</v>
      </c>
      <c r="N18" s="598">
        <f>Scenarios!J51</f>
        <v>0.02</v>
      </c>
      <c r="O18" s="598">
        <f>Scenarios!K51</f>
        <v>0.02</v>
      </c>
      <c r="P18" s="434"/>
    </row>
    <row r="19" spans="2:16">
      <c r="C19" t="s">
        <v>145</v>
      </c>
      <c r="F19" s="76" t="s">
        <v>149</v>
      </c>
      <c r="H19" s="92"/>
      <c r="I19" s="599"/>
      <c r="J19" s="534">
        <f>J83/J10</f>
        <v>393.25882352941176</v>
      </c>
      <c r="K19" s="534">
        <f xml:space="preserve"> J19*(1+K$18)</f>
        <v>385.39364705882349</v>
      </c>
      <c r="L19" s="534">
        <f t="shared" ref="L19:O19" si="0" xml:space="preserve"> K19*(1+L$18)</f>
        <v>377.68577411764699</v>
      </c>
      <c r="M19" s="534">
        <f t="shared" si="0"/>
        <v>377.68577411764699</v>
      </c>
      <c r="N19" s="534">
        <f t="shared" si="0"/>
        <v>385.23948959999996</v>
      </c>
      <c r="O19" s="534">
        <f t="shared" si="0"/>
        <v>392.94427939199994</v>
      </c>
      <c r="P19" s="434"/>
    </row>
    <row r="20" spans="2:16">
      <c r="C20" t="s">
        <v>146</v>
      </c>
      <c r="F20" s="76" t="s">
        <v>149</v>
      </c>
      <c r="H20" s="92"/>
      <c r="I20" s="599"/>
      <c r="J20" s="534">
        <f>J84/J11</f>
        <v>275.5</v>
      </c>
      <c r="K20" s="534">
        <f t="shared" ref="K20:O22" si="1" xml:space="preserve"> J20*(1+K$18)</f>
        <v>269.99</v>
      </c>
      <c r="L20" s="534">
        <f t="shared" si="1"/>
        <v>264.59019999999998</v>
      </c>
      <c r="M20" s="534">
        <f t="shared" si="1"/>
        <v>264.59019999999998</v>
      </c>
      <c r="N20" s="534">
        <f t="shared" si="1"/>
        <v>269.88200399999999</v>
      </c>
      <c r="O20" s="534">
        <f t="shared" si="1"/>
        <v>275.27964408000003</v>
      </c>
      <c r="P20" s="434"/>
    </row>
    <row r="21" spans="2:16">
      <c r="C21" t="s">
        <v>147</v>
      </c>
      <c r="F21" s="76" t="s">
        <v>149</v>
      </c>
      <c r="H21" s="92"/>
      <c r="I21" s="599"/>
      <c r="J21" s="534">
        <f>J85/J12</f>
        <v>103.75</v>
      </c>
      <c r="K21" s="534">
        <f t="shared" si="1"/>
        <v>101.675</v>
      </c>
      <c r="L21" s="534">
        <f t="shared" si="1"/>
        <v>99.641499999999994</v>
      </c>
      <c r="M21" s="534">
        <f t="shared" si="1"/>
        <v>99.641499999999994</v>
      </c>
      <c r="N21" s="534">
        <f t="shared" si="1"/>
        <v>101.63432999999999</v>
      </c>
      <c r="O21" s="534">
        <f t="shared" si="1"/>
        <v>103.6670166</v>
      </c>
      <c r="P21" s="434"/>
    </row>
    <row r="22" spans="2:16">
      <c r="C22" t="s">
        <v>148</v>
      </c>
      <c r="F22" s="76" t="s">
        <v>149</v>
      </c>
      <c r="H22" s="92"/>
      <c r="I22" s="599"/>
      <c r="J22" s="534">
        <f>J86/J13</f>
        <v>32.030769230769231</v>
      </c>
      <c r="K22" s="534">
        <f t="shared" si="1"/>
        <v>31.390153846153847</v>
      </c>
      <c r="L22" s="534">
        <f t="shared" si="1"/>
        <v>30.762350769230771</v>
      </c>
      <c r="M22" s="534">
        <f t="shared" si="1"/>
        <v>30.762350769230771</v>
      </c>
      <c r="N22" s="534">
        <f t="shared" si="1"/>
        <v>31.377597784615386</v>
      </c>
      <c r="O22" s="534">
        <f t="shared" si="1"/>
        <v>32.005149740307694</v>
      </c>
      <c r="P22" s="434"/>
    </row>
    <row r="23" spans="2:16" ht="4.5" customHeight="1">
      <c r="C23" s="90"/>
      <c r="F23" s="91"/>
      <c r="H23" s="89"/>
      <c r="I23" s="596"/>
      <c r="J23" s="596"/>
      <c r="K23" s="596"/>
      <c r="L23" s="596"/>
      <c r="M23" s="596"/>
      <c r="N23" s="596"/>
      <c r="O23" s="596"/>
      <c r="P23" s="434"/>
    </row>
    <row r="24" spans="2:16" ht="12.75" customHeight="1">
      <c r="B24" s="84"/>
      <c r="C24" s="84"/>
      <c r="D24" s="84"/>
      <c r="E24" s="84"/>
      <c r="F24" s="93"/>
      <c r="G24" s="84"/>
      <c r="H24" s="84"/>
      <c r="I24" s="600"/>
      <c r="J24" s="600"/>
      <c r="K24" s="600"/>
      <c r="L24" s="600"/>
      <c r="M24" s="600"/>
      <c r="N24" s="600"/>
      <c r="O24" s="600"/>
      <c r="P24" s="434"/>
    </row>
    <row r="25" spans="2:16" ht="12.75" customHeight="1">
      <c r="F25" s="76"/>
      <c r="I25" s="434"/>
      <c r="J25" s="434"/>
      <c r="K25" s="434"/>
      <c r="L25" s="434"/>
      <c r="M25" s="434"/>
      <c r="N25" s="434"/>
      <c r="O25" s="434"/>
      <c r="P25" s="434"/>
    </row>
    <row r="26" spans="2:16">
      <c r="B26" s="90" t="s">
        <v>38</v>
      </c>
      <c r="F26" s="76"/>
      <c r="I26" s="434"/>
      <c r="J26" s="434"/>
      <c r="K26" s="434"/>
      <c r="L26" s="434"/>
      <c r="M26" s="434"/>
      <c r="N26" s="434"/>
      <c r="O26" s="434"/>
      <c r="P26" s="434"/>
    </row>
    <row r="27" spans="2:16">
      <c r="B27" s="90"/>
      <c r="C27" t="s">
        <v>158</v>
      </c>
      <c r="F27" s="76" t="s">
        <v>159</v>
      </c>
      <c r="I27" s="434"/>
      <c r="J27" s="601">
        <f>J83</f>
        <v>33427</v>
      </c>
      <c r="K27" s="534">
        <f>K19*K10</f>
        <v>33721.944117647057</v>
      </c>
      <c r="L27" s="534">
        <f t="shared" ref="L27:O27" si="2">L19*L10</f>
        <v>33991.719670588231</v>
      </c>
      <c r="M27" s="534">
        <f t="shared" si="2"/>
        <v>34935.934105882348</v>
      </c>
      <c r="N27" s="534">
        <f t="shared" si="2"/>
        <v>36597.751511999995</v>
      </c>
      <c r="O27" s="534">
        <f t="shared" si="2"/>
        <v>38312.067240719996</v>
      </c>
      <c r="P27" s="434"/>
    </row>
    <row r="28" spans="2:16">
      <c r="B28" s="90"/>
      <c r="C28" t="s">
        <v>157</v>
      </c>
      <c r="F28" s="76" t="s">
        <v>159</v>
      </c>
      <c r="I28" s="434"/>
      <c r="J28" s="601">
        <f t="shared" ref="J28:J30" si="3">J84</f>
        <v>13775</v>
      </c>
      <c r="K28" s="534">
        <f t="shared" ref="K28:O30" si="4">K20*K11</f>
        <v>14174.475</v>
      </c>
      <c r="L28" s="534">
        <f t="shared" si="4"/>
        <v>14552.460999999999</v>
      </c>
      <c r="M28" s="534">
        <f t="shared" si="4"/>
        <v>15213.9365</v>
      </c>
      <c r="N28" s="534">
        <f t="shared" si="4"/>
        <v>16192.920239999999</v>
      </c>
      <c r="O28" s="534">
        <f t="shared" si="4"/>
        <v>17204.977755</v>
      </c>
      <c r="P28" s="434"/>
    </row>
    <row r="29" spans="2:16">
      <c r="B29" s="90"/>
      <c r="C29" t="s">
        <v>156</v>
      </c>
      <c r="F29" s="76" t="s">
        <v>159</v>
      </c>
      <c r="I29" s="434"/>
      <c r="J29" s="601">
        <f t="shared" si="3"/>
        <v>2075</v>
      </c>
      <c r="K29" s="534">
        <f t="shared" si="4"/>
        <v>2287.6875</v>
      </c>
      <c r="L29" s="534">
        <f t="shared" si="4"/>
        <v>2491.0374999999999</v>
      </c>
      <c r="M29" s="534">
        <f t="shared" si="4"/>
        <v>2740.1412499999997</v>
      </c>
      <c r="N29" s="534">
        <f t="shared" si="4"/>
        <v>3049.0298999999995</v>
      </c>
      <c r="O29" s="534">
        <f t="shared" si="4"/>
        <v>3369.1780395000001</v>
      </c>
      <c r="P29" s="434"/>
    </row>
    <row r="30" spans="2:16">
      <c r="B30" s="90"/>
      <c r="C30" t="s">
        <v>154</v>
      </c>
      <c r="F30" s="76" t="s">
        <v>159</v>
      </c>
      <c r="I30" s="434"/>
      <c r="J30" s="601">
        <f t="shared" si="3"/>
        <v>2082</v>
      </c>
      <c r="K30" s="534">
        <f t="shared" ca="1" si="4"/>
        <v>2040.3600000000001</v>
      </c>
      <c r="L30" s="534">
        <f t="shared" ca="1" si="4"/>
        <v>2076.4586769230768</v>
      </c>
      <c r="M30" s="534">
        <f t="shared" ca="1" si="4"/>
        <v>2076.4586769230768</v>
      </c>
      <c r="N30" s="534">
        <f t="shared" ca="1" si="4"/>
        <v>2196.4318449230768</v>
      </c>
      <c r="O30" s="534">
        <f t="shared" ca="1" si="4"/>
        <v>2240.3604818215385</v>
      </c>
      <c r="P30" s="434"/>
    </row>
    <row r="31" spans="2:16">
      <c r="B31" s="90"/>
      <c r="C31" s="90" t="s">
        <v>160</v>
      </c>
      <c r="F31" s="76" t="s">
        <v>159</v>
      </c>
      <c r="I31" s="434"/>
      <c r="J31" s="602">
        <f>SUM(J27:J30)</f>
        <v>51359</v>
      </c>
      <c r="K31" s="603">
        <f t="shared" ref="K31:O31" ca="1" si="5">SUM(K27:K30)</f>
        <v>52224.466617647056</v>
      </c>
      <c r="L31" s="603">
        <f t="shared" ca="1" si="5"/>
        <v>53111.676847511306</v>
      </c>
      <c r="M31" s="603">
        <f t="shared" ca="1" si="5"/>
        <v>54966.470532805419</v>
      </c>
      <c r="N31" s="603">
        <f t="shared" ca="1" si="5"/>
        <v>58036.133496923074</v>
      </c>
      <c r="O31" s="603">
        <f t="shared" ca="1" si="5"/>
        <v>61126.583517041538</v>
      </c>
      <c r="P31" s="434"/>
    </row>
    <row r="32" spans="2:16">
      <c r="B32" s="90"/>
      <c r="C32" s="90"/>
      <c r="F32" s="76"/>
      <c r="I32" s="434"/>
      <c r="J32" s="558"/>
      <c r="K32" s="558"/>
      <c r="L32" s="558"/>
      <c r="M32" s="558"/>
      <c r="N32" s="558"/>
      <c r="O32" s="558"/>
      <c r="P32" s="434"/>
    </row>
    <row r="33" spans="1:16">
      <c r="B33" s="90" t="s">
        <v>161</v>
      </c>
      <c r="C33" s="90"/>
      <c r="F33" s="76"/>
      <c r="I33" s="434"/>
      <c r="J33" s="558"/>
      <c r="K33" s="558"/>
      <c r="L33" s="558"/>
      <c r="M33" s="558"/>
      <c r="N33" s="558"/>
      <c r="O33" s="558"/>
      <c r="P33" s="434"/>
    </row>
    <row r="34" spans="1:16">
      <c r="B34" s="90"/>
      <c r="C34" t="s">
        <v>162</v>
      </c>
      <c r="F34" s="76" t="s">
        <v>85</v>
      </c>
      <c r="I34" s="434"/>
      <c r="J34" s="558"/>
      <c r="K34" s="604">
        <f ca="1">Scenarios!G45</f>
        <v>-0.15</v>
      </c>
      <c r="L34" s="604">
        <f ca="1">Scenarios!H45</f>
        <v>-0.15</v>
      </c>
      <c r="M34" s="604">
        <f ca="1">Scenarios!I45</f>
        <v>-0.1</v>
      </c>
      <c r="N34" s="604">
        <f ca="1">Scenarios!J45</f>
        <v>0</v>
      </c>
      <c r="O34" s="604">
        <f ca="1">Scenarios!K45</f>
        <v>0</v>
      </c>
      <c r="P34" s="434"/>
    </row>
    <row r="35" spans="1:16">
      <c r="B35" s="90"/>
      <c r="C35" t="s">
        <v>155</v>
      </c>
      <c r="F35" s="76" t="s">
        <v>159</v>
      </c>
      <c r="I35" s="434"/>
      <c r="J35" s="601">
        <f>J87</f>
        <v>45</v>
      </c>
      <c r="K35" s="605">
        <f ca="1">J35*(1+K34)</f>
        <v>38.25</v>
      </c>
      <c r="L35" s="605">
        <f t="shared" ref="L35:O35" ca="1" si="6">K35*(1+L34)</f>
        <v>32.512499999999996</v>
      </c>
      <c r="M35" s="605">
        <f t="shared" ca="1" si="6"/>
        <v>29.261249999999997</v>
      </c>
      <c r="N35" s="605">
        <f t="shared" ca="1" si="6"/>
        <v>29.261249999999997</v>
      </c>
      <c r="O35" s="605">
        <f t="shared" ca="1" si="6"/>
        <v>29.261249999999997</v>
      </c>
      <c r="P35" s="434"/>
    </row>
    <row r="36" spans="1:16" ht="9.5" customHeight="1">
      <c r="B36" s="90"/>
      <c r="C36" s="90"/>
      <c r="F36" s="76"/>
      <c r="I36" s="434"/>
      <c r="J36" s="558"/>
      <c r="K36" s="434"/>
      <c r="L36" s="434"/>
      <c r="M36" s="434"/>
      <c r="N36" s="434"/>
      <c r="O36" s="434"/>
      <c r="P36" s="434"/>
    </row>
    <row r="37" spans="1:16">
      <c r="B37" s="90"/>
      <c r="C37" t="s">
        <v>153</v>
      </c>
      <c r="F37" s="76" t="s">
        <v>159</v>
      </c>
      <c r="H37" s="383">
        <v>-72</v>
      </c>
      <c r="I37" s="601">
        <v>27</v>
      </c>
      <c r="J37" s="601">
        <f>J88</f>
        <v>-42</v>
      </c>
      <c r="K37" s="534">
        <f>AVERAGE(H37:J37)</f>
        <v>-29</v>
      </c>
      <c r="L37" s="534">
        <f t="shared" ref="L37:O37" si="7">AVERAGE(I37:K37)</f>
        <v>-14.666666666666666</v>
      </c>
      <c r="M37" s="534">
        <f t="shared" si="7"/>
        <v>-28.555555555555557</v>
      </c>
      <c r="N37" s="534">
        <f t="shared" si="7"/>
        <v>-24.074074074074076</v>
      </c>
      <c r="O37" s="534">
        <f t="shared" si="7"/>
        <v>-22.432098765432102</v>
      </c>
      <c r="P37" s="434"/>
    </row>
    <row r="38" spans="1:16">
      <c r="B38" s="90"/>
      <c r="C38" s="90"/>
      <c r="F38" s="76"/>
      <c r="J38" s="342"/>
    </row>
    <row r="39" spans="1:16">
      <c r="B39" s="90" t="s">
        <v>150</v>
      </c>
      <c r="C39" s="90"/>
      <c r="F39" s="91" t="s">
        <v>121</v>
      </c>
      <c r="H39" s="95"/>
      <c r="I39" s="95"/>
      <c r="J39" s="382">
        <f>J31+J35+J37</f>
        <v>51362</v>
      </c>
      <c r="K39" s="382">
        <f t="shared" ref="K39:O39" ca="1" si="8">K31+K35+K37</f>
        <v>52233.716617647056</v>
      </c>
      <c r="L39" s="382">
        <f t="shared" ca="1" si="8"/>
        <v>53129.522680844639</v>
      </c>
      <c r="M39" s="382">
        <f t="shared" ca="1" si="8"/>
        <v>54967.176227249867</v>
      </c>
      <c r="N39" s="382">
        <f t="shared" ca="1" si="8"/>
        <v>58041.320672849004</v>
      </c>
      <c r="O39" s="382">
        <f t="shared" ca="1" si="8"/>
        <v>61133.412668276105</v>
      </c>
    </row>
    <row r="40" spans="1:16" ht="12.75" customHeight="1">
      <c r="B40" s="11"/>
      <c r="C40" s="11"/>
      <c r="D40" s="11"/>
      <c r="E40" s="11"/>
      <c r="F40" s="96"/>
      <c r="G40" s="11"/>
      <c r="H40" s="11"/>
      <c r="I40" s="11"/>
      <c r="J40" s="11"/>
      <c r="K40" s="11"/>
      <c r="L40" s="11"/>
      <c r="M40" s="11"/>
      <c r="N40" s="11"/>
      <c r="O40" s="11"/>
    </row>
    <row r="41" spans="1:16" ht="12.75" customHeight="1"/>
    <row r="42" spans="1:16" ht="12.75" customHeight="1">
      <c r="A42" s="66"/>
      <c r="B42" s="1"/>
      <c r="C42" s="3"/>
      <c r="D42" s="3"/>
      <c r="E42" s="3"/>
      <c r="F42" s="65"/>
      <c r="G42" s="3"/>
      <c r="H42" s="3"/>
      <c r="I42" s="3"/>
      <c r="J42" s="3"/>
      <c r="K42" s="3"/>
      <c r="L42" s="3"/>
      <c r="M42" s="3"/>
      <c r="N42" s="3"/>
      <c r="O42" s="97" t="str">
        <f>$O$1</f>
        <v>Currently Running: Base Case Scenario</v>
      </c>
    </row>
    <row r="43" spans="1:16" ht="20" customHeight="1">
      <c r="A43" s="66"/>
      <c r="B43" s="619" t="str">
        <f>B$2</f>
        <v>NIKE</v>
      </c>
      <c r="C43" s="3"/>
      <c r="D43" s="3"/>
      <c r="E43" s="3"/>
      <c r="F43" s="65"/>
      <c r="G43" s="3"/>
      <c r="H43" s="3"/>
      <c r="I43" s="3"/>
      <c r="J43" s="3"/>
      <c r="K43" s="3"/>
      <c r="L43" s="3"/>
      <c r="M43" s="3"/>
      <c r="N43" s="3"/>
      <c r="O43" s="3"/>
    </row>
    <row r="44" spans="1:16" ht="18">
      <c r="A44" s="67"/>
      <c r="B44" s="68" t="s">
        <v>127</v>
      </c>
      <c r="C44" s="69"/>
      <c r="D44" s="69"/>
      <c r="E44" s="69"/>
      <c r="F44" s="70"/>
      <c r="G44" s="69"/>
      <c r="H44" s="69"/>
      <c r="I44" s="69"/>
      <c r="J44" s="69"/>
      <c r="K44" s="69"/>
      <c r="L44" s="69"/>
      <c r="M44" s="69"/>
      <c r="N44" s="69"/>
      <c r="O44" s="69"/>
    </row>
    <row r="45" spans="1:16" ht="3" customHeight="1" thickBot="1">
      <c r="A45" s="67"/>
      <c r="B45" s="269"/>
      <c r="C45" s="270"/>
      <c r="D45" s="270"/>
      <c r="E45" s="270"/>
      <c r="F45" s="271"/>
      <c r="G45" s="270"/>
      <c r="H45" s="270"/>
      <c r="I45" s="270"/>
      <c r="J45" s="270"/>
      <c r="K45" s="270"/>
      <c r="L45" s="270"/>
      <c r="M45" s="270"/>
      <c r="N45" s="270"/>
      <c r="O45" s="270"/>
    </row>
    <row r="46" spans="1:16" ht="12.75" customHeight="1">
      <c r="A46" s="68"/>
      <c r="B46" s="69"/>
      <c r="C46" s="69"/>
      <c r="D46" s="69"/>
      <c r="E46" s="69"/>
      <c r="F46" s="70"/>
      <c r="G46" s="69"/>
      <c r="H46" s="69"/>
      <c r="I46" s="69"/>
      <c r="J46" s="69"/>
      <c r="K46" s="69"/>
      <c r="L46" s="69"/>
      <c r="M46" s="69"/>
      <c r="N46" s="69"/>
      <c r="O46" s="69"/>
    </row>
    <row r="47" spans="1:16">
      <c r="G47" s="72"/>
      <c r="K47" s="73" t="s">
        <v>2</v>
      </c>
      <c r="L47" s="20"/>
      <c r="M47" s="20"/>
      <c r="N47" s="20"/>
      <c r="O47" s="20"/>
    </row>
    <row r="48" spans="1:16">
      <c r="G48" s="21"/>
      <c r="H48" s="260">
        <f t="shared" ref="H48:J48" si="9">H$7</f>
        <v>2022</v>
      </c>
      <c r="I48" s="260">
        <f t="shared" si="9"/>
        <v>2023</v>
      </c>
      <c r="J48" s="260">
        <f t="shared" si="9"/>
        <v>2024</v>
      </c>
      <c r="K48" s="261">
        <f>K$7</f>
        <v>2025</v>
      </c>
      <c r="L48" s="261">
        <f>L$7</f>
        <v>2026</v>
      </c>
      <c r="M48" s="261">
        <f>M$7</f>
        <v>2027</v>
      </c>
      <c r="N48" s="261">
        <f>N$7</f>
        <v>2028</v>
      </c>
      <c r="O48" s="261">
        <f>O$7</f>
        <v>2029</v>
      </c>
    </row>
    <row r="49" spans="2:16" ht="13" customHeight="1">
      <c r="G49" s="21"/>
      <c r="H49" s="21"/>
      <c r="I49" s="21"/>
      <c r="J49" s="21"/>
      <c r="K49" s="21"/>
      <c r="L49" s="21"/>
      <c r="M49" s="21"/>
      <c r="N49" s="21"/>
      <c r="O49" s="21"/>
    </row>
    <row r="50" spans="2:16" ht="13" customHeight="1">
      <c r="B50" s="28" t="s">
        <v>164</v>
      </c>
      <c r="C50" s="5"/>
      <c r="D50" s="5"/>
      <c r="E50" s="5"/>
      <c r="F50" s="343">
        <v>0.85</v>
      </c>
      <c r="G50" s="21"/>
      <c r="H50" s="21"/>
      <c r="I50" s="21"/>
      <c r="J50" s="21"/>
      <c r="K50" s="21"/>
      <c r="L50" s="21"/>
      <c r="M50" s="21"/>
      <c r="N50" s="21"/>
      <c r="O50" s="21"/>
    </row>
    <row r="51" spans="2:16" ht="13" customHeight="1">
      <c r="B51" s="12" t="s">
        <v>165</v>
      </c>
      <c r="C51" s="11"/>
      <c r="D51" s="11"/>
      <c r="E51" s="11"/>
      <c r="F51" s="344">
        <f>1-F50</f>
        <v>0.15000000000000002</v>
      </c>
      <c r="G51" s="21"/>
      <c r="H51" s="21"/>
      <c r="I51" s="21"/>
      <c r="J51" s="21"/>
      <c r="K51" s="21"/>
      <c r="L51" s="21"/>
      <c r="M51" s="21"/>
      <c r="N51" s="21"/>
      <c r="O51" s="21"/>
    </row>
    <row r="52" spans="2:16" ht="13" customHeight="1">
      <c r="G52" s="21"/>
      <c r="H52" s="21"/>
      <c r="I52" s="21"/>
      <c r="J52" s="21"/>
      <c r="K52" s="21"/>
      <c r="L52" s="21"/>
      <c r="M52" s="21"/>
      <c r="N52" s="21"/>
      <c r="O52" s="21"/>
    </row>
    <row r="53" spans="2:16" ht="13" customHeight="1">
      <c r="B53" s="28" t="s">
        <v>87</v>
      </c>
      <c r="C53" s="5"/>
      <c r="D53" s="5"/>
      <c r="E53" s="5"/>
      <c r="F53" s="345" t="s">
        <v>149</v>
      </c>
      <c r="G53" s="346"/>
      <c r="H53" s="347"/>
      <c r="I53" s="347"/>
      <c r="J53" s="347">
        <f t="shared" ref="J53:O53" si="10">SUM(J19:J22)</f>
        <v>804.53959276018099</v>
      </c>
      <c r="K53" s="347">
        <f t="shared" si="10"/>
        <v>788.44880090497725</v>
      </c>
      <c r="L53" s="347">
        <f t="shared" si="10"/>
        <v>772.67982488687767</v>
      </c>
      <c r="M53" s="347">
        <f t="shared" si="10"/>
        <v>772.67982488687767</v>
      </c>
      <c r="N53" s="347">
        <f t="shared" si="10"/>
        <v>788.1334213846153</v>
      </c>
      <c r="O53" s="348">
        <f t="shared" si="10"/>
        <v>803.89608981230776</v>
      </c>
    </row>
    <row r="54" spans="2:16">
      <c r="B54" s="12" t="s">
        <v>74</v>
      </c>
      <c r="C54" s="11"/>
      <c r="D54" s="11"/>
      <c r="E54" s="11"/>
      <c r="F54" s="349" t="s">
        <v>85</v>
      </c>
      <c r="G54" s="350"/>
      <c r="H54" s="351"/>
      <c r="I54" s="351"/>
      <c r="J54" s="351"/>
      <c r="K54" s="384">
        <f>Scenarios!G12</f>
        <v>0.02</v>
      </c>
      <c r="L54" s="384">
        <f>Scenarios!H12</f>
        <v>0.02</v>
      </c>
      <c r="M54" s="384">
        <f>Scenarios!I12</f>
        <v>0.02</v>
      </c>
      <c r="N54" s="384">
        <f>Scenarios!J12</f>
        <v>2.5000000000000001E-2</v>
      </c>
      <c r="O54" s="385">
        <f>Scenarios!K12</f>
        <v>2.5000000000000001E-2</v>
      </c>
    </row>
    <row r="55" spans="2:16" ht="13" customHeight="1">
      <c r="B55" s="99"/>
      <c r="G55" s="21"/>
      <c r="H55" s="21"/>
      <c r="I55" s="21"/>
      <c r="J55" s="21"/>
      <c r="K55" s="21"/>
      <c r="L55" s="21"/>
      <c r="M55" s="21"/>
      <c r="N55" s="21"/>
      <c r="O55" s="21"/>
    </row>
    <row r="56" spans="2:16" ht="12.75" customHeight="1">
      <c r="B56" s="100" t="s">
        <v>64</v>
      </c>
      <c r="G56" s="21"/>
      <c r="H56" s="21"/>
      <c r="I56" s="21"/>
      <c r="J56" s="21"/>
      <c r="K56" s="21"/>
      <c r="M56" s="21"/>
      <c r="N56" s="21"/>
      <c r="O56" s="21"/>
    </row>
    <row r="57" spans="2:16" ht="12" customHeight="1">
      <c r="B57" s="100"/>
      <c r="G57" s="21"/>
      <c r="H57" s="21"/>
      <c r="I57" s="579"/>
      <c r="J57" s="579"/>
      <c r="K57" s="579"/>
      <c r="L57" s="434"/>
      <c r="M57" s="579"/>
      <c r="N57" s="579"/>
      <c r="O57" s="579"/>
      <c r="P57" s="434"/>
    </row>
    <row r="58" spans="2:16" ht="13.5" customHeight="1">
      <c r="C58" s="90" t="s">
        <v>31</v>
      </c>
      <c r="D58" s="90"/>
      <c r="F58" s="101" t="s">
        <v>120</v>
      </c>
      <c r="H58" s="102"/>
      <c r="I58" s="580"/>
      <c r="J58" s="581">
        <f>J62*F50</f>
        <v>30.083976249028069</v>
      </c>
      <c r="K58" s="581">
        <f>J58*(1+K54)</f>
        <v>30.68565577400863</v>
      </c>
      <c r="L58" s="581">
        <f>K58*(1+L54)</f>
        <v>31.299368889488804</v>
      </c>
      <c r="M58" s="581">
        <f>L58*(1+M54)</f>
        <v>31.92535626727858</v>
      </c>
      <c r="N58" s="581">
        <f>M58*(1+N54)</f>
        <v>32.723490173960542</v>
      </c>
      <c r="O58" s="581">
        <f>N58*(1+O54)</f>
        <v>33.541577428309552</v>
      </c>
      <c r="P58" s="434"/>
    </row>
    <row r="59" spans="2:16" ht="1.5" customHeight="1">
      <c r="D59" s="19"/>
      <c r="H59" s="103"/>
      <c r="I59" s="557"/>
      <c r="J59" s="575"/>
      <c r="K59" s="575"/>
      <c r="L59" s="575"/>
      <c r="M59" s="575"/>
      <c r="N59" s="575"/>
      <c r="O59" s="575"/>
      <c r="P59" s="434"/>
    </row>
    <row r="60" spans="2:16" ht="13.5" customHeight="1">
      <c r="C60" s="352" t="s">
        <v>32</v>
      </c>
      <c r="D60" s="75"/>
      <c r="F60" s="101" t="s">
        <v>120</v>
      </c>
      <c r="H60" s="102"/>
      <c r="I60" s="580"/>
      <c r="J60" s="581">
        <f>J62*F51</f>
        <v>5.3089369851226014</v>
      </c>
      <c r="K60" s="581">
        <f>K68/K53</f>
        <v>5.5256282906378109</v>
      </c>
      <c r="L60" s="581">
        <f>L68/L53</f>
        <v>5.7511641392352724</v>
      </c>
      <c r="M60" s="581">
        <f>M68/M53</f>
        <v>5.866187422019979</v>
      </c>
      <c r="N60" s="581">
        <f>N68/N53</f>
        <v>5.8949432427161534</v>
      </c>
      <c r="O60" s="581">
        <f>O68/O53</f>
        <v>5.9238400233177018</v>
      </c>
      <c r="P60" s="534"/>
    </row>
    <row r="61" spans="2:16" ht="7.5" customHeight="1">
      <c r="C61" s="90"/>
      <c r="F61" s="101"/>
      <c r="H61" s="105"/>
      <c r="I61" s="582"/>
      <c r="J61" s="582"/>
      <c r="K61" s="582"/>
      <c r="L61" s="582"/>
      <c r="M61" s="582"/>
      <c r="N61" s="582"/>
      <c r="O61" s="582"/>
      <c r="P61" s="534"/>
    </row>
    <row r="62" spans="2:16" ht="14" thickBot="1">
      <c r="C62" s="75" t="s">
        <v>39</v>
      </c>
      <c r="F62" s="101" t="s">
        <v>120</v>
      </c>
      <c r="H62" s="106"/>
      <c r="I62" s="583"/>
      <c r="J62" s="584">
        <f>J91/J53</f>
        <v>35.392913234150669</v>
      </c>
      <c r="K62" s="584">
        <f>K58+K60</f>
        <v>36.211284064646442</v>
      </c>
      <c r="L62" s="584">
        <f>L58+L60</f>
        <v>37.050533028724075</v>
      </c>
      <c r="M62" s="584">
        <f>M58+M60</f>
        <v>37.791543689298557</v>
      </c>
      <c r="N62" s="584">
        <f>N58+N60</f>
        <v>38.618433416676694</v>
      </c>
      <c r="O62" s="584">
        <f>O58+O60</f>
        <v>39.465417451627253</v>
      </c>
      <c r="P62" s="434"/>
    </row>
    <row r="63" spans="2:16" ht="13" customHeight="1" thickTop="1">
      <c r="B63" s="85"/>
      <c r="C63" s="107"/>
      <c r="D63" s="84"/>
      <c r="E63" s="84"/>
      <c r="F63" s="108"/>
      <c r="G63" s="109"/>
      <c r="H63" s="109"/>
      <c r="I63" s="585"/>
      <c r="J63" s="585"/>
      <c r="K63" s="585"/>
      <c r="L63" s="585"/>
      <c r="M63" s="585"/>
      <c r="N63" s="585"/>
      <c r="O63" s="585"/>
      <c r="P63" s="434"/>
    </row>
    <row r="64" spans="2:16" ht="13" customHeight="1">
      <c r="B64" s="75"/>
      <c r="C64" s="90"/>
      <c r="F64" s="101"/>
      <c r="H64" s="105"/>
      <c r="I64" s="582"/>
      <c r="J64" s="582"/>
      <c r="K64" s="582"/>
      <c r="L64" s="582"/>
      <c r="M64" s="582"/>
      <c r="N64" s="582"/>
      <c r="O64" s="582"/>
      <c r="P64" s="434"/>
    </row>
    <row r="65" spans="1:16">
      <c r="B65" s="100" t="s">
        <v>128</v>
      </c>
      <c r="C65" s="90"/>
      <c r="F65" s="101"/>
      <c r="H65" s="105"/>
      <c r="I65" s="582"/>
      <c r="J65" s="582"/>
      <c r="K65" s="582"/>
      <c r="L65" s="582"/>
      <c r="M65" s="582"/>
      <c r="N65" s="582"/>
      <c r="O65" s="582"/>
      <c r="P65" s="434"/>
    </row>
    <row r="66" spans="1:16" ht="14.5" customHeight="1">
      <c r="B66" s="100"/>
      <c r="C66" s="90"/>
      <c r="F66" s="101"/>
      <c r="H66" s="105"/>
      <c r="I66" s="582"/>
      <c r="J66" s="582"/>
      <c r="K66" s="582"/>
      <c r="L66" s="582"/>
      <c r="M66" s="582"/>
      <c r="N66" s="582"/>
      <c r="O66" s="582"/>
      <c r="P66" s="434"/>
    </row>
    <row r="67" spans="1:16" ht="14" customHeight="1">
      <c r="C67" s="90" t="s">
        <v>31</v>
      </c>
      <c r="D67" s="90"/>
      <c r="F67" s="101" t="s">
        <v>121</v>
      </c>
      <c r="H67" s="102"/>
      <c r="I67" s="580"/>
      <c r="J67" s="575">
        <f>J70*F50</f>
        <v>24203.75</v>
      </c>
      <c r="K67" s="575">
        <f>K58*K53</f>
        <v>24194.068499999998</v>
      </c>
      <c r="L67" s="575">
        <f t="shared" ref="L67:O67" si="11">L58*L53</f>
        <v>24184.390872599997</v>
      </c>
      <c r="M67" s="575">
        <f t="shared" si="11"/>
        <v>24668.078690051996</v>
      </c>
      <c r="N67" s="575">
        <f t="shared" si="11"/>
        <v>25790.476270449362</v>
      </c>
      <c r="O67" s="575">
        <f t="shared" si="11"/>
        <v>26963.942940754809</v>
      </c>
      <c r="P67" s="434"/>
    </row>
    <row r="68" spans="1:16" ht="13" customHeight="1">
      <c r="C68" s="90" t="s">
        <v>32</v>
      </c>
      <c r="D68" s="75"/>
      <c r="F68" s="101" t="s">
        <v>121</v>
      </c>
      <c r="H68" s="102"/>
      <c r="I68" s="580"/>
      <c r="J68" s="575">
        <f>J70*F51</f>
        <v>4271.2500000000009</v>
      </c>
      <c r="K68" s="575">
        <f>J68*(1+K54)</f>
        <v>4356.6750000000011</v>
      </c>
      <c r="L68" s="575">
        <f>K68*(1+L54)</f>
        <v>4443.808500000001</v>
      </c>
      <c r="M68" s="575">
        <f>L68*(1+M54)</f>
        <v>4532.6846700000015</v>
      </c>
      <c r="N68" s="575">
        <f>M68*(1+N54)</f>
        <v>4646.001786750001</v>
      </c>
      <c r="O68" s="575">
        <f>N68*(1+O54)</f>
        <v>4762.1518314187506</v>
      </c>
      <c r="P68" s="434"/>
    </row>
    <row r="69" spans="1:16" ht="6" customHeight="1">
      <c r="C69" s="90"/>
      <c r="H69" s="103"/>
      <c r="I69" s="557"/>
      <c r="J69" s="557"/>
      <c r="K69" s="557"/>
      <c r="L69" s="557"/>
      <c r="M69" s="557"/>
      <c r="N69" s="557"/>
      <c r="O69" s="557"/>
      <c r="P69" s="434"/>
    </row>
    <row r="70" spans="1:16" ht="14" thickBot="1">
      <c r="C70" s="75" t="s">
        <v>39</v>
      </c>
      <c r="F70" s="101" t="s">
        <v>121</v>
      </c>
      <c r="H70" s="106"/>
      <c r="I70" s="583"/>
      <c r="J70" s="559">
        <f>J91</f>
        <v>28475</v>
      </c>
      <c r="K70" s="559">
        <f>K67+K68</f>
        <v>28550.743499999997</v>
      </c>
      <c r="L70" s="559">
        <f>L67+L68</f>
        <v>28628.1993726</v>
      </c>
      <c r="M70" s="559">
        <f>M67+M68</f>
        <v>29200.763360051998</v>
      </c>
      <c r="N70" s="559">
        <f>N67+N68</f>
        <v>30436.478057199362</v>
      </c>
      <c r="O70" s="559">
        <f>O67+O68</f>
        <v>31726.094772173557</v>
      </c>
      <c r="P70" s="434"/>
    </row>
    <row r="71" spans="1:16" ht="12.75" customHeight="1" thickTop="1">
      <c r="B71" s="110"/>
      <c r="C71" s="111"/>
      <c r="D71" s="11"/>
      <c r="E71" s="11"/>
      <c r="F71" s="112"/>
      <c r="G71" s="113"/>
      <c r="H71" s="113"/>
      <c r="I71" s="113"/>
      <c r="J71" s="113"/>
      <c r="K71" s="113"/>
      <c r="L71" s="113"/>
      <c r="M71" s="113"/>
      <c r="N71" s="113"/>
      <c r="O71" s="113"/>
    </row>
    <row r="72" spans="1:16" ht="12.75" customHeight="1">
      <c r="B72" s="75"/>
      <c r="C72" s="90"/>
      <c r="F72" s="101"/>
      <c r="G72" s="105"/>
      <c r="H72" s="105"/>
      <c r="I72" s="105"/>
      <c r="J72" s="105"/>
      <c r="K72" s="105"/>
      <c r="L72" s="105"/>
      <c r="M72" s="105"/>
      <c r="N72" s="105"/>
      <c r="O72" s="105"/>
    </row>
    <row r="73" spans="1:16" ht="17" customHeight="1">
      <c r="A73" s="66"/>
      <c r="B73" s="1"/>
      <c r="C73" s="3"/>
      <c r="D73" s="3"/>
      <c r="E73" s="3"/>
      <c r="F73" s="65"/>
      <c r="G73" s="3"/>
      <c r="H73" s="3"/>
      <c r="I73" s="3"/>
      <c r="J73" s="3"/>
      <c r="K73" s="3"/>
      <c r="L73" s="3"/>
      <c r="M73" s="3"/>
      <c r="N73" s="3"/>
      <c r="O73" s="97" t="str">
        <f>$O$1</f>
        <v>Currently Running: Base Case Scenario</v>
      </c>
    </row>
    <row r="74" spans="1:16" ht="21" customHeight="1">
      <c r="A74" s="66"/>
      <c r="B74" s="619" t="str">
        <f>B$2</f>
        <v>NIKE</v>
      </c>
      <c r="C74" s="3"/>
      <c r="D74" s="3"/>
      <c r="E74" s="3"/>
      <c r="F74" s="65"/>
      <c r="G74" s="3"/>
      <c r="H74" s="3"/>
      <c r="I74" s="3"/>
      <c r="J74" s="3"/>
      <c r="K74" s="3"/>
      <c r="L74" s="3"/>
      <c r="M74" s="3"/>
      <c r="N74" s="3"/>
      <c r="O74" s="3"/>
    </row>
    <row r="75" spans="1:16" ht="17" customHeight="1">
      <c r="A75" s="67"/>
      <c r="B75" s="68" t="s">
        <v>34</v>
      </c>
      <c r="C75" s="69"/>
      <c r="D75" s="69"/>
      <c r="E75" s="69"/>
      <c r="F75" s="70"/>
      <c r="G75" s="69"/>
      <c r="H75" s="69"/>
      <c r="I75" s="69"/>
      <c r="J75" s="69"/>
      <c r="K75" s="69"/>
      <c r="L75" s="69"/>
      <c r="M75" s="69"/>
      <c r="N75" s="69"/>
      <c r="O75" s="69"/>
    </row>
    <row r="76" spans="1:16" ht="12.75" customHeight="1" thickBot="1">
      <c r="A76" s="67"/>
      <c r="B76" s="269"/>
      <c r="C76" s="270"/>
      <c r="D76" s="270"/>
      <c r="E76" s="270"/>
      <c r="F76" s="271"/>
      <c r="G76" s="270"/>
      <c r="H76" s="270"/>
      <c r="I76" s="270"/>
      <c r="J76" s="270"/>
      <c r="K76" s="270"/>
      <c r="L76" s="270"/>
      <c r="M76" s="270"/>
      <c r="N76" s="270"/>
      <c r="O76" s="270"/>
    </row>
    <row r="77" spans="1:16" ht="12.75" customHeight="1">
      <c r="A77" s="68"/>
      <c r="B77" s="115" t="s">
        <v>122</v>
      </c>
      <c r="C77" s="69"/>
      <c r="D77" s="69"/>
      <c r="E77" s="69"/>
      <c r="F77" s="70"/>
      <c r="G77" s="69"/>
      <c r="H77" s="69"/>
      <c r="I77" s="69"/>
      <c r="J77" s="69"/>
      <c r="K77" s="69"/>
      <c r="L77" s="69"/>
      <c r="M77" s="69"/>
      <c r="N77" s="69"/>
      <c r="O77" s="69"/>
    </row>
    <row r="78" spans="1:16" ht="12.75" customHeight="1">
      <c r="G78" s="72"/>
      <c r="K78" s="73" t="s">
        <v>2</v>
      </c>
      <c r="L78" s="20"/>
      <c r="M78" s="20"/>
      <c r="N78" s="20"/>
      <c r="O78" s="20"/>
    </row>
    <row r="79" spans="1:16" ht="12.75" customHeight="1">
      <c r="G79" s="21"/>
      <c r="H79" s="260">
        <f t="shared" ref="H79:J79" si="12">H$7</f>
        <v>2022</v>
      </c>
      <c r="I79" s="260">
        <f t="shared" si="12"/>
        <v>2023</v>
      </c>
      <c r="J79" s="260">
        <f t="shared" si="12"/>
        <v>2024</v>
      </c>
      <c r="K79" s="261">
        <f>K$7</f>
        <v>2025</v>
      </c>
      <c r="L79" s="261">
        <f>L$7</f>
        <v>2026</v>
      </c>
      <c r="M79" s="261">
        <f>M$7</f>
        <v>2027</v>
      </c>
      <c r="N79" s="261">
        <f>N$7</f>
        <v>2028</v>
      </c>
      <c r="O79" s="261">
        <f>O$7</f>
        <v>2029</v>
      </c>
    </row>
    <row r="80" spans="1:16" ht="12.75" customHeight="1">
      <c r="G80" s="21"/>
      <c r="H80" s="21"/>
      <c r="I80" s="21"/>
      <c r="J80" s="21"/>
      <c r="K80" s="116"/>
      <c r="L80" s="116"/>
      <c r="M80" s="116"/>
      <c r="N80" s="55"/>
      <c r="O80" s="77"/>
    </row>
    <row r="81" spans="1:15" ht="12.75" customHeight="1">
      <c r="B81" s="117" t="s">
        <v>86</v>
      </c>
      <c r="C81" s="118"/>
      <c r="D81" s="118"/>
      <c r="E81" s="118"/>
      <c r="F81" s="118" t="s">
        <v>149</v>
      </c>
      <c r="G81" s="119"/>
      <c r="H81" s="120"/>
      <c r="I81" s="120"/>
      <c r="J81" s="120">
        <f t="shared" ref="J81:O81" si="13">J53</f>
        <v>804.53959276018099</v>
      </c>
      <c r="K81" s="120">
        <f t="shared" si="13"/>
        <v>788.44880090497725</v>
      </c>
      <c r="L81" s="120">
        <f t="shared" si="13"/>
        <v>772.67982488687767</v>
      </c>
      <c r="M81" s="120">
        <f t="shared" si="13"/>
        <v>772.67982488687767</v>
      </c>
      <c r="N81" s="120">
        <f t="shared" si="13"/>
        <v>788.1334213846153</v>
      </c>
      <c r="O81" s="120">
        <f t="shared" si="13"/>
        <v>803.89608981230776</v>
      </c>
    </row>
    <row r="82" spans="1:15" ht="12.75" customHeight="1">
      <c r="F82"/>
      <c r="G82" s="21"/>
      <c r="H82" s="329"/>
      <c r="I82" s="329"/>
      <c r="J82" s="329"/>
      <c r="K82" s="330"/>
      <c r="L82" s="330"/>
      <c r="M82" s="330"/>
      <c r="N82" s="330"/>
      <c r="O82" s="330"/>
    </row>
    <row r="83" spans="1:15" ht="12.75" customHeight="1">
      <c r="C83" t="s">
        <v>158</v>
      </c>
      <c r="F83" s="76"/>
      <c r="G83" s="21"/>
      <c r="H83" s="142">
        <v>29143</v>
      </c>
      <c r="I83" s="142">
        <v>33135</v>
      </c>
      <c r="J83" s="142">
        <v>33427</v>
      </c>
      <c r="K83" s="353">
        <f t="shared" ref="K83:O86" si="14">K27</f>
        <v>33721.944117647057</v>
      </c>
      <c r="L83" s="353">
        <f t="shared" si="14"/>
        <v>33991.719670588231</v>
      </c>
      <c r="M83" s="353">
        <f t="shared" si="14"/>
        <v>34935.934105882348</v>
      </c>
      <c r="N83" s="353">
        <f t="shared" si="14"/>
        <v>36597.751511999995</v>
      </c>
      <c r="O83" s="353">
        <f t="shared" si="14"/>
        <v>38312.067240719996</v>
      </c>
    </row>
    <row r="84" spans="1:15" ht="12.75" customHeight="1">
      <c r="C84" t="s">
        <v>157</v>
      </c>
      <c r="F84" s="76"/>
      <c r="G84" s="21"/>
      <c r="H84" s="142">
        <v>13567</v>
      </c>
      <c r="I84" s="142">
        <v>13843</v>
      </c>
      <c r="J84" s="142">
        <v>13775</v>
      </c>
      <c r="K84" s="353">
        <f t="shared" si="14"/>
        <v>14174.475</v>
      </c>
      <c r="L84" s="353">
        <f t="shared" si="14"/>
        <v>14552.460999999999</v>
      </c>
      <c r="M84" s="353">
        <f t="shared" si="14"/>
        <v>15213.9365</v>
      </c>
      <c r="N84" s="353">
        <f t="shared" si="14"/>
        <v>16192.920239999999</v>
      </c>
      <c r="O84" s="353">
        <f t="shared" si="14"/>
        <v>17204.977755</v>
      </c>
    </row>
    <row r="85" spans="1:15" ht="12.75" customHeight="1">
      <c r="C85" t="s">
        <v>156</v>
      </c>
      <c r="F85" s="76"/>
      <c r="G85" s="21"/>
      <c r="H85" s="142">
        <v>1624</v>
      </c>
      <c r="I85" s="142">
        <v>1727</v>
      </c>
      <c r="J85" s="142">
        <v>2075</v>
      </c>
      <c r="K85" s="353">
        <f t="shared" si="14"/>
        <v>2287.6875</v>
      </c>
      <c r="L85" s="353">
        <f t="shared" si="14"/>
        <v>2491.0374999999999</v>
      </c>
      <c r="M85" s="353">
        <f t="shared" si="14"/>
        <v>2740.1412499999997</v>
      </c>
      <c r="N85" s="353">
        <f t="shared" si="14"/>
        <v>3049.0298999999995</v>
      </c>
      <c r="O85" s="353">
        <f t="shared" si="14"/>
        <v>3369.1780395000001</v>
      </c>
    </row>
    <row r="86" spans="1:15" ht="12.75" customHeight="1">
      <c r="C86" t="s">
        <v>154</v>
      </c>
      <c r="F86" s="76"/>
      <c r="G86" s="21"/>
      <c r="H86" s="142">
        <v>2346</v>
      </c>
      <c r="I86" s="142">
        <v>2427</v>
      </c>
      <c r="J86" s="142">
        <v>2082</v>
      </c>
      <c r="K86" s="353">
        <f t="shared" ca="1" si="14"/>
        <v>2040.3600000000001</v>
      </c>
      <c r="L86" s="353">
        <f t="shared" ca="1" si="14"/>
        <v>2076.4586769230768</v>
      </c>
      <c r="M86" s="353">
        <f t="shared" ca="1" si="14"/>
        <v>2076.4586769230768</v>
      </c>
      <c r="N86" s="353">
        <f t="shared" ca="1" si="14"/>
        <v>2196.4318449230768</v>
      </c>
      <c r="O86" s="353">
        <f t="shared" ca="1" si="14"/>
        <v>2240.3604818215385</v>
      </c>
    </row>
    <row r="87" spans="1:15" ht="12.75" customHeight="1">
      <c r="C87" t="s">
        <v>155</v>
      </c>
      <c r="F87" s="76"/>
      <c r="G87" s="21"/>
      <c r="H87" s="142">
        <v>102</v>
      </c>
      <c r="I87" s="142">
        <v>58</v>
      </c>
      <c r="J87" s="142">
        <v>45</v>
      </c>
      <c r="K87" s="353">
        <f ca="1">K35</f>
        <v>38.25</v>
      </c>
      <c r="L87" s="353">
        <f ca="1">L35</f>
        <v>32.512499999999996</v>
      </c>
      <c r="M87" s="353">
        <f ca="1">M35</f>
        <v>29.261249999999997</v>
      </c>
      <c r="N87" s="353">
        <f ca="1">N35</f>
        <v>29.261249999999997</v>
      </c>
      <c r="O87" s="353">
        <f ca="1">O35</f>
        <v>29.261249999999997</v>
      </c>
    </row>
    <row r="88" spans="1:15" ht="12.75" customHeight="1">
      <c r="C88" t="s">
        <v>153</v>
      </c>
      <c r="F88" s="76"/>
      <c r="G88" s="21"/>
      <c r="H88" s="142">
        <v>-72</v>
      </c>
      <c r="I88" s="142">
        <v>27</v>
      </c>
      <c r="J88" s="142">
        <v>-42</v>
      </c>
      <c r="K88" s="353">
        <f>K37</f>
        <v>-29</v>
      </c>
      <c r="L88" s="353">
        <f>L37</f>
        <v>-14.666666666666666</v>
      </c>
      <c r="M88" s="353">
        <f>M37</f>
        <v>-28.555555555555557</v>
      </c>
      <c r="N88" s="353">
        <f>N37</f>
        <v>-24.074074074074076</v>
      </c>
      <c r="O88" s="353">
        <f>O37</f>
        <v>-22.432098765432102</v>
      </c>
    </row>
    <row r="89" spans="1:15" ht="12.75" customHeight="1">
      <c r="C89" s="90" t="s">
        <v>150</v>
      </c>
      <c r="F89" s="91"/>
      <c r="G89" s="21"/>
      <c r="H89" s="354">
        <f>SUM(H83:H88)</f>
        <v>46710</v>
      </c>
      <c r="I89" s="354">
        <f>SUM(I83:I88)</f>
        <v>51217</v>
      </c>
      <c r="J89" s="354">
        <f>SUM(J83:J88)</f>
        <v>51362</v>
      </c>
      <c r="K89" s="354">
        <f t="shared" ref="K89:O89" ca="1" si="15">SUM(K83:K88)</f>
        <v>52233.716617647056</v>
      </c>
      <c r="L89" s="354">
        <f t="shared" ca="1" si="15"/>
        <v>53129.522680844639</v>
      </c>
      <c r="M89" s="354">
        <f t="shared" ca="1" si="15"/>
        <v>54967.176227249867</v>
      </c>
      <c r="N89" s="354">
        <f t="shared" ca="1" si="15"/>
        <v>58041.320672849004</v>
      </c>
      <c r="O89" s="354">
        <f t="shared" ca="1" si="15"/>
        <v>61133.412668276105</v>
      </c>
    </row>
    <row r="90" spans="1:15" ht="12.75" customHeight="1">
      <c r="F90" s="76"/>
      <c r="G90" s="21"/>
      <c r="H90" s="121"/>
      <c r="I90" s="121"/>
      <c r="J90" s="121"/>
      <c r="K90" s="122"/>
      <c r="L90" s="122"/>
      <c r="M90" s="122"/>
      <c r="N90" s="122"/>
      <c r="O90" s="104"/>
    </row>
    <row r="91" spans="1:15" ht="12.75" customHeight="1">
      <c r="C91" s="90" t="s">
        <v>4</v>
      </c>
      <c r="D91" s="90"/>
      <c r="F91" s="91"/>
      <c r="G91" s="21"/>
      <c r="H91" s="355">
        <v>25231</v>
      </c>
      <c r="I91" s="355">
        <v>28925</v>
      </c>
      <c r="J91" s="355">
        <v>28475</v>
      </c>
      <c r="K91" s="105">
        <f>K70</f>
        <v>28550.743499999997</v>
      </c>
      <c r="L91" s="105">
        <f>L70</f>
        <v>28628.1993726</v>
      </c>
      <c r="M91" s="105">
        <f>M70</f>
        <v>29200.763360051998</v>
      </c>
      <c r="N91" s="105">
        <f>N70</f>
        <v>30436.478057199362</v>
      </c>
      <c r="O91" s="105">
        <f>O70</f>
        <v>31726.094772173557</v>
      </c>
    </row>
    <row r="92" spans="1:15" ht="12" customHeight="1">
      <c r="F92" s="76"/>
      <c r="G92" s="21"/>
      <c r="H92" s="142"/>
      <c r="I92" s="142"/>
      <c r="J92" s="142"/>
      <c r="K92" s="353"/>
      <c r="L92" s="353"/>
      <c r="M92" s="353"/>
      <c r="N92" s="353"/>
      <c r="O92" s="353"/>
    </row>
    <row r="93" spans="1:15" ht="12.75" customHeight="1">
      <c r="A93" s="94"/>
      <c r="C93" t="s">
        <v>151</v>
      </c>
      <c r="F93" s="76"/>
      <c r="G93" s="21"/>
      <c r="H93" s="142">
        <v>3850</v>
      </c>
      <c r="I93" s="142">
        <v>4060</v>
      </c>
      <c r="J93" s="142">
        <v>4285</v>
      </c>
      <c r="K93" s="353">
        <f>J93*(1+Scenarios!G12)</f>
        <v>4370.7</v>
      </c>
      <c r="L93" s="353">
        <f>K93*(1+Scenarios!H12)</f>
        <v>4458.1139999999996</v>
      </c>
      <c r="M93" s="353">
        <f>L93*(1+Scenarios!I12)</f>
        <v>4547.27628</v>
      </c>
      <c r="N93" s="353">
        <f>M93*(1+Scenarios!J12)</f>
        <v>4660.9581869999993</v>
      </c>
      <c r="O93" s="353">
        <f>N93*(1+Scenarios!K12)</f>
        <v>4777.4821416749992</v>
      </c>
    </row>
    <row r="94" spans="1:15" ht="12.75" customHeight="1">
      <c r="A94" s="94"/>
      <c r="C94" t="s">
        <v>152</v>
      </c>
      <c r="F94" s="76"/>
      <c r="G94" s="21"/>
      <c r="H94" s="142">
        <v>10954</v>
      </c>
      <c r="I94" s="142">
        <v>12317</v>
      </c>
      <c r="J94" s="142">
        <v>12291</v>
      </c>
      <c r="K94" s="353">
        <f>J94*(1+Scenarios!G12)</f>
        <v>12536.82</v>
      </c>
      <c r="L94" s="353">
        <f>K94*(1+Scenarios!H12)</f>
        <v>12787.556399999999</v>
      </c>
      <c r="M94" s="353">
        <f>L94*(1+Scenarios!I12)</f>
        <v>13043.307527999999</v>
      </c>
      <c r="N94" s="353">
        <f>M94*(1+Scenarios!J12)</f>
        <v>13369.390216199998</v>
      </c>
      <c r="O94" s="353">
        <f>N94*(1+Scenarios!K12)</f>
        <v>13703.624971604997</v>
      </c>
    </row>
    <row r="95" spans="1:15" ht="12.75" customHeight="1">
      <c r="A95" s="94"/>
      <c r="C95" s="75" t="s">
        <v>33</v>
      </c>
      <c r="F95" s="91"/>
      <c r="G95" s="21"/>
      <c r="H95" s="354">
        <f>SUM(H93:H94)</f>
        <v>14804</v>
      </c>
      <c r="I95" s="354">
        <f t="shared" ref="I95:O95" si="16">SUM(I93:I94)</f>
        <v>16377</v>
      </c>
      <c r="J95" s="354">
        <f t="shared" si="16"/>
        <v>16576</v>
      </c>
      <c r="K95" s="354">
        <f t="shared" si="16"/>
        <v>16907.52</v>
      </c>
      <c r="L95" s="354">
        <f t="shared" si="16"/>
        <v>17245.670399999999</v>
      </c>
      <c r="M95" s="354">
        <f t="shared" si="16"/>
        <v>17590.583807999999</v>
      </c>
      <c r="N95" s="354">
        <f t="shared" si="16"/>
        <v>18030.348403199998</v>
      </c>
      <c r="O95" s="354">
        <f t="shared" si="16"/>
        <v>18481.107113279995</v>
      </c>
    </row>
    <row r="96" spans="1:15" ht="12.75" customHeight="1">
      <c r="A96" s="94"/>
      <c r="C96" s="75"/>
      <c r="F96" s="76"/>
      <c r="G96" s="21"/>
      <c r="H96" s="332"/>
      <c r="I96" s="332"/>
      <c r="J96" s="332"/>
      <c r="K96" s="331"/>
      <c r="L96" s="330"/>
      <c r="M96" s="330"/>
      <c r="N96" s="330"/>
      <c r="O96" s="330"/>
    </row>
    <row r="97" spans="1:15" ht="12.75" customHeight="1">
      <c r="A97" s="94"/>
      <c r="C97" s="10" t="s">
        <v>166</v>
      </c>
      <c r="F97" s="76"/>
      <c r="G97" s="21"/>
      <c r="H97" s="142">
        <v>-181</v>
      </c>
      <c r="I97" s="142">
        <v>-280</v>
      </c>
      <c r="J97" s="142">
        <v>-228</v>
      </c>
      <c r="K97" s="356">
        <f>Assumptions!J55</f>
        <v>-250</v>
      </c>
      <c r="L97" s="356">
        <f>Assumptions!K55</f>
        <v>-250</v>
      </c>
      <c r="M97" s="356">
        <f>Assumptions!L55</f>
        <v>-260</v>
      </c>
      <c r="N97" s="356">
        <f>Assumptions!M55</f>
        <v>-260</v>
      </c>
      <c r="O97" s="356">
        <f>Assumptions!N55</f>
        <v>-260</v>
      </c>
    </row>
    <row r="98" spans="1:15" ht="12.75" customHeight="1">
      <c r="B98" s="90"/>
      <c r="C98" s="90" t="s">
        <v>5</v>
      </c>
      <c r="F98" s="91"/>
      <c r="H98" s="354">
        <f t="shared" ref="H98:O98" si="17">H89-H91-H95-H97</f>
        <v>6856</v>
      </c>
      <c r="I98" s="354">
        <f t="shared" si="17"/>
        <v>6195</v>
      </c>
      <c r="J98" s="354">
        <f t="shared" si="17"/>
        <v>6539</v>
      </c>
      <c r="K98" s="354">
        <f t="shared" ca="1" si="17"/>
        <v>7025.4531176470591</v>
      </c>
      <c r="L98" s="354">
        <f t="shared" ca="1" si="17"/>
        <v>7505.6529082446395</v>
      </c>
      <c r="M98" s="354">
        <f t="shared" ca="1" si="17"/>
        <v>8435.8290591978694</v>
      </c>
      <c r="N98" s="354">
        <f t="shared" ca="1" si="17"/>
        <v>9834.4942124496447</v>
      </c>
      <c r="O98" s="354">
        <f t="shared" ca="1" si="17"/>
        <v>11186.210782822553</v>
      </c>
    </row>
    <row r="99" spans="1:15" ht="8.5" customHeight="1">
      <c r="F99" s="76"/>
      <c r="H99" s="103"/>
      <c r="I99" s="103"/>
      <c r="J99" s="124"/>
      <c r="K99" s="333"/>
      <c r="L99" s="333"/>
      <c r="M99" s="333"/>
      <c r="N99" s="333"/>
      <c r="O99" s="333"/>
    </row>
    <row r="100" spans="1:15" ht="12.75" customHeight="1">
      <c r="C100" t="s">
        <v>40</v>
      </c>
      <c r="F100" s="76"/>
      <c r="H100" s="357">
        <v>0</v>
      </c>
      <c r="I100" s="357">
        <v>0</v>
      </c>
      <c r="J100" s="357">
        <v>0</v>
      </c>
      <c r="K100" s="157">
        <v>0</v>
      </c>
      <c r="L100" s="157">
        <v>0</v>
      </c>
      <c r="M100" s="157">
        <v>0</v>
      </c>
      <c r="N100" s="157">
        <v>0</v>
      </c>
      <c r="O100" s="157">
        <v>0</v>
      </c>
    </row>
    <row r="101" spans="1:15" ht="12.75" customHeight="1">
      <c r="C101" s="75" t="s">
        <v>6</v>
      </c>
      <c r="F101" s="91"/>
      <c r="H101" s="354">
        <f t="shared" ref="H101:O101" si="18">H98-H100</f>
        <v>6856</v>
      </c>
      <c r="I101" s="354">
        <f t="shared" si="18"/>
        <v>6195</v>
      </c>
      <c r="J101" s="354">
        <f t="shared" si="18"/>
        <v>6539</v>
      </c>
      <c r="K101" s="354">
        <f t="shared" ca="1" si="18"/>
        <v>7025.4531176470591</v>
      </c>
      <c r="L101" s="354">
        <f t="shared" ca="1" si="18"/>
        <v>7505.6529082446395</v>
      </c>
      <c r="M101" s="354">
        <f t="shared" ca="1" si="18"/>
        <v>8435.8290591978694</v>
      </c>
      <c r="N101" s="354">
        <f t="shared" ca="1" si="18"/>
        <v>9834.4942124496447</v>
      </c>
      <c r="O101" s="354">
        <f t="shared" ca="1" si="18"/>
        <v>11186.210782822553</v>
      </c>
    </row>
    <row r="102" spans="1:15" ht="8.5" customHeight="1">
      <c r="C102" s="75"/>
      <c r="F102" s="91"/>
      <c r="H102" s="105"/>
      <c r="I102" s="105"/>
      <c r="J102" s="105"/>
      <c r="K102" s="335"/>
      <c r="L102" s="335"/>
      <c r="M102" s="335"/>
      <c r="N102" s="335"/>
      <c r="O102" s="335"/>
    </row>
    <row r="103" spans="1:15" ht="12.75" customHeight="1">
      <c r="C103" s="19" t="s">
        <v>61</v>
      </c>
      <c r="F103" s="76"/>
      <c r="H103" s="142">
        <v>205</v>
      </c>
      <c r="I103" s="142">
        <v>-6</v>
      </c>
      <c r="J103" s="142">
        <v>-161</v>
      </c>
      <c r="K103" s="575">
        <f>K377</f>
        <v>168.78999999999996</v>
      </c>
      <c r="L103" s="575">
        <f t="shared" ref="L103:O103" ca="1" si="19">L377</f>
        <v>149.70931254973812</v>
      </c>
      <c r="M103" s="575">
        <f t="shared" ca="1" si="19"/>
        <v>154.25365128409578</v>
      </c>
      <c r="N103" s="575">
        <f t="shared" ca="1" si="19"/>
        <v>100.53810680472375</v>
      </c>
      <c r="O103" s="575">
        <f t="shared" ca="1" si="19"/>
        <v>79.736592790723705</v>
      </c>
    </row>
    <row r="104" spans="1:15" ht="12.75" customHeight="1">
      <c r="C104" s="82" t="s">
        <v>63</v>
      </c>
      <c r="F104" s="91"/>
      <c r="H104" s="152">
        <f>H101-H103</f>
        <v>6651</v>
      </c>
      <c r="I104" s="152">
        <f t="shared" ref="I104:O104" si="20">I101-I103</f>
        <v>6201</v>
      </c>
      <c r="J104" s="152">
        <f t="shared" si="20"/>
        <v>6700</v>
      </c>
      <c r="K104" s="152">
        <f t="shared" ca="1" si="20"/>
        <v>6856.6631176470592</v>
      </c>
      <c r="L104" s="152">
        <f t="shared" ca="1" si="20"/>
        <v>7355.9435956949019</v>
      </c>
      <c r="M104" s="152">
        <f t="shared" ca="1" si="20"/>
        <v>8281.5754079137732</v>
      </c>
      <c r="N104" s="152">
        <f t="shared" ca="1" si="20"/>
        <v>9733.9561056449202</v>
      </c>
      <c r="O104" s="152">
        <f t="shared" ca="1" si="20"/>
        <v>11106.474190031829</v>
      </c>
    </row>
    <row r="105" spans="1:15" ht="7.5" customHeight="1">
      <c r="C105" s="75"/>
      <c r="F105" s="91"/>
      <c r="G105" s="434"/>
      <c r="H105" s="434"/>
      <c r="I105" s="576"/>
      <c r="J105" s="576"/>
      <c r="K105" s="336"/>
      <c r="L105" s="335"/>
      <c r="M105" s="123"/>
      <c r="N105" s="123"/>
      <c r="O105" s="335"/>
    </row>
    <row r="106" spans="1:15" ht="12.75" customHeight="1">
      <c r="C106" t="s">
        <v>70</v>
      </c>
      <c r="F106" s="76"/>
      <c r="G106" s="434"/>
      <c r="H106" s="577">
        <v>1231</v>
      </c>
      <c r="I106" s="577">
        <v>1517</v>
      </c>
      <c r="J106" s="577">
        <v>1299</v>
      </c>
      <c r="K106" s="334">
        <f ca="1">K108-K107</f>
        <v>696.19679705882299</v>
      </c>
      <c r="L106" s="334">
        <f t="shared" ref="L106:O106" ca="1" si="21">L108-L107</f>
        <v>1175.056024410042</v>
      </c>
      <c r="M106" s="334">
        <f t="shared" ca="1" si="21"/>
        <v>1389.248594899484</v>
      </c>
      <c r="N106" s="334">
        <f t="shared" ca="1" si="21"/>
        <v>1706.0249714946694</v>
      </c>
      <c r="O106" s="334">
        <f t="shared" ca="1" si="21"/>
        <v>1913.3384881389422</v>
      </c>
    </row>
    <row r="107" spans="1:15" ht="12.75" customHeight="1">
      <c r="C107" t="s">
        <v>108</v>
      </c>
      <c r="F107" s="76"/>
      <c r="G107" s="434"/>
      <c r="H107" s="578">
        <f>H108-H106</f>
        <v>-626</v>
      </c>
      <c r="I107" s="578">
        <f t="shared" ref="I107:J107" si="22">I108-I106</f>
        <v>-386</v>
      </c>
      <c r="J107" s="578">
        <f t="shared" si="22"/>
        <v>-299</v>
      </c>
      <c r="K107" s="334">
        <f ca="1">-K273-K274</f>
        <v>332.30267058823574</v>
      </c>
      <c r="L107" s="334">
        <f t="shared" ref="L107:O107" ca="1" si="23">-L273-L274</f>
        <v>-71.664485055806836</v>
      </c>
      <c r="M107" s="334">
        <f t="shared" ca="1" si="23"/>
        <v>-147.01228371241814</v>
      </c>
      <c r="N107" s="334">
        <f t="shared" ca="1" si="23"/>
        <v>-245.93155564793142</v>
      </c>
      <c r="O107" s="334">
        <f t="shared" ca="1" si="23"/>
        <v>-247.36735963416777</v>
      </c>
    </row>
    <row r="108" spans="1:15" ht="12.75" customHeight="1">
      <c r="C108" s="90" t="s">
        <v>71</v>
      </c>
      <c r="F108" s="91"/>
      <c r="H108" s="341">
        <v>605</v>
      </c>
      <c r="I108" s="341">
        <v>1131</v>
      </c>
      <c r="J108" s="341">
        <v>1000</v>
      </c>
      <c r="K108" s="341">
        <f ca="1">K268</f>
        <v>1028.4994676470587</v>
      </c>
      <c r="L108" s="341">
        <f t="shared" ref="L108:O108" ca="1" si="24">L268</f>
        <v>1103.3915393542352</v>
      </c>
      <c r="M108" s="341">
        <f t="shared" ca="1" si="24"/>
        <v>1242.2363111870659</v>
      </c>
      <c r="N108" s="341">
        <f t="shared" ca="1" si="24"/>
        <v>1460.093415846738</v>
      </c>
      <c r="O108" s="341">
        <f t="shared" ca="1" si="24"/>
        <v>1665.9711285047745</v>
      </c>
    </row>
    <row r="109" spans="1:15" ht="7.5" customHeight="1">
      <c r="F109" s="76"/>
    </row>
    <row r="110" spans="1:15" ht="12.75" customHeight="1" thickBot="1">
      <c r="C110" s="126" t="s">
        <v>7</v>
      </c>
      <c r="D110" s="90"/>
      <c r="E110" s="90"/>
      <c r="F110" s="91"/>
      <c r="H110" s="386">
        <f>H104-H108</f>
        <v>6046</v>
      </c>
      <c r="I110" s="386">
        <f t="shared" ref="I110:O110" si="25">I104-I108</f>
        <v>5070</v>
      </c>
      <c r="J110" s="386">
        <f t="shared" si="25"/>
        <v>5700</v>
      </c>
      <c r="K110" s="386">
        <f t="shared" ca="1" si="25"/>
        <v>5828.1636500000004</v>
      </c>
      <c r="L110" s="386">
        <f t="shared" ca="1" si="25"/>
        <v>6252.5520563406662</v>
      </c>
      <c r="M110" s="386">
        <f t="shared" ca="1" si="25"/>
        <v>7039.3390967267078</v>
      </c>
      <c r="N110" s="386">
        <f t="shared" ca="1" si="25"/>
        <v>8273.8626897981812</v>
      </c>
      <c r="O110" s="386">
        <f t="shared" ca="1" si="25"/>
        <v>9440.5030615270553</v>
      </c>
    </row>
    <row r="111" spans="1:15" ht="12.75" customHeight="1" thickTop="1">
      <c r="C111" s="127"/>
      <c r="F111"/>
      <c r="H111" s="128"/>
      <c r="I111" s="128"/>
      <c r="J111" s="128"/>
      <c r="K111" s="128"/>
      <c r="L111" s="128"/>
      <c r="M111" s="128"/>
      <c r="N111" s="128"/>
      <c r="O111" s="128"/>
    </row>
    <row r="112" spans="1:15" ht="12.75" customHeight="1">
      <c r="B112" s="129" t="s">
        <v>35</v>
      </c>
      <c r="C112" s="5"/>
      <c r="D112" s="5"/>
      <c r="E112" s="5"/>
      <c r="F112" s="130"/>
      <c r="G112" s="5"/>
      <c r="H112" s="131"/>
      <c r="I112" s="131"/>
      <c r="J112" s="131"/>
      <c r="K112" s="337"/>
      <c r="L112" s="337"/>
      <c r="M112" s="337"/>
      <c r="N112" s="337"/>
      <c r="O112" s="338"/>
    </row>
    <row r="113" spans="1:15" ht="12.75" customHeight="1">
      <c r="B113" s="6"/>
      <c r="C113" t="s">
        <v>36</v>
      </c>
      <c r="H113" s="132">
        <f t="shared" ref="H113:O113" si="26">H98/H89</f>
        <v>0.14677799186469706</v>
      </c>
      <c r="I113" s="132">
        <f t="shared" si="26"/>
        <v>0.12095593260050373</v>
      </c>
      <c r="J113" s="132">
        <f t="shared" si="26"/>
        <v>0.12731202055994703</v>
      </c>
      <c r="K113" s="132">
        <f t="shared" ca="1" si="26"/>
        <v>0.13450034905755728</v>
      </c>
      <c r="L113" s="132">
        <f t="shared" ca="1" si="26"/>
        <v>0.1412708514874487</v>
      </c>
      <c r="M113" s="132">
        <f t="shared" ca="1" si="26"/>
        <v>0.15347030060852615</v>
      </c>
      <c r="N113" s="132">
        <f t="shared" ca="1" si="26"/>
        <v>0.16943953201688769</v>
      </c>
      <c r="O113" s="339">
        <f t="shared" ca="1" si="26"/>
        <v>0.18298030969613122</v>
      </c>
    </row>
    <row r="114" spans="1:15" ht="12.75" customHeight="1">
      <c r="B114" s="6"/>
      <c r="C114" t="s">
        <v>37</v>
      </c>
      <c r="F114" s="381"/>
      <c r="H114" s="132">
        <f t="shared" ref="H114:O114" si="27">H101/H89</f>
        <v>0.14677799186469706</v>
      </c>
      <c r="I114" s="132">
        <f t="shared" si="27"/>
        <v>0.12095593260050373</v>
      </c>
      <c r="J114" s="132">
        <f t="shared" si="27"/>
        <v>0.12731202055994703</v>
      </c>
      <c r="K114" s="132">
        <f t="shared" ca="1" si="27"/>
        <v>0.13450034905755728</v>
      </c>
      <c r="L114" s="132">
        <f t="shared" ca="1" si="27"/>
        <v>0.1412708514874487</v>
      </c>
      <c r="M114" s="132">
        <f t="shared" ca="1" si="27"/>
        <v>0.15347030060852615</v>
      </c>
      <c r="N114" s="132">
        <f t="shared" ca="1" si="27"/>
        <v>0.16943953201688769</v>
      </c>
      <c r="O114" s="339">
        <f t="shared" ca="1" si="27"/>
        <v>0.18298030969613122</v>
      </c>
    </row>
    <row r="115" spans="1:15" ht="12.75" customHeight="1">
      <c r="B115" s="12"/>
      <c r="C115" s="11" t="s">
        <v>97</v>
      </c>
      <c r="D115" s="11"/>
      <c r="E115" s="11"/>
      <c r="F115" s="133"/>
      <c r="G115" s="11"/>
      <c r="H115" s="134"/>
      <c r="I115" s="134"/>
      <c r="J115" s="135">
        <f t="shared" ref="J115:O115" si="28">J110/J207</f>
        <v>0.39501039501039503</v>
      </c>
      <c r="K115" s="135">
        <f t="shared" ca="1" si="28"/>
        <v>0.41237629000835019</v>
      </c>
      <c r="L115" s="135">
        <f t="shared" ca="1" si="28"/>
        <v>0.44732189111227011</v>
      </c>
      <c r="M115" s="135">
        <f t="shared" ca="1" si="28"/>
        <v>0.43284706073350365</v>
      </c>
      <c r="N115" s="135">
        <f t="shared" ca="1" si="28"/>
        <v>0.43054468075430152</v>
      </c>
      <c r="O115" s="340">
        <f t="shared" ca="1" si="28"/>
        <v>0.41443304218451338</v>
      </c>
    </row>
    <row r="116" spans="1:15" ht="12.75" customHeight="1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ht="12.75" customHeight="1">
      <c r="B117" s="75"/>
      <c r="C117" s="90"/>
      <c r="F117" s="101"/>
      <c r="G117" s="105"/>
      <c r="H117" s="105"/>
      <c r="I117" s="105"/>
      <c r="J117" s="105"/>
      <c r="K117" s="105"/>
      <c r="L117" s="105"/>
      <c r="M117" s="105"/>
      <c r="N117" s="105"/>
      <c r="O117" s="105"/>
    </row>
    <row r="118" spans="1:15" ht="12.75" customHeight="1">
      <c r="A118" s="66"/>
      <c r="B118" s="1"/>
      <c r="C118" s="3"/>
      <c r="D118" s="3"/>
      <c r="E118" s="3"/>
      <c r="F118" s="65"/>
      <c r="G118" s="3"/>
      <c r="H118" s="3"/>
      <c r="I118" s="3"/>
      <c r="J118" s="3"/>
      <c r="K118" s="3"/>
      <c r="L118" s="3"/>
      <c r="M118" s="3"/>
      <c r="N118" s="3"/>
      <c r="O118" s="97" t="str">
        <f>$O$1</f>
        <v>Currently Running: Base Case Scenario</v>
      </c>
    </row>
    <row r="119" spans="1:15" ht="23" customHeight="1">
      <c r="B119" s="619" t="str">
        <f>B$2</f>
        <v>NIKE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7.5" customHeight="1">
      <c r="B120" s="68" t="s">
        <v>41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8" customHeight="1" thickBot="1">
      <c r="A121" s="67"/>
      <c r="B121" s="269"/>
      <c r="C121" s="270"/>
      <c r="D121" s="270"/>
      <c r="E121" s="270"/>
      <c r="F121" s="271"/>
      <c r="G121" s="270"/>
      <c r="H121" s="270"/>
      <c r="I121" s="270"/>
      <c r="J121" s="270"/>
      <c r="K121" s="270"/>
      <c r="L121" s="270"/>
      <c r="M121" s="270"/>
      <c r="N121" s="270"/>
      <c r="O121" s="270"/>
    </row>
    <row r="122" spans="1:15" ht="12.75" customHeight="1">
      <c r="B122" s="115" t="s">
        <v>122</v>
      </c>
      <c r="F122"/>
    </row>
    <row r="123" spans="1:15" ht="12.75" customHeight="1">
      <c r="F123"/>
      <c r="K123" s="73" t="s">
        <v>2</v>
      </c>
      <c r="L123" s="20"/>
      <c r="M123" s="20"/>
      <c r="N123" s="20"/>
      <c r="O123" s="20"/>
    </row>
    <row r="124" spans="1:15" ht="12.75" customHeight="1">
      <c r="B124" s="136"/>
      <c r="F124" s="137"/>
      <c r="G124" s="138"/>
      <c r="H124" s="260">
        <f t="shared" ref="H124:J124" si="29">H$7</f>
        <v>2022</v>
      </c>
      <c r="I124" s="260">
        <f t="shared" si="29"/>
        <v>2023</v>
      </c>
      <c r="J124" s="260">
        <f t="shared" si="29"/>
        <v>2024</v>
      </c>
      <c r="K124" s="262">
        <f>K$7</f>
        <v>2025</v>
      </c>
      <c r="L124" s="262">
        <f>L$7</f>
        <v>2026</v>
      </c>
      <c r="M124" s="262">
        <f>M$7</f>
        <v>2027</v>
      </c>
      <c r="N124" s="262">
        <f>N$7</f>
        <v>2028</v>
      </c>
      <c r="O124" s="262">
        <f>O$7</f>
        <v>2029</v>
      </c>
    </row>
    <row r="125" spans="1:15" ht="12.75" customHeight="1">
      <c r="B125" s="90" t="s">
        <v>8</v>
      </c>
      <c r="F125"/>
    </row>
    <row r="126" spans="1:15" ht="12.75" customHeight="1">
      <c r="C126" t="s">
        <v>7</v>
      </c>
      <c r="F126"/>
      <c r="G126" s="140"/>
      <c r="H126" s="387">
        <v>6046</v>
      </c>
      <c r="I126" s="387">
        <v>5070</v>
      </c>
      <c r="J126" s="387">
        <v>5700</v>
      </c>
      <c r="K126" s="141">
        <f ca="1">K110</f>
        <v>5828.1636500000004</v>
      </c>
      <c r="L126" s="141">
        <f ca="1">L110</f>
        <v>6252.5520563406662</v>
      </c>
      <c r="M126" s="141">
        <f ca="1">M110</f>
        <v>7039.3390967267078</v>
      </c>
      <c r="N126" s="141">
        <f ca="1">N110</f>
        <v>8273.8626897981812</v>
      </c>
      <c r="O126" s="141">
        <f ca="1">O110</f>
        <v>9440.5030615270553</v>
      </c>
    </row>
    <row r="127" spans="1:15" ht="12.75" customHeight="1">
      <c r="C127" t="s">
        <v>40</v>
      </c>
      <c r="F127"/>
      <c r="G127" s="140"/>
      <c r="H127" s="387">
        <v>717</v>
      </c>
      <c r="I127" s="387">
        <v>703</v>
      </c>
      <c r="J127" s="387">
        <v>796</v>
      </c>
      <c r="K127" s="141">
        <f>K226</f>
        <v>275</v>
      </c>
      <c r="L127" s="141">
        <f t="shared" ref="L127:O127" ca="1" si="30">L226</f>
        <v>271.36641765588234</v>
      </c>
      <c r="M127" s="141">
        <f t="shared" ca="1" si="30"/>
        <v>268.12975967459471</v>
      </c>
      <c r="N127" s="141">
        <f t="shared" ca="1" si="30"/>
        <v>265.47540166248695</v>
      </c>
      <c r="O127" s="141">
        <f t="shared" ca="1" si="30"/>
        <v>263.64334511907697</v>
      </c>
    </row>
    <row r="128" spans="1:15" ht="12.75" customHeight="1">
      <c r="C128" t="s">
        <v>108</v>
      </c>
      <c r="F128"/>
      <c r="G128" s="141"/>
      <c r="H128" s="387">
        <v>-650</v>
      </c>
      <c r="I128" s="387">
        <v>-117</v>
      </c>
      <c r="J128" s="387">
        <v>-497</v>
      </c>
      <c r="K128" s="141">
        <f ca="1">-(K273+K274)</f>
        <v>332.30267058823574</v>
      </c>
      <c r="L128" s="141">
        <f ca="1">-(L273+L274)</f>
        <v>-71.664485055806836</v>
      </c>
      <c r="M128" s="141">
        <f t="shared" ref="M128:O128" ca="1" si="31">-(M273+M274)</f>
        <v>-147.01228371241814</v>
      </c>
      <c r="N128" s="141">
        <f t="shared" ca="1" si="31"/>
        <v>-245.93155564793142</v>
      </c>
      <c r="O128" s="141">
        <f t="shared" ca="1" si="31"/>
        <v>-247.36735963416777</v>
      </c>
    </row>
    <row r="129" spans="1:15" ht="12.75" customHeight="1">
      <c r="C129" t="s">
        <v>183</v>
      </c>
      <c r="F129"/>
      <c r="G129" s="141"/>
      <c r="H129" s="387">
        <v>638</v>
      </c>
      <c r="I129" s="387">
        <v>755</v>
      </c>
      <c r="J129" s="387">
        <v>804</v>
      </c>
      <c r="K129" s="141">
        <f ca="1">K39*Assumptions!J59</f>
        <v>835.73946588235287</v>
      </c>
      <c r="L129" s="141">
        <f ca="1">L39*Assumptions!K59</f>
        <v>850.0723628935142</v>
      </c>
      <c r="M129" s="141">
        <f ca="1">M39*Assumptions!L59</f>
        <v>879.47481963599785</v>
      </c>
      <c r="N129" s="141">
        <f ca="1">N39*Assumptions!M59</f>
        <v>928.66113076558406</v>
      </c>
      <c r="O129" s="141">
        <f ca="1">O39*Assumptions!N59</f>
        <v>978.13460269241773</v>
      </c>
    </row>
    <row r="130" spans="1:15" ht="12.75" customHeight="1">
      <c r="C130" t="s">
        <v>184</v>
      </c>
      <c r="F130"/>
      <c r="G130" s="141"/>
      <c r="H130" s="387">
        <v>123</v>
      </c>
      <c r="I130" s="387">
        <v>156</v>
      </c>
      <c r="J130" s="387">
        <v>48</v>
      </c>
      <c r="K130" s="141">
        <f>K327</f>
        <v>51.54</v>
      </c>
      <c r="L130" s="141">
        <f t="shared" ref="L130:O130" si="32">L327</f>
        <v>45.207599999999999</v>
      </c>
      <c r="M130" s="141">
        <f t="shared" si="32"/>
        <v>39.741144000000006</v>
      </c>
      <c r="N130" s="141">
        <f t="shared" si="32"/>
        <v>35.015775360000006</v>
      </c>
      <c r="O130" s="141">
        <f t="shared" si="32"/>
        <v>30.925063838400003</v>
      </c>
    </row>
    <row r="131" spans="1:15" ht="12.75" customHeight="1">
      <c r="C131" t="s">
        <v>185</v>
      </c>
      <c r="F131"/>
      <c r="G131" s="141"/>
      <c r="H131" s="387">
        <v>-26</v>
      </c>
      <c r="I131" s="387">
        <v>-213</v>
      </c>
      <c r="J131" s="387">
        <v>-138</v>
      </c>
      <c r="K131" s="141">
        <f ca="1">-K39*Assumptions!J60</f>
        <v>-156.70114985294117</v>
      </c>
      <c r="L131" s="141">
        <f ca="1">-L39*Assumptions!K60</f>
        <v>-159.38856804253393</v>
      </c>
      <c r="M131" s="141">
        <f ca="1">-M39*Assumptions!L60</f>
        <v>-164.9015286817496</v>
      </c>
      <c r="N131" s="141">
        <f ca="1">-N39*Assumptions!M60</f>
        <v>-174.12396201854702</v>
      </c>
      <c r="O131" s="141">
        <f ca="1">-O39*Assumptions!N60</f>
        <v>-183.40023800482831</v>
      </c>
    </row>
    <row r="132" spans="1:15" ht="12.75" customHeight="1">
      <c r="C132" t="s">
        <v>179</v>
      </c>
      <c r="F132"/>
      <c r="G132" s="141"/>
      <c r="H132" s="387"/>
      <c r="I132" s="387"/>
      <c r="J132" s="387"/>
      <c r="K132" s="141">
        <f>-J191</f>
        <v>-477</v>
      </c>
      <c r="L132" s="141">
        <f t="shared" ref="L132:O132" si="33">-K191</f>
        <v>-572</v>
      </c>
      <c r="M132" s="141">
        <f t="shared" si="33"/>
        <v>-554</v>
      </c>
      <c r="N132" s="141">
        <f t="shared" si="33"/>
        <v>-485</v>
      </c>
      <c r="O132" s="141">
        <f t="shared" si="33"/>
        <v>-403</v>
      </c>
    </row>
    <row r="133" spans="1:15" ht="12.75" customHeight="1">
      <c r="C133" t="s">
        <v>225</v>
      </c>
      <c r="F133"/>
      <c r="G133" s="141"/>
      <c r="H133" s="387"/>
      <c r="I133" s="387"/>
      <c r="J133" s="387"/>
      <c r="K133" s="141">
        <f>J179-K179</f>
        <v>205</v>
      </c>
      <c r="L133" s="141">
        <f t="shared" ref="L133:O133" si="34">K179-L179</f>
        <v>205</v>
      </c>
      <c r="M133" s="141">
        <f t="shared" si="34"/>
        <v>205</v>
      </c>
      <c r="N133" s="141">
        <f t="shared" si="34"/>
        <v>205</v>
      </c>
      <c r="O133" s="141">
        <f t="shared" si="34"/>
        <v>205</v>
      </c>
    </row>
    <row r="134" spans="1:15" ht="12.75" customHeight="1">
      <c r="C134" t="s">
        <v>98</v>
      </c>
      <c r="F134"/>
      <c r="G134" s="142"/>
      <c r="H134" s="388">
        <v>-1660</v>
      </c>
      <c r="I134" s="388">
        <v>-513</v>
      </c>
      <c r="J134" s="389">
        <v>716</v>
      </c>
      <c r="K134" s="157">
        <f ca="1">K310</f>
        <v>-138.29280012087111</v>
      </c>
      <c r="L134" s="157">
        <f t="shared" ref="L134:O134" ca="1" si="35">L310</f>
        <v>-133.69429021893666</v>
      </c>
      <c r="M134" s="157">
        <f t="shared" ca="1" si="35"/>
        <v>-595.890198696281</v>
      </c>
      <c r="N134" s="157">
        <f t="shared" ca="1" si="35"/>
        <v>-513.53247459565864</v>
      </c>
      <c r="O134" s="157">
        <f t="shared" ca="1" si="35"/>
        <v>-126.6851938275031</v>
      </c>
    </row>
    <row r="135" spans="1:15" ht="12.75" customHeight="1">
      <c r="C135" s="75" t="s">
        <v>10</v>
      </c>
      <c r="F135"/>
      <c r="G135" s="105"/>
      <c r="H135" s="152">
        <f t="shared" ref="H135:O135" si="36">SUM(H126:H134)</f>
        <v>5188</v>
      </c>
      <c r="I135" s="152">
        <f t="shared" si="36"/>
        <v>5841</v>
      </c>
      <c r="J135" s="152">
        <f t="shared" si="36"/>
        <v>7429</v>
      </c>
      <c r="K135" s="152">
        <f t="shared" ca="1" si="36"/>
        <v>6755.7518364967773</v>
      </c>
      <c r="L135" s="152">
        <f t="shared" ca="1" si="36"/>
        <v>6687.4510935727849</v>
      </c>
      <c r="M135" s="152">
        <f t="shared" ca="1" si="36"/>
        <v>6969.8808089468512</v>
      </c>
      <c r="N135" s="152">
        <f t="shared" ca="1" si="36"/>
        <v>8289.4270053241144</v>
      </c>
      <c r="O135" s="152">
        <f t="shared" ca="1" si="36"/>
        <v>9957.7532817104529</v>
      </c>
    </row>
    <row r="136" spans="1:15" ht="12.75" customHeight="1">
      <c r="B136" s="10"/>
      <c r="F136"/>
      <c r="G136" s="114"/>
      <c r="H136" s="143"/>
      <c r="I136" s="143"/>
      <c r="J136" s="143"/>
      <c r="K136" s="114"/>
      <c r="L136" s="114"/>
      <c r="M136" s="114"/>
      <c r="N136" s="114"/>
      <c r="O136" s="114"/>
    </row>
    <row r="137" spans="1:15" ht="12.75" customHeight="1">
      <c r="B137" s="10"/>
      <c r="F137"/>
      <c r="G137" s="114"/>
      <c r="H137" s="143"/>
      <c r="J137" s="143"/>
      <c r="K137" s="114"/>
      <c r="L137" s="114"/>
      <c r="M137" s="114"/>
      <c r="N137" s="114"/>
      <c r="O137" s="114"/>
    </row>
    <row r="138" spans="1:15" ht="12.75" customHeight="1">
      <c r="B138" s="90" t="s">
        <v>77</v>
      </c>
      <c r="F138"/>
      <c r="G138" s="144"/>
      <c r="H138" s="145"/>
      <c r="I138" s="145"/>
      <c r="J138" s="145"/>
      <c r="K138" s="157"/>
      <c r="L138" s="157"/>
      <c r="M138" s="157"/>
      <c r="N138" s="157"/>
      <c r="O138" s="157"/>
    </row>
    <row r="139" spans="1:15" ht="12.75" customHeight="1">
      <c r="B139" s="90"/>
      <c r="C139" t="s">
        <v>186</v>
      </c>
      <c r="F139"/>
      <c r="G139" s="144"/>
      <c r="H139" s="145">
        <v>-12913</v>
      </c>
      <c r="I139" s="145">
        <v>-6059</v>
      </c>
      <c r="J139" s="145">
        <v>-4767</v>
      </c>
      <c r="K139" s="157">
        <f>K250</f>
        <v>-6409</v>
      </c>
      <c r="L139" s="157">
        <f t="shared" ref="L139:O139" ca="1" si="37">L250</f>
        <v>-5679.7446842670224</v>
      </c>
      <c r="M139" s="157">
        <f t="shared" ca="1" si="37"/>
        <v>-5384.3626665337733</v>
      </c>
      <c r="N139" s="157">
        <f t="shared" ca="1" si="37"/>
        <v>-4975.8730576929556</v>
      </c>
      <c r="O139" s="157">
        <f t="shared" ca="1" si="37"/>
        <v>-6327.9714686029602</v>
      </c>
    </row>
    <row r="140" spans="1:15" ht="12.75" customHeight="1">
      <c r="B140" s="90"/>
      <c r="C140" t="s">
        <v>187</v>
      </c>
      <c r="F140"/>
      <c r="G140" s="144"/>
      <c r="H140" s="145">
        <v>8199</v>
      </c>
      <c r="I140" s="145">
        <v>3356</v>
      </c>
      <c r="J140" s="145">
        <v>2269</v>
      </c>
      <c r="K140" s="157">
        <f>K251</f>
        <v>2276.6800000000003</v>
      </c>
      <c r="L140" s="157">
        <f t="shared" ref="L140:O140" ca="1" si="38">L251</f>
        <v>2032.9151035947664</v>
      </c>
      <c r="M140" s="157">
        <f t="shared" ca="1" si="38"/>
        <v>1902.8202427682791</v>
      </c>
      <c r="N140" s="157">
        <f t="shared" ca="1" si="38"/>
        <v>1763.1527113481814</v>
      </c>
      <c r="O140" s="157">
        <f t="shared" ca="1" si="38"/>
        <v>2114.5888982949155</v>
      </c>
    </row>
    <row r="141" spans="1:15" ht="12.75" customHeight="1">
      <c r="B141" s="90"/>
      <c r="C141" t="s">
        <v>188</v>
      </c>
      <c r="F141"/>
      <c r="G141" s="144"/>
      <c r="H141" s="145">
        <v>3967</v>
      </c>
      <c r="I141" s="145">
        <v>4184</v>
      </c>
      <c r="J141" s="145">
        <v>4219</v>
      </c>
      <c r="K141" s="157">
        <f>K252</f>
        <v>4273.6535999999996</v>
      </c>
      <c r="L141" s="157">
        <f t="shared" ref="L141:O141" ca="1" si="39">L252</f>
        <v>3816.0720658907471</v>
      </c>
      <c r="M141" s="157">
        <f t="shared" ca="1" si="39"/>
        <v>3571.865427139312</v>
      </c>
      <c r="N141" s="157">
        <f t="shared" ca="1" si="39"/>
        <v>3309.6895181593</v>
      </c>
      <c r="O141" s="157">
        <f t="shared" ca="1" si="39"/>
        <v>3969.3854462278832</v>
      </c>
    </row>
    <row r="142" spans="1:15" ht="12.75" customHeight="1">
      <c r="C142" t="s">
        <v>189</v>
      </c>
      <c r="H142" s="390">
        <v>-758</v>
      </c>
      <c r="I142" s="390">
        <v>-969</v>
      </c>
      <c r="J142" s="390">
        <v>-812</v>
      </c>
      <c r="K142" s="141">
        <f ca="1">-K229</f>
        <v>-208.93486647058822</v>
      </c>
      <c r="L142" s="141">
        <f t="shared" ref="L142:O142" ca="1" si="40">-L229</f>
        <v>-212.51809072337855</v>
      </c>
      <c r="M142" s="141">
        <f t="shared" ca="1" si="40"/>
        <v>-219.86870490899946</v>
      </c>
      <c r="N142" s="141">
        <f t="shared" ca="1" si="40"/>
        <v>-232.16528269139602</v>
      </c>
      <c r="O142" s="141">
        <f t="shared" ca="1" si="40"/>
        <v>-244.53365067310443</v>
      </c>
    </row>
    <row r="143" spans="1:15" ht="12.75" customHeight="1">
      <c r="C143" t="s">
        <v>9</v>
      </c>
      <c r="H143" s="391">
        <v>-19</v>
      </c>
      <c r="I143" s="391">
        <v>52</v>
      </c>
      <c r="J143" s="391">
        <v>-15</v>
      </c>
      <c r="K143" s="356">
        <f>Assumptions!J58</f>
        <v>0</v>
      </c>
      <c r="L143" s="356">
        <f>Assumptions!K58</f>
        <v>0</v>
      </c>
      <c r="M143" s="356">
        <f>Assumptions!L58</f>
        <v>0</v>
      </c>
      <c r="N143" s="356">
        <f>Assumptions!M58</f>
        <v>0</v>
      </c>
      <c r="O143" s="356">
        <f>Assumptions!N58</f>
        <v>0</v>
      </c>
    </row>
    <row r="144" spans="1:15" ht="12.75" customHeight="1">
      <c r="A144" s="90"/>
      <c r="C144" s="90" t="s">
        <v>78</v>
      </c>
      <c r="F144"/>
      <c r="G144" s="105"/>
      <c r="H144" s="152">
        <f>SUM(H139:H143)</f>
        <v>-1524</v>
      </c>
      <c r="I144" s="152">
        <f t="shared" ref="I144:O144" si="41">SUM(I139:I143)</f>
        <v>564</v>
      </c>
      <c r="J144" s="152">
        <f t="shared" si="41"/>
        <v>894</v>
      </c>
      <c r="K144" s="152">
        <f t="shared" ca="1" si="41"/>
        <v>-67.601266470588286</v>
      </c>
      <c r="L144" s="152">
        <f t="shared" ca="1" si="41"/>
        <v>-43.275605504887693</v>
      </c>
      <c r="M144" s="152">
        <f t="shared" ca="1" si="41"/>
        <v>-129.54570153518171</v>
      </c>
      <c r="N144" s="152">
        <f t="shared" ca="1" si="41"/>
        <v>-135.19611087687011</v>
      </c>
      <c r="O144" s="152">
        <f t="shared" ca="1" si="41"/>
        <v>-488.53077475326592</v>
      </c>
    </row>
    <row r="145" spans="1:15" ht="12.75" customHeight="1">
      <c r="A145" s="90"/>
      <c r="B145" s="82"/>
      <c r="F145"/>
      <c r="G145" s="105"/>
      <c r="H145" s="146"/>
      <c r="I145" s="146"/>
      <c r="J145" s="147"/>
      <c r="K145" s="148"/>
      <c r="L145" s="148"/>
      <c r="M145" s="148"/>
      <c r="N145" s="148"/>
      <c r="O145" s="148"/>
    </row>
    <row r="146" spans="1:15" ht="12.75" customHeight="1">
      <c r="A146" s="90"/>
      <c r="B146" s="82"/>
      <c r="F146"/>
      <c r="G146" s="105"/>
      <c r="H146" s="146"/>
      <c r="I146" s="146"/>
      <c r="J146" s="146"/>
      <c r="K146" s="148"/>
      <c r="L146" s="148"/>
      <c r="M146" s="148"/>
      <c r="N146" s="148"/>
      <c r="O146" s="148"/>
    </row>
    <row r="147" spans="1:15" ht="12.75" customHeight="1">
      <c r="A147" s="90"/>
      <c r="B147" s="82" t="s">
        <v>60</v>
      </c>
      <c r="F147"/>
      <c r="G147" s="105"/>
      <c r="H147" s="149"/>
      <c r="I147" s="149"/>
      <c r="J147" s="149"/>
      <c r="K147" s="150"/>
      <c r="L147" s="150"/>
      <c r="M147" s="150"/>
      <c r="N147" s="150"/>
      <c r="O147" s="150"/>
    </row>
    <row r="148" spans="1:15" ht="12.75" customHeight="1">
      <c r="A148" s="90"/>
      <c r="B148" s="82"/>
      <c r="C148" t="s">
        <v>190</v>
      </c>
      <c r="F148"/>
      <c r="G148" s="105"/>
      <c r="H148" s="390">
        <v>15</v>
      </c>
      <c r="I148" s="390">
        <v>-4</v>
      </c>
      <c r="J148" s="390">
        <v>0</v>
      </c>
      <c r="K148" s="157">
        <f ca="1">K362</f>
        <v>-6</v>
      </c>
      <c r="L148" s="157">
        <f t="shared" ref="L148:O148" ca="1" si="42">L362</f>
        <v>0</v>
      </c>
      <c r="M148" s="157">
        <f t="shared" ca="1" si="42"/>
        <v>0</v>
      </c>
      <c r="N148" s="157">
        <f t="shared" ca="1" si="42"/>
        <v>0</v>
      </c>
      <c r="O148" s="157">
        <f t="shared" ca="1" si="42"/>
        <v>0</v>
      </c>
    </row>
    <row r="149" spans="1:15" ht="12.75" customHeight="1">
      <c r="A149" s="90"/>
      <c r="B149" s="82"/>
      <c r="C149" t="s">
        <v>191</v>
      </c>
      <c r="F149"/>
      <c r="G149" s="105"/>
      <c r="H149" s="390">
        <v>0</v>
      </c>
      <c r="I149" s="390">
        <v>-500</v>
      </c>
      <c r="J149" s="390">
        <v>0</v>
      </c>
      <c r="K149" s="157">
        <f>-J188</f>
        <v>-1000</v>
      </c>
      <c r="L149" s="157">
        <f t="shared" ref="L149:O149" si="43">-K188</f>
        <v>0</v>
      </c>
      <c r="M149" s="157">
        <f t="shared" si="43"/>
        <v>-2000</v>
      </c>
      <c r="N149" s="157">
        <f t="shared" si="43"/>
        <v>0</v>
      </c>
      <c r="O149" s="157">
        <f t="shared" si="43"/>
        <v>0</v>
      </c>
    </row>
    <row r="150" spans="1:15" ht="12.75" customHeight="1">
      <c r="A150" s="90"/>
      <c r="B150" s="82"/>
      <c r="C150" t="s">
        <v>192</v>
      </c>
      <c r="F150"/>
      <c r="G150" s="105"/>
      <c r="H150" s="390">
        <v>1151</v>
      </c>
      <c r="I150" s="390">
        <v>651</v>
      </c>
      <c r="J150" s="390">
        <v>667</v>
      </c>
      <c r="K150" s="157">
        <f>AVERAGE(H150:J150)</f>
        <v>823</v>
      </c>
      <c r="L150" s="157">
        <f t="shared" ref="L150:O150" si="44">AVERAGE(I150:K150)</f>
        <v>713.66666666666663</v>
      </c>
      <c r="M150" s="157">
        <f t="shared" si="44"/>
        <v>734.55555555555554</v>
      </c>
      <c r="N150" s="157">
        <f t="shared" si="44"/>
        <v>757.07407407407402</v>
      </c>
      <c r="O150" s="157">
        <f t="shared" si="44"/>
        <v>735.09876543209873</v>
      </c>
    </row>
    <row r="151" spans="1:15" ht="12.75" customHeight="1">
      <c r="A151" s="90"/>
      <c r="B151" s="82"/>
      <c r="C151" t="s">
        <v>193</v>
      </c>
      <c r="F151"/>
      <c r="G151" s="105"/>
      <c r="H151" s="390">
        <v>-4014</v>
      </c>
      <c r="I151" s="390">
        <v>-5480</v>
      </c>
      <c r="J151" s="390">
        <v>-4250</v>
      </c>
      <c r="K151" s="157">
        <f>K401</f>
        <v>-4500</v>
      </c>
      <c r="L151" s="157">
        <f t="shared" ref="L151:O151" si="45">L401</f>
        <v>-4500</v>
      </c>
      <c r="M151" s="157">
        <f t="shared" si="45"/>
        <v>-2500</v>
      </c>
      <c r="N151" s="157">
        <f t="shared" si="45"/>
        <v>-2500</v>
      </c>
      <c r="O151" s="157">
        <f t="shared" si="45"/>
        <v>-2500</v>
      </c>
    </row>
    <row r="152" spans="1:15" ht="12.75" customHeight="1">
      <c r="A152" s="90"/>
      <c r="B152" s="82"/>
      <c r="C152" t="s">
        <v>194</v>
      </c>
      <c r="F152"/>
      <c r="G152" s="105"/>
      <c r="H152" s="357">
        <v>-1837</v>
      </c>
      <c r="I152" s="357">
        <v>-2012</v>
      </c>
      <c r="J152" s="357">
        <v>-2169</v>
      </c>
      <c r="K152" s="157">
        <f ca="1">-K395</f>
        <v>-2914.0818250000002</v>
      </c>
      <c r="L152" s="157">
        <f t="shared" ref="L152:O152" ca="1" si="46">-L395</f>
        <v>-3126.2760281703331</v>
      </c>
      <c r="M152" s="157">
        <f t="shared" ca="1" si="46"/>
        <v>-3519.6695483633539</v>
      </c>
      <c r="N152" s="157">
        <f t="shared" ca="1" si="46"/>
        <v>-4136.9313448990906</v>
      </c>
      <c r="O152" s="157">
        <f t="shared" ca="1" si="46"/>
        <v>-4720.2515307635276</v>
      </c>
    </row>
    <row r="153" spans="1:15" ht="12.75" customHeight="1">
      <c r="A153" s="90"/>
      <c r="B153" s="82"/>
      <c r="C153" t="s">
        <v>195</v>
      </c>
      <c r="F153"/>
      <c r="G153" s="105"/>
      <c r="H153" s="357">
        <v>-151</v>
      </c>
      <c r="I153" s="357">
        <v>-102</v>
      </c>
      <c r="J153" s="357">
        <v>-136</v>
      </c>
      <c r="K153" s="157">
        <f>AVERAGE(H153:J153)</f>
        <v>-129.66666666666666</v>
      </c>
      <c r="L153" s="157">
        <f t="shared" ref="L153:O153" si="47">AVERAGE(I153:K153)</f>
        <v>-122.55555555555554</v>
      </c>
      <c r="M153" s="157">
        <f t="shared" si="47"/>
        <v>-129.40740740740739</v>
      </c>
      <c r="N153" s="157">
        <f t="shared" si="47"/>
        <v>-127.20987654320986</v>
      </c>
      <c r="O153" s="157">
        <f t="shared" si="47"/>
        <v>-126.3909465020576</v>
      </c>
    </row>
    <row r="154" spans="1:15" ht="12.75" customHeight="1">
      <c r="A154" s="90"/>
      <c r="B154" s="82"/>
      <c r="C154" s="90" t="s">
        <v>79</v>
      </c>
      <c r="F154"/>
      <c r="G154" s="105"/>
      <c r="H154" s="152">
        <f>SUM(H148:H153)</f>
        <v>-4836</v>
      </c>
      <c r="I154" s="152">
        <f t="shared" ref="I154:J154" si="48">SUM(I148:I153)</f>
        <v>-7447</v>
      </c>
      <c r="J154" s="152">
        <f t="shared" si="48"/>
        <v>-5888</v>
      </c>
      <c r="K154" s="392">
        <f ca="1">SUM(K148:K153)</f>
        <v>-7726.7484916666672</v>
      </c>
      <c r="L154" s="392">
        <f t="shared" ref="L154:O154" ca="1" si="49">SUM(L148:L153)</f>
        <v>-7035.1649170592218</v>
      </c>
      <c r="M154" s="392">
        <f t="shared" ca="1" si="49"/>
        <v>-7414.5214002152061</v>
      </c>
      <c r="N154" s="392">
        <f t="shared" ca="1" si="49"/>
        <v>-6007.0671473682269</v>
      </c>
      <c r="O154" s="392">
        <f t="shared" ca="1" si="49"/>
        <v>-6611.5437118334867</v>
      </c>
    </row>
    <row r="155" spans="1:15" ht="12.75" customHeight="1">
      <c r="A155" s="90"/>
      <c r="B155" s="82"/>
      <c r="F155"/>
      <c r="G155" s="105"/>
      <c r="H155" s="149"/>
      <c r="I155" s="149"/>
      <c r="J155" s="149"/>
      <c r="K155" s="149"/>
      <c r="L155" s="149"/>
      <c r="M155" s="149"/>
      <c r="N155" s="149"/>
      <c r="O155" s="149"/>
    </row>
    <row r="156" spans="1:15" ht="12.75" customHeight="1">
      <c r="A156" s="90"/>
      <c r="B156" s="82"/>
      <c r="C156" t="s">
        <v>196</v>
      </c>
      <c r="F156"/>
      <c r="G156" s="105"/>
      <c r="H156" s="357">
        <v>-143</v>
      </c>
      <c r="I156" s="357">
        <v>-91</v>
      </c>
      <c r="J156" s="357">
        <v>-16</v>
      </c>
      <c r="K156" s="149">
        <f>AVERAGE(H156,I156,J156)</f>
        <v>-83.333333333333329</v>
      </c>
      <c r="L156" s="149">
        <f t="shared" ref="L156:O156" si="50">AVERAGE(I156,J156,K156)</f>
        <v>-63.444444444444436</v>
      </c>
      <c r="M156" s="149">
        <f t="shared" si="50"/>
        <v>-54.25925925925926</v>
      </c>
      <c r="N156" s="149">
        <f t="shared" si="50"/>
        <v>-67.012345679012341</v>
      </c>
      <c r="O156" s="149">
        <f t="shared" si="50"/>
        <v>-61.572016460905353</v>
      </c>
    </row>
    <row r="157" spans="1:15" ht="12.75" customHeight="1">
      <c r="A157" s="90"/>
      <c r="C157" s="75"/>
      <c r="F157"/>
      <c r="G157" s="105"/>
      <c r="H157" s="149"/>
      <c r="I157" s="149"/>
      <c r="J157" s="149"/>
      <c r="K157" s="149"/>
      <c r="L157" s="149"/>
      <c r="M157" s="149"/>
      <c r="N157" s="149"/>
      <c r="O157" s="149"/>
    </row>
    <row r="158" spans="1:15" ht="12.75" customHeight="1">
      <c r="A158" s="90"/>
      <c r="B158" s="28" t="s">
        <v>45</v>
      </c>
      <c r="C158" s="151"/>
      <c r="D158" s="5"/>
      <c r="E158" s="5"/>
      <c r="F158" s="5"/>
      <c r="G158" s="152"/>
      <c r="H158" s="393">
        <f>H156+H154+H144+H135</f>
        <v>-1315</v>
      </c>
      <c r="I158" s="393">
        <f t="shared" ref="I158:O158" si="51">I156+I154+I144+I135</f>
        <v>-1133</v>
      </c>
      <c r="J158" s="393">
        <f t="shared" si="51"/>
        <v>2419</v>
      </c>
      <c r="K158" s="393">
        <f t="shared" ca="1" si="51"/>
        <v>-1121.9312549738115</v>
      </c>
      <c r="L158" s="393">
        <f t="shared" ca="1" si="51"/>
        <v>-454.43387343576887</v>
      </c>
      <c r="M158" s="393">
        <f t="shared" ca="1" si="51"/>
        <v>-628.4455520627962</v>
      </c>
      <c r="N158" s="393">
        <f t="shared" ca="1" si="51"/>
        <v>2080.1514014000049</v>
      </c>
      <c r="O158" s="396">
        <f t="shared" ca="1" si="51"/>
        <v>2796.1067786627946</v>
      </c>
    </row>
    <row r="159" spans="1:15" ht="12.75" customHeight="1">
      <c r="A159" s="90"/>
      <c r="B159" s="6" t="s">
        <v>46</v>
      </c>
      <c r="C159" s="75"/>
      <c r="F159"/>
      <c r="G159" s="105"/>
      <c r="H159" s="394">
        <v>9889</v>
      </c>
      <c r="I159" s="395">
        <f t="shared" ref="I159:J159" si="52">+H160</f>
        <v>8574</v>
      </c>
      <c r="J159" s="395">
        <f t="shared" si="52"/>
        <v>7441</v>
      </c>
      <c r="K159" s="395">
        <f t="shared" ref="K159" si="53">+J160</f>
        <v>9860</v>
      </c>
      <c r="L159" s="395">
        <f t="shared" ref="L159" ca="1" si="54">+K160</f>
        <v>8738.0687450261885</v>
      </c>
      <c r="M159" s="395">
        <f t="shared" ref="M159" ca="1" si="55">+L160</f>
        <v>8283.6348715904205</v>
      </c>
      <c r="N159" s="395">
        <f t="shared" ref="N159" ca="1" si="56">+M160</f>
        <v>7655.1893195276243</v>
      </c>
      <c r="O159" s="397">
        <f t="shared" ref="O159" ca="1" si="57">+N160</f>
        <v>9735.3407209276302</v>
      </c>
    </row>
    <row r="160" spans="1:15" ht="12.75" customHeight="1">
      <c r="A160" s="90"/>
      <c r="B160" s="153" t="s">
        <v>47</v>
      </c>
      <c r="C160" s="110"/>
      <c r="D160" s="11"/>
      <c r="E160" s="11"/>
      <c r="F160" s="11"/>
      <c r="G160" s="113"/>
      <c r="H160" s="177">
        <f t="shared" ref="H160:J160" si="58">H159+H158</f>
        <v>8574</v>
      </c>
      <c r="I160" s="177">
        <f t="shared" si="58"/>
        <v>7441</v>
      </c>
      <c r="J160" s="177">
        <f t="shared" si="58"/>
        <v>9860</v>
      </c>
      <c r="K160" s="398">
        <f ca="1">K159+K158</f>
        <v>8738.0687450261885</v>
      </c>
      <c r="L160" s="398">
        <f t="shared" ref="L160:O160" ca="1" si="59">L159+L158</f>
        <v>8283.6348715904205</v>
      </c>
      <c r="M160" s="398">
        <f t="shared" ca="1" si="59"/>
        <v>7655.1893195276243</v>
      </c>
      <c r="N160" s="398">
        <f t="shared" ca="1" si="59"/>
        <v>9735.3407209276302</v>
      </c>
      <c r="O160" s="399">
        <f t="shared" ca="1" si="59"/>
        <v>12531.447499590424</v>
      </c>
    </row>
    <row r="161" spans="1:16" ht="12.75" customHeight="1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6" ht="12.75" customHeight="1">
      <c r="F162"/>
    </row>
    <row r="163" spans="1:16" ht="13.5" customHeight="1">
      <c r="A163" s="66"/>
      <c r="B163" s="1"/>
      <c r="C163" s="3"/>
      <c r="D163" s="3"/>
      <c r="E163" s="3"/>
      <c r="F163" s="65"/>
      <c r="G163" s="3"/>
      <c r="H163" s="3"/>
      <c r="I163" s="3"/>
      <c r="J163" s="3"/>
      <c r="K163" s="3"/>
      <c r="L163" s="3"/>
      <c r="M163" s="3"/>
      <c r="N163" s="3"/>
      <c r="O163" s="97" t="str">
        <f>$O$1</f>
        <v>Currently Running: Base Case Scenario</v>
      </c>
    </row>
    <row r="164" spans="1:16" ht="23" customHeight="1">
      <c r="B164" s="619" t="str">
        <f>B$2</f>
        <v>NIKE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6" ht="16" customHeight="1">
      <c r="B165" s="68" t="s">
        <v>80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6" ht="3" customHeight="1" thickBot="1">
      <c r="A166" s="67"/>
      <c r="B166" s="269"/>
      <c r="C166" s="270"/>
      <c r="D166" s="270"/>
      <c r="E166" s="270"/>
      <c r="F166" s="271"/>
      <c r="G166" s="270"/>
      <c r="H166" s="270"/>
      <c r="I166" s="270"/>
      <c r="J166" s="270"/>
      <c r="K166" s="270"/>
      <c r="L166" s="270"/>
      <c r="M166" s="270"/>
      <c r="N166" s="270"/>
      <c r="O166" s="270"/>
    </row>
    <row r="167" spans="1:16" ht="12.75" customHeight="1">
      <c r="B167" s="115" t="s">
        <v>122</v>
      </c>
      <c r="F167"/>
      <c r="O167" s="19"/>
    </row>
    <row r="168" spans="1:16" ht="12.75" customHeight="1">
      <c r="F168"/>
      <c r="H168" s="154"/>
      <c r="I168" s="154"/>
      <c r="J168" s="154"/>
      <c r="K168" s="73" t="s">
        <v>2</v>
      </c>
      <c r="L168" s="20"/>
      <c r="M168" s="20"/>
      <c r="N168" s="20"/>
      <c r="O168" s="20"/>
    </row>
    <row r="169" spans="1:16" ht="12.75" customHeight="1">
      <c r="B169" s="155"/>
      <c r="F169" s="139"/>
      <c r="G169" s="138"/>
      <c r="H169" s="260">
        <f t="shared" ref="H169:J169" si="60">H$7</f>
        <v>2022</v>
      </c>
      <c r="I169" s="260">
        <f t="shared" si="60"/>
        <v>2023</v>
      </c>
      <c r="J169" s="260">
        <f t="shared" si="60"/>
        <v>2024</v>
      </c>
      <c r="K169" s="262">
        <f>K$7</f>
        <v>2025</v>
      </c>
      <c r="L169" s="262">
        <f>L$7</f>
        <v>2026</v>
      </c>
      <c r="M169" s="262">
        <f>M$7</f>
        <v>2027</v>
      </c>
      <c r="N169" s="262">
        <f>N$7</f>
        <v>2028</v>
      </c>
      <c r="O169" s="262">
        <f>O$7</f>
        <v>2029</v>
      </c>
    </row>
    <row r="170" spans="1:16" ht="12.75" customHeight="1">
      <c r="B170" s="90" t="s">
        <v>11</v>
      </c>
      <c r="F170"/>
    </row>
    <row r="171" spans="1:16" ht="12.75" customHeight="1">
      <c r="C171" t="s">
        <v>12</v>
      </c>
      <c r="F171" s="76"/>
      <c r="G171" s="142"/>
      <c r="H171" s="358"/>
      <c r="I171" s="358">
        <v>7441</v>
      </c>
      <c r="J171" s="358">
        <v>9860</v>
      </c>
      <c r="K171" s="359">
        <f ca="1">K160</f>
        <v>8738.0687450261885</v>
      </c>
      <c r="L171" s="359">
        <f ca="1">L160</f>
        <v>8283.6348715904205</v>
      </c>
      <c r="M171" s="359">
        <f ca="1">M160</f>
        <v>7655.1893195276243</v>
      </c>
      <c r="N171" s="359">
        <f ca="1">N160</f>
        <v>9735.3407209276302</v>
      </c>
      <c r="O171" s="359">
        <f ca="1">O160</f>
        <v>12531.447499590424</v>
      </c>
      <c r="P171" s="360"/>
    </row>
    <row r="172" spans="1:16" ht="12.75" customHeight="1">
      <c r="C172" t="s">
        <v>167</v>
      </c>
      <c r="F172" s="76"/>
      <c r="G172" s="142"/>
      <c r="H172" s="358"/>
      <c r="I172" s="358">
        <v>3234</v>
      </c>
      <c r="J172" s="358">
        <v>1722</v>
      </c>
      <c r="K172" s="359">
        <f>K254</f>
        <v>1580.6664000000001</v>
      </c>
      <c r="L172" s="359">
        <f t="shared" ref="L172:O172" ca="1" si="61">L254</f>
        <v>1411.4239147815092</v>
      </c>
      <c r="M172" s="359">
        <f t="shared" ca="1" si="61"/>
        <v>1321.100911407691</v>
      </c>
      <c r="N172" s="359">
        <f t="shared" ca="1" si="61"/>
        <v>1224.1317395931655</v>
      </c>
      <c r="O172" s="359">
        <f t="shared" ca="1" si="61"/>
        <v>1468.128863673327</v>
      </c>
      <c r="P172" s="360"/>
    </row>
    <row r="173" spans="1:16" ht="12.75" customHeight="1">
      <c r="C173" t="s">
        <v>13</v>
      </c>
      <c r="F173" s="76"/>
      <c r="G173" s="142"/>
      <c r="H173" s="358"/>
      <c r="I173" s="358">
        <v>4131</v>
      </c>
      <c r="J173" s="358">
        <v>4427</v>
      </c>
      <c r="K173" s="361">
        <f ca="1">K302</f>
        <v>4006.9700419016922</v>
      </c>
      <c r="L173" s="361">
        <f t="shared" ref="L173:O173" ca="1" si="62">L302</f>
        <v>4075.6894111332876</v>
      </c>
      <c r="M173" s="361">
        <f t="shared" ca="1" si="62"/>
        <v>4517.8501008698522</v>
      </c>
      <c r="N173" s="361">
        <f t="shared" ca="1" si="62"/>
        <v>4757.485301053197</v>
      </c>
      <c r="O173" s="361">
        <f t="shared" ca="1" si="62"/>
        <v>5024.6640549268031</v>
      </c>
      <c r="P173" s="360"/>
    </row>
    <row r="174" spans="1:16" ht="12.75" customHeight="1">
      <c r="C174" t="s">
        <v>14</v>
      </c>
      <c r="F174" s="76"/>
      <c r="G174" s="142"/>
      <c r="H174" s="358"/>
      <c r="I174" s="358">
        <v>8454</v>
      </c>
      <c r="J174" s="358">
        <v>7519</v>
      </c>
      <c r="K174" s="361">
        <f>K303</f>
        <v>7822.1215068493138</v>
      </c>
      <c r="L174" s="361">
        <f t="shared" ref="L174:O174" si="63">L303</f>
        <v>8000.2091397402737</v>
      </c>
      <c r="M174" s="361">
        <f t="shared" si="63"/>
        <v>8320.2175053298852</v>
      </c>
      <c r="N174" s="361">
        <f t="shared" si="63"/>
        <v>8814.9362679320548</v>
      </c>
      <c r="O174" s="361">
        <f t="shared" si="63"/>
        <v>9039.7639898795896</v>
      </c>
      <c r="P174" s="360"/>
    </row>
    <row r="175" spans="1:16" ht="12.75" customHeight="1">
      <c r="C175" t="s">
        <v>117</v>
      </c>
      <c r="F175" s="76"/>
      <c r="G175" s="156"/>
      <c r="H175" s="358"/>
      <c r="I175" s="358">
        <v>1942</v>
      </c>
      <c r="J175" s="358">
        <v>1854</v>
      </c>
      <c r="K175" s="361">
        <f>K304</f>
        <v>1877.3091616438353</v>
      </c>
      <c r="L175" s="361">
        <f t="shared" ref="L175:O175" si="64">L304</f>
        <v>1843.185439057808</v>
      </c>
      <c r="M175" s="361">
        <f t="shared" si="64"/>
        <v>1880.0491478389642</v>
      </c>
      <c r="N175" s="361">
        <f t="shared" si="64"/>
        <v>1995.8346267015975</v>
      </c>
      <c r="O175" s="361">
        <f t="shared" si="64"/>
        <v>2129.5597860774033</v>
      </c>
      <c r="P175" s="360"/>
    </row>
    <row r="176" spans="1:16" ht="12.75" customHeight="1">
      <c r="C176" s="75" t="s">
        <v>15</v>
      </c>
      <c r="F176" s="91"/>
      <c r="G176" s="103"/>
      <c r="H176" s="368"/>
      <c r="I176" s="368">
        <f t="shared" ref="I176:O176" si="65">SUM(I171:I175)</f>
        <v>25202</v>
      </c>
      <c r="J176" s="368">
        <f t="shared" si="65"/>
        <v>25382</v>
      </c>
      <c r="K176" s="369">
        <f t="shared" ca="1" si="65"/>
        <v>24025.135855421031</v>
      </c>
      <c r="L176" s="369">
        <f t="shared" ca="1" si="65"/>
        <v>23614.142776303299</v>
      </c>
      <c r="M176" s="369">
        <f t="shared" ca="1" si="65"/>
        <v>23694.406984974015</v>
      </c>
      <c r="N176" s="369">
        <f t="shared" ca="1" si="65"/>
        <v>26527.728656207644</v>
      </c>
      <c r="O176" s="369">
        <f t="shared" ca="1" si="65"/>
        <v>30193.564194147544</v>
      </c>
      <c r="P176" s="360"/>
    </row>
    <row r="177" spans="2:16" ht="10" customHeight="1">
      <c r="F177" s="103"/>
      <c r="G177" s="140"/>
      <c r="H177" s="363"/>
      <c r="I177" s="363"/>
      <c r="J177" s="362"/>
      <c r="K177" s="359"/>
      <c r="L177" s="359"/>
      <c r="M177" s="359"/>
      <c r="N177" s="359"/>
      <c r="O177" s="359"/>
      <c r="P177" s="360"/>
    </row>
    <row r="178" spans="2:16" ht="12.75" customHeight="1">
      <c r="C178" t="s">
        <v>16</v>
      </c>
      <c r="F178" s="76"/>
      <c r="G178" s="156"/>
      <c r="H178" s="358"/>
      <c r="I178" s="358">
        <v>5081</v>
      </c>
      <c r="J178" s="358">
        <v>5000</v>
      </c>
      <c r="K178" s="359">
        <f ca="1">K231</f>
        <v>4933.9348664705885</v>
      </c>
      <c r="L178" s="359">
        <f t="shared" ref="L178:O178" ca="1" si="66">L231</f>
        <v>4875.0865395380852</v>
      </c>
      <c r="M178" s="359">
        <f t="shared" ca="1" si="66"/>
        <v>4826.8254847724902</v>
      </c>
      <c r="N178" s="359">
        <f t="shared" ca="1" si="66"/>
        <v>4793.5153658013996</v>
      </c>
      <c r="O178" s="359">
        <f t="shared" ca="1" si="66"/>
        <v>4774.4056713554273</v>
      </c>
      <c r="P178" s="360"/>
    </row>
    <row r="179" spans="2:16" ht="12.75" customHeight="1">
      <c r="C179" t="s">
        <v>168</v>
      </c>
      <c r="F179" s="76"/>
      <c r="G179" s="156"/>
      <c r="H179" s="358"/>
      <c r="I179" s="358">
        <v>2923</v>
      </c>
      <c r="J179" s="358">
        <v>2718</v>
      </c>
      <c r="K179" s="359">
        <f>J179-Assumptions!J66</f>
        <v>2513</v>
      </c>
      <c r="L179" s="359">
        <f>K179-Assumptions!K66</f>
        <v>2308</v>
      </c>
      <c r="M179" s="359">
        <f>L179-Assumptions!L66</f>
        <v>2103</v>
      </c>
      <c r="N179" s="359">
        <f>M179-Assumptions!M66</f>
        <v>1898</v>
      </c>
      <c r="O179" s="359">
        <f>N179-Assumptions!N66</f>
        <v>1693</v>
      </c>
      <c r="P179" s="360"/>
    </row>
    <row r="180" spans="2:16" ht="12.75" customHeight="1">
      <c r="C180" t="s">
        <v>169</v>
      </c>
      <c r="F180" s="76"/>
      <c r="G180" s="156"/>
      <c r="H180" s="358"/>
      <c r="I180" s="358">
        <v>274</v>
      </c>
      <c r="J180" s="358">
        <v>259</v>
      </c>
      <c r="K180" s="359">
        <f>K329</f>
        <v>243.46</v>
      </c>
      <c r="L180" s="359">
        <f t="shared" ref="L180:O180" si="67">L329</f>
        <v>228.85240000000002</v>
      </c>
      <c r="M180" s="359">
        <f t="shared" si="67"/>
        <v>215.12125600000002</v>
      </c>
      <c r="N180" s="359">
        <f t="shared" si="67"/>
        <v>202.21398064000002</v>
      </c>
      <c r="O180" s="359">
        <f t="shared" si="67"/>
        <v>190.08114180160001</v>
      </c>
      <c r="P180" s="360"/>
    </row>
    <row r="181" spans="2:16" ht="12.75" customHeight="1">
      <c r="C181" t="s">
        <v>170</v>
      </c>
      <c r="F181" s="76"/>
      <c r="G181" s="156"/>
      <c r="H181" s="358"/>
      <c r="I181" s="358">
        <v>281</v>
      </c>
      <c r="J181" s="358">
        <v>240</v>
      </c>
      <c r="K181" s="359">
        <f>K330</f>
        <v>204</v>
      </c>
      <c r="L181" s="359">
        <f t="shared" ref="L181:O181" si="68">L330</f>
        <v>173.4</v>
      </c>
      <c r="M181" s="359">
        <f t="shared" si="68"/>
        <v>147.39000000000001</v>
      </c>
      <c r="N181" s="359">
        <f t="shared" si="68"/>
        <v>125.28150000000001</v>
      </c>
      <c r="O181" s="359">
        <f t="shared" si="68"/>
        <v>106.48927500000001</v>
      </c>
      <c r="P181" s="360"/>
    </row>
    <row r="182" spans="2:16" ht="12.75" customHeight="1">
      <c r="C182" t="s">
        <v>171</v>
      </c>
      <c r="F182" s="76"/>
      <c r="G182" s="156"/>
      <c r="H182" s="358"/>
      <c r="I182" s="358">
        <v>3770</v>
      </c>
      <c r="J182" s="358">
        <v>4511</v>
      </c>
      <c r="K182" s="359">
        <f ca="1">K89*Assumptions!J64</f>
        <v>4178.6973294117643</v>
      </c>
      <c r="L182" s="359">
        <f ca="1">L89*Assumptions!K64</f>
        <v>4250.3618144675711</v>
      </c>
      <c r="M182" s="359">
        <f ca="1">M89*Assumptions!L64</f>
        <v>4397.3740981799892</v>
      </c>
      <c r="N182" s="359">
        <f ca="1">N89*Assumptions!M64</f>
        <v>4643.3056538279207</v>
      </c>
      <c r="O182" s="359">
        <f ca="1">O89*Assumptions!N64</f>
        <v>4890.6730134620884</v>
      </c>
      <c r="P182" s="360"/>
    </row>
    <row r="183" spans="2:16" ht="12.75" customHeight="1">
      <c r="C183" s="82" t="s">
        <v>124</v>
      </c>
      <c r="F183" s="76"/>
      <c r="G183" s="156"/>
      <c r="H183" s="613"/>
      <c r="I183" s="613">
        <f>SUM(I178:I182)</f>
        <v>12329</v>
      </c>
      <c r="J183" s="613">
        <f>SUM(J178:J182)</f>
        <v>12728</v>
      </c>
      <c r="K183" s="613">
        <f t="shared" ref="K183" ca="1" si="69">SUM(K178:K182)</f>
        <v>12073.092195882353</v>
      </c>
      <c r="L183" s="613">
        <f t="shared" ref="L183" ca="1" si="70">SUM(L178:L182)</f>
        <v>11835.700754005655</v>
      </c>
      <c r="M183" s="613">
        <f t="shared" ref="M183" ca="1" si="71">SUM(M178:M182)</f>
        <v>11689.71083895248</v>
      </c>
      <c r="N183" s="613">
        <f t="shared" ref="N183" ca="1" si="72">SUM(N178:N182)</f>
        <v>11662.31650026932</v>
      </c>
      <c r="O183" s="613">
        <f t="shared" ref="O183" ca="1" si="73">SUM(O178:O182)</f>
        <v>11654.649101619116</v>
      </c>
      <c r="P183" s="360"/>
    </row>
    <row r="184" spans="2:16" ht="6.5" customHeight="1">
      <c r="C184" s="19"/>
      <c r="F184" s="76"/>
      <c r="G184" s="156"/>
      <c r="H184" s="358"/>
      <c r="I184" s="358"/>
      <c r="J184" s="358"/>
      <c r="K184" s="359"/>
      <c r="L184" s="359"/>
      <c r="M184" s="359"/>
      <c r="N184" s="359"/>
      <c r="O184" s="359"/>
      <c r="P184" s="360"/>
    </row>
    <row r="185" spans="2:16" ht="12.75" customHeight="1" thickBot="1">
      <c r="C185" s="90" t="s">
        <v>17</v>
      </c>
      <c r="F185" s="91"/>
      <c r="G185" s="105"/>
      <c r="H185" s="364"/>
      <c r="I185" s="364">
        <f>+I176+I183</f>
        <v>37531</v>
      </c>
      <c r="J185" s="364">
        <f>+J176+J183</f>
        <v>38110</v>
      </c>
      <c r="K185" s="364">
        <f t="shared" ref="K185:O185" ca="1" si="74">+K176+K183</f>
        <v>36098.228051303384</v>
      </c>
      <c r="L185" s="364">
        <f t="shared" ca="1" si="74"/>
        <v>35449.84353030895</v>
      </c>
      <c r="M185" s="364">
        <f t="shared" ca="1" si="74"/>
        <v>35384.117823926499</v>
      </c>
      <c r="N185" s="364">
        <f t="shared" ca="1" si="74"/>
        <v>38190.045156476961</v>
      </c>
      <c r="O185" s="364">
        <f t="shared" ca="1" si="74"/>
        <v>41848.213295766662</v>
      </c>
      <c r="P185" s="360"/>
    </row>
    <row r="186" spans="2:16" ht="7" customHeight="1" thickTop="1">
      <c r="F186" s="103"/>
      <c r="G186" s="140"/>
      <c r="H186" s="363"/>
      <c r="I186" s="363"/>
      <c r="J186" s="362"/>
      <c r="K186" s="359"/>
      <c r="L186" s="359"/>
      <c r="M186" s="359"/>
      <c r="N186" s="359"/>
      <c r="O186" s="359"/>
      <c r="P186" s="360"/>
    </row>
    <row r="187" spans="2:16" ht="12.75" customHeight="1">
      <c r="B187" s="75" t="s">
        <v>18</v>
      </c>
      <c r="F187" s="103"/>
      <c r="G187" s="140"/>
      <c r="H187" s="363"/>
      <c r="I187" s="363"/>
      <c r="J187" s="362"/>
      <c r="K187" s="361"/>
      <c r="L187" s="361"/>
      <c r="M187" s="361"/>
      <c r="N187" s="361"/>
      <c r="O187" s="361"/>
      <c r="P187" s="360"/>
    </row>
    <row r="188" spans="2:16" ht="12.75" customHeight="1">
      <c r="B188" s="75"/>
      <c r="C188" t="s">
        <v>172</v>
      </c>
      <c r="F188" s="103"/>
      <c r="G188" s="140"/>
      <c r="H188" s="363"/>
      <c r="I188" s="363"/>
      <c r="J188" s="358">
        <v>1000</v>
      </c>
      <c r="K188" s="361">
        <f>Assumptions!J63</f>
        <v>0</v>
      </c>
      <c r="L188" s="361">
        <f>Assumptions!K63</f>
        <v>2000</v>
      </c>
      <c r="M188" s="361">
        <f>Assumptions!L63</f>
        <v>0</v>
      </c>
      <c r="N188" s="361">
        <f>Assumptions!M63</f>
        <v>0</v>
      </c>
      <c r="O188" s="361">
        <f>Assumptions!N63</f>
        <v>0</v>
      </c>
      <c r="P188" s="360"/>
    </row>
    <row r="189" spans="2:16" ht="12.75" customHeight="1">
      <c r="B189" s="75"/>
      <c r="C189" t="s">
        <v>173</v>
      </c>
      <c r="F189" s="103"/>
      <c r="G189" s="140"/>
      <c r="H189" s="363"/>
      <c r="I189" s="358">
        <v>6</v>
      </c>
      <c r="J189" s="358">
        <v>6</v>
      </c>
      <c r="K189" s="361">
        <f ca="1">K363</f>
        <v>0</v>
      </c>
      <c r="L189" s="361">
        <f t="shared" ref="L189:O189" ca="1" si="75">L363</f>
        <v>0</v>
      </c>
      <c r="M189" s="361">
        <f t="shared" ca="1" si="75"/>
        <v>0</v>
      </c>
      <c r="N189" s="361">
        <f t="shared" ca="1" si="75"/>
        <v>0</v>
      </c>
      <c r="O189" s="361">
        <f t="shared" ca="1" si="75"/>
        <v>0</v>
      </c>
      <c r="P189" s="360"/>
    </row>
    <row r="190" spans="2:16" ht="12.75" customHeight="1">
      <c r="B190" s="75"/>
      <c r="C190" t="s">
        <v>174</v>
      </c>
      <c r="F190" s="103"/>
      <c r="G190" s="140"/>
      <c r="H190" s="363"/>
      <c r="I190" s="358">
        <v>2862</v>
      </c>
      <c r="J190" s="358">
        <v>2851</v>
      </c>
      <c r="K190" s="361">
        <f>K305</f>
        <v>2815.9637424657531</v>
      </c>
      <c r="L190" s="361">
        <f t="shared" ref="L190:O190" si="76">L305</f>
        <v>2854.9765949661364</v>
      </c>
      <c r="M190" s="361">
        <f t="shared" si="76"/>
        <v>2920.0763360051997</v>
      </c>
      <c r="N190" s="361">
        <f t="shared" si="76"/>
        <v>2952.1720519961127</v>
      </c>
      <c r="O190" s="361">
        <f t="shared" si="76"/>
        <v>3129.1490734198578</v>
      </c>
      <c r="P190" s="360"/>
    </row>
    <row r="191" spans="2:16" ht="12.75" customHeight="1">
      <c r="B191" s="75"/>
      <c r="C191" t="s">
        <v>175</v>
      </c>
      <c r="F191" s="103"/>
      <c r="G191" s="140"/>
      <c r="H191" s="363"/>
      <c r="I191" s="358">
        <v>425</v>
      </c>
      <c r="J191" s="358">
        <v>477</v>
      </c>
      <c r="K191" s="361">
        <f>Assumptions!J65</f>
        <v>572</v>
      </c>
      <c r="L191" s="361">
        <f>Assumptions!K65</f>
        <v>554</v>
      </c>
      <c r="M191" s="361">
        <f>Assumptions!L65</f>
        <v>485</v>
      </c>
      <c r="N191" s="361">
        <f>Assumptions!M65</f>
        <v>403</v>
      </c>
      <c r="O191" s="361">
        <f>Assumptions!N65</f>
        <v>362</v>
      </c>
      <c r="P191" s="360"/>
    </row>
    <row r="192" spans="2:16" ht="12.75" customHeight="1">
      <c r="B192" s="75"/>
      <c r="C192" t="s">
        <v>176</v>
      </c>
      <c r="F192" s="103"/>
      <c r="G192" s="140"/>
      <c r="H192" s="363"/>
      <c r="I192" s="358">
        <v>5723</v>
      </c>
      <c r="J192" s="358">
        <v>5725</v>
      </c>
      <c r="K192" s="361">
        <f>K306</f>
        <v>5671.038092465752</v>
      </c>
      <c r="L192" s="361">
        <f t="shared" ref="L192:O192" si="77">L306</f>
        <v>5709.9531899322728</v>
      </c>
      <c r="M192" s="361">
        <f t="shared" si="77"/>
        <v>5840.1526720103993</v>
      </c>
      <c r="N192" s="361">
        <f t="shared" si="77"/>
        <v>6087.2956114398721</v>
      </c>
      <c r="O192" s="361">
        <f t="shared" si="77"/>
        <v>6388.6793582322098</v>
      </c>
      <c r="P192" s="360"/>
    </row>
    <row r="193" spans="2:16" ht="12.75" customHeight="1">
      <c r="B193" s="75"/>
      <c r="C193" t="s">
        <v>177</v>
      </c>
      <c r="F193" s="103"/>
      <c r="G193" s="140"/>
      <c r="H193" s="363"/>
      <c r="I193" s="358">
        <v>240</v>
      </c>
      <c r="J193" s="358">
        <v>534</v>
      </c>
      <c r="K193" s="361">
        <f>K307</f>
        <v>391.10607534246572</v>
      </c>
      <c r="L193" s="361">
        <f t="shared" ref="L193:O193" si="78">L307</f>
        <v>392.16711469315067</v>
      </c>
      <c r="M193" s="361">
        <f t="shared" si="78"/>
        <v>400.0104569870137</v>
      </c>
      <c r="N193" s="361">
        <f t="shared" si="78"/>
        <v>457.3787686191161</v>
      </c>
      <c r="O193" s="361">
        <f t="shared" si="78"/>
        <v>478.06444177247829</v>
      </c>
      <c r="P193" s="360"/>
    </row>
    <row r="194" spans="2:16" ht="12.75" customHeight="1">
      <c r="C194" s="75" t="s">
        <v>20</v>
      </c>
      <c r="F194" s="91"/>
      <c r="G194" s="103"/>
      <c r="H194" s="368"/>
      <c r="I194" s="368">
        <f t="shared" ref="I194:O194" si="79">SUM(I188:I193)</f>
        <v>9256</v>
      </c>
      <c r="J194" s="368">
        <f t="shared" si="79"/>
        <v>10593</v>
      </c>
      <c r="K194" s="368">
        <f t="shared" ca="1" si="79"/>
        <v>9450.1079102739714</v>
      </c>
      <c r="L194" s="368">
        <f t="shared" ca="1" si="79"/>
        <v>11511.096899591561</v>
      </c>
      <c r="M194" s="368">
        <f t="shared" ca="1" si="79"/>
        <v>9645.2394650026126</v>
      </c>
      <c r="N194" s="368">
        <f t="shared" ca="1" si="79"/>
        <v>9899.8464320551011</v>
      </c>
      <c r="O194" s="368">
        <f t="shared" ca="1" si="79"/>
        <v>10357.892873424546</v>
      </c>
      <c r="P194" s="360"/>
    </row>
    <row r="195" spans="2:16" ht="9.5" customHeight="1">
      <c r="F195" s="103"/>
      <c r="G195" s="140"/>
      <c r="H195" s="363"/>
      <c r="I195" s="363"/>
      <c r="J195" s="362"/>
      <c r="K195" s="359"/>
      <c r="L195" s="359"/>
      <c r="M195" s="359"/>
      <c r="N195" s="359"/>
      <c r="O195" s="359"/>
      <c r="P195" s="360"/>
    </row>
    <row r="196" spans="2:16" ht="12.75" customHeight="1">
      <c r="C196" t="s">
        <v>178</v>
      </c>
      <c r="F196" s="103"/>
      <c r="G196" s="140"/>
      <c r="H196" s="363"/>
      <c r="I196" s="365">
        <v>8927</v>
      </c>
      <c r="J196" s="365">
        <v>7903</v>
      </c>
      <c r="K196" s="359">
        <f>J196-K188</f>
        <v>7903</v>
      </c>
      <c r="L196" s="359">
        <f>K196-L188</f>
        <v>5903</v>
      </c>
      <c r="M196" s="359">
        <f>L196-M188</f>
        <v>5903</v>
      </c>
      <c r="N196" s="359">
        <f>M196-N188</f>
        <v>5903</v>
      </c>
      <c r="O196" s="359">
        <f>N196-O188</f>
        <v>5903</v>
      </c>
      <c r="P196" s="360"/>
    </row>
    <row r="197" spans="2:16" ht="12.75" customHeight="1">
      <c r="C197" t="s">
        <v>179</v>
      </c>
      <c r="F197" s="103"/>
      <c r="G197" s="140"/>
      <c r="H197" s="363"/>
      <c r="I197" s="365">
        <v>2786</v>
      </c>
      <c r="J197" s="365">
        <v>2566</v>
      </c>
      <c r="K197" s="359">
        <f>J197-K191</f>
        <v>1994</v>
      </c>
      <c r="L197" s="359">
        <f>K197-L191</f>
        <v>1440</v>
      </c>
      <c r="M197" s="359">
        <f>L197-M191</f>
        <v>955</v>
      </c>
      <c r="N197" s="359">
        <f>M197-N191</f>
        <v>552</v>
      </c>
      <c r="O197" s="359">
        <f>N197-O191</f>
        <v>190</v>
      </c>
      <c r="P197" s="360"/>
    </row>
    <row r="198" spans="2:16" ht="12.75" customHeight="1">
      <c r="C198" t="s">
        <v>180</v>
      </c>
      <c r="F198" s="76"/>
      <c r="G198" s="140"/>
      <c r="H198" s="365"/>
      <c r="I198" s="365">
        <v>2558</v>
      </c>
      <c r="J198" s="365">
        <v>2618</v>
      </c>
      <c r="K198" s="365">
        <v>2618</v>
      </c>
      <c r="L198" s="365">
        <v>2618</v>
      </c>
      <c r="M198" s="365">
        <v>2618</v>
      </c>
      <c r="N198" s="365">
        <v>2618</v>
      </c>
      <c r="O198" s="365">
        <v>2618</v>
      </c>
      <c r="P198" s="360"/>
    </row>
    <row r="199" spans="2:16" ht="12.75" customHeight="1">
      <c r="C199" s="82" t="s">
        <v>21</v>
      </c>
      <c r="F199" s="91"/>
      <c r="G199" s="142"/>
      <c r="H199" s="368"/>
      <c r="I199" s="368">
        <f>SUM(I196:I198)</f>
        <v>14271</v>
      </c>
      <c r="J199" s="368">
        <f>SUM(J196:J198)</f>
        <v>13087</v>
      </c>
      <c r="K199" s="368">
        <f t="shared" ref="K199:O199" si="80">SUM(K196:K198)</f>
        <v>12515</v>
      </c>
      <c r="L199" s="368">
        <f t="shared" si="80"/>
        <v>9961</v>
      </c>
      <c r="M199" s="368">
        <f t="shared" si="80"/>
        <v>9476</v>
      </c>
      <c r="N199" s="368">
        <f t="shared" si="80"/>
        <v>9073</v>
      </c>
      <c r="O199" s="368">
        <f t="shared" si="80"/>
        <v>8711</v>
      </c>
      <c r="P199" s="360"/>
    </row>
    <row r="200" spans="2:16" ht="7" customHeight="1">
      <c r="C200" s="75"/>
      <c r="F200" s="103"/>
      <c r="G200" s="140"/>
      <c r="H200" s="363"/>
      <c r="I200" s="363"/>
      <c r="J200" s="362"/>
      <c r="K200" s="359"/>
      <c r="L200" s="359"/>
      <c r="M200" s="359"/>
      <c r="N200" s="359"/>
      <c r="O200" s="359"/>
      <c r="P200" s="360"/>
    </row>
    <row r="201" spans="2:16" ht="12.75" customHeight="1">
      <c r="C201" s="82" t="s">
        <v>22</v>
      </c>
      <c r="F201" s="91"/>
      <c r="G201" s="105"/>
      <c r="H201" s="366"/>
      <c r="I201" s="366">
        <f>I199+I194</f>
        <v>23527</v>
      </c>
      <c r="J201" s="366">
        <f>J199+J194</f>
        <v>23680</v>
      </c>
      <c r="K201" s="366">
        <f t="shared" ref="K201:O201" ca="1" si="81">K199+K194</f>
        <v>21965.107910273971</v>
      </c>
      <c r="L201" s="366">
        <f t="shared" ca="1" si="81"/>
        <v>21472.096899591561</v>
      </c>
      <c r="M201" s="366">
        <f t="shared" ca="1" si="81"/>
        <v>19121.239465002611</v>
      </c>
      <c r="N201" s="366">
        <f t="shared" ca="1" si="81"/>
        <v>18972.846432055099</v>
      </c>
      <c r="O201" s="366">
        <f t="shared" ca="1" si="81"/>
        <v>19068.892873424546</v>
      </c>
      <c r="P201" s="360"/>
    </row>
    <row r="202" spans="2:16" ht="6" customHeight="1">
      <c r="F202" s="103"/>
      <c r="G202" s="103"/>
      <c r="H202" s="363"/>
      <c r="I202" s="363"/>
      <c r="J202" s="362"/>
      <c r="K202" s="359"/>
      <c r="L202" s="359"/>
      <c r="M202" s="359"/>
      <c r="N202" s="359"/>
      <c r="O202" s="359"/>
      <c r="P202" s="360"/>
    </row>
    <row r="203" spans="2:16" ht="12.75" customHeight="1">
      <c r="C203" t="s">
        <v>90</v>
      </c>
      <c r="F203" s="76"/>
      <c r="G203" s="103"/>
      <c r="H203" s="358"/>
      <c r="I203" s="358">
        <v>3</v>
      </c>
      <c r="J203" s="358">
        <v>3</v>
      </c>
      <c r="K203" s="358">
        <v>3</v>
      </c>
      <c r="L203" s="358">
        <v>3</v>
      </c>
      <c r="M203" s="358">
        <v>3</v>
      </c>
      <c r="N203" s="358">
        <v>3</v>
      </c>
      <c r="O203" s="358">
        <v>3</v>
      </c>
      <c r="P203" s="360"/>
    </row>
    <row r="204" spans="2:16" ht="12.75" customHeight="1">
      <c r="C204" t="s">
        <v>181</v>
      </c>
      <c r="F204" s="76"/>
      <c r="G204" s="103"/>
      <c r="H204" s="358"/>
      <c r="I204" s="358">
        <v>12412</v>
      </c>
      <c r="J204" s="358">
        <v>13409</v>
      </c>
      <c r="K204" s="358">
        <f ca="1">K391</f>
        <v>14244.739465882352</v>
      </c>
      <c r="L204" s="358">
        <f t="shared" ref="L204:O204" ca="1" si="82">L391</f>
        <v>15094.811828775866</v>
      </c>
      <c r="M204" s="358">
        <f t="shared" ca="1" si="82"/>
        <v>15974.286648411864</v>
      </c>
      <c r="N204" s="358">
        <f t="shared" ca="1" si="82"/>
        <v>16902.947779177448</v>
      </c>
      <c r="O204" s="358">
        <f t="shared" ca="1" si="82"/>
        <v>17881.082381869866</v>
      </c>
      <c r="P204" s="360"/>
    </row>
    <row r="205" spans="2:16" ht="12.75" customHeight="1">
      <c r="C205" t="s">
        <v>182</v>
      </c>
      <c r="F205" s="76"/>
      <c r="G205" s="103"/>
      <c r="H205" s="358"/>
      <c r="I205" s="358">
        <v>231</v>
      </c>
      <c r="J205" s="358">
        <v>53</v>
      </c>
      <c r="K205" s="359">
        <f ca="1">J205+K131+K153+K156</f>
        <v>-316.70114985294117</v>
      </c>
      <c r="L205" s="359">
        <f ca="1">K205+L131+L153+L156</f>
        <v>-662.08971789547513</v>
      </c>
      <c r="M205" s="359">
        <f ca="1">L205+M131+M153+M156</f>
        <v>-1010.6579132438914</v>
      </c>
      <c r="N205" s="359">
        <f ca="1">M205+N131+N153+N156</f>
        <v>-1379.0040974846606</v>
      </c>
      <c r="O205" s="359">
        <f ca="1">N205+O131+O153+O156</f>
        <v>-1750.3672984524519</v>
      </c>
      <c r="P205" s="360"/>
    </row>
    <row r="206" spans="2:16" ht="12.75" customHeight="1">
      <c r="C206" t="s">
        <v>92</v>
      </c>
      <c r="F206" s="76"/>
      <c r="G206" s="157"/>
      <c r="H206" s="365"/>
      <c r="I206" s="365">
        <v>1358</v>
      </c>
      <c r="J206" s="365">
        <v>965</v>
      </c>
      <c r="K206" s="359">
        <f ca="1">K403</f>
        <v>202.08182500000021</v>
      </c>
      <c r="L206" s="359">
        <f t="shared" ref="L206:O206" ca="1" si="83">L403</f>
        <v>-457.9754801629997</v>
      </c>
      <c r="M206" s="359">
        <f t="shared" ca="1" si="83"/>
        <v>1296.2496237559099</v>
      </c>
      <c r="N206" s="359">
        <f t="shared" ca="1" si="83"/>
        <v>3690.2550427290753</v>
      </c>
      <c r="O206" s="359">
        <f t="shared" ca="1" si="83"/>
        <v>6645.6053389247008</v>
      </c>
      <c r="P206" s="360"/>
    </row>
    <row r="207" spans="2:16" ht="12.75" customHeight="1">
      <c r="C207" s="75" t="s">
        <v>23</v>
      </c>
      <c r="F207" s="91"/>
      <c r="G207" s="142"/>
      <c r="H207" s="378"/>
      <c r="I207" s="378">
        <f>SUM(I203:I206)</f>
        <v>14004</v>
      </c>
      <c r="J207" s="378">
        <f t="shared" ref="J207" si="84">SUM(J203:J206)</f>
        <v>14430</v>
      </c>
      <c r="K207" s="379">
        <f ca="1">SUM(K203:K206)</f>
        <v>14133.120141029412</v>
      </c>
      <c r="L207" s="379">
        <f t="shared" ref="L207:O207" ca="1" si="85">SUM(L203:L206)</f>
        <v>13977.746630717393</v>
      </c>
      <c r="M207" s="379">
        <f t="shared" ca="1" si="85"/>
        <v>16262.878358923883</v>
      </c>
      <c r="N207" s="379">
        <f t="shared" ca="1" si="85"/>
        <v>19217.198724421862</v>
      </c>
      <c r="O207" s="379">
        <f t="shared" ca="1" si="85"/>
        <v>22779.320422342113</v>
      </c>
      <c r="P207" s="360"/>
    </row>
    <row r="208" spans="2:16" ht="7" customHeight="1">
      <c r="F208" s="103"/>
      <c r="G208" s="103"/>
      <c r="H208" s="362"/>
      <c r="I208" s="362"/>
      <c r="J208" s="362"/>
      <c r="K208" s="359"/>
      <c r="L208" s="359"/>
      <c r="M208" s="359"/>
      <c r="N208" s="359"/>
      <c r="O208" s="359"/>
      <c r="P208" s="360"/>
    </row>
    <row r="209" spans="1:16" ht="12.75" customHeight="1" thickBot="1">
      <c r="B209" s="75" t="s">
        <v>24</v>
      </c>
      <c r="F209" s="91"/>
      <c r="G209" s="105"/>
      <c r="H209" s="364"/>
      <c r="I209" s="364">
        <f>I207+I201</f>
        <v>37531</v>
      </c>
      <c r="J209" s="364">
        <f t="shared" ref="J209" si="86">J207+J201</f>
        <v>38110</v>
      </c>
      <c r="K209" s="380">
        <f ca="1">K201+K207</f>
        <v>36098.228051303384</v>
      </c>
      <c r="L209" s="380">
        <f t="shared" ref="L209:N209" ca="1" si="87">L201+L207</f>
        <v>35449.84353030895</v>
      </c>
      <c r="M209" s="380">
        <f t="shared" ca="1" si="87"/>
        <v>35384.117823926492</v>
      </c>
      <c r="N209" s="380">
        <f t="shared" ca="1" si="87"/>
        <v>38190.045156476961</v>
      </c>
      <c r="O209" s="380">
        <f ca="1">O201+O207</f>
        <v>41848.213295766662</v>
      </c>
      <c r="P209" s="360"/>
    </row>
    <row r="210" spans="1:16" ht="12.75" customHeight="1" thickTop="1">
      <c r="F210" s="158"/>
      <c r="G210" s="158"/>
      <c r="H210" s="362"/>
      <c r="I210" s="362"/>
      <c r="J210" s="362"/>
      <c r="K210" s="362"/>
      <c r="L210" s="362"/>
      <c r="M210" s="362"/>
      <c r="N210" s="362"/>
      <c r="O210" s="362"/>
      <c r="P210" s="360"/>
    </row>
    <row r="211" spans="1:16" ht="11" customHeight="1">
      <c r="B211" s="136"/>
      <c r="D211" s="159" t="s">
        <v>25</v>
      </c>
      <c r="F211" s="160"/>
      <c r="G211" s="160"/>
      <c r="H211" s="367"/>
      <c r="I211" s="367">
        <f t="shared" ref="I211:O211" si="88">ROUND(I185-I209,3)</f>
        <v>0</v>
      </c>
      <c r="J211" s="367">
        <f t="shared" si="88"/>
        <v>0</v>
      </c>
      <c r="K211" s="367">
        <f t="shared" ca="1" si="88"/>
        <v>0</v>
      </c>
      <c r="L211" s="367">
        <f t="shared" ca="1" si="88"/>
        <v>0</v>
      </c>
      <c r="M211" s="367">
        <f t="shared" ca="1" si="88"/>
        <v>0</v>
      </c>
      <c r="N211" s="367">
        <f t="shared" ca="1" si="88"/>
        <v>0</v>
      </c>
      <c r="O211" s="367">
        <f t="shared" ca="1" si="88"/>
        <v>0</v>
      </c>
      <c r="P211" s="360"/>
    </row>
    <row r="212" spans="1:16" ht="12.75" customHeight="1">
      <c r="B212" s="161"/>
      <c r="C212" s="11"/>
      <c r="D212" s="11"/>
      <c r="E212" s="11"/>
      <c r="F212" s="11"/>
      <c r="G212" s="11"/>
      <c r="H212" s="11"/>
      <c r="I212" s="11"/>
      <c r="J212" s="11"/>
      <c r="K212" s="162"/>
      <c r="L212" s="162"/>
      <c r="M212" s="162"/>
      <c r="N212" s="162"/>
      <c r="O212" s="162"/>
    </row>
    <row r="213" spans="1:16" ht="16.5" customHeight="1">
      <c r="F213"/>
    </row>
    <row r="214" spans="1:16" ht="16" customHeight="1">
      <c r="A214" s="66"/>
      <c r="B214" s="1"/>
      <c r="C214" s="3"/>
      <c r="D214" s="3"/>
      <c r="E214" s="3"/>
      <c r="F214" s="65"/>
      <c r="G214" s="3"/>
      <c r="H214" s="3"/>
      <c r="I214" s="3"/>
      <c r="J214" s="3"/>
      <c r="K214" s="3"/>
      <c r="L214" s="3"/>
      <c r="M214" s="3"/>
      <c r="N214" s="3"/>
      <c r="O214" s="97" t="str">
        <f>$O$1</f>
        <v>Currently Running: Base Case Scenario</v>
      </c>
    </row>
    <row r="215" spans="1:16" ht="20" customHeight="1">
      <c r="B215" s="619" t="str">
        <f>B$2</f>
        <v>NIKE</v>
      </c>
      <c r="C215" s="621"/>
      <c r="D215" s="163"/>
      <c r="E215" s="164"/>
      <c r="F215" s="164"/>
      <c r="G215" s="165"/>
      <c r="H215" s="165"/>
      <c r="I215" s="165"/>
      <c r="J215" s="165"/>
      <c r="K215" s="165"/>
      <c r="L215" s="165"/>
      <c r="M215" s="165"/>
      <c r="N215" s="165"/>
      <c r="O215" s="165"/>
    </row>
    <row r="216" spans="1:16" ht="18" customHeight="1">
      <c r="B216" s="68" t="s">
        <v>136</v>
      </c>
      <c r="C216" s="68"/>
      <c r="D216" s="68"/>
      <c r="E216" s="166"/>
      <c r="F216" s="166"/>
      <c r="G216" s="68"/>
      <c r="H216" s="68"/>
      <c r="I216" s="68"/>
      <c r="J216" s="68"/>
      <c r="K216" s="68"/>
      <c r="L216" s="68"/>
      <c r="M216" s="68"/>
      <c r="N216" s="68"/>
      <c r="O216" s="68"/>
    </row>
    <row r="217" spans="1:16" ht="12.75" customHeight="1" thickBot="1">
      <c r="A217" s="67"/>
      <c r="B217" s="269"/>
      <c r="C217" s="270"/>
      <c r="D217" s="270"/>
      <c r="E217" s="270"/>
      <c r="F217" s="271"/>
      <c r="G217" s="270"/>
      <c r="H217" s="270"/>
      <c r="I217" s="270"/>
      <c r="J217" s="270"/>
      <c r="K217" s="270"/>
      <c r="L217" s="270"/>
      <c r="M217" s="270"/>
      <c r="N217" s="270"/>
      <c r="O217" s="270"/>
    </row>
    <row r="218" spans="1:16" ht="12.75" customHeight="1">
      <c r="B218" s="115" t="s">
        <v>122</v>
      </c>
      <c r="C218" s="136"/>
      <c r="E218" s="71"/>
      <c r="G218" s="136"/>
    </row>
    <row r="219" spans="1:16" ht="12.75" customHeight="1">
      <c r="E219" s="71"/>
      <c r="K219" s="73" t="s">
        <v>2</v>
      </c>
      <c r="L219" s="167"/>
      <c r="M219" s="167"/>
      <c r="N219" s="167"/>
      <c r="O219" s="167"/>
    </row>
    <row r="220" spans="1:16" ht="12.75" customHeight="1">
      <c r="C220" s="90"/>
      <c r="D220" s="90"/>
      <c r="E220" s="101"/>
      <c r="F220" s="570"/>
      <c r="G220" s="98"/>
      <c r="H220" s="260">
        <f t="shared" ref="H220:J220" si="89">H$7</f>
        <v>2022</v>
      </c>
      <c r="I220" s="260">
        <f t="shared" si="89"/>
        <v>2023</v>
      </c>
      <c r="J220" s="260">
        <f t="shared" si="89"/>
        <v>2024</v>
      </c>
      <c r="K220" s="263">
        <f>K$7</f>
        <v>2025</v>
      </c>
      <c r="L220" s="263">
        <f>L$7</f>
        <v>2026</v>
      </c>
      <c r="M220" s="263">
        <f>M$7</f>
        <v>2027</v>
      </c>
      <c r="N220" s="263">
        <f>N$7</f>
        <v>2028</v>
      </c>
      <c r="O220" s="263">
        <f>O$7</f>
        <v>2029</v>
      </c>
    </row>
    <row r="221" spans="1:16" ht="12.75" customHeight="1">
      <c r="F221" s="571"/>
    </row>
    <row r="222" spans="1:16" ht="12.75" customHeight="1">
      <c r="A222" s="169"/>
      <c r="B222" s="170" t="s">
        <v>198</v>
      </c>
      <c r="C222" s="5"/>
      <c r="D222" s="5"/>
      <c r="E222" s="5"/>
      <c r="F222" s="574">
        <v>4.0000000000000001E-3</v>
      </c>
      <c r="K222" s="171"/>
      <c r="L222" s="172"/>
      <c r="M222" s="172"/>
      <c r="N222" s="172"/>
    </row>
    <row r="223" spans="1:16" ht="12.75" customHeight="1">
      <c r="A223" s="169"/>
      <c r="B223" s="173" t="s">
        <v>197</v>
      </c>
      <c r="C223" s="11"/>
      <c r="D223" s="174"/>
      <c r="E223" s="175"/>
      <c r="F223" s="549">
        <v>5.5E-2</v>
      </c>
      <c r="K223" s="171"/>
      <c r="L223" s="172"/>
      <c r="M223" s="172"/>
      <c r="N223" s="172"/>
    </row>
    <row r="224" spans="1:16" ht="12.75" customHeight="1">
      <c r="A224" s="169"/>
      <c r="B224" s="370"/>
      <c r="D224" s="327"/>
      <c r="E224" s="328"/>
      <c r="F224" s="573"/>
      <c r="K224" s="171"/>
      <c r="L224" s="172"/>
      <c r="M224" s="172"/>
      <c r="N224" s="172"/>
    </row>
    <row r="225" spans="1:15" ht="12.75" customHeight="1">
      <c r="A225" s="169"/>
      <c r="B225" s="370"/>
      <c r="D225" s="176" t="s">
        <v>135</v>
      </c>
      <c r="E225" s="328"/>
      <c r="F225" s="328"/>
      <c r="K225" s="372">
        <f>J231</f>
        <v>5000</v>
      </c>
      <c r="L225" s="372">
        <f t="shared" ref="L225:O225" ca="1" si="90">K231</f>
        <v>4933.9348664705885</v>
      </c>
      <c r="M225" s="372">
        <f ca="1">L231</f>
        <v>4875.0865395380852</v>
      </c>
      <c r="N225" s="372">
        <f ca="1">M231</f>
        <v>4826.8254847724902</v>
      </c>
      <c r="O225" s="372">
        <f t="shared" ca="1" si="90"/>
        <v>4793.5153658013996</v>
      </c>
    </row>
    <row r="226" spans="1:15" ht="12.75" customHeight="1">
      <c r="A226" s="169"/>
      <c r="B226" s="370"/>
      <c r="D226" s="328" t="s">
        <v>40</v>
      </c>
      <c r="E226" s="328"/>
      <c r="F226" s="328"/>
      <c r="K226" s="372">
        <f>K225*$F$223</f>
        <v>275</v>
      </c>
      <c r="L226" s="372">
        <f t="shared" ref="L226:O226" ca="1" si="91">L225*$F$223</f>
        <v>271.36641765588234</v>
      </c>
      <c r="M226" s="372">
        <f t="shared" ca="1" si="91"/>
        <v>268.12975967459471</v>
      </c>
      <c r="N226" s="372">
        <f t="shared" ca="1" si="91"/>
        <v>265.47540166248695</v>
      </c>
      <c r="O226" s="372">
        <f t="shared" ca="1" si="91"/>
        <v>263.64334511907697</v>
      </c>
    </row>
    <row r="227" spans="1:15" ht="12.75" customHeight="1">
      <c r="A227" s="169"/>
      <c r="B227" s="370"/>
      <c r="D227" s="328"/>
      <c r="E227" s="328"/>
      <c r="F227" s="328"/>
      <c r="K227" s="372"/>
      <c r="L227" s="372"/>
      <c r="M227" s="372"/>
      <c r="N227" s="372"/>
      <c r="O227" s="372"/>
    </row>
    <row r="228" spans="1:15" ht="12.75" customHeight="1">
      <c r="A228" s="169"/>
      <c r="B228" s="370"/>
      <c r="D228" s="176" t="s">
        <v>38</v>
      </c>
      <c r="E228" s="328"/>
      <c r="F228" s="328"/>
      <c r="K228" s="372">
        <f ca="1">K89</f>
        <v>52233.716617647056</v>
      </c>
      <c r="L228" s="372">
        <f ca="1">L89</f>
        <v>53129.522680844639</v>
      </c>
      <c r="M228" s="372">
        <f ca="1">M89</f>
        <v>54967.176227249867</v>
      </c>
      <c r="N228" s="372">
        <f ca="1">N89</f>
        <v>58041.320672849004</v>
      </c>
      <c r="O228" s="372">
        <f ca="1">O89</f>
        <v>61133.412668276105</v>
      </c>
    </row>
    <row r="229" spans="1:15" ht="12.75" customHeight="1">
      <c r="A229" s="169"/>
      <c r="B229" s="370"/>
      <c r="D229" t="s">
        <v>44</v>
      </c>
      <c r="E229" s="328"/>
      <c r="F229" s="328"/>
      <c r="K229" s="372">
        <f ca="1">K228*$F$222</f>
        <v>208.93486647058822</v>
      </c>
      <c r="L229" s="372">
        <f t="shared" ref="L229:O229" ca="1" si="92">L228*$F$222</f>
        <v>212.51809072337855</v>
      </c>
      <c r="M229" s="372">
        <f t="shared" ca="1" si="92"/>
        <v>219.86870490899946</v>
      </c>
      <c r="N229" s="372">
        <f t="shared" ca="1" si="92"/>
        <v>232.16528269139602</v>
      </c>
      <c r="O229" s="372">
        <f t="shared" ca="1" si="92"/>
        <v>244.53365067310443</v>
      </c>
    </row>
    <row r="230" spans="1:15" ht="12.75" customHeight="1">
      <c r="D230" s="176"/>
      <c r="H230" s="371"/>
      <c r="I230" s="371"/>
      <c r="J230" s="371"/>
      <c r="K230" s="371"/>
      <c r="L230" s="371"/>
      <c r="M230" s="371"/>
      <c r="N230" s="371"/>
      <c r="O230" s="371"/>
    </row>
    <row r="231" spans="1:15" ht="12.75" customHeight="1">
      <c r="D231" s="176" t="s">
        <v>134</v>
      </c>
      <c r="H231" s="371"/>
      <c r="I231" s="371"/>
      <c r="J231" s="376">
        <v>5000</v>
      </c>
      <c r="K231" s="376">
        <f ca="1">SUM(K225,-K226,K229)</f>
        <v>4933.9348664705885</v>
      </c>
      <c r="L231" s="376">
        <f t="shared" ref="L231:O231" ca="1" si="93">SUM(L225,-L226,L229)</f>
        <v>4875.0865395380852</v>
      </c>
      <c r="M231" s="376">
        <f t="shared" ca="1" si="93"/>
        <v>4826.8254847724902</v>
      </c>
      <c r="N231" s="376">
        <f t="shared" ca="1" si="93"/>
        <v>4793.5153658013996</v>
      </c>
      <c r="O231" s="376">
        <f t="shared" ca="1" si="93"/>
        <v>4774.4056713554273</v>
      </c>
    </row>
    <row r="232" spans="1:15" ht="12.75" customHeight="1">
      <c r="B232" s="11"/>
      <c r="C232" s="11"/>
      <c r="D232" s="11"/>
      <c r="E232" s="11"/>
      <c r="F232" s="96"/>
      <c r="G232" s="11"/>
      <c r="H232" s="177"/>
      <c r="I232" s="177"/>
      <c r="J232" s="177"/>
      <c r="K232" s="177"/>
      <c r="L232" s="177"/>
      <c r="M232" s="177"/>
      <c r="N232" s="177"/>
      <c r="O232" s="11"/>
    </row>
    <row r="233" spans="1:15" ht="12.75" customHeight="1">
      <c r="A233" s="66"/>
      <c r="B233" s="1"/>
      <c r="C233" s="3"/>
      <c r="D233" s="3"/>
      <c r="E233" s="3"/>
      <c r="F233" s="65"/>
      <c r="G233" s="3"/>
      <c r="H233" s="3"/>
      <c r="I233" s="3"/>
      <c r="J233" s="3"/>
      <c r="K233" s="3"/>
      <c r="L233" s="3"/>
      <c r="M233" s="3"/>
      <c r="N233" s="3"/>
      <c r="O233" s="97"/>
    </row>
    <row r="234" spans="1:15" ht="16" customHeight="1">
      <c r="A234" s="66"/>
      <c r="B234" s="1"/>
      <c r="C234" s="3"/>
      <c r="D234" s="3"/>
      <c r="E234" s="3"/>
      <c r="F234" s="65"/>
      <c r="G234" s="3"/>
      <c r="H234" s="3"/>
      <c r="I234" s="3"/>
      <c r="J234" s="3"/>
      <c r="K234" s="3"/>
      <c r="L234" s="3"/>
      <c r="M234" s="3"/>
      <c r="N234" s="3"/>
      <c r="O234" s="97" t="str">
        <f>$O$1</f>
        <v>Currently Running: Base Case Scenario</v>
      </c>
    </row>
    <row r="235" spans="1:15" ht="20" customHeight="1">
      <c r="B235" s="619" t="str">
        <f>B$2</f>
        <v>NIKE</v>
      </c>
      <c r="C235" s="163"/>
      <c r="D235" s="163"/>
      <c r="E235" s="164"/>
      <c r="F235" s="164"/>
      <c r="G235" s="165"/>
      <c r="H235" s="165"/>
      <c r="I235" s="165"/>
      <c r="J235" s="165"/>
      <c r="K235" s="165"/>
      <c r="L235" s="165"/>
      <c r="M235" s="165"/>
      <c r="N235" s="165"/>
      <c r="O235" s="165"/>
    </row>
    <row r="236" spans="1:15" ht="18" customHeight="1">
      <c r="B236" s="68" t="s">
        <v>206</v>
      </c>
      <c r="C236" s="68"/>
      <c r="D236" s="68"/>
      <c r="E236" s="166"/>
      <c r="F236" s="166"/>
      <c r="G236" s="68"/>
      <c r="H236" s="68"/>
      <c r="I236" s="68"/>
      <c r="J236" s="68"/>
      <c r="K236" s="68"/>
      <c r="L236" s="68"/>
      <c r="M236" s="68"/>
      <c r="N236" s="68"/>
      <c r="O236" s="68"/>
    </row>
    <row r="237" spans="1:15" ht="12.75" customHeight="1" thickBot="1">
      <c r="A237" s="67"/>
      <c r="B237" s="269"/>
      <c r="C237" s="270"/>
      <c r="D237" s="270"/>
      <c r="E237" s="270"/>
      <c r="F237" s="271"/>
      <c r="G237" s="270"/>
      <c r="H237" s="270"/>
      <c r="I237" s="270"/>
      <c r="J237" s="270"/>
      <c r="K237" s="270"/>
      <c r="L237" s="270"/>
      <c r="M237" s="270"/>
      <c r="N237" s="270"/>
      <c r="O237" s="270"/>
    </row>
    <row r="238" spans="1:15" ht="12.75" customHeight="1">
      <c r="B238" s="115" t="s">
        <v>122</v>
      </c>
      <c r="C238" s="136"/>
      <c r="E238" s="71"/>
      <c r="G238" s="136"/>
    </row>
    <row r="239" spans="1:15" ht="12.75" customHeight="1">
      <c r="E239" s="71"/>
      <c r="K239" s="73" t="s">
        <v>2</v>
      </c>
      <c r="L239" s="167"/>
      <c r="M239" s="167"/>
      <c r="N239" s="167"/>
      <c r="O239" s="167"/>
    </row>
    <row r="240" spans="1:15" ht="12.75" customHeight="1">
      <c r="C240" s="90"/>
      <c r="D240" s="90"/>
      <c r="E240" s="101"/>
      <c r="F240" s="570"/>
      <c r="G240" s="98"/>
      <c r="H240" s="260">
        <f t="shared" ref="H240:J240" si="94">H$7</f>
        <v>2022</v>
      </c>
      <c r="I240" s="260">
        <f t="shared" si="94"/>
        <v>2023</v>
      </c>
      <c r="J240" s="260">
        <f t="shared" si="94"/>
        <v>2024</v>
      </c>
      <c r="K240" s="263">
        <f>K$7</f>
        <v>2025</v>
      </c>
      <c r="L240" s="263">
        <f>L$7</f>
        <v>2026</v>
      </c>
      <c r="M240" s="263">
        <f>M$7</f>
        <v>2027</v>
      </c>
      <c r="N240" s="263">
        <f>N$7</f>
        <v>2028</v>
      </c>
      <c r="O240" s="263">
        <f>O$7</f>
        <v>2029</v>
      </c>
    </row>
    <row r="241" spans="1:15" ht="12.75" customHeight="1">
      <c r="F241" s="571"/>
    </row>
    <row r="242" spans="1:15" ht="12.75" customHeight="1">
      <c r="A242" s="169"/>
      <c r="B242" s="170" t="s">
        <v>210</v>
      </c>
      <c r="C242" s="28"/>
      <c r="D242" s="5"/>
      <c r="E242" s="5"/>
      <c r="F242" s="548">
        <f>Assumptions!H38</f>
        <v>0.65</v>
      </c>
      <c r="K242" s="171"/>
      <c r="L242" s="172"/>
      <c r="M242" s="172"/>
      <c r="N242" s="172"/>
    </row>
    <row r="243" spans="1:15" ht="12.75" customHeight="1">
      <c r="A243" s="169"/>
      <c r="B243" s="375" t="s">
        <v>211</v>
      </c>
      <c r="C243" s="6"/>
      <c r="D243" s="327"/>
      <c r="E243" s="328"/>
      <c r="F243" s="572">
        <f>Assumptions!H39</f>
        <v>0.28000000000000003</v>
      </c>
      <c r="K243" s="171"/>
      <c r="L243" s="172"/>
      <c r="M243" s="172"/>
      <c r="N243" s="172"/>
    </row>
    <row r="244" spans="1:15" ht="12.75" customHeight="1">
      <c r="A244" s="169"/>
      <c r="B244" s="173" t="s">
        <v>212</v>
      </c>
      <c r="C244" s="12"/>
      <c r="D244" s="174"/>
      <c r="E244" s="175"/>
      <c r="F244" s="549">
        <f>Assumptions!H40</f>
        <v>0.73</v>
      </c>
      <c r="K244" s="171"/>
      <c r="L244" s="172"/>
      <c r="M244" s="172"/>
      <c r="N244" s="172"/>
    </row>
    <row r="245" spans="1:15" ht="12.75" customHeight="1">
      <c r="A245" s="169"/>
      <c r="B245" s="370"/>
      <c r="D245" s="327"/>
      <c r="E245" s="328"/>
      <c r="F245" s="573"/>
      <c r="K245" s="171"/>
      <c r="L245" s="172"/>
      <c r="M245" s="172"/>
      <c r="N245" s="172"/>
    </row>
    <row r="246" spans="1:15" ht="12.75" customHeight="1">
      <c r="A246" s="169"/>
      <c r="B246" s="370"/>
      <c r="C246" s="176" t="s">
        <v>207</v>
      </c>
      <c r="E246" s="328"/>
      <c r="F246" s="573"/>
      <c r="K246" s="372">
        <f>J254</f>
        <v>1722</v>
      </c>
      <c r="L246" s="372">
        <f t="shared" ref="L246:O246" si="95">K254</f>
        <v>1580.6664000000001</v>
      </c>
      <c r="M246" s="372">
        <f t="shared" ca="1" si="95"/>
        <v>1411.4239147815092</v>
      </c>
      <c r="N246" s="372">
        <f t="shared" ca="1" si="95"/>
        <v>1321.100911407691</v>
      </c>
      <c r="O246" s="372">
        <f t="shared" ca="1" si="95"/>
        <v>1224.1317395931655</v>
      </c>
    </row>
    <row r="247" spans="1:15" ht="12.75" customHeight="1">
      <c r="A247" s="169"/>
      <c r="B247" s="370"/>
      <c r="D247" s="328"/>
      <c r="E247" s="328"/>
      <c r="F247" s="573"/>
      <c r="J247" s="360"/>
      <c r="K247" s="372"/>
      <c r="L247" s="372"/>
      <c r="M247" s="372"/>
      <c r="N247" s="372"/>
      <c r="O247" s="372"/>
    </row>
    <row r="248" spans="1:15" ht="12.75" customHeight="1">
      <c r="A248" s="169"/>
      <c r="B248" s="370"/>
      <c r="D248" s="328" t="s">
        <v>12</v>
      </c>
      <c r="E248" s="328"/>
      <c r="F248" s="328"/>
      <c r="J248" s="360">
        <f t="shared" ref="J248:O248" si="96">J171</f>
        <v>9860</v>
      </c>
      <c r="K248" s="360">
        <f t="shared" ca="1" si="96"/>
        <v>8738.0687450261885</v>
      </c>
      <c r="L248" s="360">
        <f t="shared" ca="1" si="96"/>
        <v>8283.6348715904205</v>
      </c>
      <c r="M248" s="360">
        <f t="shared" ca="1" si="96"/>
        <v>7655.1893195276243</v>
      </c>
      <c r="N248" s="360">
        <f t="shared" ca="1" si="96"/>
        <v>9735.3407209276302</v>
      </c>
      <c r="O248" s="360">
        <f t="shared" ca="1" si="96"/>
        <v>12531.447499590424</v>
      </c>
    </row>
    <row r="249" spans="1:15" ht="12.75" customHeight="1">
      <c r="A249" s="169"/>
      <c r="B249" s="370"/>
      <c r="D249" s="328"/>
      <c r="E249" s="328"/>
      <c r="F249" s="328"/>
      <c r="K249" s="372"/>
      <c r="L249" s="372"/>
      <c r="M249" s="372"/>
      <c r="N249" s="372"/>
      <c r="O249" s="372"/>
    </row>
    <row r="250" spans="1:15" ht="12.75" customHeight="1">
      <c r="A250" s="169"/>
      <c r="B250" s="370"/>
      <c r="D250" s="328" t="s">
        <v>186</v>
      </c>
      <c r="E250" s="328"/>
      <c r="F250" s="328"/>
      <c r="K250" s="372">
        <f>-J248*$F$242</f>
        <v>-6409</v>
      </c>
      <c r="L250" s="372">
        <f t="shared" ref="L250:O250" ca="1" si="97">-K248*$F$242</f>
        <v>-5679.7446842670224</v>
      </c>
      <c r="M250" s="372">
        <f t="shared" ca="1" si="97"/>
        <v>-5384.3626665337733</v>
      </c>
      <c r="N250" s="372">
        <f t="shared" ca="1" si="97"/>
        <v>-4975.8730576929556</v>
      </c>
      <c r="O250" s="372">
        <f t="shared" ca="1" si="97"/>
        <v>-6327.9714686029602</v>
      </c>
    </row>
    <row r="251" spans="1:15" ht="12.75" customHeight="1">
      <c r="A251" s="169"/>
      <c r="B251" s="370"/>
      <c r="D251" s="328" t="s">
        <v>187</v>
      </c>
      <c r="E251" s="328"/>
      <c r="F251" s="328"/>
      <c r="K251" s="372">
        <f>(K246-K250)*$F$243</f>
        <v>2276.6800000000003</v>
      </c>
      <c r="L251" s="372">
        <f t="shared" ref="L251:O251" ca="1" si="98">(L246-L250)*$F$243</f>
        <v>2032.9151035947664</v>
      </c>
      <c r="M251" s="372">
        <f t="shared" ca="1" si="98"/>
        <v>1902.8202427682791</v>
      </c>
      <c r="N251" s="372">
        <f t="shared" ca="1" si="98"/>
        <v>1763.1527113481814</v>
      </c>
      <c r="O251" s="372">
        <f t="shared" ca="1" si="98"/>
        <v>2114.5888982949155</v>
      </c>
    </row>
    <row r="252" spans="1:15" ht="12.75" customHeight="1">
      <c r="A252" s="169"/>
      <c r="B252" s="370"/>
      <c r="D252" t="s">
        <v>209</v>
      </c>
      <c r="E252" s="328"/>
      <c r="F252" s="328"/>
      <c r="K252" s="372">
        <f>(K246-K250-K251)*$F$244</f>
        <v>4273.6535999999996</v>
      </c>
      <c r="L252" s="372">
        <f t="shared" ref="L252:O252" ca="1" si="99">(L246-L250-L251)*$F$244</f>
        <v>3816.0720658907471</v>
      </c>
      <c r="M252" s="372">
        <f t="shared" ca="1" si="99"/>
        <v>3571.865427139312</v>
      </c>
      <c r="N252" s="372">
        <f t="shared" ca="1" si="99"/>
        <v>3309.6895181593</v>
      </c>
      <c r="O252" s="372">
        <f t="shared" ca="1" si="99"/>
        <v>3969.3854462278832</v>
      </c>
    </row>
    <row r="253" spans="1:15" ht="12.75" customHeight="1">
      <c r="D253" s="176"/>
      <c r="H253" s="371"/>
      <c r="I253" s="371"/>
      <c r="J253" s="371"/>
      <c r="K253" s="371"/>
      <c r="L253" s="371"/>
      <c r="M253" s="371"/>
      <c r="N253" s="371"/>
      <c r="O253" s="371"/>
    </row>
    <row r="254" spans="1:15" ht="12.75" customHeight="1">
      <c r="C254" s="176" t="s">
        <v>208</v>
      </c>
      <c r="H254" s="371"/>
      <c r="I254" s="371"/>
      <c r="J254" s="376">
        <f>J172</f>
        <v>1722</v>
      </c>
      <c r="K254" s="376">
        <f>K246-K250-K251-K252</f>
        <v>1580.6664000000001</v>
      </c>
      <c r="L254" s="376">
        <f t="shared" ref="L254:O254" ca="1" si="100">L246-L250-L251-L252</f>
        <v>1411.4239147815092</v>
      </c>
      <c r="M254" s="376">
        <f t="shared" ca="1" si="100"/>
        <v>1321.100911407691</v>
      </c>
      <c r="N254" s="376">
        <f t="shared" ca="1" si="100"/>
        <v>1224.1317395931655</v>
      </c>
      <c r="O254" s="376">
        <f t="shared" ca="1" si="100"/>
        <v>1468.128863673327</v>
      </c>
    </row>
    <row r="255" spans="1:15">
      <c r="B255" s="11"/>
      <c r="C255" s="11"/>
      <c r="D255" s="11"/>
      <c r="E255" s="11"/>
      <c r="F255" s="96"/>
      <c r="G255" s="11"/>
      <c r="H255" s="177"/>
      <c r="I255" s="177"/>
      <c r="J255" s="177"/>
      <c r="K255" s="177"/>
      <c r="L255" s="177"/>
      <c r="M255" s="177"/>
      <c r="N255" s="177"/>
      <c r="O255" s="11"/>
    </row>
    <row r="256" spans="1:15">
      <c r="F256"/>
    </row>
    <row r="257" spans="1:16" ht="11.5" customHeight="1">
      <c r="A257" s="66"/>
      <c r="B257" s="1"/>
      <c r="C257" s="3"/>
      <c r="D257" s="3"/>
      <c r="E257" s="3"/>
      <c r="F257" s="65"/>
      <c r="G257" s="3"/>
      <c r="H257" s="3"/>
      <c r="I257" s="3"/>
      <c r="J257" s="3"/>
      <c r="K257" s="3"/>
      <c r="L257" s="3"/>
      <c r="M257" s="3"/>
      <c r="N257" s="3"/>
      <c r="O257" s="97" t="str">
        <f>$O$1</f>
        <v>Currently Running: Base Case Scenario</v>
      </c>
    </row>
    <row r="258" spans="1:16" ht="23">
      <c r="B258" s="619" t="str">
        <f>B$2</f>
        <v>NIKE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6" ht="18">
      <c r="B259" s="68" t="s">
        <v>42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6" ht="3" customHeight="1" thickBot="1">
      <c r="A260" s="67"/>
      <c r="B260" s="269"/>
      <c r="C260" s="270"/>
      <c r="D260" s="270"/>
      <c r="E260" s="270"/>
      <c r="F260" s="271"/>
      <c r="G260" s="270"/>
      <c r="H260" s="270"/>
      <c r="I260" s="270"/>
      <c r="J260" s="270"/>
      <c r="K260" s="270"/>
      <c r="L260" s="270"/>
      <c r="M260" s="270"/>
      <c r="N260" s="270"/>
      <c r="O260" s="270"/>
    </row>
    <row r="261" spans="1:16">
      <c r="B261" s="115" t="s">
        <v>122</v>
      </c>
      <c r="F261"/>
    </row>
    <row r="262" spans="1:16">
      <c r="F262"/>
      <c r="H262" s="154"/>
      <c r="I262" s="154"/>
      <c r="J262" s="154"/>
      <c r="K262" s="73" t="s">
        <v>2</v>
      </c>
      <c r="L262" s="20"/>
      <c r="M262" s="20"/>
      <c r="N262" s="20"/>
      <c r="O262" s="20"/>
    </row>
    <row r="263" spans="1:16">
      <c r="B263" s="178"/>
      <c r="C263" s="179" t="s">
        <v>72</v>
      </c>
      <c r="D263" s="405"/>
      <c r="E263" s="569">
        <f>Assumptions!N17</f>
        <v>0.15</v>
      </c>
      <c r="F263"/>
      <c r="H263" s="98"/>
      <c r="I263" s="98"/>
      <c r="J263" s="98"/>
      <c r="K263" s="262">
        <f>K$7</f>
        <v>2025</v>
      </c>
      <c r="L263" s="262">
        <f>L$7</f>
        <v>2026</v>
      </c>
      <c r="M263" s="262">
        <f>M$7</f>
        <v>2027</v>
      </c>
      <c r="N263" s="262">
        <f>N$7</f>
        <v>2028</v>
      </c>
      <c r="O263" s="262">
        <f>O$7</f>
        <v>2029</v>
      </c>
    </row>
    <row r="264" spans="1:16">
      <c r="B264" s="178"/>
      <c r="C264" s="90"/>
      <c r="E264" s="264"/>
      <c r="F264"/>
      <c r="H264" s="98"/>
      <c r="I264" s="98"/>
      <c r="J264" s="98"/>
      <c r="K264" s="262"/>
      <c r="L264" s="262"/>
      <c r="M264" s="262"/>
      <c r="N264" s="262"/>
      <c r="O264" s="262"/>
    </row>
    <row r="265" spans="1:16">
      <c r="F265"/>
    </row>
    <row r="266" spans="1:16">
      <c r="D266" s="75" t="s">
        <v>123</v>
      </c>
      <c r="F266" s="373" t="s">
        <v>30</v>
      </c>
      <c r="H266" s="180"/>
      <c r="I266" s="180"/>
      <c r="J266" s="560"/>
      <c r="K266" s="561">
        <f ca="1">K104</f>
        <v>6856.6631176470592</v>
      </c>
      <c r="L266" s="561">
        <f ca="1">L104</f>
        <v>7355.9435956949019</v>
      </c>
      <c r="M266" s="561">
        <f ca="1">M104</f>
        <v>8281.5754079137732</v>
      </c>
      <c r="N266" s="561">
        <f ca="1">N104</f>
        <v>9733.9561056449202</v>
      </c>
      <c r="O266" s="561">
        <f ca="1">O104</f>
        <v>11106.474190031829</v>
      </c>
    </row>
    <row r="267" spans="1:16">
      <c r="E267" s="90"/>
      <c r="F267"/>
      <c r="H267" s="172"/>
      <c r="I267" s="172"/>
      <c r="J267" s="562"/>
      <c r="K267" s="563"/>
      <c r="L267" s="563"/>
      <c r="M267" s="563"/>
      <c r="N267" s="563"/>
      <c r="O267" s="563"/>
      <c r="P267" s="125"/>
    </row>
    <row r="268" spans="1:16">
      <c r="D268" s="19" t="str">
        <f>CONCATENATE("Accounting Taxes (",$E$263*100,"% of A)")</f>
        <v>Accounting Taxes (15% of A)</v>
      </c>
      <c r="E268" s="61"/>
      <c r="F268" s="122"/>
      <c r="G268" s="122"/>
      <c r="H268" s="172"/>
      <c r="I268" s="172"/>
      <c r="J268" s="562"/>
      <c r="K268" s="562">
        <f ca="1">K266*$E$263</f>
        <v>1028.4994676470587</v>
      </c>
      <c r="L268" s="562">
        <f ca="1">L266*$E$263</f>
        <v>1103.3915393542352</v>
      </c>
      <c r="M268" s="562">
        <f ca="1">M266*$E$263</f>
        <v>1242.2363111870659</v>
      </c>
      <c r="N268" s="562">
        <f ca="1">N266*$E$263</f>
        <v>1460.093415846738</v>
      </c>
      <c r="O268" s="562">
        <f ca="1">O266*$E$263</f>
        <v>1665.9711285047745</v>
      </c>
    </row>
    <row r="269" spans="1:16">
      <c r="F269" s="181"/>
      <c r="H269" s="172"/>
      <c r="I269" s="172"/>
      <c r="J269" s="562"/>
      <c r="K269" s="562"/>
      <c r="L269" s="562"/>
      <c r="M269" s="562"/>
      <c r="N269" s="562"/>
      <c r="O269" s="562"/>
    </row>
    <row r="270" spans="1:16">
      <c r="F270" s="181"/>
      <c r="H270" s="172"/>
      <c r="I270" s="172"/>
      <c r="J270" s="562"/>
      <c r="K270" s="562"/>
      <c r="L270" s="562"/>
      <c r="M270" s="562"/>
      <c r="N270" s="562"/>
      <c r="O270" s="562"/>
    </row>
    <row r="271" spans="1:16">
      <c r="D271" s="129" t="s">
        <v>220</v>
      </c>
      <c r="E271" s="182"/>
      <c r="F271" s="183"/>
      <c r="G271" s="183"/>
      <c r="H271" s="183"/>
      <c r="I271" s="183"/>
      <c r="J271" s="564"/>
      <c r="K271" s="564"/>
      <c r="L271" s="564"/>
      <c r="M271" s="564"/>
      <c r="N271" s="564"/>
      <c r="O271" s="565"/>
    </row>
    <row r="272" spans="1:16">
      <c r="D272" s="22" t="s">
        <v>73</v>
      </c>
      <c r="E272" s="61"/>
      <c r="F272" s="122"/>
      <c r="G272" s="377"/>
      <c r="H272" s="172"/>
      <c r="I272" s="172"/>
      <c r="J272" s="562"/>
      <c r="K272" s="562">
        <f ca="1">K268</f>
        <v>1028.4994676470587</v>
      </c>
      <c r="L272" s="562">
        <f t="shared" ref="L272:O272" ca="1" si="101">L268</f>
        <v>1103.3915393542352</v>
      </c>
      <c r="M272" s="562">
        <f t="shared" ca="1" si="101"/>
        <v>1242.2363111870659</v>
      </c>
      <c r="N272" s="562">
        <f t="shared" ca="1" si="101"/>
        <v>1460.093415846738</v>
      </c>
      <c r="O272" s="566">
        <f t="shared" ca="1" si="101"/>
        <v>1665.9711285047745</v>
      </c>
    </row>
    <row r="273" spans="1:15">
      <c r="D273" s="6" t="s">
        <v>219</v>
      </c>
      <c r="E273" s="61"/>
      <c r="F273" s="122"/>
      <c r="G273" s="377"/>
      <c r="H273" s="172"/>
      <c r="I273" s="172"/>
      <c r="J273" s="562"/>
      <c r="K273" s="562">
        <f ca="1">K182-J182</f>
        <v>-332.30267058823574</v>
      </c>
      <c r="L273" s="562">
        <f ca="1">L182-K182</f>
        <v>71.664485055806836</v>
      </c>
      <c r="M273" s="562">
        <f ca="1">M182-L182</f>
        <v>147.01228371241814</v>
      </c>
      <c r="N273" s="562">
        <f ca="1">N182-M182</f>
        <v>245.93155564793142</v>
      </c>
      <c r="O273" s="566">
        <f ca="1">O182-N182</f>
        <v>247.36735963416777</v>
      </c>
    </row>
    <row r="274" spans="1:15">
      <c r="D274" s="22" t="s">
        <v>233</v>
      </c>
      <c r="E274" s="61"/>
      <c r="F274" s="122"/>
      <c r="G274" s="122"/>
      <c r="H274" s="172"/>
      <c r="I274" s="172"/>
      <c r="J274" s="562"/>
      <c r="K274" s="562">
        <f>-(K198-J198)</f>
        <v>0</v>
      </c>
      <c r="L274" s="562">
        <f>-(L198-K198)</f>
        <v>0</v>
      </c>
      <c r="M274" s="562">
        <f>-(M198-L198)</f>
        <v>0</v>
      </c>
      <c r="N274" s="562">
        <f>-(N198-M198)</f>
        <v>0</v>
      </c>
      <c r="O274" s="566">
        <f>-(O198-N198)</f>
        <v>0</v>
      </c>
    </row>
    <row r="275" spans="1:15">
      <c r="D275" s="184" t="s">
        <v>232</v>
      </c>
      <c r="E275" s="185"/>
      <c r="F275" s="186"/>
      <c r="G275" s="186"/>
      <c r="H275" s="187"/>
      <c r="I275" s="187"/>
      <c r="J275" s="567"/>
      <c r="K275" s="567">
        <f ca="1">K272+K273+K274</f>
        <v>696.19679705882299</v>
      </c>
      <c r="L275" s="567">
        <f t="shared" ref="L275:O275" ca="1" si="102">L272+L273+L274</f>
        <v>1175.056024410042</v>
      </c>
      <c r="M275" s="567">
        <f t="shared" ca="1" si="102"/>
        <v>1389.248594899484</v>
      </c>
      <c r="N275" s="567">
        <f t="shared" ca="1" si="102"/>
        <v>1706.0249714946694</v>
      </c>
      <c r="O275" s="568">
        <f t="shared" ca="1" si="102"/>
        <v>1913.3384881389422</v>
      </c>
    </row>
    <row r="276" spans="1:15" ht="8" customHeight="1">
      <c r="F276" s="181"/>
      <c r="H276" s="172"/>
      <c r="I276" s="172"/>
      <c r="J276" s="172"/>
      <c r="K276" s="172"/>
      <c r="L276" s="172"/>
      <c r="M276" s="172"/>
      <c r="N276" s="172"/>
      <c r="O276" s="172"/>
    </row>
    <row r="277" spans="1:15" ht="6" customHeight="1">
      <c r="B277" s="11"/>
      <c r="C277" s="11"/>
      <c r="D277" s="11"/>
      <c r="E277" s="188"/>
      <c r="F277" s="188"/>
      <c r="G277" s="189"/>
      <c r="H277" s="189"/>
      <c r="I277" s="189"/>
      <c r="J277" s="189"/>
      <c r="K277" s="189"/>
      <c r="L277" s="189"/>
      <c r="M277" s="189"/>
      <c r="N277" s="189"/>
      <c r="O277" s="11"/>
    </row>
    <row r="279" spans="1:15" ht="12.75" customHeight="1">
      <c r="A279" s="66"/>
      <c r="B279" s="1"/>
      <c r="C279" s="3"/>
      <c r="D279" s="3"/>
      <c r="E279" s="3"/>
      <c r="F279" s="65"/>
      <c r="G279" s="3"/>
      <c r="H279" s="3"/>
      <c r="I279" s="3"/>
      <c r="J279" s="3"/>
      <c r="K279" s="3"/>
      <c r="L279" s="3"/>
      <c r="M279" s="3"/>
      <c r="N279" s="3"/>
      <c r="O279" s="97" t="str">
        <f>$O$1</f>
        <v>Currently Running: Base Case Scenario</v>
      </c>
    </row>
    <row r="280" spans="1:15" ht="23">
      <c r="B280" s="619" t="str">
        <f>B$2</f>
        <v>NIKE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8">
      <c r="B281" s="68" t="s">
        <v>43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3" customHeight="1" thickBot="1">
      <c r="A282" s="67"/>
      <c r="B282" s="269"/>
      <c r="C282" s="270"/>
      <c r="D282" s="270"/>
      <c r="E282" s="270"/>
      <c r="F282" s="271"/>
      <c r="G282" s="270"/>
      <c r="H282" s="270"/>
      <c r="I282" s="270"/>
      <c r="J282" s="270"/>
      <c r="K282" s="270"/>
      <c r="L282" s="270"/>
      <c r="M282" s="270"/>
      <c r="N282" s="270"/>
      <c r="O282" s="270"/>
    </row>
    <row r="283" spans="1:15">
      <c r="B283" s="115" t="s">
        <v>122</v>
      </c>
      <c r="F283"/>
      <c r="O283" s="19"/>
    </row>
    <row r="284" spans="1:15">
      <c r="F284"/>
      <c r="H284" s="3"/>
      <c r="I284" s="3"/>
      <c r="J284" s="3"/>
      <c r="K284" s="73" t="s">
        <v>2</v>
      </c>
      <c r="L284" s="20"/>
      <c r="M284" s="20"/>
      <c r="N284" s="20"/>
      <c r="O284" s="20"/>
    </row>
    <row r="285" spans="1:15" ht="12" customHeight="1">
      <c r="F285"/>
      <c r="G285" s="138"/>
      <c r="H285" s="260">
        <f t="shared" ref="H285:J285" si="103">H$7</f>
        <v>2022</v>
      </c>
      <c r="I285" s="260">
        <f t="shared" si="103"/>
        <v>2023</v>
      </c>
      <c r="J285" s="260">
        <f t="shared" si="103"/>
        <v>2024</v>
      </c>
      <c r="K285" s="262">
        <f>K$7</f>
        <v>2025</v>
      </c>
      <c r="L285" s="262">
        <f>L$7</f>
        <v>2026</v>
      </c>
      <c r="M285" s="262">
        <f>M$7</f>
        <v>2027</v>
      </c>
      <c r="N285" s="262">
        <f>N$7</f>
        <v>2028</v>
      </c>
      <c r="O285" s="262">
        <f>O$7</f>
        <v>2029</v>
      </c>
    </row>
    <row r="286" spans="1:15" ht="12" customHeight="1">
      <c r="F286"/>
    </row>
    <row r="287" spans="1:15">
      <c r="B287" s="117" t="s">
        <v>81</v>
      </c>
      <c r="C287" s="118"/>
      <c r="D287" s="118"/>
      <c r="E287" s="118"/>
      <c r="F287" s="190" t="s">
        <v>51</v>
      </c>
      <c r="G287" s="118"/>
      <c r="H287" s="550"/>
      <c r="I287" s="551">
        <f t="shared" ref="I287:O287" si="104">DATE(I285,12,31)-DATE(H285,12,31)</f>
        <v>365</v>
      </c>
      <c r="J287" s="551">
        <f t="shared" si="104"/>
        <v>366</v>
      </c>
      <c r="K287" s="551">
        <f t="shared" si="104"/>
        <v>365</v>
      </c>
      <c r="L287" s="551">
        <f t="shared" si="104"/>
        <v>365</v>
      </c>
      <c r="M287" s="551">
        <f t="shared" si="104"/>
        <v>365</v>
      </c>
      <c r="N287" s="551">
        <f t="shared" si="104"/>
        <v>366</v>
      </c>
      <c r="O287" s="552">
        <f t="shared" si="104"/>
        <v>365</v>
      </c>
    </row>
    <row r="288" spans="1:15">
      <c r="F288" s="76"/>
      <c r="H288" s="434"/>
      <c r="I288" s="434"/>
      <c r="J288" s="434"/>
      <c r="K288" s="434"/>
      <c r="L288" s="434"/>
      <c r="M288" s="434"/>
      <c r="N288" s="434"/>
      <c r="O288" s="434"/>
    </row>
    <row r="289" spans="2:15">
      <c r="B289" s="90" t="s">
        <v>105</v>
      </c>
      <c r="F289" s="76"/>
      <c r="H289" s="434"/>
      <c r="I289" s="434"/>
      <c r="J289" s="434"/>
      <c r="K289" s="434"/>
      <c r="L289" s="434"/>
      <c r="M289" s="434"/>
      <c r="N289" s="434"/>
      <c r="O289" s="434"/>
    </row>
    <row r="290" spans="2:15">
      <c r="C290" t="s">
        <v>3</v>
      </c>
      <c r="F290" s="76" t="s">
        <v>121</v>
      </c>
      <c r="H290" s="434"/>
      <c r="I290" s="534">
        <f t="shared" ref="I290:O290" si="105">I89</f>
        <v>51217</v>
      </c>
      <c r="J290" s="534">
        <f t="shared" si="105"/>
        <v>51362</v>
      </c>
      <c r="K290" s="534">
        <f t="shared" ca="1" si="105"/>
        <v>52233.716617647056</v>
      </c>
      <c r="L290" s="534">
        <f t="shared" ca="1" si="105"/>
        <v>53129.522680844639</v>
      </c>
      <c r="M290" s="534">
        <f t="shared" ca="1" si="105"/>
        <v>54967.176227249867</v>
      </c>
      <c r="N290" s="534">
        <f t="shared" ca="1" si="105"/>
        <v>58041.320672849004</v>
      </c>
      <c r="O290" s="534">
        <f t="shared" ca="1" si="105"/>
        <v>61133.412668276105</v>
      </c>
    </row>
    <row r="291" spans="2:15">
      <c r="C291" t="s">
        <v>4</v>
      </c>
      <c r="F291" s="76" t="s">
        <v>121</v>
      </c>
      <c r="H291" s="434"/>
      <c r="I291" s="534">
        <f t="shared" ref="I291:O291" si="106">I91</f>
        <v>28925</v>
      </c>
      <c r="J291" s="534">
        <f t="shared" si="106"/>
        <v>28475</v>
      </c>
      <c r="K291" s="534">
        <f t="shared" si="106"/>
        <v>28550.743499999997</v>
      </c>
      <c r="L291" s="534">
        <f t="shared" si="106"/>
        <v>28628.1993726</v>
      </c>
      <c r="M291" s="534">
        <f t="shared" si="106"/>
        <v>29200.763360051998</v>
      </c>
      <c r="N291" s="534">
        <f t="shared" si="106"/>
        <v>30436.478057199362</v>
      </c>
      <c r="O291" s="534">
        <f t="shared" si="106"/>
        <v>31726.094772173557</v>
      </c>
    </row>
    <row r="292" spans="2:15">
      <c r="F292" s="76"/>
      <c r="H292" s="434"/>
      <c r="I292" s="434"/>
      <c r="J292" s="434"/>
      <c r="K292" s="434"/>
      <c r="L292" s="434"/>
      <c r="M292" s="434"/>
      <c r="N292" s="434"/>
      <c r="O292" s="434"/>
    </row>
    <row r="293" spans="2:15">
      <c r="B293" s="191" t="s">
        <v>26</v>
      </c>
      <c r="C293" s="192"/>
      <c r="F293" s="76"/>
      <c r="H293" s="434"/>
      <c r="I293" s="434"/>
      <c r="J293" s="434"/>
      <c r="K293" s="434"/>
      <c r="L293" s="434"/>
      <c r="M293" s="434"/>
      <c r="N293" s="434"/>
      <c r="O293" s="434"/>
    </row>
    <row r="294" spans="2:15">
      <c r="B294" s="193"/>
      <c r="C294" s="192" t="s">
        <v>13</v>
      </c>
      <c r="F294" s="76" t="s">
        <v>51</v>
      </c>
      <c r="G294" s="194"/>
      <c r="H294" s="553"/>
      <c r="I294" s="554">
        <f>(I302/I290)*I287</f>
        <v>29.439736806138587</v>
      </c>
      <c r="J294" s="554">
        <f>(J302/J290)*J287</f>
        <v>31.546318289786221</v>
      </c>
      <c r="K294" s="555">
        <f>Assumptions!J72</f>
        <v>28</v>
      </c>
      <c r="L294" s="555">
        <f>Assumptions!K72</f>
        <v>28</v>
      </c>
      <c r="M294" s="555">
        <f>Assumptions!L72</f>
        <v>30</v>
      </c>
      <c r="N294" s="555">
        <f>Assumptions!M72</f>
        <v>30</v>
      </c>
      <c r="O294" s="555">
        <f>Assumptions!N72</f>
        <v>30</v>
      </c>
    </row>
    <row r="295" spans="2:15">
      <c r="B295" s="193"/>
      <c r="C295" s="195" t="s">
        <v>27</v>
      </c>
      <c r="F295" s="76" t="s">
        <v>51</v>
      </c>
      <c r="G295" s="194"/>
      <c r="H295" s="553"/>
      <c r="I295" s="554">
        <f>(I303/I291)*I287</f>
        <v>106.67968885047536</v>
      </c>
      <c r="J295" s="554">
        <f>(J303/J291)*J287</f>
        <v>96.644565408252859</v>
      </c>
      <c r="K295" s="555">
        <f>Assumptions!J73</f>
        <v>100</v>
      </c>
      <c r="L295" s="555">
        <f>Assumptions!K73</f>
        <v>102</v>
      </c>
      <c r="M295" s="555">
        <f>Assumptions!L73</f>
        <v>104</v>
      </c>
      <c r="N295" s="555">
        <f>Assumptions!M73</f>
        <v>106</v>
      </c>
      <c r="O295" s="555">
        <f>Assumptions!N73</f>
        <v>104</v>
      </c>
    </row>
    <row r="296" spans="2:15">
      <c r="B296" s="193"/>
      <c r="C296" s="195" t="s">
        <v>117</v>
      </c>
      <c r="F296" s="76" t="s">
        <v>51</v>
      </c>
      <c r="G296" s="196"/>
      <c r="H296" s="553"/>
      <c r="I296" s="554">
        <f>(I304/I291)*I287</f>
        <v>24.505790838375109</v>
      </c>
      <c r="J296" s="554">
        <f>(J304/J291)*J287</f>
        <v>23.830166812993852</v>
      </c>
      <c r="K296" s="555">
        <f>Assumptions!J74</f>
        <v>24</v>
      </c>
      <c r="L296" s="555">
        <f>Assumptions!K74</f>
        <v>23.5</v>
      </c>
      <c r="M296" s="555">
        <f>Assumptions!L74</f>
        <v>23.5</v>
      </c>
      <c r="N296" s="555">
        <f>Assumptions!M74</f>
        <v>24</v>
      </c>
      <c r="O296" s="555">
        <f>Assumptions!N74</f>
        <v>24.5</v>
      </c>
    </row>
    <row r="297" spans="2:15">
      <c r="B297" s="193"/>
      <c r="C297" s="192" t="s">
        <v>19</v>
      </c>
      <c r="F297" s="76" t="s">
        <v>51</v>
      </c>
      <c r="G297" s="196"/>
      <c r="H297" s="553"/>
      <c r="I297" s="554">
        <f>I305/I291*I287</f>
        <v>36.115125324114082</v>
      </c>
      <c r="J297" s="554">
        <f>J305/J291*J287</f>
        <v>36.644986830553115</v>
      </c>
      <c r="K297" s="555">
        <f>Assumptions!J76</f>
        <v>36</v>
      </c>
      <c r="L297" s="555">
        <f>Assumptions!K76</f>
        <v>36.4</v>
      </c>
      <c r="M297" s="555">
        <f>Assumptions!L76</f>
        <v>36.5</v>
      </c>
      <c r="N297" s="555">
        <f>Assumptions!M76</f>
        <v>35.5</v>
      </c>
      <c r="O297" s="555">
        <f>Assumptions!N76</f>
        <v>36</v>
      </c>
    </row>
    <row r="298" spans="2:15">
      <c r="B298" s="193"/>
      <c r="C298" s="192" t="s">
        <v>176</v>
      </c>
      <c r="F298" s="76" t="s">
        <v>51</v>
      </c>
      <c r="G298" s="196"/>
      <c r="H298" s="553"/>
      <c r="I298" s="554">
        <f>I306/I291*I287</f>
        <v>72.217631806395858</v>
      </c>
      <c r="J298" s="554">
        <f>J306/J291*J287</f>
        <v>73.585601404740999</v>
      </c>
      <c r="K298" s="555">
        <f>Assumptions!J77</f>
        <v>72.5</v>
      </c>
      <c r="L298" s="555">
        <f>Assumptions!K77</f>
        <v>72.8</v>
      </c>
      <c r="M298" s="555">
        <f>Assumptions!L77</f>
        <v>73</v>
      </c>
      <c r="N298" s="555">
        <f>Assumptions!M77</f>
        <v>73.2</v>
      </c>
      <c r="O298" s="555">
        <f>Assumptions!N77</f>
        <v>73.5</v>
      </c>
    </row>
    <row r="299" spans="2:15">
      <c r="B299" s="193"/>
      <c r="C299" s="192" t="s">
        <v>177</v>
      </c>
      <c r="F299" s="76" t="s">
        <v>51</v>
      </c>
      <c r="G299" s="196"/>
      <c r="H299" s="553"/>
      <c r="I299" s="554">
        <f>I307/I291*I287</f>
        <v>3.0285220397579948</v>
      </c>
      <c r="J299" s="554">
        <f>J307/J291*J287</f>
        <v>6.8637050043898151</v>
      </c>
      <c r="K299" s="555">
        <f>Assumptions!J78</f>
        <v>5</v>
      </c>
      <c r="L299" s="555">
        <f>Assumptions!K78</f>
        <v>5</v>
      </c>
      <c r="M299" s="555">
        <f>Assumptions!L78</f>
        <v>5</v>
      </c>
      <c r="N299" s="555">
        <f>Assumptions!M78</f>
        <v>5.5</v>
      </c>
      <c r="O299" s="555">
        <f>Assumptions!N78</f>
        <v>5.5</v>
      </c>
    </row>
    <row r="300" spans="2:15">
      <c r="B300" s="193"/>
      <c r="C300" s="192"/>
      <c r="F300" s="76"/>
      <c r="H300" s="556"/>
      <c r="I300" s="556"/>
      <c r="J300" s="556"/>
      <c r="K300" s="556"/>
      <c r="L300" s="556"/>
      <c r="M300" s="556"/>
      <c r="N300" s="556"/>
      <c r="O300" s="556"/>
    </row>
    <row r="301" spans="2:15">
      <c r="B301" s="191" t="s">
        <v>28</v>
      </c>
      <c r="C301" s="192"/>
      <c r="F301" s="76"/>
      <c r="H301" s="556"/>
      <c r="I301" s="556"/>
      <c r="J301" s="556"/>
      <c r="K301" s="556"/>
      <c r="L301" s="556"/>
      <c r="M301" s="556"/>
      <c r="N301" s="556"/>
      <c r="O301" s="556"/>
    </row>
    <row r="302" spans="2:15">
      <c r="B302" s="193"/>
      <c r="C302" s="192" t="s">
        <v>13</v>
      </c>
      <c r="F302" s="76" t="s">
        <v>121</v>
      </c>
      <c r="H302" s="434"/>
      <c r="I302" s="543">
        <f t="shared" ref="I302:J304" si="107">I173</f>
        <v>4131</v>
      </c>
      <c r="J302" s="543">
        <f t="shared" si="107"/>
        <v>4427</v>
      </c>
      <c r="K302" s="543">
        <f ca="1">K290/K287*K294</f>
        <v>4006.9700419016922</v>
      </c>
      <c r="L302" s="543">
        <f ca="1">L290/L287*L294</f>
        <v>4075.6894111332876</v>
      </c>
      <c r="M302" s="543">
        <f ca="1">M290/M287*M294</f>
        <v>4517.8501008698522</v>
      </c>
      <c r="N302" s="543">
        <f ca="1">N290/N287*N294</f>
        <v>4757.485301053197</v>
      </c>
      <c r="O302" s="543">
        <f ca="1">O290/O287*O294</f>
        <v>5024.6640549268031</v>
      </c>
    </row>
    <row r="303" spans="2:15">
      <c r="B303" s="193"/>
      <c r="C303" s="195" t="s">
        <v>27</v>
      </c>
      <c r="F303" s="76" t="s">
        <v>121</v>
      </c>
      <c r="H303" s="434"/>
      <c r="I303" s="543">
        <f t="shared" si="107"/>
        <v>8454</v>
      </c>
      <c r="J303" s="543">
        <f t="shared" si="107"/>
        <v>7519</v>
      </c>
      <c r="K303" s="543">
        <f>K291/K287*K295</f>
        <v>7822.1215068493138</v>
      </c>
      <c r="L303" s="543">
        <f>L291/L287*L295</f>
        <v>8000.2091397402737</v>
      </c>
      <c r="M303" s="543">
        <f>M291/M287*M295</f>
        <v>8320.2175053298852</v>
      </c>
      <c r="N303" s="543">
        <f>N291/N287*N295</f>
        <v>8814.9362679320548</v>
      </c>
      <c r="O303" s="543">
        <f>O291/O287*O295</f>
        <v>9039.7639898795896</v>
      </c>
    </row>
    <row r="304" spans="2:15">
      <c r="B304" s="193"/>
      <c r="C304" s="195" t="s">
        <v>117</v>
      </c>
      <c r="F304" s="76" t="s">
        <v>121</v>
      </c>
      <c r="H304" s="434"/>
      <c r="I304" s="543">
        <f t="shared" si="107"/>
        <v>1942</v>
      </c>
      <c r="J304" s="543">
        <f t="shared" si="107"/>
        <v>1854</v>
      </c>
      <c r="K304" s="543">
        <f>K291/K287*K296</f>
        <v>1877.3091616438353</v>
      </c>
      <c r="L304" s="543">
        <f>L291/L287*L296</f>
        <v>1843.185439057808</v>
      </c>
      <c r="M304" s="543">
        <f>M291/M287*M296</f>
        <v>1880.0491478389642</v>
      </c>
      <c r="N304" s="543">
        <f>N291/N287*N296</f>
        <v>1995.8346267015975</v>
      </c>
      <c r="O304" s="543">
        <f>O291/O287*O296</f>
        <v>2129.5597860774033</v>
      </c>
    </row>
    <row r="305" spans="1:15">
      <c r="B305" s="193"/>
      <c r="C305" s="192" t="s">
        <v>19</v>
      </c>
      <c r="F305" s="76" t="s">
        <v>121</v>
      </c>
      <c r="H305" s="434"/>
      <c r="I305" s="557">
        <f>I190</f>
        <v>2862</v>
      </c>
      <c r="J305" s="557">
        <f>J190</f>
        <v>2851</v>
      </c>
      <c r="K305" s="557">
        <f>K291/K287*K297</f>
        <v>2815.9637424657531</v>
      </c>
      <c r="L305" s="557">
        <f>L291/L287*L297</f>
        <v>2854.9765949661364</v>
      </c>
      <c r="M305" s="557">
        <f>M291/M287*M297</f>
        <v>2920.0763360051997</v>
      </c>
      <c r="N305" s="557">
        <f>N291/N287*N297</f>
        <v>2952.1720519961127</v>
      </c>
      <c r="O305" s="557">
        <f>O291/O287*O297</f>
        <v>3129.1490734198578</v>
      </c>
    </row>
    <row r="306" spans="1:15">
      <c r="B306" s="193"/>
      <c r="C306" s="192" t="s">
        <v>176</v>
      </c>
      <c r="F306" s="76" t="s">
        <v>121</v>
      </c>
      <c r="H306" s="434"/>
      <c r="I306" s="557">
        <f>I192</f>
        <v>5723</v>
      </c>
      <c r="J306" s="557">
        <f>J192</f>
        <v>5725</v>
      </c>
      <c r="K306" s="557">
        <f>K291/K287*K298</f>
        <v>5671.038092465752</v>
      </c>
      <c r="L306" s="557">
        <f>L291/L287*L298</f>
        <v>5709.9531899322728</v>
      </c>
      <c r="M306" s="557">
        <f>M291/M287*M298</f>
        <v>5840.1526720103993</v>
      </c>
      <c r="N306" s="557">
        <f>N291/N287*N298</f>
        <v>6087.2956114398721</v>
      </c>
      <c r="O306" s="557">
        <f>O291/O287*O298</f>
        <v>6388.6793582322098</v>
      </c>
    </row>
    <row r="307" spans="1:15">
      <c r="B307" s="193"/>
      <c r="C307" s="192" t="s">
        <v>177</v>
      </c>
      <c r="F307" s="76" t="s">
        <v>121</v>
      </c>
      <c r="H307" s="434"/>
      <c r="I307" s="557">
        <f>I193</f>
        <v>240</v>
      </c>
      <c r="J307" s="557">
        <f>J193</f>
        <v>534</v>
      </c>
      <c r="K307" s="557">
        <f>K291/K287*K299</f>
        <v>391.10607534246572</v>
      </c>
      <c r="L307" s="557">
        <f>L291/L287*L299</f>
        <v>392.16711469315067</v>
      </c>
      <c r="M307" s="557">
        <f>M291/M287*M299</f>
        <v>400.0104569870137</v>
      </c>
      <c r="N307" s="557">
        <f>N291/N287*N299</f>
        <v>457.3787686191161</v>
      </c>
      <c r="O307" s="557">
        <f>O291/O287*O299</f>
        <v>478.06444177247829</v>
      </c>
    </row>
    <row r="308" spans="1:15">
      <c r="B308" s="193"/>
      <c r="C308" s="197" t="s">
        <v>29</v>
      </c>
      <c r="D308" s="90"/>
      <c r="E308" s="90"/>
      <c r="F308" s="91" t="s">
        <v>121</v>
      </c>
      <c r="H308" s="434"/>
      <c r="I308" s="558">
        <f t="shared" ref="I308:O308" si="108">SUM(I302:I304)-SUM(I305:I307)</f>
        <v>5702</v>
      </c>
      <c r="J308" s="558">
        <f t="shared" si="108"/>
        <v>4690</v>
      </c>
      <c r="K308" s="558">
        <f t="shared" ca="1" si="108"/>
        <v>4828.2928001208711</v>
      </c>
      <c r="L308" s="558">
        <f t="shared" ca="1" si="108"/>
        <v>4961.9870903398078</v>
      </c>
      <c r="M308" s="558">
        <f t="shared" ca="1" si="108"/>
        <v>5557.8772890360888</v>
      </c>
      <c r="N308" s="558">
        <f t="shared" ca="1" si="108"/>
        <v>6071.4097636317474</v>
      </c>
      <c r="O308" s="558">
        <f t="shared" ca="1" si="108"/>
        <v>6198.0949574592505</v>
      </c>
    </row>
    <row r="309" spans="1:15">
      <c r="B309" s="193"/>
      <c r="C309" s="192"/>
      <c r="F309" s="76"/>
      <c r="H309" s="556"/>
      <c r="I309" s="556"/>
      <c r="J309" s="556"/>
      <c r="K309" s="556"/>
      <c r="L309" s="556"/>
      <c r="M309" s="556"/>
      <c r="N309" s="556"/>
      <c r="O309" s="556"/>
    </row>
    <row r="310" spans="1:15" ht="14" thickBot="1">
      <c r="B310" s="197" t="s">
        <v>88</v>
      </c>
      <c r="C310" s="193"/>
      <c r="F310" s="91" t="s">
        <v>121</v>
      </c>
      <c r="H310" s="556"/>
      <c r="I310" s="556"/>
      <c r="J310" s="559">
        <f>I308-J308</f>
        <v>1012</v>
      </c>
      <c r="K310" s="559">
        <f t="shared" ref="K310:O310" ca="1" si="109">J308-K308</f>
        <v>-138.29280012087111</v>
      </c>
      <c r="L310" s="559">
        <f t="shared" ca="1" si="109"/>
        <v>-133.69429021893666</v>
      </c>
      <c r="M310" s="559">
        <f t="shared" ca="1" si="109"/>
        <v>-595.890198696281</v>
      </c>
      <c r="N310" s="559">
        <f t="shared" ca="1" si="109"/>
        <v>-513.53247459565864</v>
      </c>
      <c r="O310" s="559">
        <f t="shared" ca="1" si="109"/>
        <v>-126.6851938275031</v>
      </c>
    </row>
    <row r="311" spans="1:15" ht="14" thickTop="1">
      <c r="B311" s="11"/>
      <c r="C311" s="19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</row>
    <row r="312" spans="1:15" ht="12" customHeight="1"/>
    <row r="313" spans="1:15" ht="14" customHeight="1">
      <c r="A313" s="66"/>
      <c r="B313" s="1"/>
      <c r="C313" s="3"/>
      <c r="D313" s="3"/>
      <c r="E313" s="3"/>
      <c r="F313" s="65"/>
      <c r="G313" s="3"/>
      <c r="H313" s="3"/>
      <c r="I313" s="3"/>
      <c r="J313" s="3"/>
      <c r="K313" s="3"/>
      <c r="L313" s="3"/>
      <c r="M313" s="3"/>
      <c r="N313" s="3"/>
      <c r="O313" s="97" t="str">
        <f>$O$1</f>
        <v>Currently Running: Base Case Scenario</v>
      </c>
    </row>
    <row r="314" spans="1:15" ht="25">
      <c r="B314" s="619" t="str">
        <f>B$2</f>
        <v>NIKE</v>
      </c>
      <c r="C314" s="163"/>
      <c r="D314" s="163"/>
      <c r="E314" s="164"/>
      <c r="F314" s="164"/>
      <c r="G314" s="165"/>
      <c r="H314" s="165"/>
      <c r="I314" s="165"/>
      <c r="J314" s="165"/>
      <c r="K314" s="165"/>
      <c r="L314" s="165"/>
      <c r="M314" s="165"/>
      <c r="N314" s="165"/>
      <c r="O314" s="165"/>
    </row>
    <row r="315" spans="1:15" ht="18">
      <c r="B315" s="68" t="s">
        <v>199</v>
      </c>
      <c r="C315" s="68"/>
      <c r="D315" s="68"/>
      <c r="E315" s="166"/>
      <c r="F315" s="166"/>
      <c r="G315" s="68"/>
      <c r="H315" s="68"/>
      <c r="I315" s="68"/>
      <c r="J315" s="68"/>
      <c r="K315" s="68"/>
      <c r="L315" s="68"/>
      <c r="M315" s="68"/>
      <c r="N315" s="68"/>
      <c r="O315" s="68"/>
    </row>
    <row r="316" spans="1:15" ht="19" thickBot="1">
      <c r="A316" s="67"/>
      <c r="B316" s="269"/>
      <c r="C316" s="270"/>
      <c r="D316" s="270"/>
      <c r="E316" s="270"/>
      <c r="F316" s="271"/>
      <c r="G316" s="270"/>
      <c r="H316" s="270"/>
      <c r="I316" s="270"/>
      <c r="J316" s="270"/>
      <c r="K316" s="270"/>
      <c r="L316" s="270"/>
      <c r="M316" s="270"/>
      <c r="N316" s="270"/>
      <c r="O316" s="270"/>
    </row>
    <row r="317" spans="1:15">
      <c r="B317" s="115" t="s">
        <v>122</v>
      </c>
      <c r="C317" s="136"/>
      <c r="E317" s="71"/>
      <c r="G317" s="136"/>
    </row>
    <row r="318" spans="1:15">
      <c r="E318" s="71"/>
      <c r="K318" s="73" t="s">
        <v>2</v>
      </c>
      <c r="L318" s="167"/>
      <c r="M318" s="167"/>
      <c r="N318" s="167"/>
      <c r="O318" s="167"/>
    </row>
    <row r="319" spans="1:15">
      <c r="C319" s="90"/>
      <c r="D319" s="90"/>
      <c r="E319" s="101"/>
      <c r="F319" s="168"/>
      <c r="G319" s="98"/>
      <c r="H319" s="260">
        <f t="shared" ref="H319:J319" si="110">H$7</f>
        <v>2022</v>
      </c>
      <c r="I319" s="260">
        <f t="shared" si="110"/>
        <v>2023</v>
      </c>
      <c r="J319" s="260">
        <f t="shared" si="110"/>
        <v>2024</v>
      </c>
      <c r="K319" s="263">
        <f>K$7</f>
        <v>2025</v>
      </c>
      <c r="L319" s="263">
        <f>L$7</f>
        <v>2026</v>
      </c>
      <c r="M319" s="263">
        <f>M$7</f>
        <v>2027</v>
      </c>
      <c r="N319" s="263">
        <f>N$7</f>
        <v>2028</v>
      </c>
      <c r="O319" s="263">
        <f>O$7</f>
        <v>2029</v>
      </c>
    </row>
    <row r="321" spans="1:15">
      <c r="A321" s="169"/>
      <c r="B321" s="170" t="s">
        <v>205</v>
      </c>
      <c r="C321" s="5"/>
      <c r="D321" s="5"/>
      <c r="E321" s="5"/>
      <c r="F321" s="548">
        <v>0.06</v>
      </c>
      <c r="K321" s="171"/>
      <c r="L321" s="172"/>
      <c r="M321" s="172"/>
      <c r="N321" s="172"/>
    </row>
    <row r="322" spans="1:15">
      <c r="A322" s="169"/>
      <c r="B322" s="173" t="s">
        <v>204</v>
      </c>
      <c r="C322" s="11"/>
      <c r="D322" s="174"/>
      <c r="E322" s="175"/>
      <c r="F322" s="549">
        <v>0.15</v>
      </c>
      <c r="K322" s="171"/>
      <c r="L322" s="172"/>
      <c r="M322" s="172"/>
      <c r="N322" s="172"/>
    </row>
    <row r="323" spans="1:15">
      <c r="A323" s="169"/>
      <c r="B323" s="370"/>
      <c r="D323" s="327"/>
      <c r="E323" s="328"/>
      <c r="F323" s="328"/>
      <c r="K323" s="171"/>
      <c r="L323" s="172"/>
      <c r="M323" s="172"/>
      <c r="N323" s="172"/>
    </row>
    <row r="324" spans="1:15">
      <c r="A324" s="169"/>
      <c r="B324" s="370"/>
      <c r="D324" s="176" t="s">
        <v>200</v>
      </c>
      <c r="E324" s="328"/>
      <c r="F324" s="328"/>
      <c r="H324" s="360"/>
      <c r="I324" s="360"/>
      <c r="J324" s="360"/>
      <c r="K324" s="361">
        <f>J329</f>
        <v>259</v>
      </c>
      <c r="L324" s="361">
        <f t="shared" ref="L324:O324" si="111">K329</f>
        <v>243.46</v>
      </c>
      <c r="M324" s="361">
        <f t="shared" si="111"/>
        <v>228.85240000000002</v>
      </c>
      <c r="N324" s="361">
        <f t="shared" si="111"/>
        <v>215.12125600000002</v>
      </c>
      <c r="O324" s="361">
        <f t="shared" si="111"/>
        <v>202.21398064000002</v>
      </c>
    </row>
    <row r="325" spans="1:15">
      <c r="A325" s="169"/>
      <c r="B325" s="370"/>
      <c r="D325" s="374" t="s">
        <v>201</v>
      </c>
      <c r="E325" s="328"/>
      <c r="F325" s="328"/>
      <c r="H325" s="360"/>
      <c r="I325" s="360"/>
      <c r="J325" s="360"/>
      <c r="K325" s="361">
        <f>J330</f>
        <v>240</v>
      </c>
      <c r="L325" s="361">
        <f t="shared" ref="L325:O325" si="112">K330</f>
        <v>204</v>
      </c>
      <c r="M325" s="361">
        <f t="shared" si="112"/>
        <v>173.4</v>
      </c>
      <c r="N325" s="361">
        <f t="shared" si="112"/>
        <v>147.39000000000001</v>
      </c>
      <c r="O325" s="361">
        <f t="shared" si="112"/>
        <v>125.28150000000001</v>
      </c>
    </row>
    <row r="326" spans="1:15">
      <c r="A326" s="169"/>
      <c r="B326" s="370"/>
      <c r="D326" s="328"/>
      <c r="E326" s="328"/>
      <c r="F326" s="328"/>
      <c r="H326" s="360"/>
      <c r="I326" s="360"/>
      <c r="J326" s="360"/>
      <c r="K326" s="400"/>
      <c r="L326" s="400"/>
      <c r="M326" s="400"/>
      <c r="N326" s="400"/>
      <c r="O326" s="400"/>
    </row>
    <row r="327" spans="1:15">
      <c r="A327" s="169"/>
      <c r="B327" s="370"/>
      <c r="D327" t="s">
        <v>184</v>
      </c>
      <c r="F327"/>
      <c r="G327" s="141"/>
      <c r="H327" s="401">
        <v>123</v>
      </c>
      <c r="I327" s="401">
        <v>156</v>
      </c>
      <c r="J327" s="401">
        <v>48</v>
      </c>
      <c r="K327" s="361">
        <f>K324*$F$321+K325*$F$322</f>
        <v>51.54</v>
      </c>
      <c r="L327" s="361">
        <f t="shared" ref="L327:O327" si="113">L324*$F$321+L325*$F$322</f>
        <v>45.207599999999999</v>
      </c>
      <c r="M327" s="361">
        <f t="shared" si="113"/>
        <v>39.741144000000006</v>
      </c>
      <c r="N327" s="361">
        <f t="shared" si="113"/>
        <v>35.015775360000006</v>
      </c>
      <c r="O327" s="361">
        <f t="shared" si="113"/>
        <v>30.925063838400003</v>
      </c>
    </row>
    <row r="328" spans="1:15">
      <c r="A328" s="169"/>
      <c r="B328" s="370"/>
      <c r="E328" s="328"/>
      <c r="F328" s="328"/>
      <c r="H328" s="360"/>
      <c r="I328" s="360"/>
      <c r="J328" s="360"/>
      <c r="K328" s="400"/>
      <c r="L328" s="400"/>
      <c r="M328" s="400"/>
      <c r="N328" s="400"/>
      <c r="O328" s="400"/>
    </row>
    <row r="329" spans="1:15">
      <c r="D329" s="176" t="s">
        <v>202</v>
      </c>
      <c r="H329" s="402"/>
      <c r="I329" s="402"/>
      <c r="J329" s="403">
        <v>259</v>
      </c>
      <c r="K329" s="404">
        <f>K324-K324*$F$321</f>
        <v>243.46</v>
      </c>
      <c r="L329" s="404">
        <f t="shared" ref="L329:O329" si="114">L324-L324*$F$321</f>
        <v>228.85240000000002</v>
      </c>
      <c r="M329" s="404">
        <f t="shared" si="114"/>
        <v>215.12125600000002</v>
      </c>
      <c r="N329" s="404">
        <f t="shared" si="114"/>
        <v>202.21398064000002</v>
      </c>
      <c r="O329" s="404">
        <f t="shared" si="114"/>
        <v>190.08114180160001</v>
      </c>
    </row>
    <row r="330" spans="1:15">
      <c r="D330" s="176" t="s">
        <v>203</v>
      </c>
      <c r="H330" s="402"/>
      <c r="I330" s="402"/>
      <c r="J330" s="403">
        <v>240</v>
      </c>
      <c r="K330" s="404">
        <f>K325-K325*$F$322</f>
        <v>204</v>
      </c>
      <c r="L330" s="404">
        <f t="shared" ref="L330:O330" si="115">L325-L325*$F$322</f>
        <v>173.4</v>
      </c>
      <c r="M330" s="404">
        <f t="shared" si="115"/>
        <v>147.39000000000001</v>
      </c>
      <c r="N330" s="404">
        <f t="shared" si="115"/>
        <v>125.28150000000001</v>
      </c>
      <c r="O330" s="404">
        <f t="shared" si="115"/>
        <v>106.48927500000001</v>
      </c>
    </row>
    <row r="331" spans="1:15">
      <c r="B331" s="11"/>
      <c r="C331" s="11"/>
      <c r="D331" s="11"/>
      <c r="E331" s="11"/>
      <c r="F331" s="96"/>
      <c r="G331" s="11"/>
      <c r="H331" s="177"/>
      <c r="I331" s="177"/>
      <c r="J331" s="177"/>
      <c r="K331" s="177"/>
      <c r="L331" s="177"/>
      <c r="M331" s="177"/>
      <c r="N331" s="177"/>
      <c r="O331" s="11"/>
    </row>
    <row r="333" spans="1:15" ht="12.75" customHeight="1">
      <c r="A333" s="66"/>
      <c r="B333" s="1"/>
      <c r="C333" s="3"/>
      <c r="D333" s="3"/>
      <c r="E333" s="3"/>
      <c r="F333" s="65"/>
      <c r="G333" s="3"/>
      <c r="H333" s="3"/>
      <c r="I333" s="3"/>
      <c r="J333" s="3"/>
      <c r="K333" s="3"/>
      <c r="L333" s="3"/>
      <c r="M333" s="3"/>
      <c r="N333" s="3"/>
      <c r="O333" s="97" t="str">
        <f>$O$1</f>
        <v>Currently Running: Base Case Scenario</v>
      </c>
    </row>
    <row r="334" spans="1:15" ht="23">
      <c r="B334" s="619" t="str">
        <f>B$2</f>
        <v>NIKE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8">
      <c r="B335" s="68" t="s">
        <v>52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3" customHeight="1" thickBot="1">
      <c r="A336" s="67"/>
      <c r="B336" s="269"/>
      <c r="C336" s="270"/>
      <c r="D336" s="270"/>
      <c r="E336" s="270"/>
      <c r="F336" s="271"/>
      <c r="G336" s="270"/>
      <c r="H336" s="270"/>
      <c r="I336" s="270"/>
      <c r="J336" s="270"/>
      <c r="K336" s="270"/>
      <c r="L336" s="270"/>
      <c r="M336" s="270"/>
      <c r="N336" s="270"/>
      <c r="O336" s="270"/>
    </row>
    <row r="337" spans="2:15">
      <c r="B337" s="115" t="s">
        <v>122</v>
      </c>
      <c r="F337"/>
      <c r="O337" s="19"/>
    </row>
    <row r="338" spans="2:15">
      <c r="F338"/>
      <c r="H338" s="3"/>
      <c r="I338" s="3"/>
      <c r="J338" s="3"/>
      <c r="K338" s="73" t="s">
        <v>2</v>
      </c>
      <c r="L338" s="20"/>
      <c r="M338" s="20"/>
      <c r="N338" s="20"/>
      <c r="O338" s="20"/>
    </row>
    <row r="339" spans="2:15">
      <c r="F339"/>
      <c r="G339" s="138"/>
      <c r="H339" s="199"/>
      <c r="I339" s="199"/>
      <c r="J339" s="260">
        <f t="shared" ref="J339:O339" si="116">J$7</f>
        <v>2024</v>
      </c>
      <c r="K339" s="262">
        <f t="shared" si="116"/>
        <v>2025</v>
      </c>
      <c r="L339" s="262">
        <f t="shared" si="116"/>
        <v>2026</v>
      </c>
      <c r="M339" s="262">
        <f t="shared" si="116"/>
        <v>2027</v>
      </c>
      <c r="N339" s="262">
        <f t="shared" si="116"/>
        <v>2028</v>
      </c>
      <c r="O339" s="262">
        <f t="shared" si="116"/>
        <v>2029</v>
      </c>
    </row>
    <row r="340" spans="2:15">
      <c r="B340" s="90" t="s">
        <v>100</v>
      </c>
      <c r="K340" s="200"/>
      <c r="L340" s="200"/>
      <c r="M340" s="200"/>
      <c r="N340" s="200"/>
      <c r="O340" s="200"/>
    </row>
    <row r="341" spans="2:15" ht="6" customHeight="1"/>
    <row r="342" spans="2:15">
      <c r="C342" s="90" t="s">
        <v>12</v>
      </c>
    </row>
    <row r="343" spans="2:15">
      <c r="D343" t="s">
        <v>53</v>
      </c>
      <c r="J343" s="534"/>
      <c r="K343" s="534">
        <f>J345</f>
        <v>9860</v>
      </c>
      <c r="L343" s="534">
        <f t="shared" ref="L343:O343" ca="1" si="117">K345</f>
        <v>8738.0687450261885</v>
      </c>
      <c r="M343" s="534">
        <f t="shared" ca="1" si="117"/>
        <v>8283.6348715904205</v>
      </c>
      <c r="N343" s="534">
        <f t="shared" ca="1" si="117"/>
        <v>7655.1893195276243</v>
      </c>
      <c r="O343" s="534">
        <f t="shared" ca="1" si="117"/>
        <v>9735.3407209276302</v>
      </c>
    </row>
    <row r="344" spans="2:15">
      <c r="D344" t="s">
        <v>59</v>
      </c>
      <c r="J344" s="538"/>
      <c r="K344" s="538">
        <f ca="1">K158</f>
        <v>-1121.9312549738115</v>
      </c>
      <c r="L344" s="538">
        <f ca="1">L158</f>
        <v>-454.43387343576887</v>
      </c>
      <c r="M344" s="538">
        <f ca="1">M158</f>
        <v>-628.4455520627962</v>
      </c>
      <c r="N344" s="538">
        <f ca="1">N158</f>
        <v>2080.1514014000049</v>
      </c>
      <c r="O344" s="538">
        <f ca="1">O158</f>
        <v>2796.1067786627946</v>
      </c>
    </row>
    <row r="345" spans="2:15">
      <c r="D345" t="s">
        <v>55</v>
      </c>
      <c r="I345" s="201"/>
      <c r="J345" s="539">
        <f>J171</f>
        <v>9860</v>
      </c>
      <c r="K345" s="539">
        <f ca="1">SUM(K343:K344)</f>
        <v>8738.0687450261885</v>
      </c>
      <c r="L345" s="539">
        <f t="shared" ref="L345:O345" ca="1" si="118">SUM(L343:L344)</f>
        <v>8283.6348715904205</v>
      </c>
      <c r="M345" s="539">
        <f t="shared" ca="1" si="118"/>
        <v>7655.1893195276243</v>
      </c>
      <c r="N345" s="539">
        <f t="shared" ca="1" si="118"/>
        <v>9735.3407209276302</v>
      </c>
      <c r="O345" s="539">
        <f t="shared" ca="1" si="118"/>
        <v>12531.447499590424</v>
      </c>
    </row>
    <row r="346" spans="2:15" ht="6" customHeight="1">
      <c r="J346" s="540"/>
      <c r="K346" s="434"/>
      <c r="L346" s="434"/>
      <c r="M346" s="434"/>
      <c r="N346" s="434"/>
      <c r="O346" s="434"/>
    </row>
    <row r="347" spans="2:15">
      <c r="D347" t="s">
        <v>56</v>
      </c>
      <c r="J347" s="434"/>
      <c r="K347" s="541">
        <f>Assumptions!$N$27</f>
        <v>0.01</v>
      </c>
      <c r="L347" s="541">
        <f>Assumptions!$N$27</f>
        <v>0.01</v>
      </c>
      <c r="M347" s="541">
        <f>Assumptions!$N$27</f>
        <v>0.01</v>
      </c>
      <c r="N347" s="541">
        <f>Assumptions!$N$27</f>
        <v>0.01</v>
      </c>
      <c r="O347" s="541">
        <f>Assumptions!$N$27</f>
        <v>0.01</v>
      </c>
    </row>
    <row r="348" spans="2:15">
      <c r="D348" s="90" t="s">
        <v>58</v>
      </c>
      <c r="J348" s="434"/>
      <c r="K348" s="537">
        <f>K343*K347</f>
        <v>98.600000000000009</v>
      </c>
      <c r="L348" s="537">
        <f t="shared" ref="L348:O348" ca="1" si="119">L343*L347</f>
        <v>87.380687450261888</v>
      </c>
      <c r="M348" s="537">
        <f t="shared" ca="1" si="119"/>
        <v>82.836348715904208</v>
      </c>
      <c r="N348" s="537">
        <f t="shared" ca="1" si="119"/>
        <v>76.55189319527625</v>
      </c>
      <c r="O348" s="537">
        <f t="shared" ca="1" si="119"/>
        <v>97.353407209276298</v>
      </c>
    </row>
    <row r="349" spans="2:15" ht="3" customHeight="1">
      <c r="J349" s="434"/>
      <c r="K349" s="434"/>
      <c r="L349" s="434"/>
      <c r="M349" s="434"/>
      <c r="N349" s="434"/>
      <c r="O349" s="434"/>
    </row>
    <row r="350" spans="2:15">
      <c r="C350" s="90" t="s">
        <v>236</v>
      </c>
      <c r="J350" s="434"/>
      <c r="K350" s="434"/>
      <c r="L350" s="434"/>
      <c r="M350" s="434"/>
      <c r="N350" s="434"/>
      <c r="O350" s="434"/>
    </row>
    <row r="351" spans="2:15">
      <c r="B351" s="90"/>
      <c r="D351" t="s">
        <v>10</v>
      </c>
      <c r="H351" s="202"/>
      <c r="I351" s="202"/>
      <c r="J351" s="542"/>
      <c r="K351" s="543">
        <f ca="1">K135</f>
        <v>6755.7518364967773</v>
      </c>
      <c r="L351" s="543">
        <f ca="1">L135</f>
        <v>6687.4510935727849</v>
      </c>
      <c r="M351" s="543">
        <f ca="1">M135</f>
        <v>6969.8808089468512</v>
      </c>
      <c r="N351" s="543">
        <f ca="1">N135</f>
        <v>8289.4270053241144</v>
      </c>
      <c r="O351" s="543">
        <f ca="1">O135</f>
        <v>9957.7532817104529</v>
      </c>
    </row>
    <row r="352" spans="2:15">
      <c r="B352" s="90"/>
      <c r="D352" t="s">
        <v>78</v>
      </c>
      <c r="H352" s="202"/>
      <c r="I352" s="202"/>
      <c r="J352" s="542"/>
      <c r="K352" s="543">
        <f ca="1">K144</f>
        <v>-67.601266470588286</v>
      </c>
      <c r="L352" s="543">
        <f ca="1">L144</f>
        <v>-43.275605504887693</v>
      </c>
      <c r="M352" s="543">
        <f ca="1">M144</f>
        <v>-129.54570153518171</v>
      </c>
      <c r="N352" s="543">
        <f ca="1">N144</f>
        <v>-135.19611087687011</v>
      </c>
      <c r="O352" s="543">
        <f ca="1">O144</f>
        <v>-488.53077475326592</v>
      </c>
    </row>
    <row r="353" spans="2:15">
      <c r="B353" s="90"/>
      <c r="D353" t="s">
        <v>172</v>
      </c>
      <c r="H353" s="202"/>
      <c r="I353" s="202"/>
      <c r="J353" s="542"/>
      <c r="K353" s="543">
        <f t="shared" ref="K353:O354" si="120">K149</f>
        <v>-1000</v>
      </c>
      <c r="L353" s="543">
        <f t="shared" si="120"/>
        <v>0</v>
      </c>
      <c r="M353" s="543">
        <f t="shared" si="120"/>
        <v>-2000</v>
      </c>
      <c r="N353" s="543">
        <f t="shared" si="120"/>
        <v>0</v>
      </c>
      <c r="O353" s="543">
        <f t="shared" si="120"/>
        <v>0</v>
      </c>
    </row>
    <row r="354" spans="2:15">
      <c r="B354" s="90"/>
      <c r="D354" t="s">
        <v>192</v>
      </c>
      <c r="H354" s="202"/>
      <c r="I354" s="202"/>
      <c r="J354" s="542"/>
      <c r="K354" s="543">
        <f t="shared" si="120"/>
        <v>823</v>
      </c>
      <c r="L354" s="543">
        <f t="shared" si="120"/>
        <v>713.66666666666663</v>
      </c>
      <c r="M354" s="543">
        <f t="shared" si="120"/>
        <v>734.55555555555554</v>
      </c>
      <c r="N354" s="543">
        <f t="shared" si="120"/>
        <v>757.07407407407402</v>
      </c>
      <c r="O354" s="543">
        <f t="shared" si="120"/>
        <v>735.09876543209873</v>
      </c>
    </row>
    <row r="355" spans="2:15">
      <c r="B355" s="90"/>
      <c r="D355" t="s">
        <v>195</v>
      </c>
      <c r="H355" s="202"/>
      <c r="I355" s="202"/>
      <c r="J355" s="542"/>
      <c r="K355" s="543">
        <f>K153</f>
        <v>-129.66666666666666</v>
      </c>
      <c r="L355" s="543">
        <f>L153</f>
        <v>-122.55555555555554</v>
      </c>
      <c r="M355" s="543">
        <f>M153</f>
        <v>-129.40740740740739</v>
      </c>
      <c r="N355" s="543">
        <f>N153</f>
        <v>-127.20987654320986</v>
      </c>
      <c r="O355" s="543">
        <f>O153</f>
        <v>-126.3909465020576</v>
      </c>
    </row>
    <row r="356" spans="2:15">
      <c r="B356" s="90"/>
      <c r="D356" t="s">
        <v>196</v>
      </c>
      <c r="H356" s="202"/>
      <c r="I356" s="202"/>
      <c r="J356" s="542"/>
      <c r="K356" s="543">
        <f>K156</f>
        <v>-83.333333333333329</v>
      </c>
      <c r="L356" s="543">
        <f>L156</f>
        <v>-63.444444444444436</v>
      </c>
      <c r="M356" s="543">
        <f>M156</f>
        <v>-54.25925925925926</v>
      </c>
      <c r="N356" s="543">
        <f>N156</f>
        <v>-67.012345679012341</v>
      </c>
      <c r="O356" s="543">
        <f>O156</f>
        <v>-61.572016460905353</v>
      </c>
    </row>
    <row r="357" spans="2:15">
      <c r="B357" s="90"/>
      <c r="D357" t="s">
        <v>95</v>
      </c>
      <c r="H357" s="202"/>
      <c r="I357" s="202"/>
      <c r="J357" s="542"/>
      <c r="K357" s="543">
        <f>K401</f>
        <v>-4500</v>
      </c>
      <c r="L357" s="543">
        <f t="shared" ref="L357:O357" si="121">L401</f>
        <v>-4500</v>
      </c>
      <c r="M357" s="543">
        <f t="shared" si="121"/>
        <v>-2500</v>
      </c>
      <c r="N357" s="543">
        <f t="shared" si="121"/>
        <v>-2500</v>
      </c>
      <c r="O357" s="543">
        <f t="shared" si="121"/>
        <v>-2500</v>
      </c>
    </row>
    <row r="358" spans="2:15">
      <c r="B358" s="90"/>
      <c r="D358" t="s">
        <v>99</v>
      </c>
      <c r="H358" s="202"/>
      <c r="I358" s="202"/>
      <c r="J358" s="542"/>
      <c r="K358" s="544">
        <f ca="1">-K395</f>
        <v>-2914.0818250000002</v>
      </c>
      <c r="L358" s="544">
        <f t="shared" ref="L358:O358" ca="1" si="122">-L395</f>
        <v>-3126.2760281703331</v>
      </c>
      <c r="M358" s="544">
        <f t="shared" ca="1" si="122"/>
        <v>-3519.6695483633539</v>
      </c>
      <c r="N358" s="544">
        <f t="shared" ca="1" si="122"/>
        <v>-4136.9313448990906</v>
      </c>
      <c r="O358" s="544">
        <f t="shared" ca="1" si="122"/>
        <v>-4720.2515307635276</v>
      </c>
    </row>
    <row r="359" spans="2:15">
      <c r="D359" s="90" t="s">
        <v>102</v>
      </c>
      <c r="J359" s="434"/>
      <c r="K359" s="542">
        <f ca="1">SUM(K351:K358)</f>
        <v>-1115.9312549738115</v>
      </c>
      <c r="L359" s="542">
        <f t="shared" ref="L359:O359" ca="1" si="123">SUM(L351:L358)</f>
        <v>-454.43387343576887</v>
      </c>
      <c r="M359" s="542">
        <f t="shared" ca="1" si="123"/>
        <v>-628.4455520627962</v>
      </c>
      <c r="N359" s="542">
        <f t="shared" ca="1" si="123"/>
        <v>2080.1514014000077</v>
      </c>
      <c r="O359" s="542">
        <f t="shared" ca="1" si="123"/>
        <v>2796.1067786627955</v>
      </c>
    </row>
    <row r="360" spans="2:15">
      <c r="C360" s="90"/>
      <c r="J360" s="434"/>
      <c r="K360" s="434"/>
      <c r="L360" s="434"/>
      <c r="M360" s="434"/>
      <c r="N360" s="434"/>
      <c r="O360" s="434"/>
    </row>
    <row r="361" spans="2:15">
      <c r="D361" t="s">
        <v>227</v>
      </c>
      <c r="J361" s="434"/>
      <c r="K361" s="534">
        <f>J363</f>
        <v>6</v>
      </c>
      <c r="L361" s="534">
        <f t="shared" ref="L361:O361" ca="1" si="124">K363</f>
        <v>0</v>
      </c>
      <c r="M361" s="534">
        <f t="shared" ca="1" si="124"/>
        <v>0</v>
      </c>
      <c r="N361" s="534">
        <f t="shared" ca="1" si="124"/>
        <v>0</v>
      </c>
      <c r="O361" s="534">
        <f t="shared" ca="1" si="124"/>
        <v>0</v>
      </c>
    </row>
    <row r="362" spans="2:15">
      <c r="D362" t="s">
        <v>54</v>
      </c>
      <c r="J362" s="545"/>
      <c r="K362" s="538">
        <f ca="1">-MIN(K359+K343,K361)</f>
        <v>-6</v>
      </c>
      <c r="L362" s="538">
        <f ca="1">-MIN(L359+L343,L361)</f>
        <v>0</v>
      </c>
      <c r="M362" s="538">
        <f ca="1">-MIN(M359+M343,M361)</f>
        <v>0</v>
      </c>
      <c r="N362" s="538">
        <f ca="1">-MIN(N359+N343,N361)</f>
        <v>0</v>
      </c>
      <c r="O362" s="538">
        <f ca="1">-MIN(O359+O343,O361)</f>
        <v>0</v>
      </c>
    </row>
    <row r="363" spans="2:15">
      <c r="D363" t="s">
        <v>228</v>
      </c>
      <c r="I363" s="201"/>
      <c r="J363" s="539">
        <f>J189</f>
        <v>6</v>
      </c>
      <c r="K363" s="539">
        <f ca="1">SUM(K361:K362)</f>
        <v>0</v>
      </c>
      <c r="L363" s="539">
        <f t="shared" ref="L363:O363" ca="1" si="125">SUM(L361:L362)</f>
        <v>0</v>
      </c>
      <c r="M363" s="539">
        <f t="shared" ca="1" si="125"/>
        <v>0</v>
      </c>
      <c r="N363" s="539">
        <f t="shared" ca="1" si="125"/>
        <v>0</v>
      </c>
      <c r="O363" s="539">
        <f t="shared" ca="1" si="125"/>
        <v>0</v>
      </c>
    </row>
    <row r="364" spans="2:15" ht="6" customHeight="1">
      <c r="J364" s="434"/>
      <c r="K364" s="434"/>
      <c r="L364" s="434"/>
      <c r="M364" s="434"/>
      <c r="N364" s="434"/>
      <c r="O364" s="434"/>
    </row>
    <row r="365" spans="2:15">
      <c r="D365" t="s">
        <v>56</v>
      </c>
      <c r="J365" s="434"/>
      <c r="K365" s="536">
        <f>Assumptions!$N$28</f>
        <v>0.05</v>
      </c>
      <c r="L365" s="536">
        <f>Assumptions!$N$28</f>
        <v>0.05</v>
      </c>
      <c r="M365" s="536">
        <f>Assumptions!$N$28</f>
        <v>0.05</v>
      </c>
      <c r="N365" s="536">
        <f>Assumptions!$N$28</f>
        <v>0.05</v>
      </c>
      <c r="O365" s="536">
        <f>Assumptions!$N$28</f>
        <v>0.05</v>
      </c>
    </row>
    <row r="366" spans="2:15">
      <c r="D366" s="90" t="s">
        <v>57</v>
      </c>
      <c r="J366" s="434"/>
      <c r="K366" s="537">
        <f>K361*K365</f>
        <v>0.30000000000000004</v>
      </c>
      <c r="L366" s="537">
        <f t="shared" ref="L366:O366" ca="1" si="126">L361*L365</f>
        <v>0</v>
      </c>
      <c r="M366" s="537">
        <f t="shared" ca="1" si="126"/>
        <v>0</v>
      </c>
      <c r="N366" s="537">
        <f t="shared" ca="1" si="126"/>
        <v>0</v>
      </c>
      <c r="O366" s="537">
        <f t="shared" ca="1" si="126"/>
        <v>0</v>
      </c>
    </row>
    <row r="367" spans="2:15">
      <c r="J367" s="434"/>
      <c r="K367" s="434"/>
      <c r="L367" s="434"/>
      <c r="M367" s="434"/>
      <c r="N367" s="434"/>
      <c r="O367" s="434"/>
    </row>
    <row r="368" spans="2:15">
      <c r="C368" s="90" t="s">
        <v>216</v>
      </c>
      <c r="J368" s="434"/>
      <c r="K368" s="434"/>
      <c r="L368" s="434"/>
      <c r="M368" s="434"/>
      <c r="N368" s="434"/>
      <c r="O368" s="434"/>
    </row>
    <row r="369" spans="1:15">
      <c r="D369" t="s">
        <v>53</v>
      </c>
      <c r="J369" s="434"/>
      <c r="K369" s="534">
        <f>J371</f>
        <v>8903</v>
      </c>
      <c r="L369" s="534">
        <f t="shared" ref="L369:O369" si="127">K371</f>
        <v>7903</v>
      </c>
      <c r="M369" s="534">
        <f t="shared" si="127"/>
        <v>7903</v>
      </c>
      <c r="N369" s="534">
        <f t="shared" si="127"/>
        <v>5903</v>
      </c>
      <c r="O369" s="534">
        <f t="shared" si="127"/>
        <v>5903</v>
      </c>
    </row>
    <row r="370" spans="1:15">
      <c r="D370" t="s">
        <v>54</v>
      </c>
      <c r="J370" s="545"/>
      <c r="K370" s="546">
        <f>-J188</f>
        <v>-1000</v>
      </c>
      <c r="L370" s="546">
        <f>-K188</f>
        <v>0</v>
      </c>
      <c r="M370" s="546">
        <f>-L188</f>
        <v>-2000</v>
      </c>
      <c r="N370" s="546">
        <f>-M188</f>
        <v>0</v>
      </c>
      <c r="O370" s="546">
        <f>-N188</f>
        <v>0</v>
      </c>
    </row>
    <row r="371" spans="1:15">
      <c r="D371" t="s">
        <v>55</v>
      </c>
      <c r="I371" s="201"/>
      <c r="J371" s="539">
        <f>J196+J188</f>
        <v>8903</v>
      </c>
      <c r="K371" s="539">
        <f>SUM(K369:K370)</f>
        <v>7903</v>
      </c>
      <c r="L371" s="539">
        <f t="shared" ref="L371:O371" si="128">SUM(L369:L370)</f>
        <v>7903</v>
      </c>
      <c r="M371" s="539">
        <f t="shared" si="128"/>
        <v>5903</v>
      </c>
      <c r="N371" s="539">
        <f t="shared" si="128"/>
        <v>5903</v>
      </c>
      <c r="O371" s="539">
        <f t="shared" si="128"/>
        <v>5903</v>
      </c>
    </row>
    <row r="372" spans="1:15" ht="6" customHeight="1">
      <c r="J372" s="434"/>
      <c r="K372" s="434"/>
      <c r="L372" s="434"/>
      <c r="M372" s="434"/>
      <c r="N372" s="434"/>
      <c r="O372" s="434"/>
    </row>
    <row r="373" spans="1:15">
      <c r="D373" t="s">
        <v>56</v>
      </c>
      <c r="J373" s="434"/>
      <c r="K373" s="536">
        <f>Assumptions!$N$29</f>
        <v>0.03</v>
      </c>
      <c r="L373" s="536">
        <f>Assumptions!$N$29</f>
        <v>0.03</v>
      </c>
      <c r="M373" s="536">
        <f>Assumptions!$N$29</f>
        <v>0.03</v>
      </c>
      <c r="N373" s="536">
        <f>Assumptions!$N$29</f>
        <v>0.03</v>
      </c>
      <c r="O373" s="536">
        <f>Assumptions!$N$29</f>
        <v>0.03</v>
      </c>
    </row>
    <row r="374" spans="1:15">
      <c r="D374" s="90" t="s">
        <v>57</v>
      </c>
      <c r="J374" s="434"/>
      <c r="K374" s="537">
        <f>K369*K373</f>
        <v>267.08999999999997</v>
      </c>
      <c r="L374" s="537">
        <f t="shared" ref="L374:O374" si="129">L369*L373</f>
        <v>237.09</v>
      </c>
      <c r="M374" s="537">
        <f t="shared" si="129"/>
        <v>237.09</v>
      </c>
      <c r="N374" s="537">
        <f t="shared" si="129"/>
        <v>177.09</v>
      </c>
      <c r="O374" s="537">
        <f t="shared" si="129"/>
        <v>177.09</v>
      </c>
    </row>
    <row r="375" spans="1:15">
      <c r="J375" s="434"/>
      <c r="K375" s="434"/>
      <c r="L375" s="434"/>
      <c r="M375" s="434"/>
      <c r="N375" s="434"/>
      <c r="O375" s="434"/>
    </row>
    <row r="376" spans="1:15">
      <c r="J376" s="434"/>
      <c r="K376" s="434"/>
      <c r="L376" s="434"/>
      <c r="M376" s="434"/>
      <c r="N376" s="434"/>
      <c r="O376" s="434"/>
    </row>
    <row r="377" spans="1:15" ht="14" thickBot="1">
      <c r="C377" s="90" t="s">
        <v>62</v>
      </c>
      <c r="J377" s="434"/>
      <c r="K377" s="547">
        <f>K374+K366-K348</f>
        <v>168.78999999999996</v>
      </c>
      <c r="L377" s="547">
        <f ca="1">L374+L366-L348</f>
        <v>149.70931254973812</v>
      </c>
      <c r="M377" s="547">
        <f ca="1">M374+M366-M348</f>
        <v>154.25365128409578</v>
      </c>
      <c r="N377" s="547">
        <f ca="1">N374+N366-N348</f>
        <v>100.53810680472375</v>
      </c>
      <c r="O377" s="547">
        <f ca="1">O374+O366-O348</f>
        <v>79.736592790723705</v>
      </c>
    </row>
    <row r="378" spans="1:15" ht="14" thickTop="1">
      <c r="B378" s="11"/>
      <c r="C378" s="11"/>
      <c r="D378" s="11"/>
      <c r="E378" s="11"/>
      <c r="F378" s="96"/>
      <c r="G378" s="11"/>
      <c r="H378" s="11"/>
      <c r="I378" s="11"/>
      <c r="J378" s="11"/>
      <c r="K378" s="11"/>
      <c r="L378" s="11"/>
      <c r="M378" s="11"/>
      <c r="N378" s="11"/>
      <c r="O378" s="11"/>
    </row>
    <row r="380" spans="1:15" ht="8" customHeight="1">
      <c r="A380" s="66"/>
      <c r="B380" s="1"/>
      <c r="C380" s="3"/>
      <c r="D380" s="3"/>
      <c r="E380" s="3"/>
      <c r="F380" s="65"/>
      <c r="G380" s="3"/>
      <c r="H380" s="3"/>
      <c r="I380" s="3"/>
      <c r="J380" s="3"/>
      <c r="K380" s="3"/>
      <c r="L380" s="3"/>
      <c r="M380" s="3"/>
      <c r="N380" s="3"/>
      <c r="O380" s="97" t="str">
        <f>$O$1</f>
        <v>Currently Running: Base Case Scenario</v>
      </c>
    </row>
    <row r="381" spans="1:15" ht="23.5" customHeight="1">
      <c r="B381" s="619" t="str">
        <f>B$2</f>
        <v>NIKE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8">
      <c r="B382" s="68" t="s">
        <v>89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3" customHeight="1" thickBot="1">
      <c r="A383" s="67"/>
      <c r="B383" s="269"/>
      <c r="C383" s="270"/>
      <c r="D383" s="270"/>
      <c r="E383" s="270"/>
      <c r="F383" s="271"/>
      <c r="G383" s="270"/>
      <c r="H383" s="270"/>
      <c r="I383" s="270"/>
      <c r="J383" s="270"/>
      <c r="K383" s="270"/>
      <c r="L383" s="270"/>
      <c r="M383" s="270"/>
      <c r="N383" s="270"/>
      <c r="O383" s="270"/>
    </row>
    <row r="384" spans="1:15">
      <c r="B384" s="115" t="s">
        <v>122</v>
      </c>
      <c r="F384"/>
      <c r="O384" s="19"/>
    </row>
    <row r="385" spans="2:15">
      <c r="F385"/>
      <c r="H385" s="3"/>
      <c r="I385" s="3"/>
      <c r="J385" s="3"/>
      <c r="K385" s="73" t="s">
        <v>2</v>
      </c>
      <c r="L385" s="20"/>
      <c r="M385" s="20"/>
      <c r="N385" s="20"/>
      <c r="O385" s="20"/>
    </row>
    <row r="386" spans="2:15">
      <c r="F386"/>
      <c r="G386" s="138"/>
      <c r="H386" s="199"/>
      <c r="I386" s="199"/>
      <c r="J386" s="260">
        <f t="shared" ref="J386:O386" si="130">J$7</f>
        <v>2024</v>
      </c>
      <c r="K386" s="262">
        <f t="shared" si="130"/>
        <v>2025</v>
      </c>
      <c r="L386" s="262">
        <f t="shared" si="130"/>
        <v>2026</v>
      </c>
      <c r="M386" s="262">
        <f t="shared" si="130"/>
        <v>2027</v>
      </c>
      <c r="N386" s="262">
        <f t="shared" si="130"/>
        <v>2028</v>
      </c>
      <c r="O386" s="262">
        <f t="shared" si="130"/>
        <v>2029</v>
      </c>
    </row>
    <row r="388" spans="2:15" ht="13.5" customHeight="1">
      <c r="B388" s="90"/>
      <c r="C388" s="90" t="s">
        <v>229</v>
      </c>
    </row>
    <row r="389" spans="2:15" ht="13.5" customHeight="1">
      <c r="D389" t="s">
        <v>53</v>
      </c>
      <c r="G389" s="76"/>
      <c r="J389" s="434"/>
      <c r="K389" s="534">
        <f>J391</f>
        <v>13409</v>
      </c>
      <c r="L389" s="534">
        <f t="shared" ref="L389:O389" ca="1" si="131">K391</f>
        <v>14244.739465882352</v>
      </c>
      <c r="M389" s="534">
        <f t="shared" ca="1" si="131"/>
        <v>15094.811828775866</v>
      </c>
      <c r="N389" s="534">
        <f t="shared" ca="1" si="131"/>
        <v>15974.286648411864</v>
      </c>
      <c r="O389" s="534">
        <f t="shared" ca="1" si="131"/>
        <v>16902.947779177448</v>
      </c>
    </row>
    <row r="390" spans="2:15" ht="13.5" customHeight="1">
      <c r="D390" t="s">
        <v>230</v>
      </c>
      <c r="J390" s="434"/>
      <c r="K390" s="534">
        <f ca="1">K129</f>
        <v>835.73946588235287</v>
      </c>
      <c r="L390" s="534">
        <f ca="1">L129</f>
        <v>850.0723628935142</v>
      </c>
      <c r="M390" s="534">
        <f ca="1">M129</f>
        <v>879.47481963599785</v>
      </c>
      <c r="N390" s="534">
        <f ca="1">N129</f>
        <v>928.66113076558406</v>
      </c>
      <c r="O390" s="534">
        <f ca="1">O129</f>
        <v>978.13460269241773</v>
      </c>
    </row>
    <row r="391" spans="2:15" ht="13.5" customHeight="1">
      <c r="D391" t="s">
        <v>55</v>
      </c>
      <c r="J391" s="535">
        <f>J204</f>
        <v>13409</v>
      </c>
      <c r="K391" s="535">
        <f ca="1">SUM(K389:K390)</f>
        <v>14244.739465882352</v>
      </c>
      <c r="L391" s="535">
        <f t="shared" ref="L391:O391" ca="1" si="132">SUM(L389:L390)</f>
        <v>15094.811828775866</v>
      </c>
      <c r="M391" s="535">
        <f t="shared" ca="1" si="132"/>
        <v>15974.286648411864</v>
      </c>
      <c r="N391" s="535">
        <f t="shared" ca="1" si="132"/>
        <v>16902.947779177448</v>
      </c>
      <c r="O391" s="535">
        <f t="shared" ca="1" si="132"/>
        <v>17881.082381869866</v>
      </c>
    </row>
    <row r="392" spans="2:15" ht="9" customHeight="1">
      <c r="J392" s="434"/>
      <c r="K392" s="434"/>
      <c r="L392" s="434"/>
      <c r="M392" s="434"/>
      <c r="N392" s="434"/>
      <c r="O392" s="434"/>
    </row>
    <row r="393" spans="2:15" ht="13.5" customHeight="1">
      <c r="D393" t="s">
        <v>91</v>
      </c>
      <c r="J393" s="434"/>
      <c r="K393" s="536">
        <f>Assumptions!N10</f>
        <v>0.5</v>
      </c>
      <c r="L393" s="536">
        <f>K393</f>
        <v>0.5</v>
      </c>
      <c r="M393" s="536">
        <f>L393</f>
        <v>0.5</v>
      </c>
      <c r="N393" s="536">
        <f>M393</f>
        <v>0.5</v>
      </c>
      <c r="O393" s="536">
        <f>N393</f>
        <v>0.5</v>
      </c>
    </row>
    <row r="394" spans="2:15" ht="13.5" customHeight="1">
      <c r="D394" t="s">
        <v>7</v>
      </c>
      <c r="J394" s="434"/>
      <c r="K394" s="534">
        <f ca="1">K110</f>
        <v>5828.1636500000004</v>
      </c>
      <c r="L394" s="534">
        <f ca="1">L110</f>
        <v>6252.5520563406662</v>
      </c>
      <c r="M394" s="534">
        <f ca="1">M110</f>
        <v>7039.3390967267078</v>
      </c>
      <c r="N394" s="534">
        <f ca="1">N110</f>
        <v>8273.8626897981812</v>
      </c>
      <c r="O394" s="534">
        <f ca="1">O110</f>
        <v>9440.5030615270553</v>
      </c>
    </row>
    <row r="395" spans="2:15" ht="13.5" customHeight="1">
      <c r="C395" s="90"/>
      <c r="D395" s="90" t="s">
        <v>99</v>
      </c>
      <c r="J395" s="434"/>
      <c r="K395" s="537">
        <f ca="1">MAX(K394*K393,0)</f>
        <v>2914.0818250000002</v>
      </c>
      <c r="L395" s="537">
        <f t="shared" ref="L395:O395" ca="1" si="133">MAX(L394*L393,0)</f>
        <v>3126.2760281703331</v>
      </c>
      <c r="M395" s="537">
        <f t="shared" ca="1" si="133"/>
        <v>3519.6695483633539</v>
      </c>
      <c r="N395" s="537">
        <f t="shared" ca="1" si="133"/>
        <v>4136.9313448990906</v>
      </c>
      <c r="O395" s="537">
        <f t="shared" ca="1" si="133"/>
        <v>4720.2515307635276</v>
      </c>
    </row>
    <row r="396" spans="2:15">
      <c r="J396" s="434"/>
      <c r="K396" s="434"/>
      <c r="L396" s="434"/>
      <c r="M396" s="434"/>
      <c r="N396" s="434"/>
      <c r="O396" s="434"/>
    </row>
    <row r="397" spans="2:15">
      <c r="B397" s="90"/>
      <c r="C397" s="90" t="s">
        <v>92</v>
      </c>
      <c r="J397" s="434"/>
      <c r="K397" s="434"/>
      <c r="L397" s="434"/>
      <c r="M397" s="434"/>
      <c r="N397" s="434"/>
      <c r="O397" s="434"/>
    </row>
    <row r="398" spans="2:15">
      <c r="D398" t="s">
        <v>53</v>
      </c>
      <c r="J398" s="434"/>
      <c r="K398" s="534">
        <f>J403</f>
        <v>965</v>
      </c>
      <c r="L398" s="534">
        <f t="shared" ref="L398" ca="1" si="134">K403</f>
        <v>202.08182500000021</v>
      </c>
      <c r="M398" s="534">
        <f t="shared" ref="M398" ca="1" si="135">L403</f>
        <v>-457.9754801629997</v>
      </c>
      <c r="N398" s="534">
        <f t="shared" ref="N398" ca="1" si="136">M403</f>
        <v>1296.2496237559099</v>
      </c>
      <c r="O398" s="534">
        <f t="shared" ref="O398" ca="1" si="137">N403</f>
        <v>3690.2550427290753</v>
      </c>
    </row>
    <row r="399" spans="2:15">
      <c r="D399" t="s">
        <v>7</v>
      </c>
      <c r="J399" s="434"/>
      <c r="K399" s="534">
        <f ca="1">K394</f>
        <v>5828.1636500000004</v>
      </c>
      <c r="L399" s="534">
        <f t="shared" ref="L399:O399" ca="1" si="138">L394</f>
        <v>6252.5520563406662</v>
      </c>
      <c r="M399" s="534">
        <f t="shared" ca="1" si="138"/>
        <v>7039.3390967267078</v>
      </c>
      <c r="N399" s="534">
        <f t="shared" ca="1" si="138"/>
        <v>8273.8626897981812</v>
      </c>
      <c r="O399" s="534">
        <f t="shared" ca="1" si="138"/>
        <v>9440.5030615270553</v>
      </c>
    </row>
    <row r="400" spans="2:15">
      <c r="D400" t="s">
        <v>226</v>
      </c>
      <c r="J400" s="434"/>
      <c r="K400" s="534">
        <f>K150</f>
        <v>823</v>
      </c>
      <c r="L400" s="534">
        <f>L150</f>
        <v>713.66666666666663</v>
      </c>
      <c r="M400" s="534">
        <f>M150</f>
        <v>734.55555555555554</v>
      </c>
      <c r="N400" s="534">
        <f>N150</f>
        <v>757.07407407407402</v>
      </c>
      <c r="O400" s="534">
        <f>O150</f>
        <v>735.09876543209873</v>
      </c>
    </row>
    <row r="401" spans="2:15">
      <c r="D401" t="s">
        <v>96</v>
      </c>
      <c r="J401" s="434"/>
      <c r="K401" s="608">
        <f>-Assumptions!J69</f>
        <v>-4500</v>
      </c>
      <c r="L401" s="608">
        <f>-Assumptions!K69</f>
        <v>-4500</v>
      </c>
      <c r="M401" s="608">
        <f>-Assumptions!L69</f>
        <v>-2500</v>
      </c>
      <c r="N401" s="608">
        <f>-Assumptions!M69</f>
        <v>-2500</v>
      </c>
      <c r="O401" s="608">
        <f>-Assumptions!N69</f>
        <v>-2500</v>
      </c>
    </row>
    <row r="402" spans="2:15">
      <c r="D402" t="s">
        <v>231</v>
      </c>
      <c r="J402" s="434"/>
      <c r="K402" s="534">
        <f ca="1">-K395</f>
        <v>-2914.0818250000002</v>
      </c>
      <c r="L402" s="534">
        <f ca="1">-L395</f>
        <v>-3126.2760281703331</v>
      </c>
      <c r="M402" s="534">
        <f ca="1">-M395</f>
        <v>-3519.6695483633539</v>
      </c>
      <c r="N402" s="534">
        <f ca="1">-N395</f>
        <v>-4136.9313448990906</v>
      </c>
      <c r="O402" s="534">
        <f ca="1">-O395</f>
        <v>-4720.2515307635276</v>
      </c>
    </row>
    <row r="403" spans="2:15">
      <c r="D403" s="90" t="s">
        <v>55</v>
      </c>
      <c r="E403" s="90"/>
      <c r="F403" s="101"/>
      <c r="G403" s="90"/>
      <c r="H403" s="90"/>
      <c r="I403" s="90"/>
      <c r="J403" s="537">
        <f>J206</f>
        <v>965</v>
      </c>
      <c r="K403" s="537">
        <f ca="1">SUM(K398:K402)</f>
        <v>202.08182500000021</v>
      </c>
      <c r="L403" s="537">
        <f ca="1">SUM(L398:L402)</f>
        <v>-457.9754801629997</v>
      </c>
      <c r="M403" s="537">
        <f ca="1">SUM(M398:M402)</f>
        <v>1296.2496237559099</v>
      </c>
      <c r="N403" s="537">
        <f ca="1">SUM(N398:N402)</f>
        <v>3690.2550427290753</v>
      </c>
      <c r="O403" s="537">
        <f ca="1">SUM(O398:O402)</f>
        <v>6645.6053389247008</v>
      </c>
    </row>
    <row r="404" spans="2:15">
      <c r="B404" s="11"/>
      <c r="C404" s="11"/>
      <c r="D404" s="11"/>
      <c r="E404" s="11"/>
      <c r="F404" s="96"/>
      <c r="G404" s="11"/>
      <c r="H404" s="11"/>
      <c r="I404" s="11"/>
      <c r="J404" s="11"/>
      <c r="K404" s="11"/>
      <c r="L404" s="11"/>
      <c r="M404" s="11"/>
      <c r="N404" s="11"/>
      <c r="O404" s="11"/>
    </row>
  </sheetData>
  <sheetProtection formatCells="0" formatColumns="0" formatRows="0" insertColumns="0" insertRows="0"/>
  <phoneticPr fontId="0" type="noConversion"/>
  <printOptions horizontalCentered="1"/>
  <pageMargins left="0.25" right="0.25" top="0.25" bottom="0.5" header="0.25" footer="0.25"/>
  <pageSetup paperSize="9" scale="85" orientation="landscape" r:id="rId1"/>
  <headerFooter alignWithMargins="0">
    <oddFooter>&amp;L&amp;9&amp;K000000C:\Documents\nike.xls&amp;C&amp;9&amp;K000000Page &amp;P of &amp;N
&amp;R&amp;9&amp;K000000&amp;D&amp;T</oddFooter>
  </headerFooter>
  <ignoredErrors>
    <ignoredError sqref="K226:M226 K228:M228 K229 K225:M225 O225 O226 O228 N228:N229 N226 N225 N227 L229:M229 O229 I183:J183 K250:N252 K246:O246 O250:O252 K183:O183 K204:O204" unlockedFormula="1"/>
    <ignoredError sqref="K361:O363 K389:O389 K398 K391:O391" evalError="1"/>
    <ignoredError sqref="K152:O152" formula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8533-B9E7-4C63-8851-D781341D0D0B}">
  <dimension ref="A1:O39"/>
  <sheetViews>
    <sheetView showGridLines="0" workbookViewId="0">
      <selection activeCell="B3" sqref="B3"/>
    </sheetView>
  </sheetViews>
  <sheetFormatPr baseColWidth="10" defaultColWidth="8.83203125" defaultRowHeight="13"/>
  <cols>
    <col min="1" max="1" width="3.1640625" customWidth="1"/>
    <col min="2" max="2" width="3.33203125" customWidth="1"/>
    <col min="4" max="4" width="13.5" customWidth="1"/>
    <col min="5" max="5" width="8.1640625" customWidth="1"/>
    <col min="10" max="10" width="11.5" customWidth="1"/>
    <col min="11" max="11" width="11.1640625" customWidth="1"/>
    <col min="12" max="12" width="10.6640625" customWidth="1"/>
    <col min="13" max="13" width="10.83203125" customWidth="1"/>
    <col min="14" max="14" width="10.1640625" customWidth="1"/>
    <col min="15" max="15" width="10.33203125" customWidth="1"/>
  </cols>
  <sheetData>
    <row r="1" spans="1:15">
      <c r="F1" s="71"/>
    </row>
    <row r="2" spans="1:15" ht="14.5" customHeight="1">
      <c r="A2" s="66"/>
      <c r="B2" s="1"/>
      <c r="C2" s="3"/>
      <c r="D2" s="3"/>
      <c r="E2" s="3"/>
      <c r="F2" s="65"/>
      <c r="G2" s="3"/>
      <c r="H2" s="3"/>
      <c r="I2" s="3"/>
      <c r="J2" s="3"/>
      <c r="K2" s="3"/>
      <c r="L2" s="3"/>
      <c r="M2" s="3"/>
      <c r="N2" s="3"/>
      <c r="O2" s="97" t="str">
        <f>Model!$O$1</f>
        <v>Currently Running: Base Case Scenario</v>
      </c>
    </row>
    <row r="3" spans="1:15" ht="21.5" customHeight="1">
      <c r="B3" s="619" t="str">
        <f>Model!$B2</f>
        <v>NIKE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" customHeight="1">
      <c r="B4" s="68" t="s">
        <v>249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0" customHeight="1" thickBot="1">
      <c r="A5" s="67"/>
      <c r="B5" s="269"/>
      <c r="C5" s="270"/>
      <c r="D5" s="270"/>
      <c r="E5" s="270"/>
      <c r="F5" s="271"/>
      <c r="G5" s="270"/>
      <c r="H5" s="270"/>
      <c r="I5" s="270"/>
      <c r="J5" s="270"/>
      <c r="K5" s="270"/>
      <c r="L5" s="270"/>
      <c r="M5" s="270"/>
      <c r="N5" s="270"/>
      <c r="O5" s="270"/>
    </row>
    <row r="6" spans="1:15">
      <c r="B6" s="115" t="s">
        <v>122</v>
      </c>
      <c r="O6" s="19"/>
    </row>
    <row r="7" spans="1:15">
      <c r="B7" s="115"/>
      <c r="O7" s="19"/>
    </row>
    <row r="8" spans="1:15">
      <c r="B8" s="423" t="s">
        <v>243</v>
      </c>
      <c r="C8" s="5"/>
      <c r="D8" s="5"/>
      <c r="E8" s="5"/>
      <c r="F8" s="5"/>
      <c r="G8" s="609">
        <v>0.09</v>
      </c>
      <c r="O8" s="19"/>
    </row>
    <row r="9" spans="1:15">
      <c r="B9" s="424" t="s">
        <v>72</v>
      </c>
      <c r="G9" s="610">
        <v>0.15</v>
      </c>
      <c r="O9" s="19"/>
    </row>
    <row r="10" spans="1:15">
      <c r="B10" s="424" t="s">
        <v>244</v>
      </c>
      <c r="G10" s="610">
        <v>0.02</v>
      </c>
      <c r="O10" s="19"/>
    </row>
    <row r="11" spans="1:15">
      <c r="B11" s="424" t="s">
        <v>260</v>
      </c>
      <c r="G11" s="612">
        <f>Assumptions!N9</f>
        <v>1529.7</v>
      </c>
      <c r="O11" s="19"/>
    </row>
    <row r="12" spans="1:15">
      <c r="B12" s="426" t="s">
        <v>250</v>
      </c>
      <c r="C12" s="11"/>
      <c r="D12" s="11"/>
      <c r="E12" s="428"/>
      <c r="F12" s="11"/>
      <c r="G12" s="611">
        <v>20</v>
      </c>
      <c r="O12" s="19"/>
    </row>
    <row r="13" spans="1:15">
      <c r="H13" s="3"/>
      <c r="I13" s="3"/>
      <c r="J13" s="73" t="s">
        <v>2</v>
      </c>
      <c r="K13" s="20"/>
      <c r="L13" s="20"/>
      <c r="M13" s="20"/>
      <c r="N13" s="20"/>
    </row>
    <row r="14" spans="1:15">
      <c r="G14" s="138"/>
      <c r="H14" s="199"/>
      <c r="I14" s="262">
        <v>2024</v>
      </c>
      <c r="J14" s="262">
        <f>Model!K7</f>
        <v>2025</v>
      </c>
      <c r="K14" s="262">
        <f>Model!L7</f>
        <v>2026</v>
      </c>
      <c r="L14" s="262">
        <f>Model!M7</f>
        <v>2027</v>
      </c>
      <c r="M14" s="262">
        <f>Model!N7</f>
        <v>2028</v>
      </c>
      <c r="N14" s="262">
        <f>Model!O7</f>
        <v>2029</v>
      </c>
      <c r="O14" s="425" t="s">
        <v>245</v>
      </c>
    </row>
    <row r="15" spans="1:15">
      <c r="C15" t="s">
        <v>6</v>
      </c>
      <c r="J15" s="104">
        <f ca="1">Model!K101</f>
        <v>7025.4531176470591</v>
      </c>
      <c r="K15" s="104">
        <f ca="1">Model!L101</f>
        <v>7505.6529082446395</v>
      </c>
      <c r="L15" s="104">
        <f ca="1">Model!M101</f>
        <v>8435.8290591978694</v>
      </c>
      <c r="M15" s="104">
        <f ca="1">Model!N101</f>
        <v>9834.4942124496447</v>
      </c>
      <c r="N15" s="104">
        <f ca="1">Model!O101</f>
        <v>11186.210782822553</v>
      </c>
    </row>
    <row r="16" spans="1:15">
      <c r="C16" t="s">
        <v>40</v>
      </c>
      <c r="J16" s="104">
        <f>Model!K226</f>
        <v>275</v>
      </c>
      <c r="K16" s="104">
        <f ca="1">Model!L226</f>
        <v>271.36641765588234</v>
      </c>
      <c r="L16" s="104">
        <f ca="1">Model!M226</f>
        <v>268.12975967459471</v>
      </c>
      <c r="M16" s="104">
        <f ca="1">Model!N226</f>
        <v>265.47540166248695</v>
      </c>
      <c r="N16" s="104">
        <f ca="1">Model!O226</f>
        <v>263.64334511907697</v>
      </c>
    </row>
    <row r="17" spans="3:15">
      <c r="C17" t="s">
        <v>241</v>
      </c>
      <c r="J17" s="104">
        <f>Model!$F$321*Model!K324</f>
        <v>15.54</v>
      </c>
      <c r="K17" s="104">
        <f>Model!$F$321*Model!L324</f>
        <v>14.6076</v>
      </c>
      <c r="L17" s="104">
        <f>Model!$F$321*Model!M324</f>
        <v>13.731144</v>
      </c>
      <c r="M17" s="104">
        <f>Model!$F$321*Model!N324</f>
        <v>12.90727536</v>
      </c>
      <c r="N17" s="104">
        <f>Model!$F$321*Model!O324</f>
        <v>12.132838838400001</v>
      </c>
    </row>
    <row r="18" spans="3:15">
      <c r="C18" t="s">
        <v>44</v>
      </c>
      <c r="J18" s="104">
        <f ca="1">Model!K229</f>
        <v>208.93486647058822</v>
      </c>
      <c r="K18" s="104">
        <f ca="1">Model!L229</f>
        <v>212.51809072337855</v>
      </c>
      <c r="L18" s="104">
        <f ca="1">Model!M229</f>
        <v>219.86870490899946</v>
      </c>
      <c r="M18" s="104">
        <f ca="1">Model!N229</f>
        <v>232.16528269139602</v>
      </c>
      <c r="N18" s="104">
        <f ca="1">Model!O229</f>
        <v>244.53365067310443</v>
      </c>
    </row>
    <row r="19" spans="3:15" ht="14" customHeight="1">
      <c r="C19" t="s">
        <v>242</v>
      </c>
      <c r="J19" s="104">
        <f ca="1">-Model!K310</f>
        <v>138.29280012087111</v>
      </c>
      <c r="K19" s="104">
        <f ca="1">-Model!L310</f>
        <v>133.69429021893666</v>
      </c>
      <c r="L19" s="104">
        <f ca="1">-Model!M310</f>
        <v>595.890198696281</v>
      </c>
      <c r="M19" s="104">
        <f ca="1">-Model!N310</f>
        <v>513.53247459565864</v>
      </c>
      <c r="N19" s="104">
        <f ca="1">-Model!O310</f>
        <v>126.6851938275031</v>
      </c>
    </row>
    <row r="20" spans="3:15" ht="14" customHeight="1">
      <c r="C20" s="90" t="s">
        <v>237</v>
      </c>
      <c r="J20" s="616">
        <f ca="1">J15*(1-$G$9) + J16 +J17 -J18- J19</f>
        <v>5914.9474834085404</v>
      </c>
      <c r="K20" s="616">
        <f ca="1">K15*(1-$G$9) + K16 +K17 -K18- K19</f>
        <v>6319.5666087215104</v>
      </c>
      <c r="L20" s="616">
        <f ca="1">L15*(1-$G$9) + L16 +L17 -L18- L19</f>
        <v>6636.556700387503</v>
      </c>
      <c r="M20" s="616">
        <f ca="1">M15*(1-$G$9) + M16 +M17 -M18- M19</f>
        <v>7892.0050003176293</v>
      </c>
      <c r="N20" s="616">
        <f ca="1">N15*(1-$G$9) + N16 +N17 -N18- N19</f>
        <v>9412.8365048560408</v>
      </c>
      <c r="O20" s="616">
        <f ca="1">N20*(1+G10)/(G8-G10)</f>
        <v>137158.47478504517</v>
      </c>
    </row>
    <row r="21" spans="3:15" ht="4" customHeight="1"/>
    <row r="22" spans="3:15">
      <c r="C22" s="90" t="s">
        <v>246</v>
      </c>
      <c r="J22" s="342">
        <f ca="1">J20/(1+$G$8)</f>
        <v>5426.5573242280179</v>
      </c>
      <c r="K22" s="342">
        <f ca="1">K20/(1+$G$8)^2</f>
        <v>5319.0527806762975</v>
      </c>
      <c r="L22" s="342">
        <f ca="1">L20/(1+$G$8)^3</f>
        <v>5124.6394485277951</v>
      </c>
      <c r="M22" s="342">
        <f ca="1">M20/(1+$G$8)^4</f>
        <v>5590.8953080776018</v>
      </c>
      <c r="N22" s="342">
        <f ca="1">N20/(1+$G$8)^5</f>
        <v>6117.6978786007576</v>
      </c>
      <c r="O22" s="342">
        <f ca="1">O20/(1+$G$8)^5</f>
        <v>89143.597659611041</v>
      </c>
    </row>
    <row r="25" spans="3:15">
      <c r="C25" s="90" t="s">
        <v>247</v>
      </c>
      <c r="I25" s="342">
        <f ca="1">SUM(J22:O22)</f>
        <v>116722.44039972151</v>
      </c>
    </row>
    <row r="26" spans="3:15">
      <c r="C26" t="s">
        <v>248</v>
      </c>
      <c r="I26" s="104">
        <f>Model!J196+Model!J188</f>
        <v>8903</v>
      </c>
    </row>
    <row r="27" spans="3:15">
      <c r="C27" t="s">
        <v>12</v>
      </c>
      <c r="I27" s="104">
        <f>Model!J171</f>
        <v>9860</v>
      </c>
    </row>
    <row r="28" spans="3:15">
      <c r="C28" s="90" t="s">
        <v>238</v>
      </c>
      <c r="I28" s="616">
        <f ca="1">I25-I26+I27</f>
        <v>117679.44039972151</v>
      </c>
    </row>
    <row r="29" spans="3:15" ht="13" customHeight="1"/>
    <row r="30" spans="3:15" ht="12.5" customHeight="1">
      <c r="C30" s="405" t="s">
        <v>252</v>
      </c>
      <c r="D30" s="427"/>
      <c r="E30" s="427"/>
      <c r="F30" s="427"/>
      <c r="G30" s="427"/>
      <c r="H30" s="427"/>
      <c r="I30" s="614">
        <f ca="1">I28/G11</f>
        <v>76.929751192862327</v>
      </c>
    </row>
    <row r="31" spans="3:15" ht="12.5" customHeight="1">
      <c r="I31" s="429"/>
    </row>
    <row r="33" spans="2:15">
      <c r="C33" t="s">
        <v>250</v>
      </c>
      <c r="J33" s="430">
        <f>G12</f>
        <v>20</v>
      </c>
    </row>
    <row r="34" spans="2:15">
      <c r="C34" t="s">
        <v>7</v>
      </c>
      <c r="J34" s="430">
        <f ca="1">Model!K110</f>
        <v>5828.1636500000004</v>
      </c>
    </row>
    <row r="35" spans="2:15">
      <c r="C35" s="90" t="s">
        <v>238</v>
      </c>
      <c r="J35" s="615">
        <f ca="1">J34*J33</f>
        <v>116563.27300000002</v>
      </c>
    </row>
    <row r="37" spans="2:15">
      <c r="C37" s="405" t="s">
        <v>251</v>
      </c>
      <c r="D37" s="427"/>
      <c r="E37" s="427"/>
      <c r="F37" s="427"/>
      <c r="G37" s="427"/>
      <c r="H37" s="427"/>
      <c r="I37" s="427"/>
      <c r="J37" s="614">
        <f ca="1">J35/G11</f>
        <v>76.200086945152648</v>
      </c>
    </row>
    <row r="39" spans="2:15" ht="14" thickBot="1">
      <c r="B39" s="275"/>
      <c r="C39" s="275"/>
      <c r="D39" s="275"/>
      <c r="E39" s="275"/>
      <c r="F39" s="275"/>
      <c r="G39" s="275"/>
      <c r="H39" s="275"/>
      <c r="I39" s="275"/>
      <c r="J39" s="275"/>
      <c r="K39" s="275"/>
      <c r="L39" s="275"/>
      <c r="M39" s="275"/>
      <c r="N39" s="275"/>
      <c r="O39" s="275"/>
    </row>
  </sheetData>
  <printOptions horizontalCentered="1"/>
  <pageMargins left="0.25" right="0.25" top="0.25" bottom="0.5" header="0.25" footer="0.25"/>
  <pageSetup paperSize="9" scale="85" orientation="landscape" r:id="rId1"/>
  <headerFooter>
    <oddFooter>&amp;L&amp;K000000C:\Documents\nike.xlsx&amp;C&amp;K000000Page &amp;P of &amp;N
&amp;R&amp;K000000&amp;D &amp;T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98D8306A1034782492F3567A273F2" ma:contentTypeVersion="12" ma:contentTypeDescription="Create a new document." ma:contentTypeScope="" ma:versionID="4c5b699968f7936cc9e2b89b7e5f9cbe">
  <xsd:schema xmlns:xsd="http://www.w3.org/2001/XMLSchema" xmlns:xs="http://www.w3.org/2001/XMLSchema" xmlns:p="http://schemas.microsoft.com/office/2006/metadata/properties" xmlns:ns2="90f44690-06d1-49fb-852d-53eb500a6f07" xmlns:ns3="7c7e0179-495a-4ef3-8969-463b3802bcab" targetNamespace="http://schemas.microsoft.com/office/2006/metadata/properties" ma:root="true" ma:fieldsID="dadd706c7ce454de55746a2a3b085249" ns2:_="" ns3:_="">
    <xsd:import namespace="90f44690-06d1-49fb-852d-53eb500a6f07"/>
    <xsd:import namespace="7c7e0179-495a-4ef3-8969-463b3802b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44690-06d1-49fb-852d-53eb500a6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571d408-0d8c-48a4-adcf-444c1a3db9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e0179-495a-4ef3-8969-463b3802bc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205484f-7026-451c-87e6-e05ed3f56675}" ma:internalName="TaxCatchAll" ma:showField="CatchAllData" ma:web="7c7e0179-495a-4ef3-8969-463b3802bc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44690-06d1-49fb-852d-53eb500a6f07">
      <Terms xmlns="http://schemas.microsoft.com/office/infopath/2007/PartnerControls"/>
    </lcf76f155ced4ddcb4097134ff3c332f>
    <TaxCatchAll xmlns="7c7e0179-495a-4ef3-8969-463b3802bcab" xsi:nil="true"/>
  </documentManagement>
</p:properties>
</file>

<file path=customXml/itemProps1.xml><?xml version="1.0" encoding="utf-8"?>
<ds:datastoreItem xmlns:ds="http://schemas.openxmlformats.org/officeDocument/2006/customXml" ds:itemID="{547B2F2C-E8EE-4BB5-A717-F68210001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f44690-06d1-49fb-852d-53eb500a6f07"/>
    <ds:schemaRef ds:uri="7c7e0179-495a-4ef3-8969-463b3802b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9E450A-0AD5-4057-8FCE-28839633CB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85162E-4F6A-4F9A-AA32-41B2CBEE217C}">
  <ds:schemaRefs>
    <ds:schemaRef ds:uri="http://schemas.microsoft.com/office/2006/documentManagement/types"/>
    <ds:schemaRef ds:uri="90f44690-06d1-49fb-852d-53eb500a6f07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7c7e0179-495a-4ef3-8969-463b3802bca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Cover</vt:lpstr>
      <vt:lpstr>Summary</vt:lpstr>
      <vt:lpstr>Assumptions</vt:lpstr>
      <vt:lpstr>Scenarios</vt:lpstr>
      <vt:lpstr>Model</vt:lpstr>
      <vt:lpstr>Valuations</vt:lpstr>
      <vt:lpstr>Assumptions!Print_Area</vt:lpstr>
      <vt:lpstr>Cover!Print_Area</vt:lpstr>
      <vt:lpstr>Model!Print_Area</vt:lpstr>
      <vt:lpstr>Scenarios!Print_Area</vt:lpstr>
      <vt:lpstr>Summary!Print_Area</vt:lpstr>
      <vt:lpstr>Valuations!Print_Area</vt:lpstr>
    </vt:vector>
  </TitlesOfParts>
  <Manager/>
  <Company>Financial Modeling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Schnoor</dc:creator>
  <cp:keywords/>
  <dc:description/>
  <cp:lastModifiedBy>Murtaza Wani</cp:lastModifiedBy>
  <cp:lastPrinted>2025-06-28T14:10:07Z</cp:lastPrinted>
  <dcterms:created xsi:type="dcterms:W3CDTF">2018-03-28T17:44:41Z</dcterms:created>
  <dcterms:modified xsi:type="dcterms:W3CDTF">2025-06-28T15:22:08Z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0x01010023898D8306A1034782492F3567A273F2</vt:lpwstr>
  </property>
  <property fmtid="{D5CDD505-2E9C-101B-9397-08002B2CF9AE}" pid="3" name="MSIP_Label_af1741f6-9e47-426e-a683-937c37d4ebc5_Enabled">
    <vt:lpwstr>true</vt:lpwstr>
  </property>
  <property fmtid="{D5CDD505-2E9C-101B-9397-08002B2CF9AE}" pid="4" name="MSIP_Label_af1741f6-9e47-426e-a683-937c37d4ebc5_SetDate">
    <vt:lpwstr>2025-06-24T08:51:37Z</vt:lpwstr>
  </property>
  <property fmtid="{D5CDD505-2E9C-101B-9397-08002B2CF9AE}" pid="5" name="MSIP_Label_af1741f6-9e47-426e-a683-937c37d4ebc5_Method">
    <vt:lpwstr>Privileged</vt:lpwstr>
  </property>
  <property fmtid="{D5CDD505-2E9C-101B-9397-08002B2CF9AE}" pid="6" name="MSIP_Label_af1741f6-9e47-426e-a683-937c37d4ebc5_Name">
    <vt:lpwstr>af1741f6-9e47-426e-a683-937c37d4ebc5</vt:lpwstr>
  </property>
  <property fmtid="{D5CDD505-2E9C-101B-9397-08002B2CF9AE}" pid="7" name="MSIP_Label_af1741f6-9e47-426e-a683-937c37d4ebc5_SiteId">
    <vt:lpwstr>1e9b61e8-e590-4abc-b1af-24125e330d2a</vt:lpwstr>
  </property>
  <property fmtid="{D5CDD505-2E9C-101B-9397-08002B2CF9AE}" pid="8" name="MSIP_Label_af1741f6-9e47-426e-a683-937c37d4ebc5_ActionId">
    <vt:lpwstr>6b48561e-5aec-4f34-9d02-7fabb13e7210</vt:lpwstr>
  </property>
  <property fmtid="{D5CDD505-2E9C-101B-9397-08002B2CF9AE}" pid="9" name="MSIP_Label_af1741f6-9e47-426e-a683-937c37d4ebc5_ContentBits">
    <vt:lpwstr>3</vt:lpwstr>
  </property>
</Properties>
</file>