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0" windowWidth="20730" windowHeight="9735"/>
  </bookViews>
  <sheets>
    <sheet name="Balance Sheet" sheetId="1" r:id="rId1"/>
    <sheet name="Income Statement" sheetId="4" r:id="rId2"/>
    <sheet name="Ratio Analysis" sheetId="3" r:id="rId3"/>
    <sheet name="Market Beta" sheetId="7" r:id="rId4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4" i="7"/>
  <c r="F64"/>
  <c r="S15" i="3" l="1"/>
  <c r="R15"/>
  <c r="Q15"/>
  <c r="P15"/>
  <c r="O15"/>
  <c r="O9"/>
  <c r="P9"/>
  <c r="Q9"/>
  <c r="R9"/>
  <c r="S9"/>
  <c r="J5"/>
  <c r="K5"/>
  <c r="L5"/>
  <c r="M5"/>
  <c r="N5"/>
  <c r="F5" i="7"/>
  <c r="H7" s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4"/>
  <c r="S11" i="3"/>
  <c r="S12"/>
  <c r="S13" s="1"/>
  <c r="R11"/>
  <c r="Q11"/>
  <c r="P11"/>
  <c r="O11"/>
  <c r="R12"/>
  <c r="R13" s="1"/>
  <c r="F28" s="1"/>
  <c r="Q12"/>
  <c r="Q13" s="1"/>
  <c r="E28" s="1"/>
  <c r="O12"/>
  <c r="O13" s="1"/>
  <c r="P12"/>
  <c r="P13" s="1"/>
  <c r="S10"/>
  <c r="R10"/>
  <c r="Q10"/>
  <c r="P10"/>
  <c r="O10"/>
  <c r="S8"/>
  <c r="R8"/>
  <c r="Q8"/>
  <c r="P8"/>
  <c r="O8"/>
  <c r="D27" l="1"/>
  <c r="F27"/>
  <c r="C27"/>
  <c r="E27"/>
  <c r="G27"/>
  <c r="D31"/>
  <c r="F31"/>
  <c r="G26"/>
  <c r="D28"/>
  <c r="G28"/>
  <c r="C28"/>
  <c r="C31"/>
  <c r="E31"/>
  <c r="G31"/>
  <c r="C26"/>
  <c r="E26"/>
  <c r="D32"/>
  <c r="F32"/>
  <c r="D26"/>
  <c r="F26"/>
  <c r="C32"/>
  <c r="E32"/>
  <c r="G32"/>
  <c r="C36" i="1"/>
  <c r="D17" i="3" s="1"/>
  <c r="F6" i="4" l="1"/>
  <c r="G9" i="3" s="1"/>
  <c r="F13" i="4"/>
  <c r="F14"/>
  <c r="F20"/>
  <c r="F16" i="1"/>
  <c r="E6" i="4"/>
  <c r="F9" i="3" s="1"/>
  <c r="E13" i="4"/>
  <c r="E20"/>
  <c r="E16" i="1"/>
  <c r="D6" i="4"/>
  <c r="E9" i="3" s="1"/>
  <c r="D13" i="4"/>
  <c r="D20"/>
  <c r="D16" i="1"/>
  <c r="C6" i="4"/>
  <c r="D9" i="3" s="1"/>
  <c r="C13" i="4"/>
  <c r="C14" s="1"/>
  <c r="C20"/>
  <c r="C16" i="1"/>
  <c r="D15" i="3" s="1"/>
  <c r="B6" i="4"/>
  <c r="C9" i="3" s="1"/>
  <c r="B13" i="4"/>
  <c r="B20"/>
  <c r="B16" i="1"/>
  <c r="D36"/>
  <c r="E36"/>
  <c r="F36"/>
  <c r="B36"/>
  <c r="D27"/>
  <c r="Q14" i="3" s="1"/>
  <c r="E16" s="1"/>
  <c r="E27" i="1"/>
  <c r="R14" i="3" s="1"/>
  <c r="F16" s="1"/>
  <c r="F27" i="1"/>
  <c r="S14" i="3" s="1"/>
  <c r="G16" s="1"/>
  <c r="B27" i="1"/>
  <c r="O14" i="3" s="1"/>
  <c r="C16" s="1"/>
  <c r="C27" i="1"/>
  <c r="P14" i="3" s="1"/>
  <c r="D16" s="1"/>
  <c r="E29" i="1"/>
  <c r="D29"/>
  <c r="B29"/>
  <c r="E17" i="3" l="1"/>
  <c r="E15"/>
  <c r="G17"/>
  <c r="G15"/>
  <c r="F17"/>
  <c r="F15"/>
  <c r="F21" i="4"/>
  <c r="F25" s="1"/>
  <c r="F27" s="1"/>
  <c r="C29" i="1"/>
  <c r="F29"/>
  <c r="C17" i="3"/>
  <c r="C15"/>
  <c r="B14" i="4"/>
  <c r="C21"/>
  <c r="C25" s="1"/>
  <c r="D14"/>
  <c r="E14"/>
  <c r="G20" i="3" l="1"/>
  <c r="G6"/>
  <c r="B21" i="4"/>
  <c r="B25" s="1"/>
  <c r="E21"/>
  <c r="E25" s="1"/>
  <c r="C27"/>
  <c r="G10" i="3"/>
  <c r="D21" i="4"/>
  <c r="D25" s="1"/>
  <c r="D6" i="3" l="1"/>
  <c r="D20"/>
  <c r="B27" i="4"/>
  <c r="E27"/>
  <c r="D10" i="3"/>
  <c r="D27" i="4"/>
  <c r="F20" i="3" l="1"/>
  <c r="F6"/>
  <c r="G21" s="1"/>
  <c r="C20"/>
  <c r="C6"/>
  <c r="D21" s="1"/>
  <c r="E6"/>
  <c r="E21" s="1"/>
  <c r="E20"/>
  <c r="C10"/>
  <c r="D22" s="1"/>
  <c r="E10"/>
  <c r="F10"/>
  <c r="G22" s="1"/>
  <c r="F21" l="1"/>
  <c r="C21" s="1"/>
  <c r="F22"/>
  <c r="E22"/>
  <c r="C22" l="1"/>
</calcChain>
</file>

<file path=xl/sharedStrings.xml><?xml version="1.0" encoding="utf-8"?>
<sst xmlns="http://schemas.openxmlformats.org/spreadsheetml/2006/main" count="111" uniqueCount="104">
  <si>
    <t>Statement of Financial Position</t>
  </si>
  <si>
    <t>Financial Years</t>
  </si>
  <si>
    <t>Rs. in Mn</t>
  </si>
  <si>
    <t>Assets</t>
  </si>
  <si>
    <t>Cash and balances with treasury banks</t>
  </si>
  <si>
    <t>Balances with other banks</t>
  </si>
  <si>
    <t>Investments</t>
  </si>
  <si>
    <t>Operating fixed assets</t>
  </si>
  <si>
    <t>Defered tax assets</t>
  </si>
  <si>
    <t>Other assets</t>
  </si>
  <si>
    <t>Total Assets</t>
  </si>
  <si>
    <t>Liabilities</t>
  </si>
  <si>
    <t>Bills Payable</t>
  </si>
  <si>
    <t>Deposits and other accounts</t>
  </si>
  <si>
    <t>Deferred tax liabilities</t>
  </si>
  <si>
    <t>Other liabilities</t>
  </si>
  <si>
    <t>Total Liabilities</t>
  </si>
  <si>
    <t>Net Assets</t>
  </si>
  <si>
    <t>Represented by</t>
  </si>
  <si>
    <t>Reserves</t>
  </si>
  <si>
    <t>Total Equity</t>
  </si>
  <si>
    <t>Net spread earned</t>
  </si>
  <si>
    <t>Taxation</t>
  </si>
  <si>
    <t>Islmic financing, related assets and advances</t>
  </si>
  <si>
    <t>Subordinated Sukuk</t>
  </si>
  <si>
    <t>Share Capital - net</t>
  </si>
  <si>
    <t>Unappropriated profit (loss)</t>
  </si>
  <si>
    <t>Formula</t>
  </si>
  <si>
    <t>Subordinated debt</t>
  </si>
  <si>
    <t>Intangible assets</t>
  </si>
  <si>
    <t>Borrowings / Due to financial institutions</t>
  </si>
  <si>
    <t>Due from/ Lending to financial institutions</t>
  </si>
  <si>
    <t>Liabilities against assets subject to finance lease</t>
  </si>
  <si>
    <t>(Deficit )/ Surplus on Revaluation of Assets</t>
  </si>
  <si>
    <t>Meezan Bank Limited</t>
  </si>
  <si>
    <t>Profit / return earned on Islamic financing and related assets, investments and placements</t>
  </si>
  <si>
    <t>Profits on deposits and other dues expensed</t>
  </si>
  <si>
    <t>OTHER INCOME</t>
  </si>
  <si>
    <t>Fee and Commision Income</t>
  </si>
  <si>
    <t>Dividend Income</t>
  </si>
  <si>
    <t>Foreign exchange Income</t>
  </si>
  <si>
    <t>Gain on securities-net</t>
  </si>
  <si>
    <t>Other Income</t>
  </si>
  <si>
    <t>Total income</t>
  </si>
  <si>
    <t>OTHER EXPENSES</t>
  </si>
  <si>
    <t>Operating expenses</t>
  </si>
  <si>
    <t>Workers welfare fund</t>
  </si>
  <si>
    <t>Other charges</t>
  </si>
  <si>
    <t>Total other expenses</t>
  </si>
  <si>
    <t>Profit before provisons</t>
  </si>
  <si>
    <t xml:space="preserve">Provisions and write offs-net </t>
  </si>
  <si>
    <t>Profit before taxation</t>
  </si>
  <si>
    <t>Profit after taxation</t>
  </si>
  <si>
    <t>BASIC AND DILUTED EARNINGS PER SHARE</t>
  </si>
  <si>
    <t>Return On Equity</t>
  </si>
  <si>
    <t>VALUES FROM NOTES</t>
  </si>
  <si>
    <t>Long term debt</t>
  </si>
  <si>
    <t>Total dues to finacial institution in local and freign currency</t>
  </si>
  <si>
    <t>Return On Assets</t>
  </si>
  <si>
    <t>Profit/loss after taxation/ Total Assets</t>
  </si>
  <si>
    <t>Capital to Assets Ratios</t>
  </si>
  <si>
    <t>Total Equity/Total Assets</t>
  </si>
  <si>
    <t>Ratios</t>
  </si>
  <si>
    <t>MEEZAN BANK PRIVATE LIMITED</t>
  </si>
  <si>
    <t>INCOME STATEMENT</t>
  </si>
  <si>
    <t>Date</t>
  </si>
  <si>
    <t>Price</t>
  </si>
  <si>
    <t>Meezan bank</t>
  </si>
  <si>
    <t>Common equity to Total capital</t>
  </si>
  <si>
    <t>Total capital</t>
  </si>
  <si>
    <t>Common equity/Total capital</t>
  </si>
  <si>
    <t>Management</t>
  </si>
  <si>
    <t>Operating expenses to net income</t>
  </si>
  <si>
    <t xml:space="preserve">Operating expenses/Net income </t>
  </si>
  <si>
    <t>ROA Growth rate last 5 years</t>
  </si>
  <si>
    <t>ROE Growth rate last 5 years</t>
  </si>
  <si>
    <t>Liquidity</t>
  </si>
  <si>
    <t xml:space="preserve">Islamic financing and related assets </t>
  </si>
  <si>
    <t>Non performing  finance</t>
  </si>
  <si>
    <t>Total assets</t>
  </si>
  <si>
    <t>Current account+Saving account</t>
  </si>
  <si>
    <t>Deposits and other account</t>
  </si>
  <si>
    <t>Current account+Saving account(MN)</t>
  </si>
  <si>
    <t>Finance to Deposit</t>
  </si>
  <si>
    <t>(Current account+Saving account) to total deposits</t>
  </si>
  <si>
    <t>Asset quality</t>
  </si>
  <si>
    <t>Non performing financing to Total financing</t>
  </si>
  <si>
    <t>Non performing financing to Total assets</t>
  </si>
  <si>
    <t>KMI 30 returns</t>
  </si>
  <si>
    <t>Beta has been calculated with the slope formula</t>
  </si>
  <si>
    <t>Net income/share holders equity</t>
  </si>
  <si>
    <t>Debt to Equity Ratio</t>
  </si>
  <si>
    <t>Earnings</t>
  </si>
  <si>
    <t>Net interest Mark up/Total Assets</t>
  </si>
  <si>
    <t>Capital Adequecy Ratio</t>
  </si>
  <si>
    <t>Investment to Deposits</t>
  </si>
  <si>
    <t>Debt/Equity</t>
  </si>
  <si>
    <t>Net Interest Mark up/Total Assets</t>
  </si>
  <si>
    <t>KMI 30 Index</t>
  </si>
  <si>
    <t>CAMELS ANALYSIS USING 5 YEARS DATA</t>
  </si>
  <si>
    <t xml:space="preserve">CALCULATION OF FINANCIAL RATIOS </t>
  </si>
  <si>
    <t xml:space="preserve"> in Million</t>
  </si>
  <si>
    <t>Finances/Deposits</t>
  </si>
  <si>
    <t>Investment/Deposits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</si>
</sst>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Fill="1"/>
    <xf numFmtId="164" fontId="4" fillId="2" borderId="1" xfId="2" applyNumberFormat="1" applyBorder="1"/>
    <xf numFmtId="0" fontId="4" fillId="2" borderId="1" xfId="2" applyBorder="1"/>
    <xf numFmtId="3" fontId="4" fillId="2" borderId="1" xfId="2" applyNumberFormat="1" applyBorder="1"/>
    <xf numFmtId="0" fontId="6" fillId="4" borderId="3" xfId="4" applyFont="1" applyBorder="1" applyAlignment="1">
      <alignment vertical="center"/>
    </xf>
    <xf numFmtId="0" fontId="6" fillId="4" borderId="2" xfId="4" applyFont="1" applyBorder="1" applyAlignment="1">
      <alignment vertical="center"/>
    </xf>
    <xf numFmtId="0" fontId="6" fillId="4" borderId="4" xfId="4" applyFont="1" applyBorder="1" applyAlignment="1">
      <alignment vertical="center"/>
    </xf>
    <xf numFmtId="0" fontId="6" fillId="4" borderId="1" xfId="4" applyFont="1" applyBorder="1"/>
    <xf numFmtId="0" fontId="6" fillId="0" borderId="0" xfId="0" applyFont="1"/>
    <xf numFmtId="0" fontId="6" fillId="4" borderId="1" xfId="4" applyNumberFormat="1" applyFont="1" applyBorder="1"/>
    <xf numFmtId="9" fontId="6" fillId="4" borderId="1" xfId="4" applyNumberFormat="1" applyFont="1" applyBorder="1"/>
    <xf numFmtId="2" fontId="6" fillId="4" borderId="1" xfId="4" applyNumberFormat="1" applyFont="1" applyBorder="1"/>
    <xf numFmtId="164" fontId="6" fillId="4" borderId="1" xfId="1" applyNumberFormat="1" applyFont="1" applyFill="1" applyBorder="1"/>
    <xf numFmtId="10" fontId="6" fillId="4" borderId="1" xfId="4" applyNumberFormat="1" applyFont="1" applyBorder="1"/>
    <xf numFmtId="165" fontId="6" fillId="4" borderId="1" xfId="4" applyNumberFormat="1" applyFont="1" applyBorder="1"/>
    <xf numFmtId="0" fontId="6" fillId="5" borderId="1" xfId="0" applyFont="1" applyFill="1" applyBorder="1"/>
    <xf numFmtId="0" fontId="4" fillId="2" borderId="1" xfId="2" applyBorder="1" applyAlignment="1">
      <alignment horizontal="center"/>
    </xf>
    <xf numFmtId="0" fontId="6" fillId="0" borderId="0" xfId="0" applyFont="1" applyBorder="1"/>
    <xf numFmtId="0" fontId="7" fillId="3" borderId="1" xfId="3" applyFont="1" applyBorder="1"/>
    <xf numFmtId="3" fontId="7" fillId="3" borderId="1" xfId="3" applyNumberFormat="1" applyFont="1" applyBorder="1"/>
    <xf numFmtId="0" fontId="4" fillId="2" borderId="1" xfId="2" applyBorder="1" applyAlignment="1">
      <alignment horizontal="center"/>
    </xf>
    <xf numFmtId="0" fontId="7" fillId="3" borderId="1" xfId="3" applyFont="1" applyBorder="1" applyAlignment="1">
      <alignment horizontal="center"/>
    </xf>
    <xf numFmtId="0" fontId="7" fillId="3" borderId="1" xfId="3" applyFont="1" applyBorder="1"/>
    <xf numFmtId="0" fontId="6" fillId="4" borderId="1" xfId="4" applyFont="1" applyBorder="1" applyAlignment="1">
      <alignment horizontal="center" vertical="center"/>
    </xf>
  </cellXfs>
  <cellStyles count="5">
    <cellStyle name="20% - Accent2" xfId="4" builtinId="34"/>
    <cellStyle name="Comma" xfId="1" builtinId="3"/>
    <cellStyle name="Good" xfId="2" builtinId="26"/>
    <cellStyle name="Neutral" xfId="3" builtinId="28"/>
    <cellStyle name="Normal" xfId="0" builtinId="0"/>
  </cellStyles>
  <dxfs count="0"/>
  <tableStyles count="0" defaultTableStyle="TableStyleMedium9" defaultPivotStyle="PivotStyleLight16"/>
  <colors>
    <mruColors>
      <color rgb="FF0099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41"/>
  <sheetViews>
    <sheetView tabSelected="1" zoomScalePageLayoutView="90" workbookViewId="0">
      <selection activeCell="H8" sqref="H8"/>
    </sheetView>
  </sheetViews>
  <sheetFormatPr defaultColWidth="8.85546875" defaultRowHeight="12"/>
  <cols>
    <col min="1" max="1" width="47.7109375" style="1" customWidth="1"/>
    <col min="2" max="2" width="10.5703125" style="2" bestFit="1" customWidth="1"/>
    <col min="3" max="6" width="9.85546875" style="1" bestFit="1" customWidth="1"/>
    <col min="7" max="16384" width="8.85546875" style="1"/>
  </cols>
  <sheetData>
    <row r="1" spans="1:6" ht="15">
      <c r="A1" s="22" t="s">
        <v>34</v>
      </c>
      <c r="B1" s="22"/>
      <c r="C1" s="22"/>
      <c r="D1" s="22"/>
      <c r="E1" s="22"/>
      <c r="F1" s="22"/>
    </row>
    <row r="2" spans="1:6" ht="15">
      <c r="A2" s="22" t="s">
        <v>0</v>
      </c>
      <c r="B2" s="22"/>
      <c r="C2" s="22"/>
      <c r="D2" s="22"/>
      <c r="E2" s="22"/>
      <c r="F2" s="22"/>
    </row>
    <row r="3" spans="1:6" ht="15">
      <c r="A3" s="18" t="s">
        <v>1</v>
      </c>
      <c r="B3" s="18">
        <v>2019</v>
      </c>
      <c r="C3" s="18">
        <v>2018</v>
      </c>
      <c r="D3" s="18">
        <v>2017</v>
      </c>
      <c r="E3" s="18">
        <v>2016</v>
      </c>
      <c r="F3" s="18">
        <v>2015</v>
      </c>
    </row>
    <row r="4" spans="1:6" ht="15">
      <c r="A4" s="4"/>
      <c r="B4" s="18" t="s">
        <v>2</v>
      </c>
      <c r="C4" s="18" t="s">
        <v>2</v>
      </c>
      <c r="D4" s="18" t="s">
        <v>2</v>
      </c>
      <c r="E4" s="18" t="s">
        <v>2</v>
      </c>
      <c r="F4" s="18" t="s">
        <v>2</v>
      </c>
    </row>
    <row r="5" spans="1:6" ht="15">
      <c r="A5" s="4" t="s">
        <v>3</v>
      </c>
      <c r="B5" s="4"/>
      <c r="C5" s="4"/>
      <c r="D5" s="4"/>
      <c r="E5" s="4"/>
      <c r="F5" s="4"/>
    </row>
    <row r="6" spans="1:6" ht="15">
      <c r="A6" s="4" t="s">
        <v>4</v>
      </c>
      <c r="B6" s="3">
        <v>92193</v>
      </c>
      <c r="C6" s="3">
        <v>65022</v>
      </c>
      <c r="D6" s="3">
        <v>64556</v>
      </c>
      <c r="E6" s="3">
        <v>56037</v>
      </c>
      <c r="F6" s="3">
        <v>43686</v>
      </c>
    </row>
    <row r="7" spans="1:6" ht="15">
      <c r="A7" s="4" t="s">
        <v>5</v>
      </c>
      <c r="B7" s="3">
        <v>15372</v>
      </c>
      <c r="C7" s="3">
        <v>8255</v>
      </c>
      <c r="D7" s="3">
        <v>4896</v>
      </c>
      <c r="E7" s="3">
        <v>12021</v>
      </c>
      <c r="F7" s="3">
        <v>11175</v>
      </c>
    </row>
    <row r="8" spans="1:6" ht="15">
      <c r="A8" s="4" t="s">
        <v>31</v>
      </c>
      <c r="B8" s="3">
        <v>223690</v>
      </c>
      <c r="C8" s="3">
        <v>184815</v>
      </c>
      <c r="D8" s="3">
        <v>147229</v>
      </c>
      <c r="E8" s="3">
        <v>129115</v>
      </c>
      <c r="F8" s="3">
        <v>170474</v>
      </c>
    </row>
    <row r="9" spans="1:6" ht="15">
      <c r="A9" s="4" t="s">
        <v>6</v>
      </c>
      <c r="B9" s="3">
        <v>225646</v>
      </c>
      <c r="C9" s="3">
        <v>123743</v>
      </c>
      <c r="D9" s="3">
        <v>119238</v>
      </c>
      <c r="E9" s="3">
        <v>130156</v>
      </c>
      <c r="F9" s="3">
        <v>76910</v>
      </c>
    </row>
    <row r="10" spans="1:6" ht="15">
      <c r="A10" s="4"/>
      <c r="B10" s="3"/>
      <c r="C10" s="3"/>
      <c r="D10" s="3"/>
      <c r="E10" s="3"/>
      <c r="F10" s="3"/>
    </row>
    <row r="11" spans="1:6" ht="15">
      <c r="A11" s="4" t="s">
        <v>23</v>
      </c>
      <c r="B11" s="3">
        <v>493775</v>
      </c>
      <c r="C11" s="3">
        <v>512565</v>
      </c>
      <c r="D11" s="3">
        <v>420029</v>
      </c>
      <c r="E11" s="3">
        <v>311530</v>
      </c>
      <c r="F11" s="3">
        <v>207569</v>
      </c>
    </row>
    <row r="12" spans="1:6" ht="15">
      <c r="A12" s="4" t="s">
        <v>7</v>
      </c>
      <c r="B12" s="3">
        <v>23284</v>
      </c>
      <c r="C12" s="3">
        <v>13129</v>
      </c>
      <c r="D12" s="3">
        <v>11875</v>
      </c>
      <c r="E12" s="3">
        <v>8924</v>
      </c>
      <c r="F12" s="3">
        <v>8057</v>
      </c>
    </row>
    <row r="13" spans="1:6" ht="15">
      <c r="A13" s="4" t="s">
        <v>29</v>
      </c>
      <c r="B13" s="3">
        <v>780</v>
      </c>
      <c r="C13" s="3">
        <v>625</v>
      </c>
      <c r="D13" s="3"/>
      <c r="E13" s="3"/>
      <c r="F13" s="3"/>
    </row>
    <row r="14" spans="1:6" ht="15">
      <c r="A14" s="4" t="s">
        <v>8</v>
      </c>
      <c r="B14" s="3"/>
      <c r="C14" s="3">
        <v>983</v>
      </c>
      <c r="D14" s="3"/>
      <c r="E14" s="3"/>
      <c r="F14" s="3"/>
    </row>
    <row r="15" spans="1:6" ht="15">
      <c r="A15" s="4" t="s">
        <v>9</v>
      </c>
      <c r="B15" s="3">
        <v>46517</v>
      </c>
      <c r="C15" s="3">
        <v>28780</v>
      </c>
      <c r="D15" s="3">
        <v>13875</v>
      </c>
      <c r="E15" s="3">
        <v>9983</v>
      </c>
      <c r="F15" s="3">
        <v>13979</v>
      </c>
    </row>
    <row r="16" spans="1:6" ht="15">
      <c r="A16" s="4" t="s">
        <v>10</v>
      </c>
      <c r="B16" s="3">
        <f>SUM(B6:B15)</f>
        <v>1121257</v>
      </c>
      <c r="C16" s="3">
        <f>SUM(C6:C15)</f>
        <v>937917</v>
      </c>
      <c r="D16" s="3">
        <f>SUM(D6:D15)</f>
        <v>781698</v>
      </c>
      <c r="E16" s="3">
        <f>SUM(E6:E15)</f>
        <v>657766</v>
      </c>
      <c r="F16" s="3">
        <f>SUM(F6:F15)</f>
        <v>531850</v>
      </c>
    </row>
    <row r="17" spans="1:6" ht="15">
      <c r="A17" s="4"/>
      <c r="B17" s="3"/>
      <c r="C17" s="3"/>
      <c r="D17" s="3"/>
      <c r="E17" s="3"/>
      <c r="F17" s="3"/>
    </row>
    <row r="18" spans="1:6" ht="14.25" customHeight="1">
      <c r="A18" s="4" t="s">
        <v>11</v>
      </c>
      <c r="B18" s="4"/>
      <c r="C18" s="4"/>
      <c r="D18" s="4"/>
      <c r="E18" s="4"/>
      <c r="F18" s="4"/>
    </row>
    <row r="19" spans="1:6" ht="14.25" customHeight="1">
      <c r="A19" s="4" t="s">
        <v>12</v>
      </c>
      <c r="B19" s="3">
        <v>17187</v>
      </c>
      <c r="C19" s="3">
        <v>23750</v>
      </c>
      <c r="D19" s="3">
        <v>11168</v>
      </c>
      <c r="E19" s="3">
        <v>9131</v>
      </c>
      <c r="F19" s="3">
        <v>6560</v>
      </c>
    </row>
    <row r="20" spans="1:6" ht="15">
      <c r="A20" s="4" t="s">
        <v>30</v>
      </c>
      <c r="B20" s="3">
        <v>42047</v>
      </c>
      <c r="C20" s="3">
        <v>36408</v>
      </c>
      <c r="D20" s="3">
        <v>36813</v>
      </c>
      <c r="E20" s="3">
        <v>32006</v>
      </c>
      <c r="F20" s="3">
        <v>13610</v>
      </c>
    </row>
    <row r="21" spans="1:6" ht="15">
      <c r="A21" s="4" t="s">
        <v>13</v>
      </c>
      <c r="B21" s="3">
        <v>932579</v>
      </c>
      <c r="C21" s="3">
        <v>785477</v>
      </c>
      <c r="D21" s="3">
        <v>673188</v>
      </c>
      <c r="E21" s="3">
        <v>564024</v>
      </c>
      <c r="F21" s="3">
        <v>471820</v>
      </c>
    </row>
    <row r="22" spans="1:6" ht="15">
      <c r="A22" s="4" t="s">
        <v>32</v>
      </c>
      <c r="B22" s="3"/>
      <c r="C22" s="3"/>
      <c r="D22" s="3"/>
      <c r="E22" s="3"/>
      <c r="F22" s="3"/>
    </row>
    <row r="23" spans="1:6" ht="15">
      <c r="A23" s="4" t="s">
        <v>28</v>
      </c>
      <c r="B23" s="3"/>
      <c r="C23" s="3"/>
      <c r="D23" s="3"/>
      <c r="E23" s="3"/>
      <c r="F23" s="3"/>
    </row>
    <row r="24" spans="1:6" ht="15">
      <c r="A24" s="4" t="s">
        <v>24</v>
      </c>
      <c r="B24" s="3">
        <v>14000</v>
      </c>
      <c r="C24" s="3">
        <v>14000</v>
      </c>
      <c r="D24" s="3">
        <v>7000</v>
      </c>
      <c r="E24" s="3">
        <v>7000</v>
      </c>
      <c r="F24" s="3"/>
    </row>
    <row r="25" spans="1:6" ht="15">
      <c r="A25" s="4" t="s">
        <v>14</v>
      </c>
      <c r="B25" s="3">
        <v>2830</v>
      </c>
      <c r="C25" s="3"/>
      <c r="D25" s="3">
        <v>8</v>
      </c>
      <c r="E25" s="3">
        <v>1363</v>
      </c>
      <c r="F25" s="3">
        <v>393</v>
      </c>
    </row>
    <row r="26" spans="1:6" ht="15">
      <c r="A26" s="4" t="s">
        <v>15</v>
      </c>
      <c r="B26" s="3">
        <v>53600</v>
      </c>
      <c r="C26" s="3">
        <v>37947</v>
      </c>
      <c r="D26" s="3">
        <v>18444</v>
      </c>
      <c r="E26" s="3">
        <v>13770</v>
      </c>
      <c r="F26" s="3">
        <v>13119</v>
      </c>
    </row>
    <row r="27" spans="1:6" ht="15">
      <c r="A27" s="4" t="s">
        <v>16</v>
      </c>
      <c r="B27" s="3">
        <f t="shared" ref="B27:F27" si="0">SUM(B19:B26)</f>
        <v>1062243</v>
      </c>
      <c r="C27" s="3">
        <f t="shared" si="0"/>
        <v>897582</v>
      </c>
      <c r="D27" s="3">
        <f t="shared" si="0"/>
        <v>746621</v>
      </c>
      <c r="E27" s="3">
        <f t="shared" si="0"/>
        <v>627294</v>
      </c>
      <c r="F27" s="3">
        <f t="shared" si="0"/>
        <v>505502</v>
      </c>
    </row>
    <row r="28" spans="1:6" ht="15">
      <c r="A28" s="4"/>
      <c r="B28" s="3"/>
      <c r="C28" s="3"/>
      <c r="D28" s="3"/>
      <c r="E28" s="3"/>
      <c r="F28" s="3"/>
    </row>
    <row r="29" spans="1:6" ht="15">
      <c r="A29" s="4" t="s">
        <v>17</v>
      </c>
      <c r="B29" s="3">
        <f t="shared" ref="B29:F29" si="1">B16-B27</f>
        <v>59014</v>
      </c>
      <c r="C29" s="3">
        <f t="shared" si="1"/>
        <v>40335</v>
      </c>
      <c r="D29" s="3">
        <f t="shared" si="1"/>
        <v>35077</v>
      </c>
      <c r="E29" s="3">
        <f t="shared" si="1"/>
        <v>30472</v>
      </c>
      <c r="F29" s="3">
        <f t="shared" si="1"/>
        <v>26348</v>
      </c>
    </row>
    <row r="30" spans="1:6" ht="15">
      <c r="A30" s="4"/>
      <c r="B30" s="3"/>
      <c r="C30" s="3"/>
      <c r="D30" s="3"/>
      <c r="E30" s="3"/>
      <c r="F30" s="3"/>
    </row>
    <row r="31" spans="1:6" ht="15">
      <c r="A31" s="4" t="s">
        <v>18</v>
      </c>
      <c r="B31" s="3"/>
      <c r="C31" s="3"/>
      <c r="D31" s="3"/>
      <c r="E31" s="3"/>
      <c r="F31" s="3"/>
    </row>
    <row r="32" spans="1:6" ht="15">
      <c r="A32" s="4" t="s">
        <v>25</v>
      </c>
      <c r="B32" s="3">
        <v>12864</v>
      </c>
      <c r="C32" s="3">
        <v>11692</v>
      </c>
      <c r="D32" s="3">
        <v>10629</v>
      </c>
      <c r="E32" s="3">
        <v>10027</v>
      </c>
      <c r="F32" s="3">
        <v>10027</v>
      </c>
    </row>
    <row r="33" spans="1:6" ht="15">
      <c r="A33" s="4" t="s">
        <v>19</v>
      </c>
      <c r="B33" s="3">
        <v>18208</v>
      </c>
      <c r="C33" s="3">
        <v>15161</v>
      </c>
      <c r="D33" s="3">
        <v>13369</v>
      </c>
      <c r="E33" s="3">
        <v>9700</v>
      </c>
      <c r="F33" s="3">
        <v>8587</v>
      </c>
    </row>
    <row r="34" spans="1:6" ht="15">
      <c r="A34" s="4" t="s">
        <v>33</v>
      </c>
      <c r="B34" s="3">
        <v>9403</v>
      </c>
      <c r="C34" s="3">
        <v>-46</v>
      </c>
      <c r="D34" s="3">
        <v>738</v>
      </c>
      <c r="E34" s="3">
        <v>2323</v>
      </c>
      <c r="F34" s="3">
        <v>791</v>
      </c>
    </row>
    <row r="35" spans="1:6" ht="15">
      <c r="A35" s="4" t="s">
        <v>26</v>
      </c>
      <c r="B35" s="3">
        <v>18548</v>
      </c>
      <c r="C35" s="3">
        <v>13528</v>
      </c>
      <c r="D35" s="3">
        <v>10341</v>
      </c>
      <c r="E35" s="3">
        <v>8422</v>
      </c>
      <c r="F35" s="3">
        <v>6943</v>
      </c>
    </row>
    <row r="36" spans="1:6" ht="15">
      <c r="A36" s="4" t="s">
        <v>20</v>
      </c>
      <c r="B36" s="3">
        <f>SUM(B32:B35)</f>
        <v>59023</v>
      </c>
      <c r="C36" s="3">
        <f>SUM(C32:C35)</f>
        <v>40335</v>
      </c>
      <c r="D36" s="3">
        <f t="shared" ref="D36:F36" si="2">SUM(D32:D35)</f>
        <v>35077</v>
      </c>
      <c r="E36" s="3">
        <f t="shared" si="2"/>
        <v>30472</v>
      </c>
      <c r="F36" s="3">
        <f t="shared" si="2"/>
        <v>26348</v>
      </c>
    </row>
    <row r="37" spans="1:6" ht="15">
      <c r="A37" s="4"/>
      <c r="B37" s="4"/>
      <c r="C37" s="4"/>
      <c r="D37" s="4"/>
      <c r="E37" s="4"/>
      <c r="F37" s="4"/>
    </row>
    <row r="38" spans="1:6" ht="15">
      <c r="A38" s="4"/>
      <c r="B38" s="4"/>
      <c r="C38" s="4"/>
      <c r="D38" s="4"/>
      <c r="E38" s="4"/>
      <c r="F38" s="4"/>
    </row>
    <row r="39" spans="1:6" ht="15">
      <c r="A39" s="4" t="s">
        <v>55</v>
      </c>
      <c r="B39" s="4"/>
      <c r="C39" s="4"/>
      <c r="D39" s="4"/>
      <c r="E39" s="4"/>
      <c r="F39" s="4"/>
    </row>
    <row r="40" spans="1:6" ht="15">
      <c r="A40" s="4" t="s">
        <v>56</v>
      </c>
      <c r="B40" s="5">
        <v>6943</v>
      </c>
      <c r="C40" s="5">
        <v>1061</v>
      </c>
      <c r="D40" s="5">
        <v>329</v>
      </c>
      <c r="E40" s="5">
        <v>168</v>
      </c>
      <c r="F40" s="4">
        <v>4</v>
      </c>
    </row>
    <row r="41" spans="1:6" ht="15">
      <c r="A41" s="4" t="s">
        <v>57</v>
      </c>
      <c r="B41" s="5">
        <v>42047</v>
      </c>
      <c r="C41" s="5">
        <v>36407</v>
      </c>
      <c r="D41" s="5">
        <v>36813</v>
      </c>
      <c r="E41" s="5">
        <v>32005</v>
      </c>
      <c r="F41" s="5">
        <v>13609</v>
      </c>
    </row>
  </sheetData>
  <mergeCells count="2">
    <mergeCell ref="A1:F1"/>
    <mergeCell ref="A2:F2"/>
  </mergeCells>
  <phoneticPr fontId="3" type="noConversion"/>
  <printOptions horizontalCentered="1"/>
  <pageMargins left="0.45" right="0.45" top="1" bottom="1" header="0.3" footer="0.3"/>
  <pageSetup orientation="landscape" horizontalDpi="4294967295" verticalDpi="4294967295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zoomScale="70" zoomScaleNormal="70" workbookViewId="0">
      <selection activeCell="A9" sqref="A9"/>
    </sheetView>
  </sheetViews>
  <sheetFormatPr defaultRowHeight="15.75"/>
  <cols>
    <col min="1" max="1" width="107" style="19" bestFit="1" customWidth="1"/>
    <col min="2" max="2" width="12.5703125" style="19" customWidth="1"/>
    <col min="3" max="4" width="11.42578125" style="19" customWidth="1"/>
    <col min="5" max="5" width="9.5703125" style="19" customWidth="1"/>
    <col min="6" max="6" width="9.140625" style="19" bestFit="1" customWidth="1"/>
    <col min="7" max="16384" width="9.140625" style="19"/>
  </cols>
  <sheetData>
    <row r="1" spans="1:6">
      <c r="A1" s="23" t="s">
        <v>63</v>
      </c>
      <c r="B1" s="24"/>
      <c r="C1" s="24"/>
      <c r="D1" s="24"/>
      <c r="E1" s="24"/>
      <c r="F1" s="24"/>
    </row>
    <row r="2" spans="1:6">
      <c r="A2" s="23" t="s">
        <v>64</v>
      </c>
      <c r="B2" s="24"/>
      <c r="C2" s="24"/>
      <c r="D2" s="24"/>
      <c r="E2" s="24"/>
      <c r="F2" s="24"/>
    </row>
    <row r="3" spans="1:6">
      <c r="A3" s="20" t="s">
        <v>101</v>
      </c>
      <c r="B3" s="20">
        <v>2019</v>
      </c>
      <c r="C3" s="20">
        <v>2018</v>
      </c>
      <c r="D3" s="20">
        <v>2017</v>
      </c>
      <c r="E3" s="20">
        <v>2016</v>
      </c>
      <c r="F3" s="20">
        <v>2015</v>
      </c>
    </row>
    <row r="4" spans="1:6">
      <c r="A4" s="20" t="s">
        <v>35</v>
      </c>
      <c r="B4" s="21">
        <v>94270</v>
      </c>
      <c r="C4" s="21">
        <v>48624</v>
      </c>
      <c r="D4" s="21">
        <v>36087</v>
      </c>
      <c r="E4" s="21">
        <v>30761</v>
      </c>
      <c r="F4" s="21">
        <v>33113</v>
      </c>
    </row>
    <row r="5" spans="1:6">
      <c r="A5" s="20" t="s">
        <v>36</v>
      </c>
      <c r="B5" s="21">
        <v>47731</v>
      </c>
      <c r="C5" s="21">
        <v>20456</v>
      </c>
      <c r="D5" s="21">
        <v>15272</v>
      </c>
      <c r="E5" s="21">
        <v>12872</v>
      </c>
      <c r="F5" s="21">
        <v>14897</v>
      </c>
    </row>
    <row r="6" spans="1:6">
      <c r="A6" s="20" t="s">
        <v>21</v>
      </c>
      <c r="B6" s="21">
        <f>B4-B5</f>
        <v>46539</v>
      </c>
      <c r="C6" s="21">
        <f t="shared" ref="C6:F6" si="0">C4-C5</f>
        <v>28168</v>
      </c>
      <c r="D6" s="21">
        <f t="shared" si="0"/>
        <v>20815</v>
      </c>
      <c r="E6" s="21">
        <f t="shared" si="0"/>
        <v>17889</v>
      </c>
      <c r="F6" s="21">
        <f t="shared" si="0"/>
        <v>18216</v>
      </c>
    </row>
    <row r="7" spans="1:6">
      <c r="A7" s="20" t="s">
        <v>37</v>
      </c>
      <c r="B7" s="20"/>
      <c r="C7" s="20"/>
      <c r="D7" s="20"/>
      <c r="E7" s="20"/>
      <c r="F7" s="20"/>
    </row>
    <row r="8" spans="1:6">
      <c r="A8" s="20" t="s">
        <v>38</v>
      </c>
      <c r="B8" s="21">
        <v>6174</v>
      </c>
      <c r="C8" s="21">
        <v>5257</v>
      </c>
      <c r="D8" s="21">
        <v>4165</v>
      </c>
      <c r="E8" s="21">
        <v>2619</v>
      </c>
      <c r="F8" s="21">
        <v>1987</v>
      </c>
    </row>
    <row r="9" spans="1:6">
      <c r="A9" s="20" t="s">
        <v>39</v>
      </c>
      <c r="B9" s="20">
        <v>341</v>
      </c>
      <c r="C9" s="20">
        <v>567</v>
      </c>
      <c r="D9" s="21">
        <v>1176</v>
      </c>
      <c r="E9" s="20">
        <v>744</v>
      </c>
      <c r="F9" s="20">
        <v>628</v>
      </c>
    </row>
    <row r="10" spans="1:6">
      <c r="A10" s="20" t="s">
        <v>40</v>
      </c>
      <c r="B10" s="21">
        <v>2684</v>
      </c>
      <c r="C10" s="21">
        <v>1318</v>
      </c>
      <c r="D10" s="21">
        <v>1210</v>
      </c>
      <c r="E10" s="21">
        <v>1207</v>
      </c>
      <c r="F10" s="21">
        <v>1471</v>
      </c>
    </row>
    <row r="11" spans="1:6">
      <c r="A11" s="20" t="s">
        <v>41</v>
      </c>
      <c r="B11" s="20">
        <v>-417</v>
      </c>
      <c r="C11" s="20">
        <v>8</v>
      </c>
      <c r="D11" s="20">
        <v>824</v>
      </c>
      <c r="E11" s="20">
        <v>877</v>
      </c>
      <c r="F11" s="20">
        <v>342</v>
      </c>
    </row>
    <row r="12" spans="1:6">
      <c r="A12" s="20" t="s">
        <v>42</v>
      </c>
      <c r="B12" s="20">
        <v>537</v>
      </c>
      <c r="C12" s="20">
        <v>311</v>
      </c>
      <c r="D12" s="20">
        <v>246</v>
      </c>
      <c r="E12" s="20">
        <v>208</v>
      </c>
      <c r="F12" s="20">
        <v>167</v>
      </c>
    </row>
    <row r="13" spans="1:6">
      <c r="A13" s="20"/>
      <c r="B13" s="21">
        <f>B8+B10+B11+B12+B9</f>
        <v>9319</v>
      </c>
      <c r="C13" s="21">
        <f t="shared" ref="C13:F13" si="1">C8+C10+C11+C12+C9</f>
        <v>7461</v>
      </c>
      <c r="D13" s="21">
        <f t="shared" si="1"/>
        <v>7621</v>
      </c>
      <c r="E13" s="21">
        <f t="shared" si="1"/>
        <v>5655</v>
      </c>
      <c r="F13" s="21">
        <f t="shared" si="1"/>
        <v>4595</v>
      </c>
    </row>
    <row r="14" spans="1:6">
      <c r="A14" s="20" t="s">
        <v>43</v>
      </c>
      <c r="B14" s="21">
        <f>B6+B13</f>
        <v>55858</v>
      </c>
      <c r="C14" s="21">
        <f>C6+C13</f>
        <v>35629</v>
      </c>
      <c r="D14" s="21">
        <f>D6+D13</f>
        <v>28436</v>
      </c>
      <c r="E14" s="21">
        <f>E6+E13</f>
        <v>23544</v>
      </c>
      <c r="F14" s="21">
        <f>F6+F13</f>
        <v>22811</v>
      </c>
    </row>
    <row r="15" spans="1:6">
      <c r="A15" s="20"/>
      <c r="B15" s="20"/>
      <c r="C15" s="20"/>
      <c r="D15" s="20"/>
      <c r="E15" s="20"/>
      <c r="F15" s="20"/>
    </row>
    <row r="16" spans="1:6">
      <c r="A16" s="20" t="s">
        <v>44</v>
      </c>
      <c r="B16" s="20"/>
      <c r="C16" s="20"/>
      <c r="D16" s="20"/>
      <c r="E16" s="20"/>
      <c r="F16" s="20"/>
    </row>
    <row r="17" spans="1:6">
      <c r="A17" s="20" t="s">
        <v>45</v>
      </c>
      <c r="B17" s="21">
        <v>24830</v>
      </c>
      <c r="C17" s="21">
        <v>19290</v>
      </c>
      <c r="D17" s="21">
        <v>16579</v>
      </c>
      <c r="E17" s="21">
        <v>14680</v>
      </c>
      <c r="F17" s="21">
        <v>13560</v>
      </c>
    </row>
    <row r="18" spans="1:6">
      <c r="A18" s="20" t="s">
        <v>46</v>
      </c>
      <c r="B18" s="20">
        <v>609</v>
      </c>
      <c r="C18" s="20">
        <v>363</v>
      </c>
      <c r="D18" s="20">
        <v>241</v>
      </c>
      <c r="E18" s="20">
        <v>178</v>
      </c>
      <c r="F18" s="20">
        <v>175</v>
      </c>
    </row>
    <row r="19" spans="1:6">
      <c r="A19" s="20" t="s">
        <v>47</v>
      </c>
      <c r="B19" s="21">
        <v>82</v>
      </c>
      <c r="C19" s="21">
        <v>16</v>
      </c>
      <c r="D19" s="20">
        <v>10</v>
      </c>
      <c r="E19" s="20">
        <v>3</v>
      </c>
      <c r="F19" s="20">
        <v>4</v>
      </c>
    </row>
    <row r="20" spans="1:6">
      <c r="A20" s="20" t="s">
        <v>48</v>
      </c>
      <c r="B20" s="21">
        <f>B17+B18+B19</f>
        <v>25521</v>
      </c>
      <c r="C20" s="21">
        <f t="shared" ref="C20:F20" si="2">C17+C18+C19</f>
        <v>19669</v>
      </c>
      <c r="D20" s="21">
        <f t="shared" si="2"/>
        <v>16830</v>
      </c>
      <c r="E20" s="21">
        <f t="shared" si="2"/>
        <v>14861</v>
      </c>
      <c r="F20" s="21">
        <f t="shared" si="2"/>
        <v>13739</v>
      </c>
    </row>
    <row r="21" spans="1:6">
      <c r="A21" s="20" t="s">
        <v>49</v>
      </c>
      <c r="B21" s="21">
        <f>B14-B20</f>
        <v>30337</v>
      </c>
      <c r="C21" s="21">
        <f t="shared" ref="C21:F21" si="3">C14-C20</f>
        <v>15960</v>
      </c>
      <c r="D21" s="21">
        <f t="shared" si="3"/>
        <v>11606</v>
      </c>
      <c r="E21" s="21">
        <f t="shared" si="3"/>
        <v>8683</v>
      </c>
      <c r="F21" s="21">
        <f t="shared" si="3"/>
        <v>9072</v>
      </c>
    </row>
    <row r="22" spans="1:6">
      <c r="A22" s="20"/>
      <c r="B22" s="20"/>
      <c r="C22" s="20"/>
      <c r="D22" s="20"/>
      <c r="E22" s="20"/>
      <c r="F22" s="20"/>
    </row>
    <row r="23" spans="1:6">
      <c r="A23" s="20" t="s">
        <v>50</v>
      </c>
      <c r="B23" s="21">
        <v>4186</v>
      </c>
      <c r="C23" s="21">
        <v>1168</v>
      </c>
      <c r="D23" s="21">
        <v>1283</v>
      </c>
      <c r="E23" s="20">
        <v>-184</v>
      </c>
      <c r="F23" s="20">
        <v>563</v>
      </c>
    </row>
    <row r="24" spans="1:6">
      <c r="A24" s="20"/>
      <c r="B24" s="20"/>
      <c r="C24" s="20"/>
      <c r="D24" s="20"/>
      <c r="E24" s="20"/>
      <c r="F24" s="20"/>
    </row>
    <row r="25" spans="1:6">
      <c r="A25" s="20" t="s">
        <v>51</v>
      </c>
      <c r="B25" s="21">
        <f>B21-B23</f>
        <v>26151</v>
      </c>
      <c r="C25" s="21">
        <f t="shared" ref="C25:F25" si="4">C21-C23</f>
        <v>14792</v>
      </c>
      <c r="D25" s="21">
        <f t="shared" si="4"/>
        <v>10323</v>
      </c>
      <c r="E25" s="21">
        <f t="shared" si="4"/>
        <v>8867</v>
      </c>
      <c r="F25" s="21">
        <f t="shared" si="4"/>
        <v>8509</v>
      </c>
    </row>
    <row r="26" spans="1:6">
      <c r="A26" s="20" t="s">
        <v>22</v>
      </c>
      <c r="B26" s="21">
        <v>10918</v>
      </c>
      <c r="C26" s="21">
        <v>5830</v>
      </c>
      <c r="D26" s="21">
        <v>3939</v>
      </c>
      <c r="E26" s="21">
        <v>3381</v>
      </c>
      <c r="F26" s="21">
        <v>3428</v>
      </c>
    </row>
    <row r="27" spans="1:6">
      <c r="A27" s="20" t="s">
        <v>52</v>
      </c>
      <c r="B27" s="21">
        <f>B25-B26</f>
        <v>15233</v>
      </c>
      <c r="C27" s="21">
        <f t="shared" ref="C27:F27" si="5">C25-C26</f>
        <v>8962</v>
      </c>
      <c r="D27" s="21">
        <f t="shared" si="5"/>
        <v>6384</v>
      </c>
      <c r="E27" s="21">
        <f t="shared" si="5"/>
        <v>5486</v>
      </c>
      <c r="F27" s="21">
        <f t="shared" si="5"/>
        <v>5081</v>
      </c>
    </row>
    <row r="28" spans="1:6">
      <c r="A28" s="20"/>
      <c r="B28" s="20"/>
      <c r="C28" s="20"/>
      <c r="D28" s="20"/>
      <c r="E28" s="20"/>
      <c r="F28" s="20"/>
    </row>
    <row r="29" spans="1:6">
      <c r="A29" s="20"/>
      <c r="B29" s="20"/>
      <c r="C29" s="20"/>
      <c r="D29" s="20"/>
      <c r="E29" s="20"/>
      <c r="F29" s="20"/>
    </row>
    <row r="30" spans="1:6">
      <c r="A30" s="20" t="s">
        <v>53</v>
      </c>
      <c r="B30" s="20">
        <v>11.84</v>
      </c>
      <c r="C30" s="20">
        <v>6.97</v>
      </c>
      <c r="D30" s="20">
        <v>6.13</v>
      </c>
      <c r="E30" s="20">
        <v>5.45</v>
      </c>
      <c r="F30" s="20">
        <v>5.01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4"/>
  <sheetViews>
    <sheetView zoomScale="85" zoomScaleNormal="85" zoomScalePageLayoutView="80" workbookViewId="0">
      <selection activeCell="C9" sqref="C9"/>
    </sheetView>
  </sheetViews>
  <sheetFormatPr defaultColWidth="8.85546875" defaultRowHeight="15.75"/>
  <cols>
    <col min="1" max="1" width="50.42578125" style="10" bestFit="1" customWidth="1"/>
    <col min="2" max="2" width="50.140625" style="10" bestFit="1" customWidth="1"/>
    <col min="3" max="5" width="8.140625" style="10" bestFit="1" customWidth="1"/>
    <col min="6" max="6" width="7.7109375" style="10" bestFit="1" customWidth="1"/>
    <col min="7" max="7" width="8.140625" style="10" bestFit="1" customWidth="1"/>
    <col min="8" max="8" width="41.85546875" style="10" bestFit="1" customWidth="1"/>
    <col min="9" max="14" width="0" style="10" hidden="1" customWidth="1"/>
    <col min="15" max="17" width="14.5703125" style="10" bestFit="1" customWidth="1"/>
    <col min="18" max="18" width="14.42578125" style="10" customWidth="1"/>
    <col min="19" max="19" width="17.42578125" style="10" bestFit="1" customWidth="1"/>
    <col min="20" max="16384" width="8.85546875" style="10"/>
  </cols>
  <sheetData>
    <row r="1" spans="1:19" ht="12.75" customHeight="1">
      <c r="A1" s="6" t="s">
        <v>100</v>
      </c>
      <c r="B1" s="7"/>
      <c r="C1" s="8"/>
      <c r="D1" s="8"/>
      <c r="E1" s="8"/>
      <c r="F1" s="8"/>
      <c r="G1" s="8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>
      <c r="A2" s="25" t="s">
        <v>62</v>
      </c>
      <c r="B2" s="25" t="s">
        <v>27</v>
      </c>
      <c r="C2" s="25">
        <v>2019</v>
      </c>
      <c r="D2" s="25">
        <v>2018</v>
      </c>
      <c r="E2" s="25">
        <v>2017</v>
      </c>
      <c r="F2" s="25">
        <v>2016</v>
      </c>
      <c r="G2" s="25">
        <v>2015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>
      <c r="A3" s="25"/>
      <c r="B3" s="25"/>
      <c r="C3" s="25"/>
      <c r="D3" s="25"/>
      <c r="E3" s="25"/>
      <c r="F3" s="25"/>
      <c r="G3" s="25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ht="15.75" customHeight="1">
      <c r="A5" s="9" t="s">
        <v>92</v>
      </c>
      <c r="B5" s="9"/>
      <c r="C5" s="9"/>
      <c r="D5" s="9"/>
      <c r="E5" s="9"/>
      <c r="F5" s="9"/>
      <c r="G5" s="9"/>
      <c r="H5" s="9" t="s">
        <v>99</v>
      </c>
      <c r="I5" s="9">
        <v>2015</v>
      </c>
      <c r="J5" s="11" t="e">
        <f>('Balance Sheet'!N13+'Balance Sheet'!N14)/('Balance Sheet'!N26+'Balance Sheet'!N28+'Balance Sheet'!N33)</f>
        <v>#DIV/0!</v>
      </c>
      <c r="K5" s="11" t="e">
        <f>('Balance Sheet'!O13+'Balance Sheet'!O14)/('Balance Sheet'!O26+'Balance Sheet'!O28+'Balance Sheet'!O33)</f>
        <v>#DIV/0!</v>
      </c>
      <c r="L5" s="11" t="e">
        <f>('Balance Sheet'!P13+'Balance Sheet'!P14)/('Balance Sheet'!P26+'Balance Sheet'!P28+'Balance Sheet'!P33)</f>
        <v>#DIV/0!</v>
      </c>
      <c r="M5" s="11" t="e">
        <f>('Balance Sheet'!Q13+'Balance Sheet'!Q14)/('Balance Sheet'!Q26+'Balance Sheet'!Q28+'Balance Sheet'!Q33)</f>
        <v>#DIV/0!</v>
      </c>
      <c r="N5" s="11" t="e">
        <f>('Balance Sheet'!R13+'Balance Sheet'!R14)/('Balance Sheet'!R26+'Balance Sheet'!R28+'Balance Sheet'!R33)</f>
        <v>#DIV/0!</v>
      </c>
      <c r="O5" s="9"/>
      <c r="P5" s="9"/>
      <c r="Q5" s="9"/>
      <c r="R5" s="9"/>
      <c r="S5" s="9"/>
    </row>
    <row r="6" spans="1:19">
      <c r="A6" s="9" t="s">
        <v>54</v>
      </c>
      <c r="B6" s="9" t="s">
        <v>90</v>
      </c>
      <c r="C6" s="12">
        <f>'Income Statement'!B27/'Balance Sheet'!B36</f>
        <v>0.25808583094725784</v>
      </c>
      <c r="D6" s="12">
        <f>'Income Statement'!C27/'Balance Sheet'!C36</f>
        <v>0.22218916573695302</v>
      </c>
      <c r="E6" s="12">
        <f>'Income Statement'!D27/'Balance Sheet'!D36</f>
        <v>0.18199960087806824</v>
      </c>
      <c r="F6" s="12">
        <f>'Income Statement'!E27/'Balance Sheet'!E36</f>
        <v>0.18003412969283278</v>
      </c>
      <c r="G6" s="12">
        <f>'Income Statement'!F27/'Balance Sheet'!F36</f>
        <v>0.19284196143919843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>
      <c r="A7" s="9"/>
      <c r="B7" s="9"/>
      <c r="C7" s="13"/>
      <c r="D7" s="13"/>
      <c r="E7" s="13"/>
      <c r="F7" s="13"/>
      <c r="G7" s="13"/>
      <c r="H7" s="9"/>
      <c r="I7" s="9"/>
      <c r="J7" s="9"/>
      <c r="K7" s="9"/>
      <c r="L7" s="9"/>
      <c r="M7" s="9"/>
      <c r="N7" s="9"/>
      <c r="O7" s="9">
        <v>2019</v>
      </c>
      <c r="P7" s="9">
        <v>2018</v>
      </c>
      <c r="Q7" s="9">
        <v>2017</v>
      </c>
      <c r="R7" s="9">
        <v>2016</v>
      </c>
      <c r="S7" s="9">
        <v>2015</v>
      </c>
    </row>
    <row r="8" spans="1:19">
      <c r="A8" s="9"/>
      <c r="B8" s="9"/>
      <c r="C8" s="13"/>
      <c r="D8" s="13"/>
      <c r="E8" s="13"/>
      <c r="F8" s="13"/>
      <c r="G8" s="13"/>
      <c r="H8" s="9" t="s">
        <v>77</v>
      </c>
      <c r="I8" s="9"/>
      <c r="J8" s="9"/>
      <c r="K8" s="9"/>
      <c r="L8" s="9"/>
      <c r="M8" s="9"/>
      <c r="N8" s="9"/>
      <c r="O8" s="14">
        <f>493775346/1000</f>
        <v>493775.34600000002</v>
      </c>
      <c r="P8" s="14">
        <f>512564522/1000</f>
        <v>512564.522</v>
      </c>
      <c r="Q8" s="14">
        <f>420029088/1000</f>
        <v>420029.08799999999</v>
      </c>
      <c r="R8" s="14">
        <f>311530270/1000</f>
        <v>311530.27</v>
      </c>
      <c r="S8" s="14">
        <f>207568823/1000</f>
        <v>207568.823</v>
      </c>
    </row>
    <row r="9" spans="1:19">
      <c r="A9" s="9" t="s">
        <v>93</v>
      </c>
      <c r="B9" s="9" t="s">
        <v>97</v>
      </c>
      <c r="C9" s="15">
        <f>'Income Statement'!B6/'Ratio Analysis'!O10</f>
        <v>4.1506048971301487E-2</v>
      </c>
      <c r="D9" s="15">
        <f>'Income Statement'!C6/'Ratio Analysis'!P10</f>
        <v>3.0032559279693245E-2</v>
      </c>
      <c r="E9" s="15">
        <f>'Income Statement'!D6/'Ratio Analysis'!Q10</f>
        <v>2.6627889738804335E-2</v>
      </c>
      <c r="F9" s="15">
        <f>'Income Statement'!E6/'Ratio Analysis'!R10</f>
        <v>2.719655647354462E-2</v>
      </c>
      <c r="G9" s="15">
        <f>'Income Statement'!F6/'Ratio Analysis'!S10</f>
        <v>3.4250262781831992E-2</v>
      </c>
      <c r="H9" s="9" t="s">
        <v>78</v>
      </c>
      <c r="I9" s="9"/>
      <c r="J9" s="9"/>
      <c r="K9" s="9"/>
      <c r="L9" s="9"/>
      <c r="M9" s="9"/>
      <c r="N9" s="9"/>
      <c r="O9" s="14">
        <f>12737230/1000</f>
        <v>12737.23</v>
      </c>
      <c r="P9" s="14">
        <f>9699241/1000</f>
        <v>9699.241</v>
      </c>
      <c r="Q9" s="14">
        <f>8804442/1000</f>
        <v>8804.4419999999991</v>
      </c>
      <c r="R9" s="14">
        <f>8086594/1000</f>
        <v>8086.5940000000001</v>
      </c>
      <c r="S9" s="14">
        <f>8206840/1000</f>
        <v>8206.84</v>
      </c>
    </row>
    <row r="10" spans="1:19">
      <c r="A10" s="9" t="s">
        <v>58</v>
      </c>
      <c r="B10" s="9" t="s">
        <v>59</v>
      </c>
      <c r="C10" s="15">
        <f>'Income Statement'!B27/'Balance Sheet'!B16</f>
        <v>1.3585645396193736E-2</v>
      </c>
      <c r="D10" s="15">
        <f>'Income Statement'!C27/'Balance Sheet'!C16</f>
        <v>9.555216506364636E-3</v>
      </c>
      <c r="E10" s="15">
        <f>'Income Statement'!D27/'Balance Sheet'!D16</f>
        <v>8.1668368091001899E-3</v>
      </c>
      <c r="F10" s="12">
        <f>'Income Statement'!E27/'Balance Sheet'!E16</f>
        <v>8.3403520400872049E-3</v>
      </c>
      <c r="G10" s="12">
        <f>'Income Statement'!F27/'Balance Sheet'!F16</f>
        <v>9.5534455203534832E-3</v>
      </c>
      <c r="H10" s="9" t="s">
        <v>79</v>
      </c>
      <c r="I10" s="9"/>
      <c r="J10" s="9"/>
      <c r="K10" s="9"/>
      <c r="L10" s="9"/>
      <c r="M10" s="9"/>
      <c r="N10" s="9"/>
      <c r="O10" s="14">
        <f>1121258254/1000</f>
        <v>1121258.254</v>
      </c>
      <c r="P10" s="14">
        <f>937915405/1000</f>
        <v>937915.40500000003</v>
      </c>
      <c r="Q10" s="14">
        <f>781699196/1000</f>
        <v>781699.196</v>
      </c>
      <c r="R10" s="14">
        <f>657767097/1000</f>
        <v>657767.09699999995</v>
      </c>
      <c r="S10" s="14">
        <f>531849934/1000</f>
        <v>531849.93400000001</v>
      </c>
    </row>
    <row r="11" spans="1:19">
      <c r="A11" s="9"/>
      <c r="B11" s="9"/>
      <c r="C11" s="15"/>
      <c r="D11" s="15"/>
      <c r="E11" s="15"/>
      <c r="F11" s="12"/>
      <c r="G11" s="12"/>
      <c r="H11" s="9" t="s">
        <v>81</v>
      </c>
      <c r="I11" s="9"/>
      <c r="J11" s="9"/>
      <c r="K11" s="9"/>
      <c r="L11" s="9"/>
      <c r="M11" s="9"/>
      <c r="N11" s="9"/>
      <c r="O11" s="14">
        <f>932579114/1000</f>
        <v>932579.11399999994</v>
      </c>
      <c r="P11" s="14">
        <f>785476944/1000</f>
        <v>785476.94400000002</v>
      </c>
      <c r="Q11" s="14">
        <f>673187807/1000</f>
        <v>673187.80700000003</v>
      </c>
      <c r="R11" s="14">
        <f>564023853/1000</f>
        <v>564023.853</v>
      </c>
      <c r="S11" s="14">
        <f>471820959/1000</f>
        <v>471820.95899999997</v>
      </c>
    </row>
    <row r="12" spans="1:19">
      <c r="A12" s="9"/>
      <c r="B12" s="9"/>
      <c r="C12" s="9"/>
      <c r="D12" s="9"/>
      <c r="E12" s="9"/>
      <c r="F12" s="9"/>
      <c r="G12" s="9"/>
      <c r="H12" s="9" t="s">
        <v>80</v>
      </c>
      <c r="I12" s="9"/>
      <c r="J12" s="9"/>
      <c r="K12" s="9"/>
      <c r="L12" s="9"/>
      <c r="M12" s="9"/>
      <c r="N12" s="9"/>
      <c r="O12" s="14">
        <f>332874303+345373925+1208228+3799833</f>
        <v>683256289</v>
      </c>
      <c r="P12" s="14">
        <f>283445657+279200579+597730+4607308</f>
        <v>567851274</v>
      </c>
      <c r="Q12" s="14">
        <f>258421153+236032293+4870558+369336</f>
        <v>499693340</v>
      </c>
      <c r="R12" s="14">
        <f>220228372+195597883+3331027+952217</f>
        <v>420109499</v>
      </c>
      <c r="S12" s="14">
        <f>184622913+148226202+5672624+474311</f>
        <v>338996050</v>
      </c>
    </row>
    <row r="13" spans="1:19">
      <c r="A13" s="9"/>
      <c r="B13" s="9"/>
      <c r="C13" s="9"/>
      <c r="D13" s="9"/>
      <c r="E13" s="9"/>
      <c r="F13" s="9"/>
      <c r="G13" s="9"/>
      <c r="H13" s="9" t="s">
        <v>82</v>
      </c>
      <c r="I13" s="9"/>
      <c r="J13" s="9"/>
      <c r="K13" s="9"/>
      <c r="L13" s="9"/>
      <c r="M13" s="9"/>
      <c r="N13" s="9"/>
      <c r="O13" s="14">
        <f>O12/1000</f>
        <v>683256.28899999999</v>
      </c>
      <c r="P13" s="14">
        <f>P12/1000</f>
        <v>567851.27399999998</v>
      </c>
      <c r="Q13" s="14">
        <f>Q12/1000</f>
        <v>499693.34</v>
      </c>
      <c r="R13" s="14">
        <f>R12/1000</f>
        <v>420109.49900000001</v>
      </c>
      <c r="S13" s="14">
        <f>S12/1000</f>
        <v>338996.05</v>
      </c>
    </row>
    <row r="14" spans="1:19" ht="12.75" customHeight="1">
      <c r="A14" s="9" t="s">
        <v>94</v>
      </c>
      <c r="B14" s="9"/>
      <c r="C14" s="9"/>
      <c r="D14" s="9"/>
      <c r="E14" s="9"/>
      <c r="F14" s="9"/>
      <c r="G14" s="9"/>
      <c r="H14" s="9" t="s">
        <v>69</v>
      </c>
      <c r="I14" s="9"/>
      <c r="J14" s="9"/>
      <c r="K14" s="9"/>
      <c r="L14" s="9"/>
      <c r="M14" s="9"/>
      <c r="N14" s="9"/>
      <c r="O14" s="14">
        <f>'Balance Sheet'!B27+'Balance Sheet'!B36</f>
        <v>1121266</v>
      </c>
      <c r="P14" s="14">
        <f>'Balance Sheet'!C27+'Balance Sheet'!C36</f>
        <v>937917</v>
      </c>
      <c r="Q14" s="14">
        <f>'Balance Sheet'!D27+'Balance Sheet'!D36</f>
        <v>781698</v>
      </c>
      <c r="R14" s="14">
        <f>'Balance Sheet'!E27+'Balance Sheet'!E36</f>
        <v>657766</v>
      </c>
      <c r="S14" s="14">
        <f>'Balance Sheet'!F27+'Balance Sheet'!F36</f>
        <v>531850</v>
      </c>
    </row>
    <row r="15" spans="1:19">
      <c r="A15" s="9" t="s">
        <v>60</v>
      </c>
      <c r="B15" s="9" t="s">
        <v>61</v>
      </c>
      <c r="C15" s="16">
        <f>('Balance Sheet'!B36)/('Balance Sheet'!B16)</f>
        <v>5.2640028111307219E-2</v>
      </c>
      <c r="D15" s="16">
        <f>('Balance Sheet'!C36)/('Balance Sheet'!C16)</f>
        <v>4.3004871433186521E-2</v>
      </c>
      <c r="E15" s="16">
        <f>('Balance Sheet'!D36)/('Balance Sheet'!D16)</f>
        <v>4.4872828125439745E-2</v>
      </c>
      <c r="F15" s="16">
        <f>('Balance Sheet'!E36)/('Balance Sheet'!E16)</f>
        <v>4.6326505170531766E-2</v>
      </c>
      <c r="G15" s="16">
        <f>('Balance Sheet'!F36)/('Balance Sheet'!F16)</f>
        <v>4.9540283914637585E-2</v>
      </c>
      <c r="H15" s="9" t="s">
        <v>6</v>
      </c>
      <c r="I15" s="9"/>
      <c r="J15" s="9"/>
      <c r="K15" s="9"/>
      <c r="L15" s="9"/>
      <c r="M15" s="9"/>
      <c r="N15" s="9"/>
      <c r="O15" s="14">
        <f>225646162/1000</f>
        <v>225646.16200000001</v>
      </c>
      <c r="P15" s="14">
        <f>123742867/1000</f>
        <v>123742.867</v>
      </c>
      <c r="Q15" s="14">
        <f>119238246/1000</f>
        <v>119238.246</v>
      </c>
      <c r="R15" s="14">
        <f>130156297/1000</f>
        <v>130156.29700000001</v>
      </c>
      <c r="S15" s="14">
        <f>76909951/1000</f>
        <v>76909.951000000001</v>
      </c>
    </row>
    <row r="16" spans="1:19">
      <c r="A16" s="9" t="s">
        <v>68</v>
      </c>
      <c r="B16" s="9" t="s">
        <v>70</v>
      </c>
      <c r="C16" s="15">
        <f>'Balance Sheet'!B36/'Ratio Analysis'!O14</f>
        <v>5.2639605588682789E-2</v>
      </c>
      <c r="D16" s="15">
        <f>'Balance Sheet'!C36/'Ratio Analysis'!P14</f>
        <v>4.3004871433186521E-2</v>
      </c>
      <c r="E16" s="15">
        <f>'Balance Sheet'!D36/'Ratio Analysis'!Q14</f>
        <v>4.4872828125439745E-2</v>
      </c>
      <c r="F16" s="15">
        <f>'Balance Sheet'!E36/'Ratio Analysis'!R14</f>
        <v>4.6326505170531766E-2</v>
      </c>
      <c r="G16" s="15">
        <f>'Balance Sheet'!F36/'Ratio Analysis'!S14</f>
        <v>4.9540283914637585E-2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>
      <c r="A17" s="9" t="s">
        <v>91</v>
      </c>
      <c r="B17" s="9" t="s">
        <v>96</v>
      </c>
      <c r="C17" s="16">
        <f>'Balance Sheet'!B41/'Balance Sheet'!B36</f>
        <v>0.71238330820188744</v>
      </c>
      <c r="D17" s="16">
        <f>'Balance Sheet'!C41/'Balance Sheet'!C36</f>
        <v>0.90261559439692574</v>
      </c>
      <c r="E17" s="12">
        <f>'Balance Sheet'!D41/'Balance Sheet'!D36</f>
        <v>1.0494911195370185</v>
      </c>
      <c r="F17" s="12">
        <f>'Balance Sheet'!E41/'Balance Sheet'!E36</f>
        <v>1.0503084799159885</v>
      </c>
      <c r="G17" s="12">
        <f>'Balance Sheet'!F41/'Balance Sheet'!F36</f>
        <v>0.51650979201457414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>
      <c r="A19" s="9" t="s">
        <v>71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>
      <c r="A20" s="9" t="s">
        <v>72</v>
      </c>
      <c r="B20" s="9" t="s">
        <v>73</v>
      </c>
      <c r="C20" s="12">
        <f>'Income Statement'!B17/'Income Statement'!B27</f>
        <v>1.6300137858596468</v>
      </c>
      <c r="D20" s="12">
        <f>'Income Statement'!C17/'Income Statement'!C27</f>
        <v>2.1524213345235439</v>
      </c>
      <c r="E20" s="12">
        <f>'Income Statement'!D17/'Income Statement'!D27</f>
        <v>2.5969611528822054</v>
      </c>
      <c r="F20" s="12">
        <f>'Income Statement'!E17/'Income Statement'!E27</f>
        <v>2.6759022967553774</v>
      </c>
      <c r="G20" s="12">
        <f>'Income Statement'!F17/'Income Statement'!F27</f>
        <v>2.6687659909466639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>
      <c r="A21" s="9" t="s">
        <v>75</v>
      </c>
      <c r="B21" s="17"/>
      <c r="C21" s="12">
        <f>AVERAGE(D21:G21)</f>
        <v>8.1720575493283459E-2</v>
      </c>
      <c r="D21" s="12">
        <f>(C6-D6)/D6</f>
        <v>0.16155902602740962</v>
      </c>
      <c r="E21" s="16">
        <f>(D6-E6)/E6</f>
        <v>0.22082226919722767</v>
      </c>
      <c r="F21" s="16">
        <f>(E6-F6)/F6</f>
        <v>1.0917214355905031E-2</v>
      </c>
      <c r="G21" s="16">
        <f>(F6-G6)/G6</f>
        <v>-6.6416207607408434E-2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>
      <c r="A22" s="9" t="s">
        <v>74</v>
      </c>
      <c r="B22" s="17"/>
      <c r="C22" s="12">
        <f>AVERAGE(D22:G22)</f>
        <v>0.11100554591621375</v>
      </c>
      <c r="D22" s="16">
        <f>(C10-D10)/D10</f>
        <v>0.421804036271127</v>
      </c>
      <c r="E22" s="16">
        <f>(D10-E10)/E10</f>
        <v>0.17000213543111262</v>
      </c>
      <c r="F22" s="16">
        <f>(E10-F10)/F10</f>
        <v>-2.0804305400183184E-2</v>
      </c>
      <c r="G22" s="16">
        <f>(F10-G10)/G10</f>
        <v>-0.12697968263720136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>
      <c r="A24" s="9"/>
      <c r="B24" s="17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>
      <c r="A25" s="9" t="s">
        <v>76</v>
      </c>
      <c r="B25" s="17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>
      <c r="A26" s="9" t="s">
        <v>83</v>
      </c>
      <c r="B26" s="9" t="s">
        <v>102</v>
      </c>
      <c r="C26" s="15">
        <f>O8/O11</f>
        <v>0.52947287644273799</v>
      </c>
      <c r="D26" s="15">
        <f>P8/P11</f>
        <v>0.65255196338391819</v>
      </c>
      <c r="E26" s="15">
        <f>Q8/Q11</f>
        <v>0.62394042737021815</v>
      </c>
      <c r="F26" s="16">
        <f>R8/R11</f>
        <v>0.55233527508277214</v>
      </c>
      <c r="G26" s="15">
        <f>S8/S11</f>
        <v>0.43993133208819579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>
      <c r="A27" s="9" t="s">
        <v>95</v>
      </c>
      <c r="B27" s="9" t="s">
        <v>103</v>
      </c>
      <c r="C27" s="15">
        <f>O15/O11</f>
        <v>0.24195927038528983</v>
      </c>
      <c r="D27" s="15">
        <f>P15/P11</f>
        <v>0.15753850949443018</v>
      </c>
      <c r="E27" s="15">
        <f>Q15/Q11</f>
        <v>0.17712478562464515</v>
      </c>
      <c r="F27" s="16">
        <f>R15/R11</f>
        <v>0.23076381665014442</v>
      </c>
      <c r="G27" s="15">
        <f>S15/S11</f>
        <v>0.16300664379769531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>
      <c r="A28" s="9" t="s">
        <v>84</v>
      </c>
      <c r="B28" s="9"/>
      <c r="C28" s="15">
        <f>O13/O11</f>
        <v>0.7326523602586279</v>
      </c>
      <c r="D28" s="16">
        <f>P13/P11</f>
        <v>0.72293818212950622</v>
      </c>
      <c r="E28" s="16">
        <f>Q13/Q11</f>
        <v>0.74227924927344979</v>
      </c>
      <c r="F28" s="16">
        <f>R13/R11</f>
        <v>0.74484349689373863</v>
      </c>
      <c r="G28" s="15">
        <f>S13/S11</f>
        <v>0.71848450886642368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>
      <c r="A30" s="9" t="s">
        <v>85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>
      <c r="A31" s="9" t="s">
        <v>86</v>
      </c>
      <c r="B31" s="9"/>
      <c r="C31" s="15">
        <f>O9/O8</f>
        <v>2.5795597336283369E-2</v>
      </c>
      <c r="D31" s="15">
        <f>P9/P8</f>
        <v>1.8922965955884087E-2</v>
      </c>
      <c r="E31" s="15">
        <f>Q9/Q8</f>
        <v>2.0961505408882537E-2</v>
      </c>
      <c r="F31" s="15">
        <f>R9/R8</f>
        <v>2.5957650921048538E-2</v>
      </c>
      <c r="G31" s="15">
        <f>S9/S8</f>
        <v>3.9537922320829463E-2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>
      <c r="A32" s="9" t="s">
        <v>87</v>
      </c>
      <c r="B32" s="9"/>
      <c r="C32" s="15">
        <f>O9/O10</f>
        <v>1.1359764759421784E-2</v>
      </c>
      <c r="D32" s="15">
        <f>P9/P10</f>
        <v>1.0341274861563873E-2</v>
      </c>
      <c r="E32" s="15">
        <f>Q9/Q10</f>
        <v>1.1263209742382797E-2</v>
      </c>
      <c r="F32" s="15">
        <f>R9/R10</f>
        <v>1.2294008071978706E-2</v>
      </c>
      <c r="G32" s="15">
        <f>S9/S10</f>
        <v>1.543074366537385E-2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</sheetData>
  <mergeCells count="7">
    <mergeCell ref="G2:G3"/>
    <mergeCell ref="B2:B3"/>
    <mergeCell ref="A2:A3"/>
    <mergeCell ref="C2:C3"/>
    <mergeCell ref="D2:D3"/>
    <mergeCell ref="E2:E3"/>
    <mergeCell ref="F2:F3"/>
  </mergeCells>
  <phoneticPr fontId="3" type="noConversion"/>
  <printOptions horizontalCentered="1"/>
  <pageMargins left="0.45" right="0.45" top="1" bottom="1" header="0.3" footer="0.3"/>
  <pageSetup orientation="landscape" horizontalDpi="4294967295" verticalDpi="4294967295" r:id="rId1"/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1:H64"/>
  <sheetViews>
    <sheetView workbookViewId="0">
      <selection activeCell="H19" sqref="H19"/>
    </sheetView>
  </sheetViews>
  <sheetFormatPr defaultRowHeight="15"/>
  <cols>
    <col min="1" max="1" width="0.7109375" customWidth="1"/>
    <col min="3" max="3" width="15" customWidth="1"/>
    <col min="4" max="4" width="14.28515625" customWidth="1"/>
    <col min="5" max="6" width="14.5703125" customWidth="1"/>
    <col min="8" max="8" width="44.5703125" bestFit="1" customWidth="1"/>
  </cols>
  <sheetData>
    <row r="1" spans="2:8" ht="3.75" customHeight="1"/>
    <row r="2" spans="2:8">
      <c r="C2" t="s">
        <v>98</v>
      </c>
      <c r="D2" t="s">
        <v>67</v>
      </c>
    </row>
    <row r="3" spans="2:8">
      <c r="B3" t="s">
        <v>65</v>
      </c>
      <c r="C3" t="s">
        <v>66</v>
      </c>
      <c r="D3" t="s">
        <v>66</v>
      </c>
      <c r="E3" t="s">
        <v>88</v>
      </c>
      <c r="F3" t="s">
        <v>67</v>
      </c>
    </row>
    <row r="4" spans="2:8">
      <c r="B4">
        <v>44550</v>
      </c>
      <c r="C4">
        <v>71167.600000000006</v>
      </c>
      <c r="D4">
        <v>104.99</v>
      </c>
      <c r="E4">
        <f>LN(C4/C5)</f>
        <v>7.0574797226688649E-2</v>
      </c>
      <c r="F4">
        <f>LN(D4/D5)</f>
        <v>0.10209569826587378</v>
      </c>
    </row>
    <row r="5" spans="2:8">
      <c r="B5">
        <v>44520</v>
      </c>
      <c r="C5">
        <v>66318.100000000006</v>
      </c>
      <c r="D5">
        <v>94.8</v>
      </c>
      <c r="E5">
        <f t="shared" ref="E5:E64" si="0">LN(C5/C6)</f>
        <v>4.3475082886193853E-2</v>
      </c>
      <c r="F5">
        <f t="shared" ref="F5:F64" si="1">LN(D5/D6)</f>
        <v>9.1047127638757941E-2</v>
      </c>
    </row>
    <row r="6" spans="2:8">
      <c r="B6">
        <v>44489</v>
      </c>
      <c r="C6">
        <v>63496.69</v>
      </c>
      <c r="D6">
        <v>86.55</v>
      </c>
      <c r="E6">
        <f t="shared" si="0"/>
        <v>-1.936165794402947E-2</v>
      </c>
      <c r="F6">
        <f t="shared" si="1"/>
        <v>4.731811125608118E-2</v>
      </c>
      <c r="H6" t="s">
        <v>89</v>
      </c>
    </row>
    <row r="7" spans="2:8">
      <c r="B7">
        <v>44459</v>
      </c>
      <c r="C7">
        <v>64738.07</v>
      </c>
      <c r="D7">
        <v>82.55</v>
      </c>
      <c r="E7">
        <f t="shared" si="0"/>
        <v>-1.4012535619939943E-2</v>
      </c>
      <c r="F7">
        <f t="shared" si="1"/>
        <v>4.4922069108732218E-3</v>
      </c>
      <c r="H7">
        <f>SLOPE(F4:F63,E4:E63)</f>
        <v>0.83684003366090098</v>
      </c>
    </row>
    <row r="8" spans="2:8">
      <c r="B8">
        <v>44428</v>
      </c>
      <c r="C8">
        <v>65651.600000000006</v>
      </c>
      <c r="D8">
        <v>82.18</v>
      </c>
      <c r="E8">
        <f t="shared" si="0"/>
        <v>3.9519973787973665E-2</v>
      </c>
      <c r="F8">
        <f t="shared" si="1"/>
        <v>6.5106541601579943E-2</v>
      </c>
    </row>
    <row r="9" spans="2:8">
      <c r="B9">
        <v>44397</v>
      </c>
      <c r="C9">
        <v>63107.65</v>
      </c>
      <c r="D9">
        <v>77</v>
      </c>
      <c r="E9">
        <f t="shared" si="0"/>
        <v>0.13759518046522967</v>
      </c>
      <c r="F9">
        <f t="shared" si="1"/>
        <v>0.20560347656780681</v>
      </c>
    </row>
    <row r="10" spans="2:8">
      <c r="B10">
        <v>44367</v>
      </c>
      <c r="C10">
        <v>54995.25</v>
      </c>
      <c r="D10">
        <v>62.69</v>
      </c>
      <c r="E10">
        <f t="shared" si="0"/>
        <v>-3.2027790339720238E-3</v>
      </c>
      <c r="F10">
        <f t="shared" si="1"/>
        <v>0.1064422582553976</v>
      </c>
    </row>
    <row r="11" spans="2:8">
      <c r="B11">
        <v>44336</v>
      </c>
      <c r="C11">
        <v>55171.67</v>
      </c>
      <c r="D11">
        <v>56.36</v>
      </c>
      <c r="E11">
        <f t="shared" si="0"/>
        <v>-6.4626531546969875E-3</v>
      </c>
      <c r="F11">
        <f t="shared" si="1"/>
        <v>-5.5056608770829595E-2</v>
      </c>
    </row>
    <row r="12" spans="2:8">
      <c r="B12">
        <v>44306</v>
      </c>
      <c r="C12">
        <v>55529.38</v>
      </c>
      <c r="D12">
        <v>59.55</v>
      </c>
      <c r="E12">
        <f t="shared" si="0"/>
        <v>0.20910241873301871</v>
      </c>
      <c r="F12">
        <f t="shared" si="1"/>
        <v>7.7545904437258655E-3</v>
      </c>
    </row>
    <row r="13" spans="2:8">
      <c r="B13">
        <v>44275</v>
      </c>
      <c r="C13">
        <v>45051.66</v>
      </c>
      <c r="D13">
        <v>59.09</v>
      </c>
      <c r="E13">
        <f t="shared" si="0"/>
        <v>-0.27704501228195688</v>
      </c>
      <c r="F13">
        <f t="shared" si="1"/>
        <v>-0.42981782031222177</v>
      </c>
    </row>
    <row r="14" spans="2:8">
      <c r="B14">
        <v>44247</v>
      </c>
      <c r="C14">
        <v>59433.31</v>
      </c>
      <c r="D14">
        <v>90.82</v>
      </c>
      <c r="E14">
        <f t="shared" si="0"/>
        <v>-0.1209568508811688</v>
      </c>
      <c r="F14">
        <f t="shared" si="1"/>
        <v>-3.0578116952904976E-2</v>
      </c>
    </row>
    <row r="15" spans="2:8">
      <c r="B15">
        <v>44216</v>
      </c>
      <c r="C15">
        <v>67075.02</v>
      </c>
      <c r="D15">
        <v>93.64</v>
      </c>
      <c r="E15">
        <f t="shared" si="0"/>
        <v>1.5679642147172879E-2</v>
      </c>
      <c r="F15">
        <f t="shared" si="1"/>
        <v>8.0817249330515761E-2</v>
      </c>
    </row>
    <row r="16" spans="2:8">
      <c r="B16">
        <v>44549</v>
      </c>
      <c r="C16">
        <v>66031.509999999995</v>
      </c>
      <c r="D16">
        <v>86.37</v>
      </c>
      <c r="E16">
        <f t="shared" si="0"/>
        <v>5.1548141407797489E-2</v>
      </c>
      <c r="F16">
        <f t="shared" si="1"/>
        <v>8.7801104258889304E-2</v>
      </c>
    </row>
    <row r="17" spans="2:6">
      <c r="B17">
        <v>44519</v>
      </c>
      <c r="C17">
        <v>62713.95</v>
      </c>
      <c r="D17">
        <v>79.11</v>
      </c>
      <c r="E17">
        <f t="shared" si="0"/>
        <v>0.11605459219979405</v>
      </c>
      <c r="F17">
        <f t="shared" si="1"/>
        <v>0.10928680782729785</v>
      </c>
    </row>
    <row r="18" spans="2:6">
      <c r="B18">
        <v>44488</v>
      </c>
      <c r="C18">
        <v>55842.17</v>
      </c>
      <c r="D18">
        <v>70.92</v>
      </c>
      <c r="E18">
        <f t="shared" si="0"/>
        <v>8.7750795180881982E-2</v>
      </c>
      <c r="F18">
        <f t="shared" si="1"/>
        <v>7.5997038930522287E-2</v>
      </c>
    </row>
    <row r="19" spans="2:6">
      <c r="B19">
        <v>44458</v>
      </c>
      <c r="C19">
        <v>51150.82</v>
      </c>
      <c r="D19">
        <v>65.73</v>
      </c>
      <c r="E19">
        <f t="shared" si="0"/>
        <v>0.10122962336205039</v>
      </c>
      <c r="F19">
        <f t="shared" si="1"/>
        <v>-4.1862074170977981E-2</v>
      </c>
    </row>
    <row r="20" spans="2:6">
      <c r="B20">
        <v>44427</v>
      </c>
      <c r="C20">
        <v>46226.3</v>
      </c>
      <c r="D20">
        <v>68.540000000000006</v>
      </c>
      <c r="E20">
        <f t="shared" si="0"/>
        <v>-8.9796959099436385E-2</v>
      </c>
      <c r="F20">
        <f t="shared" si="1"/>
        <v>-8.3918377604649527E-2</v>
      </c>
    </row>
    <row r="21" spans="2:6">
      <c r="B21">
        <v>44396</v>
      </c>
      <c r="C21">
        <v>50569.36</v>
      </c>
      <c r="D21">
        <v>74.540000000000006</v>
      </c>
      <c r="E21">
        <f t="shared" si="0"/>
        <v>-6.7830412224843969E-2</v>
      </c>
      <c r="F21">
        <f t="shared" si="1"/>
        <v>-6.1145327779237667E-2</v>
      </c>
    </row>
    <row r="22" spans="2:6">
      <c r="B22">
        <v>44366</v>
      </c>
      <c r="C22">
        <v>54118.51</v>
      </c>
      <c r="D22">
        <v>79.239999999999995</v>
      </c>
      <c r="E22">
        <f t="shared" si="0"/>
        <v>-7.328778172657785E-2</v>
      </c>
      <c r="F22">
        <f t="shared" si="1"/>
        <v>-7.287226270385623E-2</v>
      </c>
    </row>
    <row r="23" spans="2:6">
      <c r="B23">
        <v>44335</v>
      </c>
      <c r="C23">
        <v>58233.69</v>
      </c>
      <c r="D23">
        <v>85.23</v>
      </c>
      <c r="E23">
        <f t="shared" si="0"/>
        <v>-1.6681281175621399E-2</v>
      </c>
      <c r="F23">
        <f t="shared" si="1"/>
        <v>8.2127479324042019E-2</v>
      </c>
    </row>
    <row r="24" spans="2:6">
      <c r="B24">
        <v>44305</v>
      </c>
      <c r="C24">
        <v>59213.25</v>
      </c>
      <c r="D24">
        <v>78.510000000000005</v>
      </c>
      <c r="E24">
        <f t="shared" si="0"/>
        <v>-6.6960981375123768E-2</v>
      </c>
      <c r="F24">
        <f t="shared" si="1"/>
        <v>-3.1099685050734245E-2</v>
      </c>
    </row>
    <row r="25" spans="2:6">
      <c r="B25">
        <v>44274</v>
      </c>
      <c r="C25">
        <v>63313.99</v>
      </c>
      <c r="D25">
        <v>80.989999999999995</v>
      </c>
      <c r="E25">
        <f t="shared" si="0"/>
        <v>-3.4096944899795791E-2</v>
      </c>
      <c r="F25">
        <f t="shared" si="1"/>
        <v>1.0176310206038083E-2</v>
      </c>
    </row>
    <row r="26" spans="2:6">
      <c r="B26">
        <v>44246</v>
      </c>
      <c r="C26">
        <v>65510.03</v>
      </c>
      <c r="D26">
        <v>80.17</v>
      </c>
      <c r="E26">
        <f t="shared" si="0"/>
        <v>-4.1226595727288776E-2</v>
      </c>
      <c r="F26">
        <f t="shared" si="1"/>
        <v>6.5062545154852755E-2</v>
      </c>
    </row>
    <row r="27" spans="2:6">
      <c r="B27">
        <v>44215</v>
      </c>
      <c r="C27">
        <v>68267.23</v>
      </c>
      <c r="D27">
        <v>75.12</v>
      </c>
      <c r="E27">
        <f t="shared" si="0"/>
        <v>0.10971478639201314</v>
      </c>
      <c r="F27">
        <f t="shared" si="1"/>
        <v>3.7343334941186846E-3</v>
      </c>
    </row>
    <row r="28" spans="2:6">
      <c r="B28">
        <v>44548</v>
      </c>
      <c r="C28">
        <v>61173.56</v>
      </c>
      <c r="D28">
        <v>74.84</v>
      </c>
      <c r="E28">
        <f t="shared" si="0"/>
        <v>-0.11149633806847729</v>
      </c>
      <c r="F28">
        <f t="shared" si="1"/>
        <v>-8.2916508813857329E-2</v>
      </c>
    </row>
    <row r="29" spans="2:6">
      <c r="B29">
        <v>44518</v>
      </c>
      <c r="C29">
        <v>68388.960000000006</v>
      </c>
      <c r="D29">
        <v>81.31</v>
      </c>
      <c r="E29">
        <f t="shared" si="0"/>
        <v>-4.7818664065101171E-2</v>
      </c>
      <c r="F29">
        <f t="shared" si="1"/>
        <v>-1.5256291513506437E-2</v>
      </c>
    </row>
    <row r="30" spans="2:6">
      <c r="B30">
        <v>44487</v>
      </c>
      <c r="C30">
        <v>71738.679999999993</v>
      </c>
      <c r="D30">
        <v>82.56</v>
      </c>
      <c r="E30">
        <f t="shared" si="0"/>
        <v>3.5585232961939287E-2</v>
      </c>
      <c r="F30">
        <f t="shared" si="1"/>
        <v>0.1155598546858061</v>
      </c>
    </row>
    <row r="31" spans="2:6">
      <c r="B31">
        <v>44457</v>
      </c>
      <c r="C31">
        <v>69230.73</v>
      </c>
      <c r="D31">
        <v>73.55</v>
      </c>
      <c r="E31">
        <f t="shared" si="0"/>
        <v>-2.2660176437311944E-2</v>
      </c>
      <c r="F31">
        <f t="shared" si="1"/>
        <v>4.4340527178088965E-2</v>
      </c>
    </row>
    <row r="32" spans="2:6">
      <c r="B32">
        <v>44426</v>
      </c>
      <c r="C32">
        <v>70817.42</v>
      </c>
      <c r="D32">
        <v>70.36</v>
      </c>
      <c r="E32">
        <f t="shared" si="0"/>
        <v>-2.1287969682751751E-2</v>
      </c>
      <c r="F32">
        <f t="shared" si="1"/>
        <v>4.3128280911231706E-2</v>
      </c>
    </row>
    <row r="33" spans="2:6">
      <c r="B33">
        <v>44395</v>
      </c>
      <c r="C33">
        <v>72341.14</v>
      </c>
      <c r="D33">
        <v>67.39</v>
      </c>
      <c r="E33">
        <f t="shared" si="0"/>
        <v>1.7863610045580684E-2</v>
      </c>
      <c r="F33">
        <f t="shared" si="1"/>
        <v>9.3086803805028831E-2</v>
      </c>
    </row>
    <row r="34" spans="2:6">
      <c r="B34">
        <v>44365</v>
      </c>
      <c r="C34">
        <v>71060.34</v>
      </c>
      <c r="D34">
        <v>61.4</v>
      </c>
      <c r="E34">
        <f t="shared" si="0"/>
        <v>-2.6684556290894248E-2</v>
      </c>
      <c r="F34">
        <f t="shared" si="1"/>
        <v>8.5827594667311352E-2</v>
      </c>
    </row>
    <row r="35" spans="2:6">
      <c r="B35">
        <v>44334</v>
      </c>
      <c r="C35">
        <v>72982.080000000002</v>
      </c>
      <c r="D35">
        <v>56.35</v>
      </c>
      <c r="E35">
        <f t="shared" si="0"/>
        <v>-5.3953502680045652E-2</v>
      </c>
      <c r="F35">
        <f t="shared" si="1"/>
        <v>-5.1869880569891752E-2</v>
      </c>
    </row>
    <row r="36" spans="2:6">
      <c r="B36">
        <v>44304</v>
      </c>
      <c r="C36">
        <v>77027.88</v>
      </c>
      <c r="D36">
        <v>59.35</v>
      </c>
      <c r="E36">
        <f t="shared" si="0"/>
        <v>5.1760890778073374E-4</v>
      </c>
      <c r="F36">
        <f t="shared" si="1"/>
        <v>-5.0420274882479769E-3</v>
      </c>
    </row>
    <row r="37" spans="2:6">
      <c r="B37">
        <v>44273</v>
      </c>
      <c r="C37">
        <v>76988.02</v>
      </c>
      <c r="D37">
        <v>59.65</v>
      </c>
      <c r="E37">
        <f t="shared" si="0"/>
        <v>5.1750872833794086E-2</v>
      </c>
      <c r="F37">
        <f t="shared" si="1"/>
        <v>5.691190805813974E-2</v>
      </c>
    </row>
    <row r="38" spans="2:6">
      <c r="B38">
        <v>44245</v>
      </c>
      <c r="C38">
        <v>73105.16</v>
      </c>
      <c r="D38">
        <v>56.35</v>
      </c>
      <c r="E38">
        <f t="shared" si="0"/>
        <v>-2.0375862044174093E-2</v>
      </c>
      <c r="F38">
        <f t="shared" si="1"/>
        <v>-2.6098337364723959E-2</v>
      </c>
    </row>
    <row r="39" spans="2:6">
      <c r="B39">
        <v>44214</v>
      </c>
      <c r="C39">
        <v>74610.02</v>
      </c>
      <c r="D39">
        <v>57.84</v>
      </c>
      <c r="E39">
        <f t="shared" si="0"/>
        <v>8.3812760653616841E-2</v>
      </c>
      <c r="F39">
        <f t="shared" si="1"/>
        <v>0.13155744804358166</v>
      </c>
    </row>
    <row r="40" spans="2:6">
      <c r="B40">
        <v>44547</v>
      </c>
      <c r="C40">
        <v>68611.63</v>
      </c>
      <c r="D40">
        <v>50.71</v>
      </c>
      <c r="E40">
        <f t="shared" si="0"/>
        <v>7.5434327597344404E-3</v>
      </c>
      <c r="F40">
        <f t="shared" si="1"/>
        <v>1.4700304450814061E-2</v>
      </c>
    </row>
    <row r="41" spans="2:6">
      <c r="B41">
        <v>44517</v>
      </c>
      <c r="C41">
        <v>68096.009999999995</v>
      </c>
      <c r="D41">
        <v>49.97</v>
      </c>
      <c r="E41">
        <f t="shared" si="0"/>
        <v>1.1811134756793644E-2</v>
      </c>
      <c r="F41">
        <f t="shared" si="1"/>
        <v>1.5325970478226772E-2</v>
      </c>
    </row>
    <row r="42" spans="2:6">
      <c r="B42">
        <v>44486</v>
      </c>
      <c r="C42">
        <v>67296.45</v>
      </c>
      <c r="D42">
        <v>49.21</v>
      </c>
      <c r="E42">
        <f t="shared" si="0"/>
        <v>-5.9787683543803288E-2</v>
      </c>
      <c r="F42">
        <f t="shared" si="1"/>
        <v>-0.12871897802538135</v>
      </c>
    </row>
    <row r="43" spans="2:6">
      <c r="B43">
        <v>44456</v>
      </c>
      <c r="C43">
        <v>71442.66</v>
      </c>
      <c r="D43">
        <v>55.97</v>
      </c>
      <c r="E43">
        <f t="shared" si="0"/>
        <v>2.4597009018288627E-2</v>
      </c>
      <c r="F43">
        <f t="shared" si="1"/>
        <v>1.0777902068392381E-2</v>
      </c>
    </row>
    <row r="44" spans="2:6">
      <c r="B44">
        <v>44425</v>
      </c>
      <c r="C44">
        <v>69706.820000000007</v>
      </c>
      <c r="D44">
        <v>55.37</v>
      </c>
      <c r="E44">
        <f t="shared" si="0"/>
        <v>-0.12718521342341732</v>
      </c>
      <c r="F44">
        <f t="shared" si="1"/>
        <v>-6.1293692205294216E-2</v>
      </c>
    </row>
    <row r="45" spans="2:6">
      <c r="B45">
        <v>44394</v>
      </c>
      <c r="C45">
        <v>79160.97</v>
      </c>
      <c r="D45">
        <v>58.87</v>
      </c>
      <c r="E45">
        <f t="shared" si="0"/>
        <v>7.1343214544591412E-3</v>
      </c>
      <c r="F45">
        <f t="shared" si="1"/>
        <v>1.2649741326910683E-2</v>
      </c>
    </row>
    <row r="46" spans="2:6">
      <c r="B46">
        <v>44364</v>
      </c>
      <c r="C46">
        <v>78598.22</v>
      </c>
      <c r="D46">
        <v>58.13</v>
      </c>
      <c r="E46">
        <f t="shared" si="0"/>
        <v>-0.10668990348616135</v>
      </c>
      <c r="F46">
        <f t="shared" si="1"/>
        <v>-4.9502598637172393E-2</v>
      </c>
    </row>
    <row r="47" spans="2:6">
      <c r="B47">
        <v>44333</v>
      </c>
      <c r="C47">
        <v>87447.53</v>
      </c>
      <c r="D47">
        <v>61.08</v>
      </c>
      <c r="E47">
        <f t="shared" si="0"/>
        <v>3.4664060958218945E-2</v>
      </c>
      <c r="F47">
        <f t="shared" si="1"/>
        <v>3.6852857310261618E-2</v>
      </c>
    </row>
    <row r="48" spans="2:6">
      <c r="B48">
        <v>44303</v>
      </c>
      <c r="C48">
        <v>84468.18</v>
      </c>
      <c r="D48">
        <v>58.87</v>
      </c>
      <c r="E48">
        <f t="shared" si="0"/>
        <v>3.1788530866176654E-2</v>
      </c>
      <c r="F48">
        <f t="shared" si="1"/>
        <v>0.1122353474280233</v>
      </c>
    </row>
    <row r="49" spans="2:6">
      <c r="B49">
        <v>44272</v>
      </c>
      <c r="C49">
        <v>81825.289999999994</v>
      </c>
      <c r="D49">
        <v>52.62</v>
      </c>
      <c r="E49">
        <f t="shared" si="0"/>
        <v>-2.1082204892601625E-2</v>
      </c>
      <c r="F49">
        <f t="shared" si="1"/>
        <v>0.11252323250022306</v>
      </c>
    </row>
    <row r="50" spans="2:6">
      <c r="B50">
        <v>44244</v>
      </c>
      <c r="C50">
        <v>83568.66</v>
      </c>
      <c r="D50">
        <v>47.02</v>
      </c>
      <c r="E50">
        <f t="shared" si="0"/>
        <v>-2.9027339913111653E-3</v>
      </c>
      <c r="F50">
        <f t="shared" si="1"/>
        <v>-3.1403040963925953E-2</v>
      </c>
    </row>
    <row r="51" spans="2:6">
      <c r="B51">
        <v>44213</v>
      </c>
      <c r="C51">
        <v>83811.59</v>
      </c>
      <c r="D51">
        <v>48.52</v>
      </c>
      <c r="E51">
        <f t="shared" si="0"/>
        <v>2.4358487308553608E-2</v>
      </c>
      <c r="F51">
        <f t="shared" si="1"/>
        <v>-1.6353594220294108E-2</v>
      </c>
    </row>
    <row r="52" spans="2:6">
      <c r="B52">
        <v>44546</v>
      </c>
      <c r="C52">
        <v>81794.73</v>
      </c>
      <c r="D52">
        <v>49.32</v>
      </c>
      <c r="E52">
        <f t="shared" si="0"/>
        <v>0.13547078771003773</v>
      </c>
      <c r="F52">
        <f t="shared" si="1"/>
        <v>0.15756960230521841</v>
      </c>
    </row>
    <row r="53" spans="2:6">
      <c r="B53">
        <v>44516</v>
      </c>
      <c r="C53">
        <v>71431.72</v>
      </c>
      <c r="D53">
        <v>42.13</v>
      </c>
      <c r="E53">
        <f t="shared" si="0"/>
        <v>6.9370256055577617E-2</v>
      </c>
      <c r="F53">
        <f t="shared" si="1"/>
        <v>8.9582489061000359E-2</v>
      </c>
    </row>
    <row r="54" spans="2:6">
      <c r="B54">
        <v>44485</v>
      </c>
      <c r="C54">
        <v>66644.45</v>
      </c>
      <c r="D54">
        <v>38.520000000000003</v>
      </c>
      <c r="E54">
        <f t="shared" si="0"/>
        <v>-3.4145573230105676E-2</v>
      </c>
      <c r="F54">
        <f t="shared" si="1"/>
        <v>-4.9383371957849288E-2</v>
      </c>
    </row>
    <row r="55" spans="2:6">
      <c r="B55">
        <v>44455</v>
      </c>
      <c r="C55">
        <v>68959.360000000001</v>
      </c>
      <c r="D55">
        <v>40.47</v>
      </c>
      <c r="E55">
        <f t="shared" si="0"/>
        <v>-6.4234109807201952E-3</v>
      </c>
      <c r="F55">
        <f t="shared" si="1"/>
        <v>3.6486623692808896E-2</v>
      </c>
    </row>
    <row r="56" spans="2:6">
      <c r="B56">
        <v>44424</v>
      </c>
      <c r="C56">
        <v>69403.740000000005</v>
      </c>
      <c r="D56">
        <v>39.020000000000003</v>
      </c>
      <c r="E56">
        <f t="shared" si="0"/>
        <v>-9.79885380838387E-3</v>
      </c>
      <c r="F56">
        <f t="shared" si="1"/>
        <v>0.12050971224588787</v>
      </c>
    </row>
    <row r="57" spans="2:6">
      <c r="B57">
        <v>44393</v>
      </c>
      <c r="C57">
        <v>70087.16</v>
      </c>
      <c r="D57">
        <v>34.590000000000003</v>
      </c>
      <c r="E57">
        <f t="shared" si="0"/>
        <v>5.7621692321721589E-2</v>
      </c>
      <c r="F57">
        <f t="shared" si="1"/>
        <v>0.10090545147932761</v>
      </c>
    </row>
    <row r="58" spans="2:6">
      <c r="B58">
        <v>44363</v>
      </c>
      <c r="C58">
        <v>66162.77</v>
      </c>
      <c r="D58">
        <v>31.27</v>
      </c>
      <c r="E58">
        <f t="shared" si="0"/>
        <v>4.4795464491507828E-2</v>
      </c>
      <c r="F58">
        <f t="shared" si="1"/>
        <v>2.3621871679263582E-2</v>
      </c>
    </row>
    <row r="59" spans="2:6">
      <c r="B59">
        <v>44332</v>
      </c>
      <c r="C59">
        <v>63264.38</v>
      </c>
      <c r="D59">
        <v>30.54</v>
      </c>
      <c r="E59">
        <f t="shared" si="0"/>
        <v>4.4136591059246555E-2</v>
      </c>
      <c r="F59">
        <f t="shared" si="1"/>
        <v>-1.0747538723581583E-2</v>
      </c>
    </row>
    <row r="60" spans="2:6">
      <c r="B60">
        <v>44302</v>
      </c>
      <c r="C60">
        <v>60532.83</v>
      </c>
      <c r="D60">
        <v>30.87</v>
      </c>
      <c r="E60">
        <f t="shared" si="0"/>
        <v>3.8990761910910429E-2</v>
      </c>
      <c r="F60">
        <f t="shared" si="1"/>
        <v>-1.2949176299570373E-3</v>
      </c>
    </row>
    <row r="61" spans="2:6">
      <c r="B61">
        <v>44271</v>
      </c>
      <c r="C61">
        <v>58218.03</v>
      </c>
      <c r="D61">
        <v>30.91</v>
      </c>
      <c r="E61">
        <f t="shared" si="0"/>
        <v>7.9773483117700661E-2</v>
      </c>
      <c r="F61">
        <f t="shared" si="1"/>
        <v>3.5650661644961446E-3</v>
      </c>
    </row>
    <row r="62" spans="2:6">
      <c r="B62">
        <v>44243</v>
      </c>
      <c r="C62">
        <v>53754.19</v>
      </c>
      <c r="D62">
        <v>30.8</v>
      </c>
      <c r="E62">
        <f t="shared" si="0"/>
        <v>-1.5060966101676566E-3</v>
      </c>
      <c r="F62">
        <f t="shared" si="1"/>
        <v>-3.8533664002242764E-2</v>
      </c>
    </row>
    <row r="63" spans="2:6">
      <c r="B63">
        <v>44212</v>
      </c>
      <c r="C63">
        <v>53835.21</v>
      </c>
      <c r="D63">
        <v>32.01</v>
      </c>
      <c r="E63">
        <f>LN(C63/C64)</f>
        <v>-3.2332822327497512E-2</v>
      </c>
      <c r="F63">
        <f>LN(D63/D64)</f>
        <v>-5.0558879191211534E-2</v>
      </c>
    </row>
    <row r="64" spans="2:6">
      <c r="B64">
        <v>44545</v>
      </c>
      <c r="C64">
        <v>55604.3</v>
      </c>
      <c r="D64">
        <v>33.67</v>
      </c>
      <c r="E64" t="e">
        <f t="shared" si="0"/>
        <v>#DIV/0!</v>
      </c>
      <c r="F64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Income Statement</vt:lpstr>
      <vt:lpstr>Ratio Analysis</vt:lpstr>
      <vt:lpstr>Market Beta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2021-01-30T17:45:04Z</dcterms:modified>
</cp:coreProperties>
</file>