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10665" windowHeight="3825"/>
  </bookViews>
  <sheets>
    <sheet name="Ratios" sheetId="1" r:id="rId1"/>
    <sheet name="BS" sheetId="4" r:id="rId2"/>
    <sheet name="PnL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4" l="1"/>
  <c r="E26" i="4"/>
  <c r="D26" i="4"/>
  <c r="C26" i="4"/>
  <c r="C25" i="4"/>
  <c r="D25" i="4"/>
  <c r="E25" i="4"/>
  <c r="F25" i="4"/>
  <c r="D11" i="4"/>
  <c r="E11" i="4"/>
  <c r="F11" i="4"/>
  <c r="B35" i="1"/>
  <c r="C11" i="4"/>
  <c r="C45" i="1"/>
  <c r="D45" i="1"/>
  <c r="E45" i="1"/>
  <c r="B45" i="1"/>
  <c r="C33" i="1"/>
  <c r="D33" i="1"/>
  <c r="E33" i="1"/>
  <c r="B33" i="1"/>
  <c r="C27" i="1"/>
  <c r="D27" i="1"/>
  <c r="E27" i="1"/>
  <c r="B27" i="1"/>
  <c r="E25" i="1"/>
  <c r="C25" i="1"/>
  <c r="D25" i="1"/>
  <c r="B25" i="1"/>
  <c r="E23" i="1"/>
  <c r="I3" i="5"/>
  <c r="C23" i="1"/>
  <c r="D23" i="1"/>
  <c r="B23" i="1"/>
  <c r="E21" i="1"/>
  <c r="C21" i="1"/>
  <c r="D21" i="1"/>
  <c r="B21" i="1"/>
  <c r="B17" i="1"/>
  <c r="E15" i="1"/>
  <c r="C15" i="1"/>
  <c r="D15" i="1"/>
  <c r="B15" i="1"/>
  <c r="E13" i="1"/>
  <c r="C13" i="1"/>
  <c r="D13" i="1"/>
  <c r="B13" i="1"/>
  <c r="E11" i="1" l="1"/>
  <c r="D11" i="1"/>
  <c r="C11" i="1"/>
  <c r="B11" i="1"/>
  <c r="E9" i="1"/>
  <c r="D9" i="1"/>
  <c r="C9" i="1"/>
  <c r="B9" i="1"/>
  <c r="E7" i="1"/>
  <c r="D7" i="1"/>
  <c r="C7" i="1"/>
  <c r="B7" i="1"/>
  <c r="G38" i="5"/>
  <c r="G40" i="5" s="1"/>
  <c r="G42" i="5" s="1"/>
  <c r="F38" i="5"/>
  <c r="F40" i="5" s="1"/>
  <c r="F42" i="5" s="1"/>
  <c r="E38" i="5"/>
  <c r="E40" i="5" s="1"/>
  <c r="E42" i="5" s="1"/>
  <c r="D38" i="5"/>
  <c r="D40" i="5" s="1"/>
  <c r="D42" i="5" s="1"/>
  <c r="C29" i="1" l="1"/>
  <c r="C17" i="1"/>
  <c r="B29" i="1"/>
</calcChain>
</file>

<file path=xl/sharedStrings.xml><?xml version="1.0" encoding="utf-8"?>
<sst xmlns="http://schemas.openxmlformats.org/spreadsheetml/2006/main" count="124" uniqueCount="93">
  <si>
    <t>Profitability</t>
  </si>
  <si>
    <t>Gross Profit Margin</t>
  </si>
  <si>
    <t>Operating Profit Margin</t>
  </si>
  <si>
    <t>Net Profit Margin</t>
  </si>
  <si>
    <t>Return on Assets</t>
  </si>
  <si>
    <t>Return on Capital Employed</t>
  </si>
  <si>
    <t>Activity / Efficiency</t>
  </si>
  <si>
    <t>Fixed Asset Turnover</t>
  </si>
  <si>
    <t>Total Asset Turnover</t>
  </si>
  <si>
    <t>Account Receivable Turnover Days</t>
  </si>
  <si>
    <t>Inventory Turnover Days</t>
  </si>
  <si>
    <t>Payables Turnover Days</t>
  </si>
  <si>
    <t>Liquidity</t>
  </si>
  <si>
    <t>Current Ratio</t>
  </si>
  <si>
    <t>Quick Ratio</t>
  </si>
  <si>
    <t>Gearing</t>
  </si>
  <si>
    <t>Interest Coverage</t>
  </si>
  <si>
    <t>Investor's Ratio</t>
  </si>
  <si>
    <t>EPS</t>
  </si>
  <si>
    <t>-</t>
  </si>
  <si>
    <t>ASSETS</t>
  </si>
  <si>
    <t>Non-Current Assets</t>
  </si>
  <si>
    <t>Property, plant and equipment</t>
  </si>
  <si>
    <t>Biological assets</t>
  </si>
  <si>
    <t>Long term advance</t>
  </si>
  <si>
    <t>Long term loans</t>
  </si>
  <si>
    <t>Long term deposits</t>
  </si>
  <si>
    <t>Long term investments</t>
  </si>
  <si>
    <t>Current Assets</t>
  </si>
  <si>
    <t>Stores, spares and loose tools</t>
  </si>
  <si>
    <t>Stock-in-trade</t>
  </si>
  <si>
    <t>Consumables</t>
  </si>
  <si>
    <t>Trade debts</t>
  </si>
  <si>
    <t>Loans and advances</t>
  </si>
  <si>
    <t>Trade deposits and short term prepayments</t>
  </si>
  <si>
    <t>Other receivables</t>
  </si>
  <si>
    <t>Current tax asset</t>
  </si>
  <si>
    <t>Sales tax refund bond</t>
  </si>
  <si>
    <t>Cash and bank balances</t>
  </si>
  <si>
    <t>Short-term investment</t>
  </si>
  <si>
    <t>Income tax refundable</t>
  </si>
  <si>
    <t>Total Assets</t>
  </si>
  <si>
    <t>EQUITY AND LIABILITIES</t>
  </si>
  <si>
    <t>Share Capital and Reserves</t>
  </si>
  <si>
    <t>Authorized</t>
  </si>
  <si>
    <t>57,500,000 ordinary shares of Rs.10/- each</t>
  </si>
  <si>
    <t>Issued, subscribed and paid-up capital</t>
  </si>
  <si>
    <t>Capital reserves</t>
  </si>
  <si>
    <t>Revenue reserves</t>
  </si>
  <si>
    <t>- Owners of the Holding Company</t>
  </si>
  <si>
    <t>- Non-controlling interests</t>
  </si>
  <si>
    <t>Total Equity</t>
  </si>
  <si>
    <t>Non-Current Liabilities</t>
  </si>
  <si>
    <t>Long term finance</t>
  </si>
  <si>
    <t>Retirement benefit obligation</t>
  </si>
  <si>
    <t>Deferred tax liabilities</t>
  </si>
  <si>
    <t>Current Liabilities</t>
  </si>
  <si>
    <t>Trade and other payables</t>
  </si>
  <si>
    <t>Unclaimed dividend</t>
  </si>
  <si>
    <t>Current portion of long term finance</t>
  </si>
  <si>
    <t>Accrued mark-up</t>
  </si>
  <si>
    <t>Short term borrowings</t>
  </si>
  <si>
    <t>Provision for taxation</t>
  </si>
  <si>
    <t>Total Liabilities</t>
  </si>
  <si>
    <t>Total Equity and Liabilities</t>
  </si>
  <si>
    <t>CONTINGENCIES AND COMMITMENTS</t>
  </si>
  <si>
    <t>Sales - net</t>
  </si>
  <si>
    <t>Cost of sales</t>
  </si>
  <si>
    <t>Gross profit</t>
  </si>
  <si>
    <t>Distribution cost</t>
  </si>
  <si>
    <t>Administrative expenses</t>
  </si>
  <si>
    <t>Finance cost</t>
  </si>
  <si>
    <t>Other operating expenses</t>
  </si>
  <si>
    <t>Other income</t>
  </si>
  <si>
    <t>Share of profit from associates</t>
  </si>
  <si>
    <t>Profit before taxation</t>
  </si>
  <si>
    <t>Taxation</t>
  </si>
  <si>
    <t>Profit for the year</t>
  </si>
  <si>
    <t>Total profit attributable to:</t>
  </si>
  <si>
    <t>Earnings per share - basic and diluted (Rupees)</t>
  </si>
  <si>
    <t>Other comprehensive income</t>
  </si>
  <si>
    <t>Items that will be reclassified subsequently</t>
  </si>
  <si>
    <t>to profit or loss</t>
  </si>
  <si>
    <t>Share of other comprehensive income/(loss) from associates - net of tax</t>
  </si>
  <si>
    <t>Items that will not be reclassified subsequently</t>
  </si>
  <si>
    <t>-  Remeasurement of defined benefit obligation</t>
  </si>
  <si>
    <t>-  Income tax relating to defined benefit obligation</t>
  </si>
  <si>
    <t>Other comprehensive income / (loss)</t>
  </si>
  <si>
    <t>Total comprehensive income for the year</t>
  </si>
  <si>
    <t>operating Profit</t>
  </si>
  <si>
    <t>Return of Equity (Average)</t>
  </si>
  <si>
    <t>Debt to Equity (Book Value)</t>
  </si>
  <si>
    <t>Gadoon textile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</si>
</sst>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57585B"/>
      <name val="Arial"/>
      <family val="2"/>
    </font>
    <font>
      <sz val="11"/>
      <color rgb="FF1D99D5"/>
      <name val="Arial Bold"/>
      <family val="2"/>
    </font>
    <font>
      <sz val="9"/>
      <color rgb="FF1D99D5"/>
      <name val="Arial Bold"/>
      <family val="2"/>
    </font>
    <font>
      <b/>
      <sz val="10"/>
      <name val="Arial"/>
      <family val="2"/>
    </font>
    <font>
      <b/>
      <sz val="9"/>
      <color rgb="FF57585B"/>
      <name val="Arial"/>
      <family val="2"/>
    </font>
    <font>
      <b/>
      <sz val="10"/>
      <color rgb="FF57585B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2"/>
    <xf numFmtId="3" fontId="4" fillId="0" borderId="0" xfId="2" applyNumberFormat="1" applyFont="1"/>
    <xf numFmtId="0" fontId="4" fillId="0" borderId="0" xfId="2" applyNumberFormat="1" applyFont="1"/>
    <xf numFmtId="0" fontId="5" fillId="0" borderId="0" xfId="2" applyNumberFormat="1" applyFont="1"/>
    <xf numFmtId="0" fontId="6" fillId="0" borderId="0" xfId="2" applyNumberFormat="1" applyFont="1"/>
    <xf numFmtId="2" fontId="4" fillId="0" borderId="0" xfId="2" applyNumberFormat="1" applyFont="1"/>
    <xf numFmtId="1" fontId="4" fillId="0" borderId="0" xfId="2" applyNumberFormat="1" applyFont="1"/>
    <xf numFmtId="0" fontId="3" fillId="0" borderId="0" xfId="2" applyFill="1" applyBorder="1"/>
    <xf numFmtId="0" fontId="4" fillId="0" borderId="0" xfId="2" applyNumberFormat="1" applyFont="1" applyFill="1" applyBorder="1"/>
    <xf numFmtId="0" fontId="7" fillId="0" borderId="0" xfId="2" applyFont="1"/>
    <xf numFmtId="10" fontId="0" fillId="0" borderId="0" xfId="1" applyNumberFormat="1" applyFont="1"/>
    <xf numFmtId="164" fontId="0" fillId="0" borderId="0" xfId="3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3" fillId="0" borderId="0" xfId="2" applyAlignment="1">
      <alignment horizontal="right" vertical="center"/>
    </xf>
    <xf numFmtId="3" fontId="4" fillId="0" borderId="0" xfId="2" applyNumberFormat="1" applyFont="1" applyAlignment="1">
      <alignment horizontal="right" vertical="center"/>
    </xf>
    <xf numFmtId="0" fontId="4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3" fillId="0" borderId="0" xfId="2" applyNumberFormat="1" applyAlignment="1">
      <alignment horizontal="right" vertical="center"/>
    </xf>
    <xf numFmtId="0" fontId="3" fillId="0" borderId="0" xfId="2" applyFont="1"/>
    <xf numFmtId="3" fontId="9" fillId="0" borderId="0" xfId="2" applyNumberFormat="1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3" fontId="4" fillId="0" borderId="1" xfId="2" applyNumberFormat="1" applyFont="1" applyBorder="1" applyAlignment="1">
      <alignment horizontal="right" vertical="center"/>
    </xf>
    <xf numFmtId="3" fontId="4" fillId="0" borderId="2" xfId="2" applyNumberFormat="1" applyFont="1" applyBorder="1" applyAlignment="1">
      <alignment horizontal="right" vertical="center"/>
    </xf>
    <xf numFmtId="0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3" fillId="0" borderId="2" xfId="2" applyBorder="1" applyAlignment="1">
      <alignment horizontal="right" vertical="center"/>
    </xf>
    <xf numFmtId="3" fontId="8" fillId="0" borderId="4" xfId="2" applyNumberFormat="1" applyFont="1" applyBorder="1" applyAlignment="1">
      <alignment horizontal="right" vertical="center"/>
    </xf>
    <xf numFmtId="0" fontId="4" fillId="0" borderId="3" xfId="2" applyNumberFormat="1" applyFont="1" applyBorder="1" applyAlignment="1">
      <alignment horizontal="right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workbookViewId="0">
      <selection activeCell="A3" sqref="A3"/>
    </sheetView>
  </sheetViews>
  <sheetFormatPr defaultRowHeight="15" x14ac:dyDescent="0.25"/>
  <cols>
    <col min="1" max="1" width="32" bestFit="1" customWidth="1"/>
    <col min="2" max="2" width="7.140625" style="14" bestFit="1" customWidth="1"/>
    <col min="3" max="5" width="9.140625" style="14"/>
    <col min="6" max="6" width="13.28515625" bestFit="1" customWidth="1"/>
  </cols>
  <sheetData>
    <row r="2" spans="1:5" x14ac:dyDescent="0.25">
      <c r="A2" s="1" t="s">
        <v>92</v>
      </c>
    </row>
    <row r="5" spans="1:5" x14ac:dyDescent="0.25">
      <c r="A5" s="1" t="s">
        <v>0</v>
      </c>
      <c r="B5" s="15">
        <v>2019</v>
      </c>
      <c r="C5" s="15">
        <v>2018</v>
      </c>
      <c r="D5" s="15">
        <v>2017</v>
      </c>
      <c r="E5" s="15">
        <v>2016</v>
      </c>
    </row>
    <row r="7" spans="1:5" x14ac:dyDescent="0.25">
      <c r="A7" t="s">
        <v>1</v>
      </c>
      <c r="B7" s="16">
        <f>PnL!D5/PnL!D3</f>
        <v>9.2663568381034234E-2</v>
      </c>
      <c r="C7" s="16">
        <f>PnL!E5/PnL!E3</f>
        <v>7.0582910268586971E-2</v>
      </c>
      <c r="D7" s="16">
        <f>PnL!F5/PnL!F3</f>
        <v>5.7537368522066167E-2</v>
      </c>
      <c r="E7" s="16">
        <f>PnL!G5/PnL!G3</f>
        <v>3.4142447414198293E-2</v>
      </c>
    </row>
    <row r="8" spans="1:5" x14ac:dyDescent="0.25">
      <c r="B8" s="16"/>
    </row>
    <row r="9" spans="1:5" x14ac:dyDescent="0.25">
      <c r="A9" t="s">
        <v>2</v>
      </c>
      <c r="B9" s="16">
        <f>PnL!D13/PnL!D3</f>
        <v>3.257841544475773E-2</v>
      </c>
      <c r="C9" s="16">
        <f>PnL!E13/PnL!E3</f>
        <v>1.9860831661778631E-2</v>
      </c>
      <c r="D9" s="16">
        <f>PnL!F13/PnL!F3</f>
        <v>1.8863390268428461E-2</v>
      </c>
      <c r="E9" s="16">
        <f>PnL!G13/PnL!G3</f>
        <v>-1.482420089595997E-2</v>
      </c>
    </row>
    <row r="10" spans="1:5" x14ac:dyDescent="0.25">
      <c r="B10" s="16"/>
    </row>
    <row r="11" spans="1:5" x14ac:dyDescent="0.25">
      <c r="A11" t="s">
        <v>3</v>
      </c>
      <c r="B11" s="16">
        <f>PnL!D27/PnL!D3</f>
        <v>3.799480412880233E-2</v>
      </c>
      <c r="C11" s="16">
        <f>PnL!E27/PnL!E3</f>
        <v>4.3016130068906241E-2</v>
      </c>
      <c r="D11" s="16">
        <f>PnL!F27/PnL!F3</f>
        <v>3.4711198250490849E-2</v>
      </c>
      <c r="E11" s="16">
        <f>PnL!G27/PnL!G3</f>
        <v>-1.2875022737982697E-2</v>
      </c>
    </row>
    <row r="12" spans="1:5" x14ac:dyDescent="0.25">
      <c r="B12" s="16"/>
    </row>
    <row r="13" spans="1:5" x14ac:dyDescent="0.25">
      <c r="A13" t="s">
        <v>90</v>
      </c>
      <c r="B13" s="17">
        <f>PnL!D20/AVERAGE(BS!C40:D40)</f>
        <v>0.13615403551512509</v>
      </c>
      <c r="C13" s="17">
        <f>PnL!E20/AVERAGE(BS!D40:E40)</f>
        <v>0.1521538220898237</v>
      </c>
      <c r="D13" s="17">
        <f>PnL!F20/AVERAGE(BS!E40:F40)</f>
        <v>0.11611035365496411</v>
      </c>
      <c r="E13" s="17">
        <f>PnL!G20/6679146.34146341</f>
        <v>-4.1000000000000029E-2</v>
      </c>
    </row>
    <row r="14" spans="1:5" x14ac:dyDescent="0.25">
      <c r="B14" s="16"/>
    </row>
    <row r="15" spans="1:5" x14ac:dyDescent="0.25">
      <c r="A15" t="s">
        <v>4</v>
      </c>
      <c r="B15" s="16">
        <f>PnL!D20/AVERAGE(SUM(BS!C5:C6),BS!D5)</f>
        <v>0.1333301708547775</v>
      </c>
      <c r="C15" s="16">
        <f>PnL!E20/AVERAGE(SUM(BS!D5:D6),BS!E5)</f>
        <v>0.15555451440987184</v>
      </c>
      <c r="D15" s="16">
        <f>PnL!F20/AVERAGE(SUM(BS!E5:E6),BS!F5)</f>
        <v>0.10635935178188284</v>
      </c>
      <c r="E15" s="16">
        <f>PnL!G20/8030645.16129032</f>
        <v>-3.4100000000000012E-2</v>
      </c>
    </row>
    <row r="16" spans="1:5" x14ac:dyDescent="0.25">
      <c r="B16" s="16"/>
    </row>
    <row r="17" spans="1:6" x14ac:dyDescent="0.25">
      <c r="A17" s="20" t="s">
        <v>5</v>
      </c>
      <c r="B17" s="17">
        <f>8565214/(66615270+7044397)</f>
        <v>0.11628092209539856</v>
      </c>
      <c r="C17" s="17">
        <f>5950951/(75713145+5190839+2144900)</f>
        <v>7.1656002024060916E-2</v>
      </c>
      <c r="D17" s="21"/>
      <c r="E17" s="21"/>
    </row>
    <row r="18" spans="1:6" x14ac:dyDescent="0.25">
      <c r="F18" s="3"/>
    </row>
    <row r="19" spans="1:6" x14ac:dyDescent="0.25">
      <c r="A19" s="1" t="s">
        <v>6</v>
      </c>
    </row>
    <row r="20" spans="1:6" x14ac:dyDescent="0.25">
      <c r="F20" s="13"/>
    </row>
    <row r="21" spans="1:6" x14ac:dyDescent="0.25">
      <c r="A21" t="s">
        <v>7</v>
      </c>
      <c r="B21" s="18">
        <f>PnL!D3/AVERAGE(SUM(BS!C5:C6),BS!D5)</f>
        <v>3.5091685274330775</v>
      </c>
      <c r="C21" s="18">
        <f>PnL!E3/AVERAGE(SUM(BS!D5:D6),BS!E5)</f>
        <v>3.6161903490782121</v>
      </c>
      <c r="D21" s="18">
        <f>PnL!F3/AVERAGE(SUM(BS!E5:E6),BS!F5)</f>
        <v>3.0641221606453422</v>
      </c>
      <c r="E21" s="18">
        <f>PnL!G3/8026217.73584906</f>
        <v>2.649999999999999</v>
      </c>
      <c r="F21" s="12"/>
    </row>
    <row r="23" spans="1:6" x14ac:dyDescent="0.25">
      <c r="A23" t="s">
        <v>8</v>
      </c>
      <c r="B23" s="18">
        <f>PnL!D3/AVERAGE(BS!C26:D26)</f>
        <v>1.2376099520597532</v>
      </c>
      <c r="C23" s="18">
        <f>PnL!E3/AVERAGE(BS!D26:E26)</f>
        <v>1.2697851524923072</v>
      </c>
      <c r="D23" s="18">
        <f>PnL!F3/AVERAGE(BS!E26:F26)</f>
        <v>1.1751967368072875</v>
      </c>
      <c r="E23" s="18">
        <f>PnL!G3/26586846.25</f>
        <v>0.8</v>
      </c>
    </row>
    <row r="25" spans="1:6" x14ac:dyDescent="0.25">
      <c r="A25" t="s">
        <v>9</v>
      </c>
      <c r="B25" s="19">
        <f>(AVERAGE(BS!C16,BS!D16)/PnL!D3)*360</f>
        <v>34.491799930417187</v>
      </c>
      <c r="C25" s="19">
        <f>(AVERAGE(BS!D16,BS!E16)/PnL!E3)*360</f>
        <v>27.534009005437078</v>
      </c>
      <c r="D25" s="19">
        <f>(AVERAGE(BS!E16,BS!F16)/PnL!F3)*360</f>
        <v>25.537623849510279</v>
      </c>
      <c r="E25" s="19">
        <f>(1831538.29722222/PnL!G3)*360</f>
        <v>30.999999999999964</v>
      </c>
    </row>
    <row r="26" spans="1:6" x14ac:dyDescent="0.25">
      <c r="B26" s="19"/>
    </row>
    <row r="27" spans="1:6" x14ac:dyDescent="0.25">
      <c r="A27" t="s">
        <v>10</v>
      </c>
      <c r="B27" s="19">
        <f>-(AVERAGE(BS!C14:D14)/PnL!D4)*360</f>
        <v>100.83573747290181</v>
      </c>
      <c r="C27" s="19">
        <f>-(AVERAGE(BS!D14:E14)/PnL!E4)*360</f>
        <v>92.56711484280801</v>
      </c>
      <c r="D27" s="19">
        <f>-(AVERAGE(BS!E14:F14)/PnL!F4)*360</f>
        <v>89.125381157045183</v>
      </c>
      <c r="E27" s="19">
        <f>-(AVERAGE(BS!F14:G14)/PnL!G4)*360</f>
        <v>90.220692552335223</v>
      </c>
    </row>
    <row r="28" spans="1:6" x14ac:dyDescent="0.25">
      <c r="B28" s="19"/>
    </row>
    <row r="29" spans="1:6" x14ac:dyDescent="0.25">
      <c r="A29" t="s">
        <v>11</v>
      </c>
      <c r="B29" s="19">
        <f>(8359680/55842428)*360</f>
        <v>53.892441782796404</v>
      </c>
      <c r="C29" s="19">
        <f>((6416602)/(48178678))*360</f>
        <v>47.946037871773903</v>
      </c>
    </row>
    <row r="30" spans="1:6" x14ac:dyDescent="0.25">
      <c r="B30" s="19"/>
    </row>
    <row r="31" spans="1:6" x14ac:dyDescent="0.25">
      <c r="A31" s="1" t="s">
        <v>12</v>
      </c>
    </row>
    <row r="33" spans="1:5" x14ac:dyDescent="0.25">
      <c r="A33" t="s">
        <v>13</v>
      </c>
      <c r="B33" s="18">
        <f>BS!C25/BS!C54</f>
        <v>1.0229478537170615</v>
      </c>
      <c r="C33" s="18">
        <f>BS!D25/BS!D54</f>
        <v>0.96153987618734682</v>
      </c>
      <c r="D33" s="18">
        <f>BS!E25/BS!E54</f>
        <v>0.87463131339849254</v>
      </c>
      <c r="E33" s="18">
        <f>BS!F25/BS!F54</f>
        <v>0.79978538230638185</v>
      </c>
    </row>
    <row r="34" spans="1:5" x14ac:dyDescent="0.25">
      <c r="B34" s="18"/>
    </row>
    <row r="35" spans="1:5" x14ac:dyDescent="0.25">
      <c r="A35" t="s">
        <v>14</v>
      </c>
      <c r="B35" s="18">
        <f>(BS!C25-BS!C14-BS!C15-BS!C13)/BS!C54</f>
        <v>0.38003056851314759</v>
      </c>
      <c r="C35" s="18" t="s">
        <v>19</v>
      </c>
      <c r="D35" s="18" t="s">
        <v>19</v>
      </c>
      <c r="E35" s="18" t="s">
        <v>19</v>
      </c>
    </row>
    <row r="37" spans="1:5" x14ac:dyDescent="0.25">
      <c r="A37" s="1" t="s">
        <v>15</v>
      </c>
    </row>
    <row r="39" spans="1:5" x14ac:dyDescent="0.25">
      <c r="A39" t="s">
        <v>91</v>
      </c>
      <c r="B39" s="16">
        <v>0.29049999999999998</v>
      </c>
      <c r="C39" s="16">
        <v>7.2400000000000006E-2</v>
      </c>
      <c r="D39" s="14" t="s">
        <v>19</v>
      </c>
      <c r="E39" s="14" t="s">
        <v>19</v>
      </c>
    </row>
    <row r="41" spans="1:5" x14ac:dyDescent="0.25">
      <c r="A41" t="s">
        <v>16</v>
      </c>
      <c r="B41" s="18">
        <v>2.52</v>
      </c>
      <c r="C41" s="14">
        <v>3.56</v>
      </c>
      <c r="D41" s="14">
        <v>4.17</v>
      </c>
      <c r="E41" s="14">
        <v>0.79</v>
      </c>
    </row>
    <row r="43" spans="1:5" x14ac:dyDescent="0.25">
      <c r="A43" s="1" t="s">
        <v>17</v>
      </c>
    </row>
    <row r="45" spans="1:5" x14ac:dyDescent="0.25">
      <c r="A45" t="s">
        <v>18</v>
      </c>
      <c r="B45" s="18">
        <f>PnL!D25</f>
        <v>42.32</v>
      </c>
      <c r="C45" s="18">
        <f>PnL!E25</f>
        <v>42.29</v>
      </c>
      <c r="D45" s="18">
        <f>PnL!F25</f>
        <v>28.79</v>
      </c>
      <c r="E45" s="18">
        <f>PnL!G25</f>
        <v>-9.77</v>
      </c>
    </row>
  </sheetData>
  <pageMargins left="0.7" right="0.7" top="0.75" bottom="0.75" header="0.3" footer="0.3"/>
  <pageSetup orientation="portrait" horizontalDpi="4294967295" verticalDpi="4294967295" r:id="rId1"/>
  <ignoredErrors>
    <ignoredError sqref="B13 C13:D13 B23:E23 B27:E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topLeftCell="A31" workbookViewId="0">
      <selection activeCell="C61" sqref="C61"/>
    </sheetView>
  </sheetViews>
  <sheetFormatPr defaultRowHeight="12.75" x14ac:dyDescent="0.2"/>
  <cols>
    <col min="1" max="1" width="38" style="2" bestFit="1" customWidth="1"/>
    <col min="2" max="2" width="9.140625" style="2"/>
    <col min="3" max="3" width="10.28515625" style="23" bestFit="1" customWidth="1"/>
    <col min="4" max="6" width="10.140625" style="23" bestFit="1" customWidth="1"/>
    <col min="7" max="16384" width="9.140625" style="2"/>
  </cols>
  <sheetData>
    <row r="2" spans="1:6" s="22" customFormat="1" x14ac:dyDescent="0.25">
      <c r="C2" s="22">
        <v>2019</v>
      </c>
      <c r="D2" s="22">
        <v>2018</v>
      </c>
      <c r="E2" s="22">
        <v>2017</v>
      </c>
      <c r="F2" s="22">
        <v>2016</v>
      </c>
    </row>
    <row r="3" spans="1:6" s="28" customFormat="1" x14ac:dyDescent="0.2">
      <c r="A3" s="11" t="s">
        <v>20</v>
      </c>
      <c r="C3" s="30"/>
      <c r="D3" s="30"/>
      <c r="E3" s="30"/>
      <c r="F3" s="30"/>
    </row>
    <row r="4" spans="1:6" x14ac:dyDescent="0.2">
      <c r="A4" s="11" t="s">
        <v>21</v>
      </c>
    </row>
    <row r="5" spans="1:6" x14ac:dyDescent="0.2">
      <c r="A5" s="2" t="s">
        <v>22</v>
      </c>
      <c r="C5" s="31">
        <v>9870359</v>
      </c>
      <c r="D5" s="31">
        <v>7791928</v>
      </c>
      <c r="E5" s="31">
        <v>7447694</v>
      </c>
      <c r="F5" s="31">
        <v>7727013</v>
      </c>
    </row>
    <row r="6" spans="1:6" x14ac:dyDescent="0.2">
      <c r="A6" s="2" t="s">
        <v>23</v>
      </c>
      <c r="C6" s="32">
        <v>129665</v>
      </c>
      <c r="D6" s="32" t="s">
        <v>19</v>
      </c>
      <c r="E6" s="32"/>
      <c r="F6" s="32"/>
    </row>
    <row r="7" spans="1:6" x14ac:dyDescent="0.2">
      <c r="A7" s="2" t="s">
        <v>24</v>
      </c>
      <c r="C7" s="33" t="s">
        <v>19</v>
      </c>
      <c r="D7" s="33" t="s">
        <v>19</v>
      </c>
      <c r="E7" s="33"/>
      <c r="F7" s="33"/>
    </row>
    <row r="8" spans="1:6" x14ac:dyDescent="0.2">
      <c r="A8" s="2" t="s">
        <v>25</v>
      </c>
      <c r="C8" s="32">
        <v>43677</v>
      </c>
      <c r="D8" s="32">
        <v>35331</v>
      </c>
      <c r="E8" s="32">
        <v>9723</v>
      </c>
      <c r="F8" s="32">
        <v>16282</v>
      </c>
    </row>
    <row r="9" spans="1:6" x14ac:dyDescent="0.2">
      <c r="A9" s="2" t="s">
        <v>26</v>
      </c>
      <c r="C9" s="32">
        <v>29127</v>
      </c>
      <c r="D9" s="32">
        <v>27719</v>
      </c>
      <c r="E9" s="32">
        <v>27704</v>
      </c>
      <c r="F9" s="32">
        <v>25058</v>
      </c>
    </row>
    <row r="10" spans="1:6" x14ac:dyDescent="0.2">
      <c r="A10" s="2" t="s">
        <v>27</v>
      </c>
      <c r="C10" s="34">
        <v>2890606</v>
      </c>
      <c r="D10" s="34">
        <v>2686920</v>
      </c>
      <c r="E10" s="34">
        <v>2472715</v>
      </c>
      <c r="F10" s="34">
        <v>2194332</v>
      </c>
    </row>
    <row r="11" spans="1:6" x14ac:dyDescent="0.2">
      <c r="C11" s="26">
        <f>SUM(C5:C10)</f>
        <v>12963434</v>
      </c>
      <c r="D11" s="26">
        <f t="shared" ref="D11:F11" si="0">SUM(D5:D10)</f>
        <v>10541898</v>
      </c>
      <c r="E11" s="26">
        <f t="shared" si="0"/>
        <v>9957836</v>
      </c>
      <c r="F11" s="26">
        <f t="shared" si="0"/>
        <v>9962685</v>
      </c>
    </row>
    <row r="12" spans="1:6" x14ac:dyDescent="0.2">
      <c r="A12" s="11" t="s">
        <v>28</v>
      </c>
    </row>
    <row r="13" spans="1:6" x14ac:dyDescent="0.2">
      <c r="A13" s="2" t="s">
        <v>29</v>
      </c>
      <c r="C13" s="31">
        <v>606538</v>
      </c>
      <c r="D13" s="31">
        <v>549319</v>
      </c>
      <c r="E13" s="31">
        <v>491790</v>
      </c>
      <c r="F13" s="31">
        <v>515910</v>
      </c>
    </row>
    <row r="14" spans="1:6" x14ac:dyDescent="0.2">
      <c r="A14" s="9" t="s">
        <v>30</v>
      </c>
      <c r="C14" s="32">
        <v>8397926</v>
      </c>
      <c r="D14" s="32">
        <v>7469561</v>
      </c>
      <c r="E14" s="32">
        <v>5700578</v>
      </c>
      <c r="F14" s="32">
        <v>5148415</v>
      </c>
    </row>
    <row r="15" spans="1:6" x14ac:dyDescent="0.2">
      <c r="A15" s="9" t="s">
        <v>31</v>
      </c>
      <c r="C15" s="32">
        <v>9435</v>
      </c>
      <c r="D15" s="33" t="s">
        <v>19</v>
      </c>
      <c r="E15" s="33" t="s">
        <v>19</v>
      </c>
      <c r="F15" s="33" t="s">
        <v>19</v>
      </c>
    </row>
    <row r="16" spans="1:6" x14ac:dyDescent="0.2">
      <c r="A16" s="9" t="s">
        <v>32</v>
      </c>
      <c r="C16" s="32">
        <v>3517747</v>
      </c>
      <c r="D16" s="32">
        <v>2464181</v>
      </c>
      <c r="E16" s="32">
        <v>1750769</v>
      </c>
      <c r="F16" s="32">
        <v>1547639</v>
      </c>
    </row>
    <row r="17" spans="1:6" x14ac:dyDescent="0.2">
      <c r="A17" s="9" t="s">
        <v>33</v>
      </c>
      <c r="C17" s="32">
        <v>199991</v>
      </c>
      <c r="D17" s="32">
        <v>286996</v>
      </c>
      <c r="E17" s="32">
        <v>732810</v>
      </c>
      <c r="F17" s="32">
        <v>579440</v>
      </c>
    </row>
    <row r="18" spans="1:6" x14ac:dyDescent="0.2">
      <c r="A18" s="9" t="s">
        <v>34</v>
      </c>
      <c r="C18" s="32">
        <v>8901</v>
      </c>
      <c r="D18" s="32">
        <v>32273</v>
      </c>
      <c r="E18" s="32">
        <v>17679</v>
      </c>
      <c r="F18" s="32">
        <v>29573</v>
      </c>
    </row>
    <row r="19" spans="1:6" x14ac:dyDescent="0.2">
      <c r="A19" s="9" t="s">
        <v>35</v>
      </c>
      <c r="C19" s="32">
        <v>719881</v>
      </c>
      <c r="D19" s="32">
        <v>958077</v>
      </c>
      <c r="E19" s="32">
        <v>928097</v>
      </c>
      <c r="F19" s="32">
        <v>448425</v>
      </c>
    </row>
    <row r="20" spans="1:6" x14ac:dyDescent="0.2">
      <c r="A20" s="9" t="s">
        <v>36</v>
      </c>
      <c r="C20" s="32">
        <v>658310</v>
      </c>
      <c r="D20" s="32">
        <v>651362</v>
      </c>
      <c r="E20" s="35"/>
      <c r="F20" s="35"/>
    </row>
    <row r="21" spans="1:6" x14ac:dyDescent="0.2">
      <c r="A21" s="9" t="s">
        <v>37</v>
      </c>
      <c r="C21" s="32">
        <v>110797</v>
      </c>
      <c r="D21" s="33" t="s">
        <v>19</v>
      </c>
      <c r="E21" s="35"/>
      <c r="F21" s="35"/>
    </row>
    <row r="22" spans="1:6" x14ac:dyDescent="0.2">
      <c r="A22" s="9" t="s">
        <v>38</v>
      </c>
      <c r="C22" s="32">
        <v>112519</v>
      </c>
      <c r="D22" s="32">
        <v>188863</v>
      </c>
      <c r="E22" s="32">
        <v>163926</v>
      </c>
      <c r="F22" s="32">
        <v>387454</v>
      </c>
    </row>
    <row r="23" spans="1:6" x14ac:dyDescent="0.2">
      <c r="A23" s="10" t="s">
        <v>39</v>
      </c>
      <c r="C23" s="33" t="s">
        <v>19</v>
      </c>
      <c r="D23" s="33" t="s">
        <v>19</v>
      </c>
      <c r="E23" s="33" t="s">
        <v>19</v>
      </c>
      <c r="F23" s="32">
        <v>75734</v>
      </c>
    </row>
    <row r="24" spans="1:6" x14ac:dyDescent="0.2">
      <c r="A24" s="10" t="s">
        <v>40</v>
      </c>
      <c r="C24" s="34"/>
      <c r="D24" s="34"/>
      <c r="E24" s="34">
        <v>514535</v>
      </c>
      <c r="F24" s="34">
        <v>612128</v>
      </c>
    </row>
    <row r="25" spans="1:6" x14ac:dyDescent="0.2">
      <c r="C25" s="26">
        <f>SUM(C13:C24)</f>
        <v>14342045</v>
      </c>
      <c r="D25" s="26">
        <f t="shared" ref="D25:F25" si="1">SUM(D13:D24)</f>
        <v>12600632</v>
      </c>
      <c r="E25" s="26">
        <f t="shared" si="1"/>
        <v>10300184</v>
      </c>
      <c r="F25" s="26">
        <f t="shared" si="1"/>
        <v>9344718</v>
      </c>
    </row>
    <row r="26" spans="1:6" s="28" customFormat="1" x14ac:dyDescent="0.2">
      <c r="A26" s="11" t="s">
        <v>41</v>
      </c>
      <c r="C26" s="29">
        <f>C25+C11</f>
        <v>27305479</v>
      </c>
      <c r="D26" s="29">
        <f t="shared" ref="D26:F26" si="2">D25+D11</f>
        <v>23142530</v>
      </c>
      <c r="E26" s="29">
        <f t="shared" si="2"/>
        <v>20258020</v>
      </c>
      <c r="F26" s="29">
        <f t="shared" si="2"/>
        <v>19307403</v>
      </c>
    </row>
    <row r="27" spans="1:6" x14ac:dyDescent="0.2">
      <c r="C27" s="27"/>
      <c r="D27" s="27"/>
    </row>
    <row r="28" spans="1:6" x14ac:dyDescent="0.2">
      <c r="C28" s="27"/>
    </row>
    <row r="29" spans="1:6" ht="15" x14ac:dyDescent="0.25">
      <c r="A29" s="5" t="s">
        <v>42</v>
      </c>
    </row>
    <row r="30" spans="1:6" x14ac:dyDescent="0.2">
      <c r="A30" s="6" t="s">
        <v>43</v>
      </c>
    </row>
    <row r="31" spans="1:6" x14ac:dyDescent="0.2">
      <c r="A31" s="4" t="s">
        <v>44</v>
      </c>
    </row>
    <row r="32" spans="1:6" x14ac:dyDescent="0.2">
      <c r="A32" s="4" t="s">
        <v>45</v>
      </c>
      <c r="C32" s="36">
        <v>575000</v>
      </c>
      <c r="D32" s="36">
        <v>575000</v>
      </c>
      <c r="E32" s="36">
        <v>575000</v>
      </c>
      <c r="F32" s="36">
        <v>575000</v>
      </c>
    </row>
    <row r="34" spans="1:6" x14ac:dyDescent="0.2">
      <c r="A34" s="4" t="s">
        <v>46</v>
      </c>
    </row>
    <row r="35" spans="1:6" x14ac:dyDescent="0.2">
      <c r="A35" s="4" t="s">
        <v>47</v>
      </c>
      <c r="C35" s="31">
        <v>280296</v>
      </c>
      <c r="D35" s="31">
        <v>280296</v>
      </c>
      <c r="E35" s="31">
        <v>280296</v>
      </c>
      <c r="F35" s="31">
        <v>280296</v>
      </c>
    </row>
    <row r="36" spans="1:6" x14ac:dyDescent="0.2">
      <c r="A36" s="4" t="s">
        <v>48</v>
      </c>
      <c r="C36" s="32">
        <v>137541</v>
      </c>
      <c r="D36" s="32">
        <v>137541</v>
      </c>
      <c r="E36" s="32">
        <v>137541</v>
      </c>
      <c r="F36" s="32">
        <v>137541</v>
      </c>
    </row>
    <row r="37" spans="1:6" x14ac:dyDescent="0.2">
      <c r="A37" s="4" t="s">
        <v>49</v>
      </c>
      <c r="C37" s="32">
        <v>8791596</v>
      </c>
      <c r="D37" s="32">
        <v>7795673</v>
      </c>
      <c r="E37" s="32">
        <v>6948886</v>
      </c>
      <c r="F37" s="32">
        <v>6115768</v>
      </c>
    </row>
    <row r="38" spans="1:6" x14ac:dyDescent="0.2">
      <c r="A38" s="4" t="s">
        <v>50</v>
      </c>
      <c r="C38" s="37" t="s">
        <v>19</v>
      </c>
      <c r="D38" s="37" t="s">
        <v>19</v>
      </c>
      <c r="E38" s="37" t="s">
        <v>19</v>
      </c>
      <c r="F38" s="37" t="s">
        <v>19</v>
      </c>
    </row>
    <row r="39" spans="1:6" x14ac:dyDescent="0.2">
      <c r="C39" s="24"/>
      <c r="D39" s="24"/>
      <c r="E39" s="25"/>
      <c r="F39" s="25"/>
    </row>
    <row r="40" spans="1:6" x14ac:dyDescent="0.2">
      <c r="A40" s="6" t="s">
        <v>51</v>
      </c>
      <c r="C40" s="26">
        <v>9209433</v>
      </c>
      <c r="D40" s="26">
        <v>8213510</v>
      </c>
      <c r="E40" s="26">
        <v>7366723</v>
      </c>
      <c r="F40" s="26">
        <v>6533605</v>
      </c>
    </row>
    <row r="41" spans="1:6" x14ac:dyDescent="0.2">
      <c r="C41" s="27"/>
    </row>
    <row r="42" spans="1:6" x14ac:dyDescent="0.2">
      <c r="A42" s="6" t="s">
        <v>52</v>
      </c>
    </row>
    <row r="43" spans="1:6" x14ac:dyDescent="0.2">
      <c r="A43" s="4" t="s">
        <v>53</v>
      </c>
      <c r="C43" s="24">
        <v>2622363</v>
      </c>
      <c r="D43" s="24">
        <v>594338</v>
      </c>
      <c r="E43" s="25" t="s">
        <v>19</v>
      </c>
      <c r="F43" s="25" t="s">
        <v>19</v>
      </c>
    </row>
    <row r="44" spans="1:6" x14ac:dyDescent="0.2">
      <c r="A44" s="4" t="s">
        <v>54</v>
      </c>
      <c r="C44" s="24">
        <v>562984</v>
      </c>
      <c r="D44" s="24">
        <v>533769</v>
      </c>
      <c r="E44" s="25" t="s">
        <v>19</v>
      </c>
      <c r="F44" s="25" t="s">
        <v>19</v>
      </c>
    </row>
    <row r="45" spans="1:6" x14ac:dyDescent="0.2">
      <c r="A45" s="4" t="s">
        <v>55</v>
      </c>
      <c r="C45" s="24">
        <v>890390</v>
      </c>
      <c r="D45" s="24">
        <v>696275</v>
      </c>
      <c r="E45" s="24">
        <v>1114696</v>
      </c>
      <c r="F45" s="24">
        <v>1089766</v>
      </c>
    </row>
    <row r="46" spans="1:6" x14ac:dyDescent="0.2">
      <c r="C46" s="26">
        <v>4075737</v>
      </c>
      <c r="D46" s="26">
        <v>1824382</v>
      </c>
      <c r="E46" s="26">
        <v>1114696</v>
      </c>
      <c r="F46" s="26">
        <v>1089766</v>
      </c>
    </row>
    <row r="47" spans="1:6" x14ac:dyDescent="0.2">
      <c r="A47" s="6" t="s">
        <v>56</v>
      </c>
    </row>
    <row r="48" spans="1:6" x14ac:dyDescent="0.2">
      <c r="A48" s="4" t="s">
        <v>57</v>
      </c>
      <c r="C48" s="24">
        <v>3700823</v>
      </c>
      <c r="D48" s="24">
        <v>3088479</v>
      </c>
      <c r="E48" s="24">
        <v>2794771</v>
      </c>
      <c r="F48" s="24">
        <v>1872207</v>
      </c>
    </row>
    <row r="49" spans="1:6" x14ac:dyDescent="0.2">
      <c r="A49" s="4" t="s">
        <v>58</v>
      </c>
      <c r="C49" s="24">
        <v>21879</v>
      </c>
      <c r="D49" s="24">
        <v>21423</v>
      </c>
    </row>
    <row r="50" spans="1:6" x14ac:dyDescent="0.2">
      <c r="A50" s="4" t="s">
        <v>59</v>
      </c>
      <c r="C50" s="24">
        <v>52728</v>
      </c>
      <c r="D50" s="25" t="s">
        <v>19</v>
      </c>
    </row>
    <row r="51" spans="1:6" x14ac:dyDescent="0.2">
      <c r="A51" s="4" t="s">
        <v>60</v>
      </c>
      <c r="C51" s="24">
        <v>318196</v>
      </c>
      <c r="D51" s="24">
        <v>129830</v>
      </c>
      <c r="E51" s="24">
        <v>87667</v>
      </c>
      <c r="F51" s="24">
        <v>45605</v>
      </c>
    </row>
    <row r="52" spans="1:6" x14ac:dyDescent="0.2">
      <c r="A52" s="4" t="s">
        <v>61</v>
      </c>
      <c r="C52" s="24">
        <v>9926683</v>
      </c>
      <c r="D52" s="24">
        <v>9864906</v>
      </c>
      <c r="E52" s="24">
        <v>8635992</v>
      </c>
      <c r="F52" s="24">
        <v>9553768</v>
      </c>
    </row>
    <row r="53" spans="1:6" x14ac:dyDescent="0.2">
      <c r="A53" s="4" t="s">
        <v>62</v>
      </c>
      <c r="C53" s="24"/>
      <c r="D53" s="24"/>
      <c r="E53" s="24">
        <v>258171</v>
      </c>
      <c r="F53" s="24">
        <v>212452</v>
      </c>
    </row>
    <row r="54" spans="1:6" x14ac:dyDescent="0.2">
      <c r="C54" s="26">
        <v>14020309</v>
      </c>
      <c r="D54" s="26">
        <v>13104638</v>
      </c>
      <c r="E54" s="26">
        <v>11776601</v>
      </c>
      <c r="F54" s="26">
        <v>11684032</v>
      </c>
    </row>
    <row r="55" spans="1:6" x14ac:dyDescent="0.2">
      <c r="A55" s="6" t="s">
        <v>63</v>
      </c>
      <c r="C55" s="24">
        <v>18096046</v>
      </c>
      <c r="D55" s="24">
        <v>14929020</v>
      </c>
    </row>
    <row r="56" spans="1:6" x14ac:dyDescent="0.2">
      <c r="A56" s="6" t="s">
        <v>64</v>
      </c>
      <c r="C56" s="24">
        <v>27305479</v>
      </c>
      <c r="D56" s="24">
        <v>23142530</v>
      </c>
      <c r="E56" s="24">
        <v>20258020</v>
      </c>
      <c r="F56" s="24">
        <v>19307403</v>
      </c>
    </row>
    <row r="57" spans="1:6" x14ac:dyDescent="0.2">
      <c r="A57" s="6" t="s">
        <v>65</v>
      </c>
    </row>
    <row r="59" spans="1:6" x14ac:dyDescent="0.2">
      <c r="C5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opLeftCell="A10" workbookViewId="0">
      <selection activeCell="I4" sqref="I4"/>
    </sheetView>
  </sheetViews>
  <sheetFormatPr defaultRowHeight="12.75" x14ac:dyDescent="0.2"/>
  <cols>
    <col min="1" max="1" width="39.85546875" style="2" bestFit="1" customWidth="1"/>
    <col min="2" max="3" width="9.140625" style="2"/>
    <col min="4" max="7" width="10.42578125" style="2" bestFit="1" customWidth="1"/>
    <col min="8" max="16384" width="9.140625" style="2"/>
  </cols>
  <sheetData>
    <row r="2" spans="1:9" s="11" customFormat="1" x14ac:dyDescent="0.2">
      <c r="D2" s="11">
        <v>2019</v>
      </c>
      <c r="E2" s="11">
        <v>2018</v>
      </c>
      <c r="F2" s="11">
        <v>2017</v>
      </c>
      <c r="G2" s="11">
        <v>2016</v>
      </c>
    </row>
    <row r="3" spans="1:9" x14ac:dyDescent="0.2">
      <c r="A3" s="4" t="s">
        <v>66</v>
      </c>
      <c r="D3" s="3">
        <v>31217479</v>
      </c>
      <c r="E3" s="3">
        <v>27554687</v>
      </c>
      <c r="F3" s="3">
        <v>23248578</v>
      </c>
      <c r="G3" s="3">
        <v>21269477</v>
      </c>
      <c r="I3" s="2">
        <f>G3/0.8</f>
        <v>26586846.25</v>
      </c>
    </row>
    <row r="4" spans="1:9" x14ac:dyDescent="0.2">
      <c r="A4" s="4" t="s">
        <v>67</v>
      </c>
      <c r="D4" s="3">
        <v>-28324756</v>
      </c>
      <c r="E4" s="3">
        <v>-25609797</v>
      </c>
      <c r="F4" s="3">
        <v>-21910916</v>
      </c>
      <c r="G4" s="3">
        <v>-20543285</v>
      </c>
      <c r="I4" s="2">
        <v>26586846.25</v>
      </c>
    </row>
    <row r="5" spans="1:9" x14ac:dyDescent="0.2">
      <c r="A5" s="4" t="s">
        <v>68</v>
      </c>
      <c r="D5" s="3">
        <v>2892723</v>
      </c>
      <c r="E5" s="3">
        <v>1944890</v>
      </c>
      <c r="F5" s="3">
        <v>1337662</v>
      </c>
      <c r="G5" s="3">
        <v>726192</v>
      </c>
    </row>
    <row r="6" spans="1:9" x14ac:dyDescent="0.2">
      <c r="A6" s="4" t="s">
        <v>69</v>
      </c>
      <c r="D6" s="3">
        <v>-401764</v>
      </c>
      <c r="E6" s="3">
        <v>-437311</v>
      </c>
      <c r="F6" s="3">
        <v>-273299</v>
      </c>
      <c r="G6" s="3">
        <v>-299410</v>
      </c>
    </row>
    <row r="7" spans="1:9" x14ac:dyDescent="0.2">
      <c r="A7" s="4" t="s">
        <v>70</v>
      </c>
      <c r="D7" s="3">
        <v>-276997</v>
      </c>
      <c r="E7" s="3">
        <v>-224245</v>
      </c>
      <c r="F7" s="3">
        <v>-193915</v>
      </c>
      <c r="G7" s="3">
        <v>-215697</v>
      </c>
    </row>
    <row r="8" spans="1:9" x14ac:dyDescent="0.2">
      <c r="D8" s="3">
        <v>-678761</v>
      </c>
      <c r="E8" s="3">
        <v>-661556</v>
      </c>
      <c r="F8" s="3">
        <v>-467214</v>
      </c>
      <c r="G8" s="3">
        <v>-515107</v>
      </c>
    </row>
    <row r="9" spans="1:9" x14ac:dyDescent="0.2">
      <c r="D9" s="3">
        <v>2213962</v>
      </c>
      <c r="E9" s="3">
        <v>1283334</v>
      </c>
      <c r="F9" s="3">
        <v>870448</v>
      </c>
      <c r="G9" s="3">
        <v>211085</v>
      </c>
    </row>
    <row r="10" spans="1:9" x14ac:dyDescent="0.2">
      <c r="D10" s="3"/>
      <c r="E10" s="3"/>
      <c r="F10" s="3"/>
      <c r="G10" s="3"/>
    </row>
    <row r="11" spans="1:9" x14ac:dyDescent="0.2">
      <c r="A11" s="4" t="s">
        <v>71</v>
      </c>
      <c r="D11" s="3">
        <v>-1098179</v>
      </c>
      <c r="E11" s="3">
        <v>-574682</v>
      </c>
      <c r="F11" s="3">
        <v>-342601</v>
      </c>
      <c r="G11" s="3">
        <v>-449176</v>
      </c>
    </row>
    <row r="12" spans="1:9" x14ac:dyDescent="0.2">
      <c r="A12" s="4" t="s">
        <v>72</v>
      </c>
      <c r="D12" s="3">
        <v>-98767</v>
      </c>
      <c r="E12" s="3">
        <v>-161393</v>
      </c>
      <c r="F12" s="3">
        <v>-89300</v>
      </c>
      <c r="G12" s="3">
        <v>-77212</v>
      </c>
    </row>
    <row r="13" spans="1:9" x14ac:dyDescent="0.2">
      <c r="A13" s="4" t="s">
        <v>89</v>
      </c>
      <c r="D13" s="3">
        <v>1017016</v>
      </c>
      <c r="E13" s="3">
        <v>547259</v>
      </c>
      <c r="F13" s="3">
        <v>438547</v>
      </c>
      <c r="G13" s="3">
        <v>-315303</v>
      </c>
    </row>
    <row r="14" spans="1:9" x14ac:dyDescent="0.2">
      <c r="D14" s="3"/>
      <c r="E14" s="3"/>
      <c r="F14" s="3"/>
      <c r="G14" s="3"/>
    </row>
    <row r="15" spans="1:9" x14ac:dyDescent="0.2">
      <c r="A15" s="4" t="s">
        <v>73</v>
      </c>
      <c r="D15" s="3">
        <v>168878</v>
      </c>
      <c r="E15" s="3">
        <v>449217</v>
      </c>
      <c r="F15" s="3">
        <v>262293</v>
      </c>
      <c r="G15" s="3">
        <v>40355</v>
      </c>
    </row>
    <row r="16" spans="1:9" x14ac:dyDescent="0.2">
      <c r="A16" s="4" t="s">
        <v>74</v>
      </c>
      <c r="D16" s="3">
        <v>482563</v>
      </c>
      <c r="E16" s="3">
        <v>477170</v>
      </c>
      <c r="F16" s="3">
        <v>384098</v>
      </c>
      <c r="G16" s="3">
        <v>182784</v>
      </c>
    </row>
    <row r="17" spans="1:7" x14ac:dyDescent="0.2">
      <c r="A17" s="4" t="s">
        <v>75</v>
      </c>
      <c r="D17" s="3">
        <v>1668457</v>
      </c>
      <c r="E17" s="3">
        <v>1473646</v>
      </c>
      <c r="F17" s="3">
        <v>1084938</v>
      </c>
      <c r="G17" s="3">
        <v>-92164</v>
      </c>
    </row>
    <row r="18" spans="1:7" x14ac:dyDescent="0.2">
      <c r="A18" s="4" t="s">
        <v>76</v>
      </c>
      <c r="D18" s="3">
        <v>-482355</v>
      </c>
      <c r="E18" s="3">
        <v>-288350</v>
      </c>
      <c r="F18" s="3">
        <v>-277952</v>
      </c>
      <c r="G18" s="3">
        <v>-181681</v>
      </c>
    </row>
    <row r="20" spans="1:7" x14ac:dyDescent="0.2">
      <c r="A20" s="4" t="s">
        <v>77</v>
      </c>
      <c r="D20" s="3">
        <v>1186102</v>
      </c>
      <c r="E20" s="3">
        <v>1185296</v>
      </c>
      <c r="F20" s="3">
        <v>806986</v>
      </c>
      <c r="G20" s="3">
        <v>-273845</v>
      </c>
    </row>
    <row r="21" spans="1:7" x14ac:dyDescent="0.2">
      <c r="A21" s="6" t="s">
        <v>78</v>
      </c>
    </row>
    <row r="22" spans="1:7" x14ac:dyDescent="0.2">
      <c r="A22" s="4" t="s">
        <v>49</v>
      </c>
      <c r="D22" s="3">
        <v>1186102</v>
      </c>
      <c r="E22" s="3">
        <v>1185296</v>
      </c>
      <c r="F22" s="3">
        <v>806986</v>
      </c>
      <c r="G22" s="3">
        <v>-273845</v>
      </c>
    </row>
    <row r="23" spans="1:7" x14ac:dyDescent="0.2">
      <c r="A23" s="4" t="s">
        <v>50</v>
      </c>
      <c r="D23" s="4" t="s">
        <v>19</v>
      </c>
      <c r="E23" s="4" t="s">
        <v>19</v>
      </c>
      <c r="F23" s="4" t="s">
        <v>19</v>
      </c>
      <c r="G23" s="4" t="s">
        <v>19</v>
      </c>
    </row>
    <row r="24" spans="1:7" x14ac:dyDescent="0.2">
      <c r="D24" s="3">
        <v>1186102</v>
      </c>
      <c r="E24" s="3">
        <v>1185296</v>
      </c>
      <c r="F24" s="3">
        <v>806986</v>
      </c>
      <c r="G24" s="3">
        <v>-273845</v>
      </c>
    </row>
    <row r="25" spans="1:7" x14ac:dyDescent="0.2">
      <c r="A25" s="4" t="s">
        <v>79</v>
      </c>
      <c r="D25" s="7">
        <v>42.32</v>
      </c>
      <c r="E25" s="7">
        <v>42.29</v>
      </c>
      <c r="F25" s="7">
        <v>28.79</v>
      </c>
      <c r="G25" s="7">
        <v>-9.77</v>
      </c>
    </row>
    <row r="27" spans="1:7" x14ac:dyDescent="0.2">
      <c r="A27" s="4" t="s">
        <v>77</v>
      </c>
      <c r="D27" s="3">
        <v>1186102</v>
      </c>
      <c r="E27" s="3">
        <v>1185296</v>
      </c>
      <c r="F27" s="3">
        <v>806986</v>
      </c>
      <c r="G27" s="3">
        <v>-273845</v>
      </c>
    </row>
    <row r="29" spans="1:7" x14ac:dyDescent="0.2">
      <c r="A29" s="6" t="s">
        <v>80</v>
      </c>
    </row>
    <row r="30" spans="1:7" x14ac:dyDescent="0.2">
      <c r="A30" s="4" t="s">
        <v>81</v>
      </c>
    </row>
    <row r="31" spans="1:7" x14ac:dyDescent="0.2">
      <c r="A31" s="4" t="s">
        <v>82</v>
      </c>
    </row>
    <row r="33" spans="1:7" x14ac:dyDescent="0.2">
      <c r="A33" s="4" t="s">
        <v>83</v>
      </c>
      <c r="D33" s="8">
        <v>277</v>
      </c>
      <c r="E33" s="3">
        <v>-15074</v>
      </c>
      <c r="F33" s="3">
        <v>-3433</v>
      </c>
      <c r="G33" s="3">
        <v>-1044</v>
      </c>
    </row>
    <row r="34" spans="1:7" x14ac:dyDescent="0.2">
      <c r="A34" s="4" t="s">
        <v>84</v>
      </c>
    </row>
    <row r="35" spans="1:7" x14ac:dyDescent="0.2">
      <c r="A35" s="4" t="s">
        <v>82</v>
      </c>
    </row>
    <row r="36" spans="1:7" x14ac:dyDescent="0.2">
      <c r="A36" s="4" t="s">
        <v>85</v>
      </c>
      <c r="D36" s="3">
        <v>73048</v>
      </c>
      <c r="E36" s="3">
        <v>7297</v>
      </c>
      <c r="F36" s="3">
        <v>36458</v>
      </c>
      <c r="G36" s="3">
        <v>-11045</v>
      </c>
    </row>
    <row r="37" spans="1:7" x14ac:dyDescent="0.2">
      <c r="A37" s="4" t="s">
        <v>86</v>
      </c>
      <c r="D37" s="3">
        <v>-14450</v>
      </c>
      <c r="E37" s="3">
        <v>-1384</v>
      </c>
      <c r="F37" s="3">
        <v>-6893</v>
      </c>
      <c r="G37" s="3">
        <v>2020</v>
      </c>
    </row>
    <row r="38" spans="1:7" x14ac:dyDescent="0.2">
      <c r="D38" s="3">
        <f>SUM(D36:D37)</f>
        <v>58598</v>
      </c>
      <c r="E38" s="3">
        <f t="shared" ref="E38:G38" si="0">SUM(E36:E37)</f>
        <v>5913</v>
      </c>
      <c r="F38" s="3">
        <f t="shared" si="0"/>
        <v>29565</v>
      </c>
      <c r="G38" s="3">
        <f t="shared" si="0"/>
        <v>-9025</v>
      </c>
    </row>
    <row r="39" spans="1:7" x14ac:dyDescent="0.2">
      <c r="D39" s="3"/>
      <c r="E39" s="3"/>
      <c r="F39" s="3"/>
      <c r="G39" s="3"/>
    </row>
    <row r="40" spans="1:7" x14ac:dyDescent="0.2">
      <c r="A40" s="4" t="s">
        <v>87</v>
      </c>
      <c r="D40" s="3">
        <f>D33+D38</f>
        <v>58875</v>
      </c>
      <c r="E40" s="3">
        <f t="shared" ref="E40:G40" si="1">E33+E38</f>
        <v>-9161</v>
      </c>
      <c r="F40" s="3">
        <f t="shared" si="1"/>
        <v>26132</v>
      </c>
      <c r="G40" s="3">
        <f t="shared" si="1"/>
        <v>-10069</v>
      </c>
    </row>
    <row r="42" spans="1:7" x14ac:dyDescent="0.2">
      <c r="A42" s="4" t="s">
        <v>88</v>
      </c>
      <c r="D42" s="3">
        <f t="shared" ref="D42:F42" si="2">D27+D40</f>
        <v>1244977</v>
      </c>
      <c r="E42" s="3">
        <f t="shared" si="2"/>
        <v>1176135</v>
      </c>
      <c r="F42" s="3">
        <f t="shared" si="2"/>
        <v>833118</v>
      </c>
      <c r="G42" s="3">
        <f>G27+G40</f>
        <v>-283914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BS</vt:lpstr>
      <vt:lpstr>PnL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</dc:creator>
  <cp:lastModifiedBy>Personal</cp:lastModifiedBy>
  <dcterms:created xsi:type="dcterms:W3CDTF">2020-03-22T14:43:30Z</dcterms:created>
  <dcterms:modified xsi:type="dcterms:W3CDTF">2020-04-11T18:54:49Z</dcterms:modified>
</cp:coreProperties>
</file>