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11.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kaanporwal/Desktop/Netflix report /"/>
    </mc:Choice>
  </mc:AlternateContent>
  <xr:revisionPtr revIDLastSave="0" documentId="13_ncr:1_{B4E5A59C-3B04-7842-B0D8-BC69F0B784BB}" xr6:coauthVersionLast="47" xr6:coauthVersionMax="47" xr10:uidLastSave="{00000000-0000-0000-0000-000000000000}"/>
  <bookViews>
    <workbookView xWindow="0" yWindow="740" windowWidth="29400" windowHeight="17040" xr2:uid="{8191EA81-6887-A341-8FB0-4EADF27B9AAD}"/>
  </bookViews>
  <sheets>
    <sheet name="Table of Contents" sheetId="12" r:id="rId1"/>
    <sheet name="One Page Profile" sheetId="2" r:id="rId2"/>
    <sheet name="Financial Statements" sheetId="1" r:id="rId3"/>
    <sheet name="Notes to Accounts" sheetId="7" r:id="rId4"/>
    <sheet name="Assumptions" sheetId="11" r:id="rId5"/>
    <sheet name="Regression Analysis" sheetId="3" r:id="rId6"/>
    <sheet name="Weighted Average Cost of Capita" sheetId="5" r:id="rId7"/>
    <sheet name="DCF Valuation" sheetId="6" r:id="rId8"/>
    <sheet name="Relative Valuation" sheetId="8" r:id="rId9"/>
    <sheet name="Monte Carlo" sheetId="9" r:id="rId10"/>
    <sheet name="Dupont Analysis" sheetId="10" r:id="rId11"/>
  </sheets>
  <externalReferences>
    <externalReference r:id="rId12"/>
  </externalReferences>
  <definedNames>
    <definedName name="_xlnm._FilterDatabase" localSheetId="9" hidden="1">'Monte Carlo'!$B$7:$G$7</definedName>
    <definedName name="_xlchart.v1.0" hidden="1">'Monte Carlo'!$B$8:$B$273</definedName>
    <definedName name="_xlchart.v1.1" hidden="1">'Monte Carlo'!$E$8:$E$273</definedName>
    <definedName name="_xlnm.Print_Area" localSheetId="4">Assumptions!$A$1:$L$46</definedName>
    <definedName name="_xlnm.Print_Area" localSheetId="7">'DCF Valuation'!$A$1:$K$71</definedName>
    <definedName name="_xlnm.Print_Area" localSheetId="10">'Dupont Analysis'!$A$1:$H$58</definedName>
    <definedName name="_xlnm.Print_Area" localSheetId="2">'Financial Statements'!$A$1:$K$133</definedName>
    <definedName name="_xlnm.Print_Area" localSheetId="9">'Monte Carlo'!$A$1:$N$85</definedName>
    <definedName name="_xlnm.Print_Area" localSheetId="3">'Notes to Accounts'!$A$1:$K$155</definedName>
    <definedName name="_xlnm.Print_Area" localSheetId="1">'One Page Profile'!$A$1:$L$52</definedName>
    <definedName name="_xlnm.Print_Area" localSheetId="5">'Regression Analysis'!$B$1:$AA$112</definedName>
    <definedName name="_xlnm.Print_Area" localSheetId="8">'Relative Valuation'!$A$1:$N$36</definedName>
    <definedName name="_xlnm.Print_Area" localSheetId="0">'Table of Contents'!$A$1:$J$37</definedName>
    <definedName name="_xlnm.Print_Area" localSheetId="6">'Weighted Average Cost of Capita'!$B$1:$K$39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 i="1" l="1"/>
  <c r="D29" i="1" s="1"/>
  <c r="E29" i="1" s="1"/>
  <c r="F29" i="1" s="1"/>
  <c r="G29" i="1" s="1"/>
  <c r="H29" i="1" s="1"/>
  <c r="I29" i="1" s="1"/>
  <c r="J29" i="1" s="1"/>
  <c r="K29" i="1" s="1"/>
  <c r="E107" i="1"/>
  <c r="F107" i="1" s="1"/>
  <c r="G107" i="1" s="1"/>
  <c r="H107" i="1" s="1"/>
  <c r="I107" i="1" s="1"/>
  <c r="J107" i="1" s="1"/>
  <c r="K107" i="1" s="1"/>
  <c r="D107" i="1"/>
  <c r="C107" i="1"/>
  <c r="D63" i="1"/>
  <c r="E63" i="1" s="1"/>
  <c r="F63" i="1" s="1"/>
  <c r="G63" i="1" s="1"/>
  <c r="H63" i="1" s="1"/>
  <c r="I63" i="1" s="1"/>
  <c r="J63" i="1" s="1"/>
  <c r="K63" i="1" s="1"/>
  <c r="C63" i="1"/>
  <c r="F105" i="1"/>
  <c r="F104" i="1"/>
  <c r="E105" i="1"/>
  <c r="E104" i="1"/>
  <c r="D105" i="1"/>
  <c r="C105" i="1"/>
  <c r="C104" i="1"/>
  <c r="B105" i="1"/>
  <c r="F11" i="2"/>
  <c r="E11" i="2"/>
  <c r="D11" i="2"/>
  <c r="C11" i="2"/>
  <c r="U6" i="2"/>
  <c r="H54" i="7"/>
  <c r="I54" i="7"/>
  <c r="J54" i="7"/>
  <c r="K54" i="7"/>
  <c r="G54" i="7"/>
  <c r="H51" i="7"/>
  <c r="I51" i="7"/>
  <c r="J51" i="7"/>
  <c r="K51" i="7"/>
  <c r="G51" i="7"/>
  <c r="H57" i="7"/>
  <c r="I57" i="7"/>
  <c r="J57" i="7"/>
  <c r="K57" i="7"/>
  <c r="G57" i="7"/>
  <c r="H48" i="7"/>
  <c r="I48" i="7"/>
  <c r="J48" i="7"/>
  <c r="K48" i="7"/>
  <c r="G48" i="7"/>
  <c r="H43" i="7"/>
  <c r="I43" i="7"/>
  <c r="J43" i="7"/>
  <c r="K43" i="7"/>
  <c r="G43" i="7"/>
  <c r="H38" i="7"/>
  <c r="I38" i="7"/>
  <c r="J38" i="7"/>
  <c r="K38" i="7"/>
  <c r="G38" i="7"/>
  <c r="H34" i="7"/>
  <c r="I34" i="7"/>
  <c r="J34" i="7"/>
  <c r="K34" i="7"/>
  <c r="G34" i="7"/>
  <c r="H29" i="7"/>
  <c r="I29" i="7"/>
  <c r="J29" i="7"/>
  <c r="K29" i="7"/>
  <c r="G29" i="7"/>
  <c r="H25" i="7"/>
  <c r="I25" i="7"/>
  <c r="J25" i="7"/>
  <c r="K25" i="7"/>
  <c r="G25" i="7"/>
  <c r="H20" i="7"/>
  <c r="I20" i="7"/>
  <c r="J20" i="7"/>
  <c r="K20" i="7"/>
  <c r="G20" i="7"/>
  <c r="H16" i="7"/>
  <c r="I16" i="7"/>
  <c r="J16" i="7"/>
  <c r="K16" i="7"/>
  <c r="G16" i="7"/>
  <c r="H11" i="7"/>
  <c r="I11" i="7"/>
  <c r="J11" i="7"/>
  <c r="K11" i="7"/>
  <c r="G11" i="7"/>
  <c r="G104" i="1"/>
  <c r="G58" i="1"/>
  <c r="H58" i="1" s="1"/>
  <c r="I58" i="1" s="1"/>
  <c r="J58" i="1" s="1"/>
  <c r="K58" i="1" s="1"/>
  <c r="F60" i="1"/>
  <c r="G56" i="1"/>
  <c r="F35" i="1"/>
  <c r="E35" i="1"/>
  <c r="D35" i="1"/>
  <c r="C35" i="1"/>
  <c r="B35" i="1"/>
  <c r="C97" i="7"/>
  <c r="D97" i="7"/>
  <c r="E97" i="7"/>
  <c r="F97" i="7"/>
  <c r="B97" i="7"/>
  <c r="C150" i="7"/>
  <c r="D150" i="7"/>
  <c r="E150" i="7"/>
  <c r="F150" i="7"/>
  <c r="B150" i="7"/>
  <c r="C149" i="7"/>
  <c r="D149" i="7"/>
  <c r="E149" i="7"/>
  <c r="F149" i="7"/>
  <c r="B149" i="7"/>
  <c r="G138" i="7"/>
  <c r="G137" i="7"/>
  <c r="G136" i="7"/>
  <c r="G135" i="7"/>
  <c r="G134" i="7"/>
  <c r="G133" i="7"/>
  <c r="G145" i="7"/>
  <c r="G144" i="7"/>
  <c r="G143" i="7"/>
  <c r="G142" i="7"/>
  <c r="G141" i="7"/>
  <c r="G140" i="7"/>
  <c r="G139" i="7"/>
  <c r="D125" i="7"/>
  <c r="K145" i="7"/>
  <c r="J145" i="7"/>
  <c r="I145" i="7"/>
  <c r="H145" i="7"/>
  <c r="K144" i="7"/>
  <c r="J144" i="7"/>
  <c r="I144" i="7"/>
  <c r="H144" i="7"/>
  <c r="K143" i="7"/>
  <c r="J143" i="7"/>
  <c r="I143" i="7"/>
  <c r="H143" i="7"/>
  <c r="K142" i="7"/>
  <c r="J142" i="7"/>
  <c r="I142" i="7"/>
  <c r="H142" i="7"/>
  <c r="K141" i="7"/>
  <c r="J141" i="7"/>
  <c r="I141" i="7"/>
  <c r="H141" i="7"/>
  <c r="J140" i="7"/>
  <c r="I140" i="7"/>
  <c r="H140" i="7"/>
  <c r="K139" i="7"/>
  <c r="J139" i="7"/>
  <c r="I139" i="7"/>
  <c r="H139" i="7"/>
  <c r="K138" i="7"/>
  <c r="J138" i="7"/>
  <c r="I138" i="7"/>
  <c r="H138" i="7"/>
  <c r="K137" i="7"/>
  <c r="J137" i="7"/>
  <c r="I137" i="7"/>
  <c r="H137" i="7"/>
  <c r="K136" i="7"/>
  <c r="J136" i="7"/>
  <c r="I136" i="7"/>
  <c r="H136" i="7"/>
  <c r="K135" i="7"/>
  <c r="J135" i="7"/>
  <c r="I135" i="7"/>
  <c r="H135" i="7"/>
  <c r="K134" i="7"/>
  <c r="J134" i="7"/>
  <c r="I134" i="7"/>
  <c r="H134" i="7"/>
  <c r="K133" i="7"/>
  <c r="J133" i="7"/>
  <c r="I133" i="7"/>
  <c r="H133" i="7"/>
  <c r="K132" i="7"/>
  <c r="J132" i="7"/>
  <c r="I132" i="7"/>
  <c r="H132" i="7"/>
  <c r="G132" i="7"/>
  <c r="K131" i="7"/>
  <c r="J131" i="7"/>
  <c r="I131" i="7"/>
  <c r="H131" i="7"/>
  <c r="G131" i="7"/>
  <c r="K130" i="7"/>
  <c r="J130" i="7"/>
  <c r="I130" i="7"/>
  <c r="H130" i="7"/>
  <c r="G130" i="7"/>
  <c r="C103" i="7"/>
  <c r="D103" i="7"/>
  <c r="E103" i="7"/>
  <c r="F103" i="7"/>
  <c r="G103" i="7"/>
  <c r="H103" i="7"/>
  <c r="I103" i="7"/>
  <c r="J103" i="7"/>
  <c r="K103" i="7"/>
  <c r="B103" i="7"/>
  <c r="K124" i="7"/>
  <c r="K48" i="1" s="1"/>
  <c r="J125" i="7"/>
  <c r="J51" i="1" s="1"/>
  <c r="J124" i="7"/>
  <c r="J48" i="1" s="1"/>
  <c r="I125" i="7"/>
  <c r="I51" i="1" s="1"/>
  <c r="I124" i="7"/>
  <c r="I48" i="1" s="1"/>
  <c r="H125" i="7"/>
  <c r="H51" i="1" s="1"/>
  <c r="H124" i="7"/>
  <c r="H48" i="1" s="1"/>
  <c r="G125" i="7"/>
  <c r="G51" i="1" s="1"/>
  <c r="G124" i="7"/>
  <c r="G48" i="1" s="1"/>
  <c r="B125" i="7"/>
  <c r="B121" i="7"/>
  <c r="B123" i="7" s="1"/>
  <c r="C125" i="7"/>
  <c r="C124" i="7"/>
  <c r="E125" i="7"/>
  <c r="D124" i="7"/>
  <c r="E124" i="7"/>
  <c r="C121" i="7"/>
  <c r="C123" i="7" s="1"/>
  <c r="D121" i="7"/>
  <c r="D123" i="7" s="1"/>
  <c r="F125" i="7"/>
  <c r="F124" i="7"/>
  <c r="E121" i="7"/>
  <c r="E123" i="7" s="1"/>
  <c r="C2" i="1"/>
  <c r="D6" i="10" s="1"/>
  <c r="H121" i="7"/>
  <c r="H123" i="7" s="1"/>
  <c r="I121" i="7"/>
  <c r="I123" i="7" s="1"/>
  <c r="I126" i="7" s="1"/>
  <c r="J121" i="7"/>
  <c r="J123" i="7" s="1"/>
  <c r="G121" i="7"/>
  <c r="G123" i="7" s="1"/>
  <c r="K115" i="7"/>
  <c r="K121" i="7" s="1"/>
  <c r="K123" i="7" s="1"/>
  <c r="F121" i="7"/>
  <c r="F123" i="7" s="1"/>
  <c r="C98" i="7"/>
  <c r="D98" i="7"/>
  <c r="E98" i="7"/>
  <c r="F98" i="7"/>
  <c r="B98" i="7"/>
  <c r="C94" i="7"/>
  <c r="D94" i="7"/>
  <c r="E94" i="7"/>
  <c r="F94" i="7"/>
  <c r="B94" i="7"/>
  <c r="D11" i="10"/>
  <c r="E11" i="10"/>
  <c r="F11" i="10"/>
  <c r="G11" i="10"/>
  <c r="C11" i="10"/>
  <c r="D8" i="10"/>
  <c r="E8" i="10"/>
  <c r="F8" i="10"/>
  <c r="G8" i="10"/>
  <c r="C8" i="10"/>
  <c r="C6" i="10"/>
  <c r="K126" i="7" l="1"/>
  <c r="H126" i="7"/>
  <c r="J126" i="7"/>
  <c r="G126" i="7"/>
  <c r="G93" i="1"/>
  <c r="G100" i="1" s="1"/>
  <c r="J93" i="1"/>
  <c r="J100" i="1" s="1"/>
  <c r="K140" i="7"/>
  <c r="I93" i="1"/>
  <c r="I100" i="1" s="1"/>
  <c r="H93" i="1"/>
  <c r="H100" i="1" s="1"/>
  <c r="E100" i="7"/>
  <c r="B152" i="7"/>
  <c r="H56" i="1"/>
  <c r="D152" i="7"/>
  <c r="B100" i="7"/>
  <c r="D100" i="7"/>
  <c r="C100" i="7"/>
  <c r="F152" i="7"/>
  <c r="C152" i="7"/>
  <c r="F100" i="7"/>
  <c r="E152" i="7"/>
  <c r="K125" i="7"/>
  <c r="K51" i="1" s="1"/>
  <c r="D2" i="1"/>
  <c r="K93" i="1" l="1"/>
  <c r="K100" i="1" s="1"/>
  <c r="I56" i="1"/>
  <c r="G100" i="7"/>
  <c r="H100" i="7" s="1"/>
  <c r="I100" i="7" s="1"/>
  <c r="J100" i="7" s="1"/>
  <c r="K100" i="7" s="1"/>
  <c r="F153" i="7"/>
  <c r="H152" i="7" s="1"/>
  <c r="E6" i="10"/>
  <c r="E2" i="1"/>
  <c r="G152" i="7" l="1"/>
  <c r="K152" i="7"/>
  <c r="I152" i="7"/>
  <c r="J152" i="7"/>
  <c r="J56" i="1"/>
  <c r="F2" i="1"/>
  <c r="F6" i="10"/>
  <c r="F9" i="9"/>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J32" i="9"/>
  <c r="J31" i="9"/>
  <c r="J30" i="9"/>
  <c r="J29" i="9"/>
  <c r="K19" i="9"/>
  <c r="M19" i="9" s="1"/>
  <c r="L19" i="9" s="1"/>
  <c r="K18" i="9"/>
  <c r="M18" i="9" s="1"/>
  <c r="L18" i="9" s="1"/>
  <c r="K17" i="9"/>
  <c r="M17" i="9" s="1"/>
  <c r="L17" i="9" s="1"/>
  <c r="K16" i="9"/>
  <c r="M16" i="9" s="1"/>
  <c r="L16" i="9" s="1"/>
  <c r="J19" i="9"/>
  <c r="J18" i="9"/>
  <c r="J17" i="9"/>
  <c r="J16" i="9"/>
  <c r="M12" i="9"/>
  <c r="M11" i="9"/>
  <c r="M10" i="9"/>
  <c r="M9" i="9"/>
  <c r="G9" i="9" s="1"/>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8" i="9"/>
  <c r="E12" i="8" a="1"/>
  <c r="E12" i="8" s="1"/>
  <c r="G12" i="8" s="1"/>
  <c r="K12" i="8" s="1"/>
  <c r="D12" i="8" a="1"/>
  <c r="D12" i="8" s="1"/>
  <c r="C12" i="8" a="1"/>
  <c r="C12" i="8" s="1"/>
  <c r="E13" i="8" a="1"/>
  <c r="E13" i="8" s="1"/>
  <c r="G13" i="8" s="1"/>
  <c r="L13" i="8" s="1"/>
  <c r="D13" i="8" a="1"/>
  <c r="D13" i="8" s="1"/>
  <c r="C13" i="8" a="1"/>
  <c r="C13" i="8" s="1"/>
  <c r="E11" i="8" a="1"/>
  <c r="E11" i="8" s="1"/>
  <c r="G11" i="8" s="1"/>
  <c r="L11" i="8" s="1"/>
  <c r="D11" i="8" a="1"/>
  <c r="D11" i="8" s="1"/>
  <c r="C11" i="8" a="1"/>
  <c r="C11" i="8" s="1"/>
  <c r="D22" i="5"/>
  <c r="D12" i="5"/>
  <c r="E12" i="5" a="1"/>
  <c r="E12" i="5" s="1"/>
  <c r="J12" i="5"/>
  <c r="X12" i="5"/>
  <c r="C9" i="8" a="1"/>
  <c r="C9" i="8" s="1"/>
  <c r="D9" i="8" a="1"/>
  <c r="D9" i="8" s="1"/>
  <c r="E9" i="8" a="1"/>
  <c r="E9" i="8" s="1"/>
  <c r="G9" i="8" s="1"/>
  <c r="K9" i="8" s="1"/>
  <c r="E10" i="8" a="1"/>
  <c r="E10" i="8" s="1"/>
  <c r="G10" i="8" s="1"/>
  <c r="L10" i="8" s="1"/>
  <c r="D10" i="8" a="1"/>
  <c r="D10" i="8" s="1"/>
  <c r="C10" i="8" a="1"/>
  <c r="C10" i="8" s="1"/>
  <c r="C8" i="8" a="1"/>
  <c r="C8" i="8" s="1"/>
  <c r="D8" i="8" a="1"/>
  <c r="D8" i="8" s="1"/>
  <c r="E8" i="8" a="1"/>
  <c r="E8" i="8" s="1"/>
  <c r="G8" i="8" s="1"/>
  <c r="K8" i="8" s="1"/>
  <c r="K56" i="1" l="1"/>
  <c r="G147" i="7"/>
  <c r="G14" i="1" s="1"/>
  <c r="G6" i="10"/>
  <c r="G2" i="1"/>
  <c r="G31" i="11" s="1"/>
  <c r="G205" i="9"/>
  <c r="G253" i="9"/>
  <c r="G125" i="9"/>
  <c r="G237" i="9"/>
  <c r="G109" i="9"/>
  <c r="G221" i="9"/>
  <c r="G173" i="9"/>
  <c r="G45" i="9"/>
  <c r="G77" i="9"/>
  <c r="G189" i="9"/>
  <c r="G157" i="9"/>
  <c r="G37" i="9"/>
  <c r="G93" i="9"/>
  <c r="G61" i="9"/>
  <c r="G269" i="9"/>
  <c r="G141" i="9"/>
  <c r="G29" i="9"/>
  <c r="G268" i="9"/>
  <c r="G252" i="9"/>
  <c r="G236" i="9"/>
  <c r="G220" i="9"/>
  <c r="G204" i="9"/>
  <c r="G188" i="9"/>
  <c r="G172" i="9"/>
  <c r="G156" i="9"/>
  <c r="G140" i="9"/>
  <c r="G124" i="9"/>
  <c r="G108" i="9"/>
  <c r="G92" i="9"/>
  <c r="G76" i="9"/>
  <c r="G60" i="9"/>
  <c r="G44" i="9"/>
  <c r="G28" i="9"/>
  <c r="G263" i="9"/>
  <c r="G247" i="9"/>
  <c r="G231" i="9"/>
  <c r="G215" i="9"/>
  <c r="G199" i="9"/>
  <c r="G183" i="9"/>
  <c r="G167" i="9"/>
  <c r="G151" i="9"/>
  <c r="G135" i="9"/>
  <c r="G119" i="9"/>
  <c r="G103" i="9"/>
  <c r="G87" i="9"/>
  <c r="G71" i="9"/>
  <c r="G55" i="9"/>
  <c r="G39" i="9"/>
  <c r="G23" i="9"/>
  <c r="G262" i="9"/>
  <c r="G246" i="9"/>
  <c r="G230" i="9"/>
  <c r="G214" i="9"/>
  <c r="G198" i="9"/>
  <c r="G182" i="9"/>
  <c r="G166" i="9"/>
  <c r="G150" i="9"/>
  <c r="G134" i="9"/>
  <c r="G118" i="9"/>
  <c r="G102" i="9"/>
  <c r="G86" i="9"/>
  <c r="G70" i="9"/>
  <c r="G54" i="9"/>
  <c r="G38" i="9"/>
  <c r="G22" i="9"/>
  <c r="G261" i="9"/>
  <c r="G245" i="9"/>
  <c r="G229" i="9"/>
  <c r="G213" i="9"/>
  <c r="G197" i="9"/>
  <c r="G181" i="9"/>
  <c r="G165" i="9"/>
  <c r="G149" i="9"/>
  <c r="G133" i="9"/>
  <c r="G117" i="9"/>
  <c r="G101" i="9"/>
  <c r="G85" i="9"/>
  <c r="G69" i="9"/>
  <c r="G53" i="9"/>
  <c r="G21" i="9"/>
  <c r="G260" i="9"/>
  <c r="G244" i="9"/>
  <c r="G228" i="9"/>
  <c r="G212" i="9"/>
  <c r="G196" i="9"/>
  <c r="G180" i="9"/>
  <c r="G164" i="9"/>
  <c r="G148" i="9"/>
  <c r="G132" i="9"/>
  <c r="G116" i="9"/>
  <c r="G100" i="9"/>
  <c r="G84" i="9"/>
  <c r="G68" i="9"/>
  <c r="G52" i="9"/>
  <c r="G36" i="9"/>
  <c r="G20" i="9"/>
  <c r="G271" i="9"/>
  <c r="G255" i="9"/>
  <c r="G239" i="9"/>
  <c r="G223" i="9"/>
  <c r="G207" i="9"/>
  <c r="G191" i="9"/>
  <c r="G175" i="9"/>
  <c r="G159" i="9"/>
  <c r="G143" i="9"/>
  <c r="G127" i="9"/>
  <c r="G111" i="9"/>
  <c r="G95" i="9"/>
  <c r="G79" i="9"/>
  <c r="G63" i="9"/>
  <c r="G47" i="9"/>
  <c r="G31" i="9"/>
  <c r="G15" i="9"/>
  <c r="G270" i="9"/>
  <c r="G254" i="9"/>
  <c r="G238" i="9"/>
  <c r="G222" i="9"/>
  <c r="G206" i="9"/>
  <c r="G190" i="9"/>
  <c r="G174" i="9"/>
  <c r="G158" i="9"/>
  <c r="G142" i="9"/>
  <c r="G126" i="9"/>
  <c r="G110" i="9"/>
  <c r="G94" i="9"/>
  <c r="G78" i="9"/>
  <c r="G62" i="9"/>
  <c r="G46" i="9"/>
  <c r="G30" i="9"/>
  <c r="G14" i="9"/>
  <c r="G272" i="9"/>
  <c r="G264" i="9"/>
  <c r="G256" i="9"/>
  <c r="G248" i="9"/>
  <c r="G240" i="9"/>
  <c r="G232" i="9"/>
  <c r="G224" i="9"/>
  <c r="G216" i="9"/>
  <c r="G208" i="9"/>
  <c r="G200" i="9"/>
  <c r="G192" i="9"/>
  <c r="G184" i="9"/>
  <c r="G176" i="9"/>
  <c r="G168" i="9"/>
  <c r="G160" i="9"/>
  <c r="G152" i="9"/>
  <c r="G144" i="9"/>
  <c r="G136" i="9"/>
  <c r="G128" i="9"/>
  <c r="G120" i="9"/>
  <c r="G112" i="9"/>
  <c r="G104" i="9"/>
  <c r="G96" i="9"/>
  <c r="G88" i="9"/>
  <c r="G80" i="9"/>
  <c r="G72" i="9"/>
  <c r="G64" i="9"/>
  <c r="G56" i="9"/>
  <c r="G48" i="9"/>
  <c r="G40" i="9"/>
  <c r="G32" i="9"/>
  <c r="G24" i="9"/>
  <c r="G16" i="9"/>
  <c r="G13" i="9"/>
  <c r="G12" i="9"/>
  <c r="G267" i="9"/>
  <c r="G259" i="9"/>
  <c r="G251" i="9"/>
  <c r="G243" i="9"/>
  <c r="G235" i="9"/>
  <c r="G227" i="9"/>
  <c r="G219" i="9"/>
  <c r="G211" i="9"/>
  <c r="G203" i="9"/>
  <c r="G195" i="9"/>
  <c r="G187" i="9"/>
  <c r="G179" i="9"/>
  <c r="G171" i="9"/>
  <c r="G163" i="9"/>
  <c r="G155" i="9"/>
  <c r="G147" i="9"/>
  <c r="G139" i="9"/>
  <c r="G131" i="9"/>
  <c r="G123" i="9"/>
  <c r="G115" i="9"/>
  <c r="G107" i="9"/>
  <c r="G99" i="9"/>
  <c r="G91" i="9"/>
  <c r="G83" i="9"/>
  <c r="G75" i="9"/>
  <c r="G67" i="9"/>
  <c r="G59" i="9"/>
  <c r="G51" i="9"/>
  <c r="G43" i="9"/>
  <c r="G35" i="9"/>
  <c r="G27" i="9"/>
  <c r="G19" i="9"/>
  <c r="G11" i="9"/>
  <c r="G266" i="9"/>
  <c r="G258" i="9"/>
  <c r="G250" i="9"/>
  <c r="G242" i="9"/>
  <c r="G234" i="9"/>
  <c r="G226" i="9"/>
  <c r="G218" i="9"/>
  <c r="G210" i="9"/>
  <c r="G202" i="9"/>
  <c r="G194" i="9"/>
  <c r="G186" i="9"/>
  <c r="G178" i="9"/>
  <c r="G170" i="9"/>
  <c r="G162" i="9"/>
  <c r="G154" i="9"/>
  <c r="G146" i="9"/>
  <c r="G138" i="9"/>
  <c r="G130" i="9"/>
  <c r="G122" i="9"/>
  <c r="G114" i="9"/>
  <c r="G106" i="9"/>
  <c r="G98" i="9"/>
  <c r="G90" i="9"/>
  <c r="G82" i="9"/>
  <c r="G74" i="9"/>
  <c r="G66" i="9"/>
  <c r="G58" i="9"/>
  <c r="G50" i="9"/>
  <c r="G42" i="9"/>
  <c r="G34" i="9"/>
  <c r="G26" i="9"/>
  <c r="G18" i="9"/>
  <c r="G10" i="9"/>
  <c r="G8" i="9"/>
  <c r="G265" i="9"/>
  <c r="G257" i="9"/>
  <c r="G249" i="9"/>
  <c r="G241" i="9"/>
  <c r="G233" i="9"/>
  <c r="G225" i="9"/>
  <c r="G217" i="9"/>
  <c r="G209" i="9"/>
  <c r="G201" i="9"/>
  <c r="G193" i="9"/>
  <c r="G185" i="9"/>
  <c r="G177" i="9"/>
  <c r="G169" i="9"/>
  <c r="G161" i="9"/>
  <c r="G153" i="9"/>
  <c r="G145" i="9"/>
  <c r="G137" i="9"/>
  <c r="G129" i="9"/>
  <c r="G121" i="9"/>
  <c r="G113" i="9"/>
  <c r="G105" i="9"/>
  <c r="G97" i="9"/>
  <c r="G89" i="9"/>
  <c r="G81" i="9"/>
  <c r="G73" i="9"/>
  <c r="G65" i="9"/>
  <c r="G57" i="9"/>
  <c r="G49" i="9"/>
  <c r="G41" i="9"/>
  <c r="G33" i="9"/>
  <c r="G25" i="9"/>
  <c r="G17" i="9"/>
  <c r="M12" i="8"/>
  <c r="M13" i="8"/>
  <c r="K13" i="8"/>
  <c r="K11" i="8"/>
  <c r="K10" i="8"/>
  <c r="M11" i="8"/>
  <c r="L12" i="8"/>
  <c r="H12" i="5"/>
  <c r="K12" i="5" s="1"/>
  <c r="F12" i="5"/>
  <c r="I12" i="5" s="1"/>
  <c r="L9" i="8"/>
  <c r="M9" i="8"/>
  <c r="M10" i="8"/>
  <c r="L8" i="8"/>
  <c r="M8" i="8"/>
  <c r="G35" i="11"/>
  <c r="G36" i="11"/>
  <c r="G37" i="11"/>
  <c r="G38" i="11"/>
  <c r="G39" i="11"/>
  <c r="G33" i="11"/>
  <c r="G34" i="11"/>
  <c r="G39" i="1" l="1"/>
  <c r="G35" i="1"/>
  <c r="G52" i="1"/>
  <c r="G50" i="1"/>
  <c r="G47" i="1"/>
  <c r="G79" i="1" s="1"/>
  <c r="G46" i="1"/>
  <c r="G78" i="1" s="1"/>
  <c r="G44" i="1"/>
  <c r="G68" i="1" s="1"/>
  <c r="H2" i="1"/>
  <c r="H31" i="11" s="1"/>
  <c r="H147" i="7"/>
  <c r="H14" i="1" s="1"/>
  <c r="M22" i="9"/>
  <c r="M23" i="9"/>
  <c r="K32" i="9"/>
  <c r="M32" i="9" s="1"/>
  <c r="L32" i="9" s="1"/>
  <c r="K31" i="9"/>
  <c r="M31" i="9" s="1"/>
  <c r="L31" i="9" s="1"/>
  <c r="K30" i="9"/>
  <c r="M30" i="9" s="1"/>
  <c r="L30" i="9" s="1"/>
  <c r="K29" i="9"/>
  <c r="M29" i="9" s="1"/>
  <c r="L29" i="9" s="1"/>
  <c r="M25" i="9"/>
  <c r="M24" i="9"/>
  <c r="H33" i="11"/>
  <c r="H39" i="11"/>
  <c r="H38" i="11"/>
  <c r="H37" i="11"/>
  <c r="H34" i="11"/>
  <c r="H36" i="11"/>
  <c r="H35" i="11"/>
  <c r="G80" i="1" l="1"/>
  <c r="H44" i="1"/>
  <c r="H46" i="1"/>
  <c r="H78" i="1" s="1"/>
  <c r="H39" i="1"/>
  <c r="H47" i="1"/>
  <c r="H50" i="1"/>
  <c r="H52" i="1"/>
  <c r="H35" i="1"/>
  <c r="I2" i="1"/>
  <c r="I31" i="11" s="1"/>
  <c r="I147" i="7"/>
  <c r="I14" i="1" s="1"/>
  <c r="L26" i="8"/>
  <c r="M26" i="8" s="1"/>
  <c r="K26" i="8"/>
  <c r="D14" i="8" a="1"/>
  <c r="D14" i="8" s="1"/>
  <c r="D7" i="8" a="1"/>
  <c r="D7" i="8" s="1"/>
  <c r="D6" i="8" a="1"/>
  <c r="D6" i="8" s="1"/>
  <c r="L28" i="8" s="1"/>
  <c r="M28" i="8" s="1"/>
  <c r="H14" i="8"/>
  <c r="E7" i="8" a="1"/>
  <c r="E7" i="8" s="1"/>
  <c r="G7" i="8" s="1"/>
  <c r="K7" i="8" s="1"/>
  <c r="E14" i="8" a="1"/>
  <c r="E14" i="8" s="1"/>
  <c r="G14" i="8" s="1"/>
  <c r="E6" i="8" a="1"/>
  <c r="E6" i="8" s="1"/>
  <c r="G6" i="8" s="1"/>
  <c r="C14" i="8" a="1"/>
  <c r="C14" i="8" s="1"/>
  <c r="C7" i="8" a="1"/>
  <c r="C7" i="8" s="1"/>
  <c r="C6" i="8" a="1"/>
  <c r="C6" i="8" s="1"/>
  <c r="D66" i="6"/>
  <c r="I33" i="11"/>
  <c r="I37" i="11"/>
  <c r="I35" i="11"/>
  <c r="I36" i="11"/>
  <c r="I34" i="11"/>
  <c r="I38" i="11"/>
  <c r="I39" i="11"/>
  <c r="I52" i="1" l="1"/>
  <c r="I50" i="1"/>
  <c r="I39" i="1"/>
  <c r="I80" i="1" s="1"/>
  <c r="I46" i="1"/>
  <c r="I78" i="1" s="1"/>
  <c r="I44" i="1"/>
  <c r="I68" i="1" s="1"/>
  <c r="I47" i="1"/>
  <c r="I79" i="1" s="1"/>
  <c r="I35" i="1"/>
  <c r="H68" i="1"/>
  <c r="H79" i="1"/>
  <c r="H80" i="1"/>
  <c r="J2" i="1"/>
  <c r="J31" i="11" s="1"/>
  <c r="J147" i="7"/>
  <c r="J14" i="1" s="1"/>
  <c r="K14" i="8"/>
  <c r="L6" i="8"/>
  <c r="K6" i="8"/>
  <c r="K28" i="8"/>
  <c r="M7" i="8"/>
  <c r="M14" i="8"/>
  <c r="L14" i="8"/>
  <c r="L7" i="8"/>
  <c r="M6" i="8"/>
  <c r="J33" i="11"/>
  <c r="J39" i="11"/>
  <c r="J38" i="11"/>
  <c r="J34" i="11"/>
  <c r="J36" i="11"/>
  <c r="J35" i="11"/>
  <c r="J37" i="11"/>
  <c r="J47" i="1" l="1"/>
  <c r="J44" i="1"/>
  <c r="J46" i="1"/>
  <c r="J78" i="1" s="1"/>
  <c r="J39" i="1"/>
  <c r="J50" i="1"/>
  <c r="J52" i="1"/>
  <c r="J35" i="1"/>
  <c r="K19" i="8"/>
  <c r="K25" i="8" s="1"/>
  <c r="K27" i="8" s="1"/>
  <c r="K2" i="1"/>
  <c r="K31" i="11" s="1"/>
  <c r="K147" i="7"/>
  <c r="K14" i="1" s="1"/>
  <c r="L19" i="8"/>
  <c r="L25" i="8" s="1"/>
  <c r="L27" i="8" s="1"/>
  <c r="M17" i="8"/>
  <c r="M18" i="8"/>
  <c r="M19" i="8"/>
  <c r="M27" i="8" s="1"/>
  <c r="M25" i="8" s="1"/>
  <c r="M20" i="8"/>
  <c r="M16" i="8"/>
  <c r="M21" i="8"/>
  <c r="K21" i="8"/>
  <c r="K17" i="8"/>
  <c r="K16" i="8"/>
  <c r="K18" i="8"/>
  <c r="K20" i="8"/>
  <c r="L18" i="8"/>
  <c r="L20" i="8"/>
  <c r="L21" i="8"/>
  <c r="L17" i="8"/>
  <c r="L16" i="8"/>
  <c r="K33" i="11"/>
  <c r="K37" i="11"/>
  <c r="K34" i="11"/>
  <c r="K35" i="11"/>
  <c r="K36" i="11"/>
  <c r="K38" i="11"/>
  <c r="K39" i="11"/>
  <c r="K52" i="1" l="1"/>
  <c r="K50" i="1"/>
  <c r="K46" i="1"/>
  <c r="K78" i="1" s="1"/>
  <c r="K44" i="1"/>
  <c r="K68" i="1" s="1"/>
  <c r="K39" i="1"/>
  <c r="K47" i="1"/>
  <c r="K35" i="1"/>
  <c r="J68" i="1"/>
  <c r="J79" i="1"/>
  <c r="J80" i="1"/>
  <c r="L29" i="8"/>
  <c r="K29" i="8"/>
  <c r="K80" i="1" l="1"/>
  <c r="K79" i="1"/>
  <c r="D64" i="6"/>
  <c r="D63" i="6"/>
  <c r="D56" i="6"/>
  <c r="B85" i="7"/>
  <c r="G84" i="7"/>
  <c r="F84" i="7"/>
  <c r="E84" i="7"/>
  <c r="D84" i="7"/>
  <c r="D85" i="7" s="1"/>
  <c r="C84" i="7"/>
  <c r="C85" i="7" s="1"/>
  <c r="G76" i="7"/>
  <c r="B77" i="7"/>
  <c r="B82" i="7" s="1"/>
  <c r="C76" i="7"/>
  <c r="C77" i="7" s="1"/>
  <c r="D76" i="7"/>
  <c r="D77" i="7" s="1"/>
  <c r="E76" i="7"/>
  <c r="E77" i="7" s="1"/>
  <c r="F76" i="7"/>
  <c r="F77" i="7" s="1"/>
  <c r="F82" i="7" s="1"/>
  <c r="G65" i="7"/>
  <c r="G61" i="7"/>
  <c r="F69" i="7"/>
  <c r="E69" i="7"/>
  <c r="D69" i="7"/>
  <c r="C69" i="7"/>
  <c r="B69" i="7"/>
  <c r="B62" i="7"/>
  <c r="C65" i="7"/>
  <c r="C66" i="7" s="1"/>
  <c r="C71" i="7" s="1"/>
  <c r="C61" i="7"/>
  <c r="C62" i="7" s="1"/>
  <c r="D61" i="7"/>
  <c r="D62" i="7" s="1"/>
  <c r="E61" i="7"/>
  <c r="E62" i="7" s="1"/>
  <c r="B66" i="7"/>
  <c r="B71" i="7" s="1"/>
  <c r="D65" i="7"/>
  <c r="D66" i="7" s="1"/>
  <c r="D71" i="7" s="1"/>
  <c r="E65" i="7"/>
  <c r="E66" i="7" s="1"/>
  <c r="E71" i="7" s="1"/>
  <c r="F65" i="7"/>
  <c r="F66" i="7" s="1"/>
  <c r="F71" i="7" s="1"/>
  <c r="F61" i="7"/>
  <c r="F62" i="7" s="1"/>
  <c r="C8" i="2" a="1"/>
  <c r="C8" i="2" s="1"/>
  <c r="D69" i="6" s="1"/>
  <c r="G23" i="7"/>
  <c r="G14" i="7"/>
  <c r="C50" i="7"/>
  <c r="D50" i="7"/>
  <c r="F50" i="7"/>
  <c r="C53" i="7"/>
  <c r="D53" i="7"/>
  <c r="E53" i="7"/>
  <c r="F53" i="7"/>
  <c r="C56" i="7"/>
  <c r="D56" i="7"/>
  <c r="E56" i="7"/>
  <c r="F56" i="7"/>
  <c r="B56" i="7"/>
  <c r="B53" i="7"/>
  <c r="B50" i="7"/>
  <c r="E82" i="7" l="1"/>
  <c r="B90" i="7"/>
  <c r="C82" i="7"/>
  <c r="D82" i="7"/>
  <c r="C90" i="7"/>
  <c r="E85" i="7"/>
  <c r="D90" i="7"/>
  <c r="F85" i="7"/>
  <c r="H14" i="7"/>
  <c r="I14" i="7" s="1"/>
  <c r="J14" i="7" s="1"/>
  <c r="K14" i="7" s="1"/>
  <c r="E90" i="7" l="1"/>
  <c r="F90" i="7"/>
  <c r="G21" i="7" l="1"/>
  <c r="G12" i="7"/>
  <c r="C43" i="7"/>
  <c r="D43" i="7"/>
  <c r="E43" i="7"/>
  <c r="F43" i="7"/>
  <c r="F34" i="7"/>
  <c r="E34" i="7"/>
  <c r="D34" i="7"/>
  <c r="C34" i="7"/>
  <c r="C16" i="7"/>
  <c r="D16" i="7"/>
  <c r="E16" i="7"/>
  <c r="F16" i="7"/>
  <c r="C25" i="7"/>
  <c r="D25" i="7"/>
  <c r="E25" i="7"/>
  <c r="F25" i="7"/>
  <c r="G40" i="7"/>
  <c r="G41" i="7"/>
  <c r="H41" i="7" s="1"/>
  <c r="I41" i="7" s="1"/>
  <c r="J41" i="7" s="1"/>
  <c r="K41" i="7" s="1"/>
  <c r="G6" i="7"/>
  <c r="H6" i="7" s="1"/>
  <c r="I6" i="7" s="1"/>
  <c r="J6" i="7" s="1"/>
  <c r="K6" i="7" s="1"/>
  <c r="E5" i="7"/>
  <c r="E7" i="7" s="1"/>
  <c r="D5" i="7"/>
  <c r="D7" i="7" s="1"/>
  <c r="C5" i="7"/>
  <c r="C7" i="7" s="1"/>
  <c r="B5" i="7"/>
  <c r="B7" i="7" s="1"/>
  <c r="F5" i="7"/>
  <c r="F7" i="7" s="1"/>
  <c r="E72" i="7" l="1"/>
  <c r="E81" i="7"/>
  <c r="E89" i="7"/>
  <c r="C81" i="7"/>
  <c r="C72" i="7"/>
  <c r="C89" i="7"/>
  <c r="F72" i="7"/>
  <c r="F81" i="7"/>
  <c r="F89" i="7"/>
  <c r="B81" i="7"/>
  <c r="B72" i="7"/>
  <c r="B89" i="7"/>
  <c r="D81" i="7"/>
  <c r="D72" i="7"/>
  <c r="D89" i="7"/>
  <c r="C54" i="7"/>
  <c r="C57" i="7"/>
  <c r="C51" i="7"/>
  <c r="B51" i="7"/>
  <c r="B57" i="7"/>
  <c r="B54" i="7"/>
  <c r="D54" i="7"/>
  <c r="D57" i="7"/>
  <c r="D51" i="7"/>
  <c r="F54" i="7"/>
  <c r="F57" i="7"/>
  <c r="F51" i="7"/>
  <c r="E54" i="7"/>
  <c r="E57" i="7"/>
  <c r="G37" i="7"/>
  <c r="G39" i="7"/>
  <c r="G30" i="7"/>
  <c r="G31" i="7"/>
  <c r="H21" i="7"/>
  <c r="H12" i="7"/>
  <c r="I12" i="7" s="1"/>
  <c r="G13" i="7"/>
  <c r="H13" i="7" s="1"/>
  <c r="I13" i="7" s="1"/>
  <c r="J13" i="7" s="1"/>
  <c r="K13" i="7" s="1"/>
  <c r="G22" i="7"/>
  <c r="H22" i="7" s="1"/>
  <c r="K41" i="6"/>
  <c r="H46" i="6"/>
  <c r="I46" i="6" s="1"/>
  <c r="J46" i="6" s="1"/>
  <c r="K46" i="6" s="1"/>
  <c r="J41" i="6"/>
  <c r="I41" i="6"/>
  <c r="H41" i="6"/>
  <c r="G41" i="6"/>
  <c r="F41" i="6"/>
  <c r="K32" i="6"/>
  <c r="J32" i="6"/>
  <c r="I32" i="6"/>
  <c r="H32" i="6"/>
  <c r="G32" i="6"/>
  <c r="K21" i="6"/>
  <c r="J21" i="6"/>
  <c r="I21" i="6"/>
  <c r="H21" i="6"/>
  <c r="G21" i="6"/>
  <c r="K6" i="6"/>
  <c r="J6" i="6"/>
  <c r="I6" i="6"/>
  <c r="H6" i="6"/>
  <c r="G6" i="6"/>
  <c r="H9" i="6"/>
  <c r="I9" i="6"/>
  <c r="J9" i="6"/>
  <c r="K9" i="6"/>
  <c r="G9" i="6"/>
  <c r="H8" i="6"/>
  <c r="I8" i="6"/>
  <c r="J8" i="6"/>
  <c r="K8" i="6"/>
  <c r="G8" i="6"/>
  <c r="D29" i="5"/>
  <c r="D28" i="5"/>
  <c r="V24" i="5"/>
  <c r="X11" i="5"/>
  <c r="X13" i="5"/>
  <c r="X14" i="5"/>
  <c r="X15" i="5"/>
  <c r="X16" i="5"/>
  <c r="X17" i="5"/>
  <c r="X18" i="5"/>
  <c r="X19" i="5"/>
  <c r="X20" i="5"/>
  <c r="X21" i="5"/>
  <c r="X22" i="5"/>
  <c r="X23" i="5"/>
  <c r="X10" i="5"/>
  <c r="D17" i="5"/>
  <c r="K29" i="5"/>
  <c r="K24" i="5"/>
  <c r="K28" i="5" s="1"/>
  <c r="G16" i="5"/>
  <c r="G15" i="5"/>
  <c r="D13" i="5"/>
  <c r="E13" i="5" a="1"/>
  <c r="E13" i="5" s="1"/>
  <c r="E11" i="5" a="1"/>
  <c r="E11" i="5" s="1"/>
  <c r="E10" i="5" a="1"/>
  <c r="E10" i="5" s="1"/>
  <c r="E9" i="5" a="1"/>
  <c r="E9" i="5" s="1"/>
  <c r="D10" i="5"/>
  <c r="J13" i="5"/>
  <c r="J11" i="5"/>
  <c r="J10" i="5"/>
  <c r="J9" i="5"/>
  <c r="I20" i="5"/>
  <c r="H30" i="7" l="1"/>
  <c r="G32" i="7"/>
  <c r="I21" i="7"/>
  <c r="H23" i="7"/>
  <c r="G19" i="7"/>
  <c r="H39" i="7"/>
  <c r="I39" i="7" s="1"/>
  <c r="J39" i="7" s="1"/>
  <c r="K39" i="7" s="1"/>
  <c r="H31" i="7"/>
  <c r="H40" i="7"/>
  <c r="I22" i="7"/>
  <c r="G10" i="7"/>
  <c r="J12" i="7"/>
  <c r="X24" i="5"/>
  <c r="W26" i="5" s="1"/>
  <c r="F9" i="5"/>
  <c r="I9" i="5" s="1"/>
  <c r="J16" i="5"/>
  <c r="J15" i="5"/>
  <c r="I21" i="5"/>
  <c r="F13" i="5"/>
  <c r="I13" i="5" s="1"/>
  <c r="H11" i="5"/>
  <c r="K11" i="5" s="1"/>
  <c r="F11" i="5"/>
  <c r="I11" i="5" s="1"/>
  <c r="F10" i="5"/>
  <c r="I10" i="5" s="1"/>
  <c r="H13" i="5"/>
  <c r="K13" i="5" s="1"/>
  <c r="H10" i="5"/>
  <c r="K10" i="5" s="1"/>
  <c r="H9" i="5"/>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11" i="3"/>
  <c r="K43" i="3"/>
  <c r="K45" i="3" s="1"/>
  <c r="K35" i="3"/>
  <c r="K37" i="3" s="1"/>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11" i="3"/>
  <c r="K27" i="3"/>
  <c r="K29" i="3" s="1"/>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11" i="3"/>
  <c r="K19" i="3"/>
  <c r="K21" i="3" s="1"/>
  <c r="H70" i="3"/>
  <c r="D70" i="3"/>
  <c r="D11" i="3"/>
  <c r="K11" i="3"/>
  <c r="K13" i="3" s="1"/>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C3" i="2" a="1"/>
  <c r="C3" i="2" s="1"/>
  <c r="D16" i="5" l="1"/>
  <c r="D18" i="5" s="1"/>
  <c r="C28" i="5" s="1"/>
  <c r="G28" i="7"/>
  <c r="I30" i="7"/>
  <c r="H32" i="7"/>
  <c r="H19" i="7"/>
  <c r="J21" i="7"/>
  <c r="I23" i="7"/>
  <c r="I40" i="7"/>
  <c r="H37" i="7"/>
  <c r="I31" i="7"/>
  <c r="J22" i="7"/>
  <c r="K12" i="7"/>
  <c r="H10" i="7"/>
  <c r="I22" i="5"/>
  <c r="J20" i="5" s="1"/>
  <c r="I16" i="5"/>
  <c r="H15" i="5"/>
  <c r="K9" i="5"/>
  <c r="H16" i="5"/>
  <c r="I15" i="5"/>
  <c r="K42" i="3"/>
  <c r="K47" i="3" s="1"/>
  <c r="K34" i="3"/>
  <c r="K39" i="3" s="1"/>
  <c r="K26" i="3"/>
  <c r="K31" i="3" s="1"/>
  <c r="K18" i="3"/>
  <c r="K23" i="3" s="1"/>
  <c r="K10" i="3"/>
  <c r="K15" i="3" s="1"/>
  <c r="B117" i="1"/>
  <c r="C117" i="1"/>
  <c r="D117" i="1"/>
  <c r="E117" i="1"/>
  <c r="F117" i="1"/>
  <c r="E7" i="1"/>
  <c r="E50" i="7" s="1"/>
  <c r="E51" i="7" s="1"/>
  <c r="B11" i="1"/>
  <c r="B5" i="1" s="1"/>
  <c r="C11" i="1"/>
  <c r="C5" i="1" s="1"/>
  <c r="D11" i="1"/>
  <c r="D5" i="1" s="1"/>
  <c r="E11" i="1"/>
  <c r="E5" i="1" s="1"/>
  <c r="F11" i="1"/>
  <c r="F5" i="1" s="1"/>
  <c r="E14" i="1"/>
  <c r="B60" i="1"/>
  <c r="B49" i="1"/>
  <c r="B53" i="1" s="1"/>
  <c r="B36" i="1"/>
  <c r="B90" i="1"/>
  <c r="G22" i="6" s="1"/>
  <c r="B100" i="1"/>
  <c r="C100" i="1"/>
  <c r="C90" i="1"/>
  <c r="H22" i="6" s="1"/>
  <c r="C60" i="1"/>
  <c r="C49" i="1"/>
  <c r="C53" i="1" s="1"/>
  <c r="C36" i="1"/>
  <c r="D60" i="1"/>
  <c r="D49" i="1"/>
  <c r="D53" i="1" s="1"/>
  <c r="D36" i="1"/>
  <c r="D100" i="1"/>
  <c r="E100" i="1"/>
  <c r="E90" i="1"/>
  <c r="J22" i="6" s="1"/>
  <c r="D90" i="1"/>
  <c r="I22" i="6" s="1"/>
  <c r="F100" i="1"/>
  <c r="F90" i="1"/>
  <c r="K22" i="6" s="1"/>
  <c r="F49" i="1"/>
  <c r="F53" i="1" s="1"/>
  <c r="E60" i="1"/>
  <c r="E49" i="1"/>
  <c r="E53" i="1" s="1"/>
  <c r="E36" i="1"/>
  <c r="F36" i="1"/>
  <c r="F95" i="7" l="1"/>
  <c r="F101" i="7" s="1"/>
  <c r="F6" i="1"/>
  <c r="F14" i="2" s="1"/>
  <c r="B95" i="7"/>
  <c r="B101" i="7" s="1"/>
  <c r="B6" i="1"/>
  <c r="B10" i="1" s="1"/>
  <c r="B12" i="1" s="1"/>
  <c r="E95" i="7"/>
  <c r="E101" i="7" s="1"/>
  <c r="E6" i="1"/>
  <c r="C95" i="7"/>
  <c r="C101" i="7" s="1"/>
  <c r="C6" i="1"/>
  <c r="D95" i="7"/>
  <c r="D101" i="7" s="1"/>
  <c r="D6" i="1"/>
  <c r="D14" i="2" s="1"/>
  <c r="D121" i="1"/>
  <c r="D25" i="2" s="1"/>
  <c r="E16" i="10"/>
  <c r="B121" i="1"/>
  <c r="C16" i="10"/>
  <c r="C121" i="1"/>
  <c r="C25" i="2" s="1"/>
  <c r="D16" i="10"/>
  <c r="E121" i="1"/>
  <c r="E25" i="2" s="1"/>
  <c r="F16" i="10"/>
  <c r="F121" i="1"/>
  <c r="F25" i="2" s="1"/>
  <c r="G16" i="10"/>
  <c r="K16" i="5"/>
  <c r="K27" i="5" s="1"/>
  <c r="C47" i="7"/>
  <c r="C48" i="7" s="1"/>
  <c r="D10" i="1"/>
  <c r="D47" i="7"/>
  <c r="D48" i="7" s="1"/>
  <c r="B47" i="7"/>
  <c r="B48" i="7" s="1"/>
  <c r="F10" i="1"/>
  <c r="F47" i="7"/>
  <c r="F48" i="7" s="1"/>
  <c r="E47" i="7"/>
  <c r="E48" i="7" s="1"/>
  <c r="G5" i="7"/>
  <c r="G7" i="7" s="1"/>
  <c r="H28" i="7"/>
  <c r="H5" i="7" s="1"/>
  <c r="H7" i="7" s="1"/>
  <c r="J30" i="7"/>
  <c r="I32" i="7"/>
  <c r="I19" i="7"/>
  <c r="K21" i="7"/>
  <c r="J23" i="7"/>
  <c r="J31" i="7"/>
  <c r="J40" i="7"/>
  <c r="I37" i="7"/>
  <c r="K22" i="7"/>
  <c r="I10" i="7"/>
  <c r="F40" i="1"/>
  <c r="K23" i="6"/>
  <c r="C40" i="1"/>
  <c r="H23" i="6"/>
  <c r="E40" i="1"/>
  <c r="J23" i="6"/>
  <c r="B40" i="1"/>
  <c r="G23" i="6"/>
  <c r="D40" i="1"/>
  <c r="I23" i="6"/>
  <c r="J21" i="5"/>
  <c r="J24" i="5" s="1"/>
  <c r="K15" i="5"/>
  <c r="D116" i="1"/>
  <c r="B116" i="1"/>
  <c r="C116" i="1"/>
  <c r="F116" i="1"/>
  <c r="E116" i="1"/>
  <c r="E112" i="1"/>
  <c r="C112" i="1"/>
  <c r="E110" i="1"/>
  <c r="E27" i="2" s="1"/>
  <c r="C110" i="1"/>
  <c r="C27" i="2" s="1"/>
  <c r="D110" i="1"/>
  <c r="D27" i="2" s="1"/>
  <c r="F112" i="1"/>
  <c r="B112" i="1"/>
  <c r="B110" i="1"/>
  <c r="D112" i="1"/>
  <c r="F110" i="1"/>
  <c r="F27" i="2" s="1"/>
  <c r="D61" i="1"/>
  <c r="B61" i="1"/>
  <c r="E61" i="1"/>
  <c r="F61" i="1"/>
  <c r="C61" i="1"/>
  <c r="E10" i="1" l="1"/>
  <c r="E14" i="2"/>
  <c r="C10" i="1"/>
  <c r="C14" i="2"/>
  <c r="D12" i="1"/>
  <c r="D12" i="2"/>
  <c r="F12" i="1"/>
  <c r="F12" i="2"/>
  <c r="C62" i="1"/>
  <c r="G101" i="7"/>
  <c r="H101" i="7" s="1"/>
  <c r="I101" i="7" s="1"/>
  <c r="J101" i="7" s="1"/>
  <c r="K101" i="7" s="1"/>
  <c r="H50" i="7"/>
  <c r="H56" i="7"/>
  <c r="H9" i="1" s="1"/>
  <c r="G50" i="7"/>
  <c r="G7" i="1" s="1"/>
  <c r="G56" i="7"/>
  <c r="G9" i="1" s="1"/>
  <c r="G47" i="7"/>
  <c r="G5" i="1" s="1"/>
  <c r="F62" i="1"/>
  <c r="E62" i="1"/>
  <c r="D62" i="1"/>
  <c r="B62" i="1"/>
  <c r="C122" i="1"/>
  <c r="C120" i="1"/>
  <c r="C30" i="2" s="1"/>
  <c r="D15" i="10"/>
  <c r="D17" i="10" s="1"/>
  <c r="D12" i="10"/>
  <c r="D13" i="10" s="1"/>
  <c r="F15" i="10"/>
  <c r="F17" i="10" s="1"/>
  <c r="F12" i="10"/>
  <c r="F13" i="10" s="1"/>
  <c r="D115" i="1"/>
  <c r="E15" i="10"/>
  <c r="E17" i="10" s="1"/>
  <c r="E12" i="10"/>
  <c r="E13" i="10" s="1"/>
  <c r="F115" i="1"/>
  <c r="G12" i="10"/>
  <c r="G13" i="10" s="1"/>
  <c r="G15" i="10"/>
  <c r="G17" i="10" s="1"/>
  <c r="C12" i="10"/>
  <c r="C13" i="10" s="1"/>
  <c r="C15" i="10"/>
  <c r="C17" i="10" s="1"/>
  <c r="G62" i="7"/>
  <c r="G77" i="7"/>
  <c r="G85" i="7"/>
  <c r="G86" i="7" s="1"/>
  <c r="G87" i="7" s="1"/>
  <c r="H77" i="7"/>
  <c r="H85" i="7"/>
  <c r="H62" i="7"/>
  <c r="H84" i="1" s="1"/>
  <c r="F122" i="1"/>
  <c r="H53" i="7"/>
  <c r="H8" i="1" s="1"/>
  <c r="H47" i="7"/>
  <c r="H5" i="1" s="1"/>
  <c r="H7" i="1"/>
  <c r="G53" i="7"/>
  <c r="G8" i="1" s="1"/>
  <c r="H4" i="1"/>
  <c r="G4" i="1"/>
  <c r="I28" i="7"/>
  <c r="I5" i="7" s="1"/>
  <c r="I7" i="7" s="1"/>
  <c r="K30" i="7"/>
  <c r="J32" i="7"/>
  <c r="J19" i="7"/>
  <c r="K23" i="7"/>
  <c r="K40" i="7"/>
  <c r="J37" i="7"/>
  <c r="K31" i="7"/>
  <c r="J10" i="7"/>
  <c r="I24" i="6"/>
  <c r="I25" i="6" s="1"/>
  <c r="K24" i="6"/>
  <c r="K25" i="6" s="1"/>
  <c r="B120" i="1"/>
  <c r="G7" i="6"/>
  <c r="G11" i="6" s="1"/>
  <c r="H24" i="6"/>
  <c r="H25" i="6" s="1"/>
  <c r="C115" i="1"/>
  <c r="H7" i="6"/>
  <c r="H11" i="6" s="1"/>
  <c r="B115" i="1"/>
  <c r="E115" i="1"/>
  <c r="J7" i="6"/>
  <c r="J11" i="6" s="1"/>
  <c r="E120" i="1"/>
  <c r="E30" i="2" s="1"/>
  <c r="J24" i="6"/>
  <c r="J25" i="6" s="1"/>
  <c r="D120" i="1"/>
  <c r="D30" i="2" s="1"/>
  <c r="I7" i="6"/>
  <c r="I11" i="6" s="1"/>
  <c r="F120" i="1"/>
  <c r="F30" i="2" s="1"/>
  <c r="K7" i="6"/>
  <c r="K11" i="6" s="1"/>
  <c r="K30" i="5"/>
  <c r="D122" i="1"/>
  <c r="B122" i="1"/>
  <c r="B16" i="1"/>
  <c r="E122" i="1"/>
  <c r="F42" i="6" l="1"/>
  <c r="F24" i="2"/>
  <c r="F13" i="2"/>
  <c r="D13" i="2"/>
  <c r="D24" i="2"/>
  <c r="D16" i="1"/>
  <c r="D18" i="1" s="1"/>
  <c r="C12" i="1"/>
  <c r="C12" i="2"/>
  <c r="F16" i="1"/>
  <c r="E12" i="1"/>
  <c r="E12" i="2"/>
  <c r="G6" i="1"/>
  <c r="G10" i="1" s="1"/>
  <c r="G122" i="1" s="1"/>
  <c r="H6" i="1"/>
  <c r="H10" i="1" s="1"/>
  <c r="H122" i="1" s="1"/>
  <c r="I50" i="7"/>
  <c r="I56" i="7"/>
  <c r="I9" i="1" s="1"/>
  <c r="G67" i="1"/>
  <c r="G63" i="7"/>
  <c r="G66" i="7" s="1"/>
  <c r="G84" i="1"/>
  <c r="H67" i="1"/>
  <c r="H84" i="7"/>
  <c r="H86" i="7" s="1"/>
  <c r="H87" i="7" s="1"/>
  <c r="H94" i="7"/>
  <c r="H97" i="7" s="1"/>
  <c r="H34" i="1" s="1"/>
  <c r="H150" i="7"/>
  <c r="H149" i="7" s="1"/>
  <c r="H15" i="1" s="1"/>
  <c r="G94" i="7"/>
  <c r="G97" i="7" s="1"/>
  <c r="G34" i="1" s="1"/>
  <c r="G150" i="7"/>
  <c r="G149" i="7" s="1"/>
  <c r="G15" i="1" s="1"/>
  <c r="D23" i="5"/>
  <c r="D24" i="5" s="1"/>
  <c r="C29" i="5" s="1"/>
  <c r="D30" i="5" s="1"/>
  <c r="I85" i="7"/>
  <c r="I77" i="7"/>
  <c r="I62" i="7"/>
  <c r="I84" i="1" s="1"/>
  <c r="G78" i="7"/>
  <c r="G69" i="1" s="1"/>
  <c r="I53" i="7"/>
  <c r="I8" i="1" s="1"/>
  <c r="I47" i="7"/>
  <c r="I5" i="1" s="1"/>
  <c r="I7" i="1"/>
  <c r="I4" i="1"/>
  <c r="K10" i="7"/>
  <c r="J28" i="7"/>
  <c r="J5" i="7" s="1"/>
  <c r="J7" i="7" s="1"/>
  <c r="K32" i="7"/>
  <c r="K19" i="7"/>
  <c r="K37" i="7"/>
  <c r="G13" i="6"/>
  <c r="G15" i="6" s="1"/>
  <c r="G17" i="6" s="1"/>
  <c r="B18" i="1"/>
  <c r="I13" i="6"/>
  <c r="I15" i="6" s="1"/>
  <c r="I26" i="6" s="1"/>
  <c r="I33" i="6" s="1"/>
  <c r="K13" i="6"/>
  <c r="K15" i="6" s="1"/>
  <c r="K26" i="6" s="1"/>
  <c r="K33" i="6" s="1"/>
  <c r="F127" i="1"/>
  <c r="E127" i="1"/>
  <c r="B127" i="1"/>
  <c r="D127" i="1"/>
  <c r="C24" i="2" l="1"/>
  <c r="C13" i="2"/>
  <c r="C16" i="1"/>
  <c r="C18" i="1" s="1"/>
  <c r="H13" i="6"/>
  <c r="H15" i="6" s="1"/>
  <c r="H26" i="6" s="1"/>
  <c r="H33" i="6" s="1"/>
  <c r="E13" i="2"/>
  <c r="E24" i="2"/>
  <c r="E16" i="1"/>
  <c r="E18" i="1" s="1"/>
  <c r="C127" i="1"/>
  <c r="J13" i="6"/>
  <c r="J15" i="6" s="1"/>
  <c r="J17" i="6" s="1"/>
  <c r="J34" i="6" s="1"/>
  <c r="G70" i="1"/>
  <c r="G11" i="1"/>
  <c r="J50" i="7"/>
  <c r="J56" i="7"/>
  <c r="H61" i="7"/>
  <c r="H63" i="7" s="1"/>
  <c r="I61" i="7" s="1"/>
  <c r="I63" i="7" s="1"/>
  <c r="I6" i="1"/>
  <c r="I10" i="1" s="1"/>
  <c r="I122" i="1" s="1"/>
  <c r="I67" i="1"/>
  <c r="H76" i="1"/>
  <c r="G76" i="1"/>
  <c r="G79" i="7"/>
  <c r="I84" i="7"/>
  <c r="I86" i="7" s="1"/>
  <c r="I87" i="7" s="1"/>
  <c r="I94" i="7"/>
  <c r="I97" i="7" s="1"/>
  <c r="I34" i="1" s="1"/>
  <c r="I150" i="7"/>
  <c r="I149" i="7" s="1"/>
  <c r="I15" i="1" s="1"/>
  <c r="I65" i="6"/>
  <c r="D51" i="6"/>
  <c r="J62" i="7"/>
  <c r="J84" i="1" s="1"/>
  <c r="J85" i="7"/>
  <c r="J77" i="7"/>
  <c r="G67" i="7"/>
  <c r="J9" i="1"/>
  <c r="J47" i="7"/>
  <c r="J5" i="1" s="1"/>
  <c r="J7" i="1"/>
  <c r="J53" i="7"/>
  <c r="J8" i="1" s="1"/>
  <c r="J4" i="1"/>
  <c r="K28" i="7"/>
  <c r="K5" i="7" s="1"/>
  <c r="K7" i="7" s="1"/>
  <c r="J26" i="6"/>
  <c r="J33" i="6" s="1"/>
  <c r="J35" i="6" s="1"/>
  <c r="I17" i="6"/>
  <c r="I34" i="6" s="1"/>
  <c r="I35" i="6" s="1"/>
  <c r="F18" i="1"/>
  <c r="F19" i="1"/>
  <c r="F15" i="2" s="1"/>
  <c r="E19" i="1"/>
  <c r="E15" i="2" s="1"/>
  <c r="D19" i="1"/>
  <c r="D15" i="2" s="1"/>
  <c r="K17" i="6"/>
  <c r="K34" i="6" s="1"/>
  <c r="K35" i="6" s="1"/>
  <c r="C19" i="1"/>
  <c r="C15" i="2" s="1"/>
  <c r="B19" i="1"/>
  <c r="H17" i="6" l="1"/>
  <c r="H34" i="6" s="1"/>
  <c r="H66" i="7"/>
  <c r="H70" i="1" s="1"/>
  <c r="K50" i="7"/>
  <c r="K7" i="1" s="1"/>
  <c r="K56" i="7"/>
  <c r="K9" i="1" s="1"/>
  <c r="J6" i="1"/>
  <c r="J10" i="1" s="1"/>
  <c r="J122" i="1" s="1"/>
  <c r="J67" i="1"/>
  <c r="I76" i="1"/>
  <c r="J84" i="7"/>
  <c r="J86" i="7" s="1"/>
  <c r="J87" i="7" s="1"/>
  <c r="H76" i="7"/>
  <c r="H78" i="7" s="1"/>
  <c r="H11" i="1" s="1"/>
  <c r="G37" i="1"/>
  <c r="J94" i="7"/>
  <c r="J97" i="7" s="1"/>
  <c r="J34" i="1" s="1"/>
  <c r="J150" i="7"/>
  <c r="J149" i="7" s="1"/>
  <c r="J15" i="1" s="1"/>
  <c r="F23" i="1"/>
  <c r="G7" i="10"/>
  <c r="G9" i="10" s="1"/>
  <c r="B22" i="1"/>
  <c r="C7" i="10"/>
  <c r="C9" i="10" s="1"/>
  <c r="C126" i="1"/>
  <c r="C29" i="2" s="1"/>
  <c r="D7" i="10"/>
  <c r="D9" i="10" s="1"/>
  <c r="E126" i="1"/>
  <c r="E29" i="2" s="1"/>
  <c r="F7" i="10"/>
  <c r="F9" i="10" s="1"/>
  <c r="D125" i="1"/>
  <c r="E7" i="10"/>
  <c r="E9" i="10" s="1"/>
  <c r="G12" i="1"/>
  <c r="G16" i="1" s="1"/>
  <c r="G95" i="7"/>
  <c r="G98" i="7" s="1"/>
  <c r="G45" i="1" s="1"/>
  <c r="K28" i="6"/>
  <c r="K29" i="6"/>
  <c r="F44" i="6" s="1"/>
  <c r="F45" i="6" s="1"/>
  <c r="H47" i="6"/>
  <c r="G47" i="6"/>
  <c r="J47" i="6"/>
  <c r="K47" i="6"/>
  <c r="I47" i="6"/>
  <c r="D55" i="6"/>
  <c r="J61" i="7"/>
  <c r="J63" i="7" s="1"/>
  <c r="I66" i="7"/>
  <c r="K62" i="7"/>
  <c r="K84" i="1" s="1"/>
  <c r="K85" i="7"/>
  <c r="K77" i="7"/>
  <c r="H65" i="7"/>
  <c r="H67" i="7" s="1"/>
  <c r="G69" i="7"/>
  <c r="G38" i="1" s="1"/>
  <c r="K47" i="7"/>
  <c r="K5" i="1" s="1"/>
  <c r="K53" i="7"/>
  <c r="K8" i="1" s="1"/>
  <c r="K4" i="1"/>
  <c r="F65" i="1"/>
  <c r="F81" i="1" s="1"/>
  <c r="H35" i="6"/>
  <c r="K38" i="6" s="1"/>
  <c r="F126" i="1"/>
  <c r="F29" i="2" s="1"/>
  <c r="F125" i="1"/>
  <c r="F22" i="1"/>
  <c r="E22" i="1"/>
  <c r="B65" i="1"/>
  <c r="B81" i="1" s="1"/>
  <c r="B111" i="1" s="1"/>
  <c r="C65" i="1"/>
  <c r="C81" i="1" s="1"/>
  <c r="D22" i="1"/>
  <c r="D23" i="1"/>
  <c r="D65" i="1"/>
  <c r="D81" i="1" s="1"/>
  <c r="D126" i="1"/>
  <c r="D29" i="2" s="1"/>
  <c r="B126" i="1"/>
  <c r="B23" i="1"/>
  <c r="E125" i="1"/>
  <c r="C23" i="1"/>
  <c r="C125" i="1"/>
  <c r="E65" i="1"/>
  <c r="E81" i="1" s="1"/>
  <c r="E23" i="1"/>
  <c r="C22" i="1"/>
  <c r="F103" i="1" l="1"/>
  <c r="F26" i="2"/>
  <c r="E103" i="1"/>
  <c r="E26" i="2"/>
  <c r="D16" i="2"/>
  <c r="D17" i="2"/>
  <c r="C16" i="2"/>
  <c r="C17" i="2"/>
  <c r="D111" i="1"/>
  <c r="D26" i="2"/>
  <c r="C103" i="1"/>
  <c r="C26" i="2"/>
  <c r="E16" i="2"/>
  <c r="E17" i="2"/>
  <c r="F16" i="2"/>
  <c r="F17" i="2"/>
  <c r="K6" i="1"/>
  <c r="K67" i="1"/>
  <c r="G117" i="1"/>
  <c r="G42" i="6"/>
  <c r="G127" i="1"/>
  <c r="G49" i="1"/>
  <c r="G53" i="1" s="1"/>
  <c r="G77" i="1"/>
  <c r="J76" i="1"/>
  <c r="I70" i="1"/>
  <c r="G90" i="1"/>
  <c r="H79" i="7"/>
  <c r="H69" i="1"/>
  <c r="K84" i="7"/>
  <c r="K86" i="7" s="1"/>
  <c r="K87" i="7" s="1"/>
  <c r="G17" i="1"/>
  <c r="G19" i="1" s="1"/>
  <c r="G59" i="1" s="1"/>
  <c r="K94" i="7"/>
  <c r="K97" i="7" s="1"/>
  <c r="K34" i="1" s="1"/>
  <c r="K76" i="1" s="1"/>
  <c r="K150" i="7"/>
  <c r="K149" i="7" s="1"/>
  <c r="K15" i="1" s="1"/>
  <c r="F21" i="10"/>
  <c r="F19" i="10"/>
  <c r="E23" i="2" s="1"/>
  <c r="D21" i="10"/>
  <c r="D19" i="10"/>
  <c r="C23" i="2" s="1"/>
  <c r="C21" i="10"/>
  <c r="C19" i="10"/>
  <c r="E19" i="10"/>
  <c r="D23" i="2" s="1"/>
  <c r="E21" i="10"/>
  <c r="G19" i="10"/>
  <c r="F23" i="2" s="1"/>
  <c r="G21" i="10"/>
  <c r="H12" i="1"/>
  <c r="H95" i="7"/>
  <c r="H98" i="7" s="1"/>
  <c r="H45" i="1" s="1"/>
  <c r="G44" i="6"/>
  <c r="H44" i="6" s="1"/>
  <c r="I44" i="6" s="1"/>
  <c r="I65" i="7"/>
  <c r="I67" i="7" s="1"/>
  <c r="H69" i="7"/>
  <c r="H38" i="1" s="1"/>
  <c r="H90" i="1" s="1"/>
  <c r="K61" i="7"/>
  <c r="K63" i="7" s="1"/>
  <c r="K66" i="7" s="1"/>
  <c r="K70" i="1" s="1"/>
  <c r="J66" i="7"/>
  <c r="K37" i="6"/>
  <c r="F111" i="1"/>
  <c r="K10" i="1"/>
  <c r="K122" i="1" s="1"/>
  <c r="B103" i="1"/>
  <c r="D103" i="1"/>
  <c r="C111" i="1"/>
  <c r="E111" i="1"/>
  <c r="H42" i="6" l="1"/>
  <c r="H45" i="6" s="1"/>
  <c r="H48" i="6" s="1"/>
  <c r="H127" i="1"/>
  <c r="G65" i="1"/>
  <c r="G81" i="1" s="1"/>
  <c r="G125" i="1"/>
  <c r="G60" i="1"/>
  <c r="H77" i="1"/>
  <c r="H49" i="1"/>
  <c r="H53" i="1" s="1"/>
  <c r="J70" i="1"/>
  <c r="I76" i="7"/>
  <c r="I78" i="7" s="1"/>
  <c r="H37" i="1"/>
  <c r="H117" i="1" s="1"/>
  <c r="H16" i="1"/>
  <c r="G45" i="6"/>
  <c r="G48" i="6" s="1"/>
  <c r="J65" i="7"/>
  <c r="J67" i="7" s="1"/>
  <c r="I69" i="7"/>
  <c r="I38" i="1" s="1"/>
  <c r="J44" i="6"/>
  <c r="G111" i="1" l="1"/>
  <c r="G103" i="1"/>
  <c r="G105" i="1" s="1"/>
  <c r="G32" i="1" s="1"/>
  <c r="I90" i="1"/>
  <c r="I79" i="7"/>
  <c r="I69" i="1"/>
  <c r="I11" i="1"/>
  <c r="H17" i="1"/>
  <c r="H19" i="1" s="1"/>
  <c r="H59" i="1" s="1"/>
  <c r="K65" i="7"/>
  <c r="K67" i="7" s="1"/>
  <c r="K69" i="7" s="1"/>
  <c r="K38" i="1" s="1"/>
  <c r="J69" i="7"/>
  <c r="J38" i="1" s="1"/>
  <c r="K44" i="6"/>
  <c r="G112" i="1" l="1"/>
  <c r="H104" i="1"/>
  <c r="G36" i="1"/>
  <c r="G110" i="1" s="1"/>
  <c r="H65" i="1"/>
  <c r="H81" i="1" s="1"/>
  <c r="H103" i="1" s="1"/>
  <c r="H125" i="1"/>
  <c r="G121" i="1"/>
  <c r="G61" i="1"/>
  <c r="H60" i="1"/>
  <c r="K90" i="1"/>
  <c r="I12" i="1"/>
  <c r="I127" i="1" s="1"/>
  <c r="I95" i="7"/>
  <c r="I98" i="7" s="1"/>
  <c r="I45" i="1" s="1"/>
  <c r="J76" i="7"/>
  <c r="J78" i="7" s="1"/>
  <c r="I37" i="1"/>
  <c r="I117" i="1" s="1"/>
  <c r="J90" i="1"/>
  <c r="G40" i="1" l="1"/>
  <c r="G120" i="1" s="1"/>
  <c r="G116" i="1"/>
  <c r="H105" i="1"/>
  <c r="H121" i="1"/>
  <c r="H61" i="1"/>
  <c r="H111" i="1"/>
  <c r="I77" i="1"/>
  <c r="I49" i="1"/>
  <c r="I53" i="1" s="1"/>
  <c r="J79" i="7"/>
  <c r="J69" i="1"/>
  <c r="J11" i="1"/>
  <c r="I42" i="6"/>
  <c r="I45" i="6" s="1"/>
  <c r="I48" i="6" s="1"/>
  <c r="I16" i="1"/>
  <c r="I17" i="1" s="1"/>
  <c r="I19" i="1" s="1"/>
  <c r="G62" i="1" l="1"/>
  <c r="G115" i="1"/>
  <c r="G126" i="1"/>
  <c r="H32" i="1"/>
  <c r="I104" i="1" s="1"/>
  <c r="I65" i="1"/>
  <c r="I81" i="1" s="1"/>
  <c r="I103" i="1" s="1"/>
  <c r="I125" i="1"/>
  <c r="I59" i="1"/>
  <c r="J12" i="1"/>
  <c r="J127" i="1" s="1"/>
  <c r="J95" i="7"/>
  <c r="J98" i="7" s="1"/>
  <c r="J45" i="1" s="1"/>
  <c r="K76" i="7"/>
  <c r="K78" i="7" s="1"/>
  <c r="J37" i="1"/>
  <c r="J117" i="1" s="1"/>
  <c r="H112" i="1" l="1"/>
  <c r="H36" i="1"/>
  <c r="H110" i="1" s="1"/>
  <c r="I105" i="1"/>
  <c r="I32" i="1" s="1"/>
  <c r="J104" i="1" s="1"/>
  <c r="I111" i="1"/>
  <c r="J77" i="1"/>
  <c r="J49" i="1"/>
  <c r="J53" i="1" s="1"/>
  <c r="I60" i="1"/>
  <c r="H40" i="1"/>
  <c r="K79" i="7"/>
  <c r="K37" i="1" s="1"/>
  <c r="K117" i="1" s="1"/>
  <c r="K69" i="1"/>
  <c r="K11" i="1"/>
  <c r="J16" i="1"/>
  <c r="J17" i="1" s="1"/>
  <c r="J19" i="1" s="1"/>
  <c r="J42" i="6"/>
  <c r="J45" i="6" s="1"/>
  <c r="J48" i="6" s="1"/>
  <c r="H116" i="1" l="1"/>
  <c r="J65" i="1"/>
  <c r="J81" i="1" s="1"/>
  <c r="J111" i="1" s="1"/>
  <c r="J125" i="1"/>
  <c r="I121" i="1"/>
  <c r="I61" i="1"/>
  <c r="J59" i="1"/>
  <c r="J103" i="1"/>
  <c r="J105" i="1" s="1"/>
  <c r="I36" i="1"/>
  <c r="I112" i="1"/>
  <c r="H62" i="1"/>
  <c r="H126" i="1"/>
  <c r="H115" i="1"/>
  <c r="H120" i="1"/>
  <c r="K95" i="7"/>
  <c r="K98" i="7" s="1"/>
  <c r="K45" i="1" s="1"/>
  <c r="K12" i="1"/>
  <c r="K127" i="1" s="1"/>
  <c r="M29" i="8"/>
  <c r="K77" i="1" l="1"/>
  <c r="K49" i="1"/>
  <c r="K53" i="1" s="1"/>
  <c r="J60" i="1"/>
  <c r="I40" i="1"/>
  <c r="I110" i="1"/>
  <c r="I116" i="1"/>
  <c r="J32" i="1"/>
  <c r="K104" i="1" s="1"/>
  <c r="K42" i="6"/>
  <c r="K45" i="6" s="1"/>
  <c r="K16" i="1"/>
  <c r="K17" i="1" s="1"/>
  <c r="K19" i="1" s="1"/>
  <c r="K65" i="1" l="1"/>
  <c r="K81" i="1" s="1"/>
  <c r="K103" i="1" s="1"/>
  <c r="K105" i="1" s="1"/>
  <c r="K32" i="1" s="1"/>
  <c r="K125" i="1"/>
  <c r="K59" i="1"/>
  <c r="K60" i="1" s="1"/>
  <c r="K121" i="1" s="1"/>
  <c r="J121" i="1"/>
  <c r="J61" i="1"/>
  <c r="J36" i="1"/>
  <c r="J112" i="1"/>
  <c r="I62" i="1"/>
  <c r="I126" i="1"/>
  <c r="I120" i="1"/>
  <c r="I115" i="1"/>
  <c r="D54" i="6"/>
  <c r="D57" i="6" s="1"/>
  <c r="D61" i="6" s="1"/>
  <c r="K48" i="6"/>
  <c r="D60" i="6" s="1"/>
  <c r="K111" i="1" l="1"/>
  <c r="K61" i="1"/>
  <c r="K36" i="1"/>
  <c r="K112" i="1"/>
  <c r="J40" i="1"/>
  <c r="J116" i="1"/>
  <c r="J110" i="1"/>
  <c r="D62" i="6"/>
  <c r="G55" i="6" s="1"/>
  <c r="J62" i="1" l="1"/>
  <c r="J126" i="1"/>
  <c r="J115" i="1"/>
  <c r="J120" i="1"/>
  <c r="K40" i="1"/>
  <c r="K110" i="1"/>
  <c r="K116" i="1"/>
  <c r="D65" i="6"/>
  <c r="D67" i="6" s="1"/>
  <c r="D70" i="6" s="1"/>
  <c r="K62" i="1" l="1"/>
  <c r="K115" i="1"/>
  <c r="K120" i="1"/>
  <c r="K126" i="1"/>
  <c r="G65" i="6"/>
  <c r="D1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Muskaan Porwal</author>
  </authors>
  <commentList>
    <comment ref="K20" authorId="0" shapeId="0" xr:uid="{8F1FC0A5-5F96-F245-A82E-5E50E2E49E40}">
      <text>
        <r>
          <rPr>
            <b/>
            <sz val="10"/>
            <color rgb="FF000000"/>
            <rFont val="Tahoma"/>
            <family val="2"/>
          </rPr>
          <t>Muskaan Porwal:</t>
        </r>
        <r>
          <rPr>
            <sz val="10"/>
            <color rgb="FF000000"/>
            <rFont val="Tahoma"/>
            <family val="2"/>
          </rPr>
          <t xml:space="preserve">
</t>
        </r>
        <r>
          <rPr>
            <sz val="10"/>
            <color rgb="FF000000"/>
            <rFont val="Tahoma"/>
            <family val="2"/>
          </rPr>
          <t xml:space="preserve">
Netflix's capital structure policy allows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<sst xmlns="http://schemas.openxmlformats.org/spreadsheetml/2006/main" count="625" uniqueCount="435">
  <si>
    <t>2019A</t>
  </si>
  <si>
    <t>2020A</t>
  </si>
  <si>
    <t>2021A</t>
  </si>
  <si>
    <t>2022A</t>
  </si>
  <si>
    <t>2023A</t>
  </si>
  <si>
    <t>2024E</t>
  </si>
  <si>
    <t>2025E</t>
  </si>
  <si>
    <t>2026E</t>
  </si>
  <si>
    <t>2027E</t>
  </si>
  <si>
    <t>2028E</t>
  </si>
  <si>
    <t>Forecasted Financial Information</t>
  </si>
  <si>
    <t xml:space="preserve">Revenues </t>
  </si>
  <si>
    <t xml:space="preserve">   Cost of Revenues</t>
  </si>
  <si>
    <t xml:space="preserve">   Marketing</t>
  </si>
  <si>
    <t xml:space="preserve">   Technology and Development</t>
  </si>
  <si>
    <t xml:space="preserve">   General and administrative </t>
  </si>
  <si>
    <t>Other Income (Expense)</t>
  </si>
  <si>
    <t xml:space="preserve">   Interest Expense </t>
  </si>
  <si>
    <t xml:space="preserve">   Interest and other income (expense)</t>
  </si>
  <si>
    <t>Income before Income Taxes</t>
  </si>
  <si>
    <t>Net Income</t>
  </si>
  <si>
    <t>Earning per share :</t>
  </si>
  <si>
    <t xml:space="preserve">   Basic</t>
  </si>
  <si>
    <t xml:space="preserve">   Diluted </t>
  </si>
  <si>
    <t xml:space="preserve">Gross Profit </t>
  </si>
  <si>
    <t>Operating Income (EBIT)</t>
  </si>
  <si>
    <t>Assets</t>
  </si>
  <si>
    <t>Current Assets :</t>
  </si>
  <si>
    <t xml:space="preserve">   Cash and cash equivalents</t>
  </si>
  <si>
    <t xml:space="preserve">   Short-term investments</t>
  </si>
  <si>
    <t xml:space="preserve">   Other current assets</t>
  </si>
  <si>
    <t xml:space="preserve">         Total Current Assets </t>
  </si>
  <si>
    <t>Content Assets, net</t>
  </si>
  <si>
    <t>Property and Equipment, net</t>
  </si>
  <si>
    <t>Other non - current assets</t>
  </si>
  <si>
    <t xml:space="preserve">         Total Assets </t>
  </si>
  <si>
    <t xml:space="preserve">Liabilities and Stockholder's Equity </t>
  </si>
  <si>
    <t xml:space="preserve">   Current content liabilities  </t>
  </si>
  <si>
    <t xml:space="preserve">   Accounts Payable </t>
  </si>
  <si>
    <t xml:space="preserve">   Accrued Expenses and Other Liabilities </t>
  </si>
  <si>
    <t xml:space="preserve">   Deferred Revenue</t>
  </si>
  <si>
    <t xml:space="preserve">   Short-Term Debt </t>
  </si>
  <si>
    <t xml:space="preserve">         Total Current Liabilities  </t>
  </si>
  <si>
    <t>Current Liabilities :</t>
  </si>
  <si>
    <t xml:space="preserve">Non - Current content liabilities </t>
  </si>
  <si>
    <t xml:space="preserve">Long - Term Debt </t>
  </si>
  <si>
    <t xml:space="preserve">Other Non - Current Liabilities </t>
  </si>
  <si>
    <t xml:space="preserve">         Total Liabilities </t>
  </si>
  <si>
    <t>Stockholder's Equity</t>
  </si>
  <si>
    <t xml:space="preserve">   Preferred stock </t>
  </si>
  <si>
    <t xml:space="preserve">   Common stock </t>
  </si>
  <si>
    <t xml:space="preserve">   Treasury stock at cost</t>
  </si>
  <si>
    <t xml:space="preserve">   Accumulated other comprehensive loss </t>
  </si>
  <si>
    <t xml:space="preserve">   Retained earnings</t>
  </si>
  <si>
    <t xml:space="preserve">         Total stockholders’ equity</t>
  </si>
  <si>
    <t xml:space="preserve">    Total Liabilities and Stockholder's Equity</t>
  </si>
  <si>
    <t>Particulars - Cash Flow Statement</t>
  </si>
  <si>
    <t>Cash flows from operating activities:</t>
  </si>
  <si>
    <t xml:space="preserve">Net income </t>
  </si>
  <si>
    <t>Adjustments to reconcile net income to net cash provided by operating activities:</t>
  </si>
  <si>
    <t xml:space="preserve">   Additions to content assets</t>
  </si>
  <si>
    <t xml:space="preserve">   Change in content liabilities </t>
  </si>
  <si>
    <t xml:space="preserve">   Amortization of content assets</t>
  </si>
  <si>
    <t xml:space="preserve">   Stock-based compensation expense</t>
  </si>
  <si>
    <t>Weighted Average Shares of Common Stock O/s :</t>
  </si>
  <si>
    <t xml:space="preserve">   Other non-cash items</t>
  </si>
  <si>
    <t xml:space="preserve">   Deferred income taxes</t>
  </si>
  <si>
    <t xml:space="preserve">   Changes in operating assets and liabilities:</t>
  </si>
  <si>
    <t xml:space="preserve">         Other current assets </t>
  </si>
  <si>
    <t xml:space="preserve">         Accounts payable</t>
  </si>
  <si>
    <t xml:space="preserve">         Accrued expenses and other liabilities</t>
  </si>
  <si>
    <t xml:space="preserve">         Deferred revenue</t>
  </si>
  <si>
    <t xml:space="preserve">         Other non-current assets and liabilities</t>
  </si>
  <si>
    <t xml:space="preserve">               Net cash provided by operating activities</t>
  </si>
  <si>
    <t>Cash flows from investing activities:</t>
  </si>
  <si>
    <t xml:space="preserve">Purchases of property and equipment </t>
  </si>
  <si>
    <t>Change in other assets</t>
  </si>
  <si>
    <t>Acquisitions</t>
  </si>
  <si>
    <t>Purchases of short-term investments</t>
  </si>
  <si>
    <t>Proceeds from maturities of short-term investments</t>
  </si>
  <si>
    <t xml:space="preserve">             Net cash provided by (used in) investing activities</t>
  </si>
  <si>
    <t>Cash flows from financing activities:</t>
  </si>
  <si>
    <t>Repayments of debt</t>
  </si>
  <si>
    <t xml:space="preserve">Proceeds from issuance of common stock </t>
  </si>
  <si>
    <t>Repurchases of common stock</t>
  </si>
  <si>
    <t>Taxes paid related to net share settlement of equity awards</t>
  </si>
  <si>
    <t>Other financing activities</t>
  </si>
  <si>
    <t xml:space="preserve">            Net cash used in financing activities</t>
  </si>
  <si>
    <t>Effect of exchange rate changes on cash, cash equivalents and restricted cash</t>
  </si>
  <si>
    <t>Net increase (decrease) in cash, cash equivalents and restricted cash</t>
  </si>
  <si>
    <t xml:space="preserve">Cash, cash equivalents and restricted cash, beginning of year </t>
  </si>
  <si>
    <t xml:space="preserve">Cash, cash equivalents and restricted cash, end of year </t>
  </si>
  <si>
    <t xml:space="preserve">   Foreign currency remeasurement L/(G) on debt</t>
  </si>
  <si>
    <t>Debt Issuance Cost</t>
  </si>
  <si>
    <t>Proceeds from issuance of debt</t>
  </si>
  <si>
    <t>Provision (for)/benefit from income taxes</t>
  </si>
  <si>
    <t>Proceeds from sale of short-term investments</t>
  </si>
  <si>
    <t xml:space="preserve">   Depreciation &amp; amortisation of PE &amp; Intangible</t>
  </si>
  <si>
    <t>Particulars - Ratio Analysis</t>
  </si>
  <si>
    <t>Depreciation &amp; Amortisation</t>
  </si>
  <si>
    <t>EBITDA</t>
  </si>
  <si>
    <t xml:space="preserve"> </t>
  </si>
  <si>
    <t>Liquidity Ratios</t>
  </si>
  <si>
    <t xml:space="preserve">      Current Ratio</t>
  </si>
  <si>
    <t xml:space="preserve">      CFO/Current Liabilities</t>
  </si>
  <si>
    <t xml:space="preserve">      Cash Ratio</t>
  </si>
  <si>
    <t>Asset Management Ratios</t>
  </si>
  <si>
    <t>Income Statement</t>
  </si>
  <si>
    <t xml:space="preserve">Balance Sheet </t>
  </si>
  <si>
    <t xml:space="preserve">      Total Asset Turnover (Sales/ Total Assets)</t>
  </si>
  <si>
    <t xml:space="preserve">      Working Capital Turnover Ratio (sales/WC)</t>
  </si>
  <si>
    <t xml:space="preserve">      PP&amp;E Turnover (PPE/Sales)</t>
  </si>
  <si>
    <t>Financial Leverage Ratios:</t>
  </si>
  <si>
    <t xml:space="preserve">      Debt to Assets ( Total Debt/ Total Assets)</t>
  </si>
  <si>
    <t xml:space="preserve">      Debt to Equity Ratio (Total Debt/Total Equity)</t>
  </si>
  <si>
    <t xml:space="preserve">      Debt to EBITDA (Total Debt/EBITDA)</t>
  </si>
  <si>
    <t>Profitability Ratios:</t>
  </si>
  <si>
    <t xml:space="preserve">      Return on Equity (NI/Beg TSE)</t>
  </si>
  <si>
    <t xml:space="preserve">      Return on Assets (NI/ Total assets)</t>
  </si>
  <si>
    <t>Payout Policy Ratios:</t>
  </si>
  <si>
    <t xml:space="preserve">      Dividend Payout Ratio (Dividend/EPS)</t>
  </si>
  <si>
    <t xml:space="preserve">      Total Payout Ratio ((Divs. + Repurchases)/NI)</t>
  </si>
  <si>
    <t xml:space="preserve">      Operating Margin (EBIT/Sales)</t>
  </si>
  <si>
    <t>Share Price - 10Y</t>
  </si>
  <si>
    <t xml:space="preserve">Current Share Price </t>
  </si>
  <si>
    <t>Date</t>
  </si>
  <si>
    <t>Close</t>
  </si>
  <si>
    <t>Return</t>
  </si>
  <si>
    <t>Netflix monthly returns</t>
  </si>
  <si>
    <t>S&amp;P 500 monthly returns</t>
  </si>
  <si>
    <t>Beta drifting</t>
  </si>
  <si>
    <t>Netflix</t>
  </si>
  <si>
    <t>Levered Raw Beta</t>
  </si>
  <si>
    <t>Raw Beta Weight</t>
  </si>
  <si>
    <t>Market Beta Weight</t>
  </si>
  <si>
    <t xml:space="preserve">Market Beta </t>
  </si>
  <si>
    <t>Adjusted Beta</t>
  </si>
  <si>
    <t xml:space="preserve">Regression Beta (5Y) - Monthly </t>
  </si>
  <si>
    <t>`</t>
  </si>
  <si>
    <t>The Walt Disney Company</t>
  </si>
  <si>
    <t>Disney monthly returns</t>
  </si>
  <si>
    <t>Warner Bros. Discovery, Inc.</t>
  </si>
  <si>
    <t>Warner Bros monthly returns</t>
  </si>
  <si>
    <t>Paramount monthly returns</t>
  </si>
  <si>
    <t>Fox Corp monthly returns</t>
  </si>
  <si>
    <t>Fox Corporation</t>
  </si>
  <si>
    <t>Paramount Global</t>
  </si>
  <si>
    <t>Weighted Average Cost of Capital</t>
  </si>
  <si>
    <t>Country</t>
  </si>
  <si>
    <t>Total Debt</t>
  </si>
  <si>
    <t>Total Equity</t>
  </si>
  <si>
    <t>Tax Rate</t>
  </si>
  <si>
    <t>Debt/Equity</t>
  </si>
  <si>
    <t>Debt/Capital</t>
  </si>
  <si>
    <t>Levered Beta</t>
  </si>
  <si>
    <t>Name of Comp</t>
  </si>
  <si>
    <t>USA</t>
  </si>
  <si>
    <t>All figures are in USD , in thousands unless stated otherwise.</t>
  </si>
  <si>
    <t>Total Capital</t>
  </si>
  <si>
    <t>Average</t>
  </si>
  <si>
    <t>Median</t>
  </si>
  <si>
    <t>Capital Structure</t>
  </si>
  <si>
    <t>Current</t>
  </si>
  <si>
    <t>Target</t>
  </si>
  <si>
    <t>Market Capitalisation</t>
  </si>
  <si>
    <t>Comps Median Unlevered Beta</t>
  </si>
  <si>
    <t>Target Debt/Equity</t>
  </si>
  <si>
    <t>Cost of Debt</t>
  </si>
  <si>
    <t>Pre - Tax Cost of Debt</t>
  </si>
  <si>
    <t>Post Tax Cost of Debt</t>
  </si>
  <si>
    <t>Cost of Equity</t>
  </si>
  <si>
    <t>Debt</t>
  </si>
  <si>
    <t>Equity</t>
  </si>
  <si>
    <t>Cost</t>
  </si>
  <si>
    <t>Weight</t>
  </si>
  <si>
    <t>Notes:</t>
  </si>
  <si>
    <t>Levered Beta [4]</t>
  </si>
  <si>
    <t>[4] Levered Beta = Unlevered Beta*(1+(1-Tax Rate)*Debt/Equity)</t>
  </si>
  <si>
    <t>Levered Beta [2]</t>
  </si>
  <si>
    <t>Unlevered Beta [3]</t>
  </si>
  <si>
    <t>[2] Levered beta has been calculated during regression analysis based on 5-year monthly data</t>
  </si>
  <si>
    <t>[3] Unlevered Beta = Levered Beta/(1+(1-Tax Rate)*Debt/Equity)</t>
  </si>
  <si>
    <t>Tax Rate [1]</t>
  </si>
  <si>
    <t>[1] Tax Rate considered as the marginal tax rate for the country</t>
  </si>
  <si>
    <t>Risk Free Rate [5]</t>
  </si>
  <si>
    <t>Equity Risk Premium [6]</t>
  </si>
  <si>
    <t>[5] Risk-Free Rate is 10-year US treasury bond yield</t>
  </si>
  <si>
    <t>Calculation of Return on Invested Capital</t>
  </si>
  <si>
    <t>Total Assets</t>
  </si>
  <si>
    <t>Cash and Cash Equivalents</t>
  </si>
  <si>
    <t>Non Interest Bearing Liabilitie</t>
  </si>
  <si>
    <t>Invested Capital</t>
  </si>
  <si>
    <t>NOPAT</t>
  </si>
  <si>
    <t>Operating Income</t>
  </si>
  <si>
    <r>
      <t xml:space="preserve">      </t>
    </r>
    <r>
      <rPr>
        <i/>
        <sz val="11"/>
        <color theme="1"/>
        <rFont val="Calibri"/>
        <family val="2"/>
        <scheme val="minor"/>
      </rPr>
      <t>% of EBT</t>
    </r>
  </si>
  <si>
    <t>Return on Invested Capital</t>
  </si>
  <si>
    <t>Calculation of Re-investment Rate</t>
  </si>
  <si>
    <t>Net Capex</t>
  </si>
  <si>
    <t>Working Capital</t>
  </si>
  <si>
    <t>Change in Working Capital</t>
  </si>
  <si>
    <t>Reinvestment Rate</t>
  </si>
  <si>
    <t>Reinvestment (Net Capex + Change in WC)</t>
  </si>
  <si>
    <t>4-Year Average</t>
  </si>
  <si>
    <t>4-Year Median</t>
  </si>
  <si>
    <t>Calculation of Growth Rate</t>
  </si>
  <si>
    <t xml:space="preserve">Return on Invested Capital </t>
  </si>
  <si>
    <t>Intrinsic Growth Rate</t>
  </si>
  <si>
    <t>EBIT</t>
  </si>
  <si>
    <t>Marginal Tax Rate</t>
  </si>
  <si>
    <t>Less : Reinvestment Rate</t>
  </si>
  <si>
    <t>Free Cash Flow to Firm</t>
  </si>
  <si>
    <t>Mid Year Convention</t>
  </si>
  <si>
    <t>Discounting Factor</t>
  </si>
  <si>
    <t>PV of FCFF</t>
  </si>
  <si>
    <t>Terminal Growth Rate</t>
  </si>
  <si>
    <t>WACC</t>
  </si>
  <si>
    <t>Calculation of PV of Free Cash Flow to Firm</t>
  </si>
  <si>
    <t>Revenue Decomposition</t>
  </si>
  <si>
    <t xml:space="preserve">Streaming Revenues </t>
  </si>
  <si>
    <t xml:space="preserve">DVD Revenues </t>
  </si>
  <si>
    <t>Total Revenues</t>
  </si>
  <si>
    <t>United States and Canada (UCAN)</t>
  </si>
  <si>
    <r>
      <rPr>
        <sz val="12"/>
        <rFont val="Times New Roman"/>
        <family val="1"/>
      </rPr>
      <t>Revenues</t>
    </r>
  </si>
  <si>
    <r>
      <rPr>
        <sz val="12"/>
        <rFont val="Times New Roman"/>
        <family val="1"/>
      </rPr>
      <t>Paid memberships at end of period (1)</t>
    </r>
  </si>
  <si>
    <r>
      <rPr>
        <sz val="12"/>
        <rFont val="Times New Roman"/>
        <family val="1"/>
      </rPr>
      <t>Average paying memberships</t>
    </r>
  </si>
  <si>
    <r>
      <rPr>
        <sz val="12"/>
        <rFont val="Times New Roman"/>
        <family val="1"/>
      </rPr>
      <t>Average monthly revenue per paying membership</t>
    </r>
  </si>
  <si>
    <t>Europe, Middle East, and Africa (EMEA)</t>
  </si>
  <si>
    <t>Revenues</t>
  </si>
  <si>
    <t>Paid net membership additions</t>
  </si>
  <si>
    <t>Paid memberships at end of period (1)</t>
  </si>
  <si>
    <t>Average paying memberships</t>
  </si>
  <si>
    <t>Average monthly revenue per paying membership</t>
  </si>
  <si>
    <t>Latin America (LATAM)</t>
  </si>
  <si>
    <t>Asia-Pacific (APAC)</t>
  </si>
  <si>
    <t>% growth in paid memberships at the end of period</t>
  </si>
  <si>
    <t>Historical Financial Information</t>
  </si>
  <si>
    <t>Best Case</t>
  </si>
  <si>
    <t>(in thousands)</t>
  </si>
  <si>
    <t>Cost Decomposition</t>
  </si>
  <si>
    <t xml:space="preserve">Cost of Sales </t>
  </si>
  <si>
    <t>Marketing</t>
  </si>
  <si>
    <t>Technology and Development</t>
  </si>
  <si>
    <t>General and Administrative</t>
  </si>
  <si>
    <t>% of Revenue</t>
  </si>
  <si>
    <t>Base Case</t>
  </si>
  <si>
    <t>Closing Gross PPE</t>
  </si>
  <si>
    <t>Opening Accumulated Depreciation</t>
  </si>
  <si>
    <t>Closing Accumulated Depreciation</t>
  </si>
  <si>
    <t>Net PPE</t>
  </si>
  <si>
    <t xml:space="preserve">Add: Capex </t>
  </si>
  <si>
    <t>Add: Depreciation for the year</t>
  </si>
  <si>
    <t>Depreciation % of Gross PPE</t>
  </si>
  <si>
    <t>Capex % of Sales</t>
  </si>
  <si>
    <t>Opening Gross PPE</t>
  </si>
  <si>
    <t xml:space="preserve">Property and Equipment </t>
  </si>
  <si>
    <t>Content Assets</t>
  </si>
  <si>
    <t>Gross Licensed Content</t>
  </si>
  <si>
    <t>Additions during the Year</t>
  </si>
  <si>
    <t>Amortization</t>
  </si>
  <si>
    <t>Licensed Content, net</t>
  </si>
  <si>
    <t>Additions during the Year %</t>
  </si>
  <si>
    <t>Amortization as a % of Sum of Gross &amp; Additions Content</t>
  </si>
  <si>
    <t>Gross Produced Content</t>
  </si>
  <si>
    <t>Produced Content, net</t>
  </si>
  <si>
    <t>Calculation of Terminal Value</t>
  </si>
  <si>
    <t>FCFF (n+1)</t>
  </si>
  <si>
    <t xml:space="preserve">Terminal Value </t>
  </si>
  <si>
    <t>Calculation of Equity Value per share</t>
  </si>
  <si>
    <t>PV of Terminal Value</t>
  </si>
  <si>
    <t>Enterprise Value</t>
  </si>
  <si>
    <t>Add: Cash</t>
  </si>
  <si>
    <t>Less : Debt</t>
  </si>
  <si>
    <t>Equity Value</t>
  </si>
  <si>
    <t xml:space="preserve">No of Shares </t>
  </si>
  <si>
    <t>Equity Value per share</t>
  </si>
  <si>
    <t>Share Price</t>
  </si>
  <si>
    <t>Discount/Premium</t>
  </si>
  <si>
    <t>Terminal Growth     Rate</t>
  </si>
  <si>
    <t>Sensitivity Analysis - Enterprise Value</t>
  </si>
  <si>
    <t>Sensitivity Analysis - Share Price</t>
  </si>
  <si>
    <t>Shares Outstanding</t>
  </si>
  <si>
    <t>Net Debt</t>
  </si>
  <si>
    <t>Revenue</t>
  </si>
  <si>
    <t>EV/Revnue</t>
  </si>
  <si>
    <t>EV/EBITDA</t>
  </si>
  <si>
    <t>PE</t>
  </si>
  <si>
    <t>High</t>
  </si>
  <si>
    <t>75th Percentile</t>
  </si>
  <si>
    <t>25th Percentile</t>
  </si>
  <si>
    <t>Low</t>
  </si>
  <si>
    <t>O/S Shares</t>
  </si>
  <si>
    <t>Comparable Valuation</t>
  </si>
  <si>
    <t>Implied Enterprise Value</t>
  </si>
  <si>
    <t>Implied Market Value</t>
  </si>
  <si>
    <t>Implied Value per Share</t>
  </si>
  <si>
    <t>EV/Revenue</t>
  </si>
  <si>
    <t>[6] Equity-Risk Premium is the US market premium as provided by Ashwath Damodaran</t>
  </si>
  <si>
    <t>Note:</t>
  </si>
  <si>
    <t>Terminal Growth Rate [1]</t>
  </si>
  <si>
    <t>[1] Terminal Growth rate is the 6-year long-term GDP growth of USA, by Statista</t>
  </si>
  <si>
    <t>Adj Close</t>
  </si>
  <si>
    <t>Sorted Returns</t>
  </si>
  <si>
    <t>Monthly VAR - Historical</t>
  </si>
  <si>
    <t>Mean</t>
  </si>
  <si>
    <t>Standard Deviation</t>
  </si>
  <si>
    <t>Min</t>
  </si>
  <si>
    <t>Max</t>
  </si>
  <si>
    <t>Current Market Price</t>
  </si>
  <si>
    <t>Percentile</t>
  </si>
  <si>
    <t>Confidence</t>
  </si>
  <si>
    <t>VAR %</t>
  </si>
  <si>
    <t>Stock Price</t>
  </si>
  <si>
    <t>VAR ($)</t>
  </si>
  <si>
    <t>Monthly VAR - Monte Carlo Simulation</t>
  </si>
  <si>
    <t>Simulated Returns</t>
  </si>
  <si>
    <t>Replication</t>
  </si>
  <si>
    <t xml:space="preserve">Calculation of Monthly VAR using Historical and Monte Carlo Simulation approach </t>
  </si>
  <si>
    <t>Dupont Analysis</t>
  </si>
  <si>
    <t>Net profit</t>
  </si>
  <si>
    <t>Net Profit Margin (A)</t>
  </si>
  <si>
    <t xml:space="preserve">Return on Equity (A*B*C) - Dupont Equation </t>
  </si>
  <si>
    <t>Equity Multiplier (c)</t>
  </si>
  <si>
    <t>Return on Asset (A*B) - Dupont Equation</t>
  </si>
  <si>
    <t xml:space="preserve">Analysis: </t>
  </si>
  <si>
    <t>1. Net Profit Margin: Improved from 9.26% in 2019A to 16.04% in 2023A. This reflects Netflix's success in scaling its subscriber base and controlling costs, particularly through popular original content and international market expansion.</t>
  </si>
  <si>
    <t>2. Asset Turnover Ratio: Increased from 0.59 in 2019A to 0.69 in 2023A, indicating better utilization of investments in content and technology to drive higher revenue per dollar of assets.</t>
  </si>
  <si>
    <t>3. Equity Multiplier: Decreased from 4.48 in 2019A to 2.37 in 2023A. Netflix has strategically reduced its reliance on debt, lowering its financial risk and interest expenses, thereby making the company more financially stable.</t>
  </si>
  <si>
    <t>4. Return on Equity (ROE): Peaked at 32.28% in 2021A due to optimal conditions during the pandemic, with high subscriber growth and controlled costs. ROE then adjusted to 26.27% in 2023A, reflecting a balance between profitability, asset efficiency, and reduced leverage.</t>
  </si>
  <si>
    <t>Operating Expenses</t>
  </si>
  <si>
    <t xml:space="preserve">Trade Receivables </t>
  </si>
  <si>
    <t>Accounts Payable</t>
  </si>
  <si>
    <t>Trade Receivables Days</t>
  </si>
  <si>
    <t>Accounts Payable Days</t>
  </si>
  <si>
    <t>Debt Schedule</t>
  </si>
  <si>
    <t>Issuance Cost</t>
  </si>
  <si>
    <t xml:space="preserve">Financials : </t>
  </si>
  <si>
    <t>Long Term</t>
  </si>
  <si>
    <t>Short Term</t>
  </si>
  <si>
    <t>February 2013 - February 2021</t>
  </si>
  <si>
    <t>February 2015 - February 2022</t>
  </si>
  <si>
    <t>February 2014 - March 2024</t>
  </si>
  <si>
    <t>February 2015 - February 2025</t>
  </si>
  <si>
    <t>April 2020 - June 2025</t>
  </si>
  <si>
    <t>October 2016 - November 2026</t>
  </si>
  <si>
    <t>May 2017 - May 2027</t>
  </si>
  <si>
    <t>October 2017 - April 2028</t>
  </si>
  <si>
    <t>April 2018 - November 2028</t>
  </si>
  <si>
    <t>October 2018 - May 2029</t>
  </si>
  <si>
    <t>October 2018- May 2029</t>
  </si>
  <si>
    <t>April 2019 - November 2029</t>
  </si>
  <si>
    <t>October 2019 - June 2030</t>
  </si>
  <si>
    <t>Total</t>
  </si>
  <si>
    <t>Interest Schedule - Estimate</t>
  </si>
  <si>
    <t>Interest and other income (expense)</t>
  </si>
  <si>
    <t xml:space="preserve">   Trade Receivables</t>
  </si>
  <si>
    <t>s</t>
  </si>
  <si>
    <t>Change in Debt</t>
  </si>
  <si>
    <t>Worse Case</t>
  </si>
  <si>
    <t>Paid Net Membership Additions</t>
  </si>
  <si>
    <t xml:space="preserve">% Growth in paid Memberships </t>
  </si>
  <si>
    <t xml:space="preserve">DVD Revenue </t>
  </si>
  <si>
    <t xml:space="preserve">The continuous decline in Netflix's DVD revenues is primarily driven by the significant consumer shift towards digital streaming services. This shift is due to the increased convenience, variety, and instant access to content that streaming platforms provide compared to physical DVDs. Therefore, the revenue has been equally brought down to zero five years down the line. </t>
  </si>
  <si>
    <t>Exponential Regression</t>
  </si>
  <si>
    <t xml:space="preserve">Accrued Expenses and Other Liabilities </t>
  </si>
  <si>
    <t>Deferred Revenue</t>
  </si>
  <si>
    <t xml:space="preserve">Current content liabilities  </t>
  </si>
  <si>
    <t>Other Current Assets</t>
  </si>
  <si>
    <t>Other Non Current Assets</t>
  </si>
  <si>
    <t>Shareholding Pattern</t>
  </si>
  <si>
    <t>%</t>
  </si>
  <si>
    <t>Shareholders</t>
  </si>
  <si>
    <t>Institutional Investors</t>
  </si>
  <si>
    <t>Insiders</t>
  </si>
  <si>
    <t>Others</t>
  </si>
  <si>
    <t>Do not delete</t>
  </si>
  <si>
    <t>Key Financial Metrics</t>
  </si>
  <si>
    <t>Sales Growth</t>
  </si>
  <si>
    <t>EBITDA Margin</t>
  </si>
  <si>
    <t>EBIT Margin</t>
  </si>
  <si>
    <t>Net Profit Margin</t>
  </si>
  <si>
    <t>Earnings per share</t>
  </si>
  <si>
    <t>Gross Profit Margin</t>
  </si>
  <si>
    <t>EPS Growth rate</t>
  </si>
  <si>
    <t>Dividend per share</t>
  </si>
  <si>
    <t>Key Financial Ratios</t>
  </si>
  <si>
    <t>Return on Equity</t>
  </si>
  <si>
    <t>Return on Capital Employed</t>
  </si>
  <si>
    <t>Debt to Equity</t>
  </si>
  <si>
    <t>CFO to Total Assets</t>
  </si>
  <si>
    <t>Current Ratio</t>
  </si>
  <si>
    <t>PE Ratio</t>
  </si>
  <si>
    <t>Asset Turnover Ratio (B)</t>
  </si>
  <si>
    <t>MOAT</t>
  </si>
  <si>
    <t>Pioneer Advantage</t>
  </si>
  <si>
    <t>➤</t>
  </si>
  <si>
    <t>Subscriber Base</t>
  </si>
  <si>
    <t>Content Depth</t>
  </si>
  <si>
    <t>Network Effect</t>
  </si>
  <si>
    <t>Focus on Streaming</t>
  </si>
  <si>
    <t>Overvalued</t>
  </si>
  <si>
    <t>⎯⎯⎯⎯⎯⎯⎯⎯→</t>
  </si>
  <si>
    <t>Note :</t>
  </si>
  <si>
    <t xml:space="preserve">In the model, exponential regression was employed due to the observed compounding growth patterns in key financial metrics such as assets and liabilities over the years. This method is particularly effective for forecasting as it assumes that growth continues at an increasing rate, which aligns well with the trend seen in the data, allowing for more accurate future predictions.
</t>
  </si>
  <si>
    <t>Return on Assets</t>
  </si>
  <si>
    <t>Debt to Asset</t>
  </si>
  <si>
    <r>
      <rPr>
        <b/>
        <sz val="12"/>
        <color theme="1"/>
        <rFont val="Calibri"/>
        <family val="2"/>
        <scheme val="minor"/>
      </rPr>
      <t>Potential Overvaluation:</t>
    </r>
    <r>
      <rPr>
        <sz val="12"/>
        <color theme="1"/>
        <rFont val="Calibri"/>
        <family val="2"/>
        <scheme val="minor"/>
      </rPr>
      <t xml:space="preserve"> Current valuation metrics suggest Netflix may be overvalued, raising caution among value-focused investors.</t>
    </r>
  </si>
  <si>
    <r>
      <rPr>
        <b/>
        <sz val="12"/>
        <color theme="1"/>
        <rFont val="Calibri"/>
        <family val="2"/>
        <scheme val="minor"/>
      </rPr>
      <t>Financial Risk from Content Costs:</t>
    </r>
    <r>
      <rPr>
        <sz val="12"/>
        <color theme="1"/>
        <rFont val="Calibri"/>
        <family val="2"/>
        <scheme val="minor"/>
      </rPr>
      <t xml:space="preserve"> High investment in content creation could impact financial stability if growth falters.</t>
    </r>
  </si>
  <si>
    <r>
      <rPr>
        <b/>
        <sz val="12"/>
        <color theme="1"/>
        <rFont val="Calibri"/>
        <family val="2"/>
        <scheme val="minor"/>
      </rPr>
      <t xml:space="preserve">Revenue Diversification: </t>
    </r>
    <r>
      <rPr>
        <sz val="12"/>
        <color theme="1"/>
        <rFont val="Calibri"/>
        <family val="2"/>
        <scheme val="minor"/>
      </rPr>
      <t>New strategies like ad-supported tiers could enhance revenue streams and improve overall profitability.</t>
    </r>
  </si>
  <si>
    <t>Recommendation - HOLD</t>
  </si>
  <si>
    <t>Given the company’s strong market presence and growth prospects balanced against the current stock valuation which suggests a premium, maintaining a hold position is recommended,  with a close watch on upcoming quarterly results and market trends. This approach is prudent as it allows investors to benefit from potential upside while observing how strategic initiatives impact financial performance amidst a competitive landscape.</t>
  </si>
  <si>
    <r>
      <rPr>
        <b/>
        <sz val="12"/>
        <color theme="1"/>
        <rFont val="Calibri"/>
        <family val="2"/>
        <scheme val="minor"/>
      </rPr>
      <t xml:space="preserve">Continued Growth: </t>
    </r>
    <r>
      <rPr>
        <sz val="12"/>
        <color theme="1"/>
        <rFont val="Calibri"/>
        <family val="2"/>
        <scheme val="minor"/>
      </rPr>
      <t>Despite valuation concerns, Netflix is aggressively expanding its service in international markets, focusing on localized content which is expected to attract more subscribers outside of the saturated U.S. market.</t>
    </r>
  </si>
  <si>
    <r>
      <t xml:space="preserve">Price Optimization: </t>
    </r>
    <r>
      <rPr>
        <sz val="12"/>
        <color theme="1"/>
        <rFont val="Calibri"/>
        <family val="2"/>
        <scheme val="minor"/>
      </rPr>
      <t>Strategic adjustments in subscription pricing across different markets, leveraging data analytics to maximize revenue without significant subscriber loss.</t>
    </r>
  </si>
  <si>
    <r>
      <rPr>
        <b/>
        <sz val="12"/>
        <color theme="1"/>
        <rFont val="Calibri"/>
        <family val="2"/>
        <scheme val="minor"/>
      </rPr>
      <t>Increased Competition:</t>
    </r>
    <r>
      <rPr>
        <sz val="12"/>
        <color theme="1"/>
        <rFont val="Calibri"/>
        <family val="2"/>
        <scheme val="minor"/>
      </rPr>
      <t xml:space="preserve"> The streaming industry has seen an influx of new players, including tech giants like Apple and Amazon, and traditional media companies launching their own services, such as Disney+ and HBO Max. This heightened competition could lead to a higher churn rate and make subscriber acquisition more costly for Netflix.</t>
    </r>
  </si>
  <si>
    <t>Overall Assessment and Insight</t>
  </si>
  <si>
    <t>Table of Contents</t>
  </si>
  <si>
    <t>1.</t>
  </si>
  <si>
    <t>2.</t>
  </si>
  <si>
    <t>3.</t>
  </si>
  <si>
    <t>4.</t>
  </si>
  <si>
    <t>5.</t>
  </si>
  <si>
    <t>6.</t>
  </si>
  <si>
    <t>7.</t>
  </si>
  <si>
    <t>8.</t>
  </si>
  <si>
    <t>One Page Profile</t>
  </si>
  <si>
    <t>Financial Statements</t>
  </si>
  <si>
    <t>Notes to Accounts</t>
  </si>
  <si>
    <t>Assumptions</t>
  </si>
  <si>
    <t>Regression Analysis</t>
  </si>
  <si>
    <t>DCF Valuation</t>
  </si>
  <si>
    <t>Relative Valuation</t>
  </si>
  <si>
    <t>Monte Carlo Simulation and VAR</t>
  </si>
  <si>
    <t>9.</t>
  </si>
  <si>
    <t>10.</t>
  </si>
  <si>
    <t>Interest and other income (expense) as % of Revenue</t>
  </si>
  <si>
    <t>5 year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</si>
</sst>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_(* #,##0_);_(* \(#,##0\);_(* &quot;-&quot;??_);_(@_)"/>
    <numFmt numFmtId="165" formatCode="_([$$-409]* #,##0.00_);_([$$-409]* \(#,##0.00\);_([$$-409]* &quot;-&quot;??_);_(@_)"/>
    <numFmt numFmtId="166" formatCode="0.0%"/>
    <numFmt numFmtId="167" formatCode="0.0000"/>
    <numFmt numFmtId="168" formatCode="[$-409]mmm\-yy;@"/>
    <numFmt numFmtId="169" formatCode="_(* #,##0.0000_);_(* \(#,##0.0000\);_(* &quot;-&quot;??_);_(@_)"/>
    <numFmt numFmtId="170" formatCode="_([$$-409]* #,##0_);_([$$-409]* \(#,##0\);_([$$-409]* &quot;-&quot;_);_(@_)"/>
    <numFmt numFmtId="171" formatCode="0.00000000%"/>
    <numFmt numFmtId="172" formatCode="_(&quot;$&quot;* #,##0_);_(&quot;$&quot;* \(#,##0\);_(&quot;$&quot;* &quot;-&quot;??_);_(@_)"/>
    <numFmt numFmtId="173" formatCode="0&quot;A&quot;"/>
    <numFmt numFmtId="174" formatCode="0&quot;F&quot;"/>
    <numFmt numFmtId="175" formatCode="0.000%"/>
    <numFmt numFmtId="176" formatCode="0.000%\ &quot;Senior Notes&quot;"/>
  </numFmts>
  <fonts count="40" x14ac:knownFonts="1">
    <font>
      <sz val="12"/>
      <color theme="1"/>
      <name val="Calibri"/>
      <family val="2"/>
      <scheme val="minor"/>
    </font>
    <font>
      <sz val="12"/>
      <color theme="1"/>
      <name val="Calibri"/>
      <family val="2"/>
      <scheme val="minor"/>
    </font>
    <font>
      <b/>
      <sz val="12"/>
      <color theme="0"/>
      <name val="Calibri"/>
      <family val="2"/>
      <scheme val="minor"/>
    </font>
    <font>
      <i/>
      <sz val="11"/>
      <name val="Calibri"/>
      <family val="2"/>
      <scheme val="minor"/>
    </font>
    <font>
      <b/>
      <sz val="11"/>
      <color theme="0"/>
      <name val="Calibri"/>
      <family val="2"/>
      <scheme val="minor"/>
    </font>
    <font>
      <sz val="11"/>
      <color theme="1"/>
      <name val="Calibri"/>
      <family val="2"/>
      <scheme val="minor"/>
    </font>
    <font>
      <sz val="11"/>
      <color rgb="FF0115FE"/>
      <name val="Calibri"/>
      <family val="2"/>
      <scheme val="minor"/>
    </font>
    <font>
      <u/>
      <sz val="11"/>
      <color theme="1"/>
      <name val="Calibri"/>
      <family val="2"/>
      <scheme val="minor"/>
    </font>
    <font>
      <b/>
      <sz val="11"/>
      <color theme="1"/>
      <name val="Calibri"/>
      <family val="2"/>
      <scheme val="minor"/>
    </font>
    <font>
      <b/>
      <u/>
      <sz val="11"/>
      <color theme="1"/>
      <name val="Calibri"/>
      <family val="2"/>
      <scheme val="minor"/>
    </font>
    <font>
      <b/>
      <sz val="12"/>
      <color rgb="FFC00000"/>
      <name val="Calibri"/>
      <family val="2"/>
      <scheme val="minor"/>
    </font>
    <font>
      <sz val="10"/>
      <color theme="1"/>
      <name val="Calibri"/>
      <family val="2"/>
      <scheme val="minor"/>
    </font>
    <font>
      <i/>
      <sz val="11"/>
      <color theme="1"/>
      <name val="Calibri"/>
      <family val="2"/>
      <scheme val="minor"/>
    </font>
    <font>
      <i/>
      <sz val="10"/>
      <color theme="1"/>
      <name val="Calibri"/>
      <family val="2"/>
      <scheme val="minor"/>
    </font>
    <font>
      <b/>
      <sz val="14"/>
      <color rgb="FFC00000"/>
      <name val="Calibri"/>
      <family val="2"/>
      <scheme val="minor"/>
    </font>
    <font>
      <b/>
      <sz val="12"/>
      <color theme="1"/>
      <name val="Calibri"/>
      <family val="2"/>
      <scheme val="minor"/>
    </font>
    <font>
      <i/>
      <sz val="12"/>
      <color theme="1"/>
      <name val="Calibri"/>
      <family val="2"/>
      <scheme val="minor"/>
    </font>
    <font>
      <sz val="12"/>
      <color rgb="FF0115FE"/>
      <name val="Calibri"/>
      <family val="2"/>
      <scheme val="minor"/>
    </font>
    <font>
      <sz val="10"/>
      <color rgb="FF000000"/>
      <name val="Tahoma"/>
      <family val="2"/>
    </font>
    <font>
      <b/>
      <sz val="10"/>
      <color rgb="FF000000"/>
      <name val="Tahoma"/>
      <family val="2"/>
    </font>
    <font>
      <sz val="12"/>
      <name val="Times New Roman"/>
      <family val="1"/>
    </font>
    <font>
      <b/>
      <i/>
      <sz val="11"/>
      <name val="Calibri"/>
      <family val="2"/>
      <scheme val="minor"/>
    </font>
    <font>
      <sz val="11"/>
      <color theme="0"/>
      <name val="Calibri"/>
      <family val="2"/>
      <scheme val="minor"/>
    </font>
    <font>
      <sz val="10"/>
      <name val="Arial"/>
      <family val="2"/>
    </font>
    <font>
      <b/>
      <sz val="11"/>
      <name val="Calibri"/>
      <family val="2"/>
      <scheme val="minor"/>
    </font>
    <font>
      <sz val="11"/>
      <color rgb="FF232A31"/>
      <name val="Helvetica Neue"/>
      <family val="2"/>
    </font>
    <font>
      <sz val="9"/>
      <color rgb="FF000000"/>
      <name val="Helvetica"/>
      <family val="2"/>
    </font>
    <font>
      <sz val="14"/>
      <color rgb="FFE8E8E8"/>
      <name val="Arial"/>
      <family val="2"/>
    </font>
    <font>
      <b/>
      <u/>
      <sz val="12"/>
      <color theme="1"/>
      <name val="Calibri"/>
      <family val="2"/>
      <scheme val="minor"/>
    </font>
    <font>
      <i/>
      <sz val="10"/>
      <color rgb="FF0115FE"/>
      <name val="Calibri"/>
      <family val="2"/>
      <scheme val="minor"/>
    </font>
    <font>
      <sz val="11"/>
      <name val="Calibri"/>
      <family val="2"/>
      <scheme val="minor"/>
    </font>
    <font>
      <sz val="12"/>
      <name val="Calibri"/>
      <family val="2"/>
      <scheme val="minor"/>
    </font>
    <font>
      <sz val="12"/>
      <color theme="0"/>
      <name val="Calibri"/>
      <family val="2"/>
      <scheme val="minor"/>
    </font>
    <font>
      <u/>
      <sz val="12"/>
      <color theme="10"/>
      <name val="Calibri"/>
      <family val="2"/>
      <scheme val="minor"/>
    </font>
    <font>
      <sz val="14"/>
      <color theme="1"/>
      <name val="Calibri"/>
      <family val="2"/>
      <scheme val="minor"/>
    </font>
    <font>
      <b/>
      <sz val="18"/>
      <color rgb="FFC00000"/>
      <name val="Calibri"/>
      <family val="2"/>
      <scheme val="minor"/>
    </font>
    <font>
      <sz val="12"/>
      <color rgb="FFC00000"/>
      <name val="Calibri"/>
      <family val="2"/>
      <scheme val="minor"/>
    </font>
    <font>
      <b/>
      <sz val="16"/>
      <color theme="1"/>
      <name val="Times New Roman"/>
      <family val="1"/>
    </font>
    <font>
      <u/>
      <sz val="14"/>
      <color theme="10"/>
      <name val="Calibri"/>
      <family val="2"/>
      <scheme val="minor"/>
    </font>
    <font>
      <b/>
      <i/>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right/>
      <top/>
      <bottom style="thin">
        <color theme="1"/>
      </bottom>
      <diagonal/>
    </border>
    <border>
      <left/>
      <right/>
      <top style="thin">
        <color theme="1"/>
      </top>
      <bottom/>
      <diagonal/>
    </border>
    <border>
      <left/>
      <right/>
      <top style="thin">
        <color theme="1"/>
      </top>
      <bottom style="thin">
        <color theme="1"/>
      </bottom>
      <diagonal/>
    </border>
    <border>
      <left/>
      <right style="thin">
        <color theme="1"/>
      </right>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0" borderId="0"/>
    <xf numFmtId="9" fontId="5" fillId="0" borderId="0" applyFont="0" applyFill="0" applyBorder="0" applyAlignment="0" applyProtection="0"/>
    <xf numFmtId="0" fontId="33" fillId="0" borderId="0" applyNumberFormat="0" applyFill="0" applyBorder="0" applyAlignment="0" applyProtection="0"/>
  </cellStyleXfs>
  <cellXfs count="233">
    <xf numFmtId="0" fontId="0" fillId="0" borderId="0" xfId="0"/>
    <xf numFmtId="164" fontId="4" fillId="2" borderId="0" xfId="1" applyNumberFormat="1" applyFont="1" applyFill="1" applyAlignment="1">
      <alignment horizontal="centerContinuous"/>
    </xf>
    <xf numFmtId="0" fontId="5" fillId="0" borderId="0" xfId="0" applyFont="1"/>
    <xf numFmtId="0" fontId="4" fillId="2" borderId="0" xfId="0" applyFont="1" applyFill="1" applyAlignment="1">
      <alignment vertical="center"/>
    </xf>
    <xf numFmtId="164" fontId="4" fillId="2" borderId="0" xfId="1" applyNumberFormat="1" applyFont="1" applyFill="1"/>
    <xf numFmtId="164" fontId="6" fillId="0" borderId="0" xfId="1" applyNumberFormat="1" applyFont="1"/>
    <xf numFmtId="164" fontId="5" fillId="0" borderId="0" xfId="1" applyNumberFormat="1" applyFont="1"/>
    <xf numFmtId="0" fontId="5" fillId="0" borderId="1" xfId="0" applyFont="1" applyBorder="1"/>
    <xf numFmtId="164" fontId="5" fillId="0" borderId="1" xfId="1" applyNumberFormat="1" applyFont="1" applyBorder="1"/>
    <xf numFmtId="10" fontId="5" fillId="0" borderId="0" xfId="2" applyNumberFormat="1" applyFont="1"/>
    <xf numFmtId="164" fontId="5" fillId="0" borderId="2" xfId="1" applyNumberFormat="1" applyFont="1" applyBorder="1"/>
    <xf numFmtId="0" fontId="7" fillId="0" borderId="0" xfId="0" applyFont="1"/>
    <xf numFmtId="43" fontId="5" fillId="0" borderId="0" xfId="1" applyFont="1"/>
    <xf numFmtId="43" fontId="5" fillId="0" borderId="0" xfId="0" applyNumberFormat="1" applyFont="1"/>
    <xf numFmtId="0" fontId="7" fillId="0" borderId="0" xfId="0" applyFont="1" applyAlignment="1">
      <alignment horizontal="left" vertical="center" wrapText="1"/>
    </xf>
    <xf numFmtId="164" fontId="5" fillId="2" borderId="0" xfId="1" applyNumberFormat="1" applyFont="1" applyFill="1"/>
    <xf numFmtId="0" fontId="8" fillId="0" borderId="0" xfId="0" applyFont="1"/>
    <xf numFmtId="0" fontId="8" fillId="0" borderId="2" xfId="0" applyFont="1" applyBorder="1"/>
    <xf numFmtId="164" fontId="8" fillId="0" borderId="2" xfId="1" applyNumberFormat="1" applyFont="1" applyBorder="1"/>
    <xf numFmtId="0" fontId="5" fillId="0" borderId="0" xfId="0" applyFont="1" applyAlignment="1">
      <alignment wrapText="1"/>
    </xf>
    <xf numFmtId="0" fontId="5" fillId="0" borderId="3" xfId="0" applyFont="1" applyBorder="1"/>
    <xf numFmtId="164" fontId="5" fillId="0" borderId="3" xfId="1" applyNumberFormat="1" applyFont="1" applyBorder="1"/>
    <xf numFmtId="0" fontId="9" fillId="0" borderId="0" xfId="0" applyFont="1"/>
    <xf numFmtId="0" fontId="5" fillId="0" borderId="0" xfId="0" applyFont="1" applyAlignment="1">
      <alignment horizontal="left" vertical="center"/>
    </xf>
    <xf numFmtId="0" fontId="8" fillId="0" borderId="1" xfId="0" applyFont="1" applyBorder="1"/>
    <xf numFmtId="0" fontId="5" fillId="0" borderId="1" xfId="0" applyFont="1" applyBorder="1" applyAlignment="1">
      <alignment wrapText="1"/>
    </xf>
    <xf numFmtId="0" fontId="5" fillId="0" borderId="2" xfId="0" applyFont="1" applyBorder="1" applyAlignment="1">
      <alignment wrapText="1"/>
    </xf>
    <xf numFmtId="0" fontId="10" fillId="3" borderId="0" xfId="0" applyFont="1" applyFill="1" applyAlignment="1">
      <alignment horizontal="centerContinuous"/>
    </xf>
    <xf numFmtId="0" fontId="10" fillId="3" borderId="0" xfId="0" applyFont="1" applyFill="1" applyAlignment="1">
      <alignment horizontal="centerContinuous" vertical="center"/>
    </xf>
    <xf numFmtId="10" fontId="13" fillId="0" borderId="0" xfId="2" applyNumberFormat="1" applyFont="1"/>
    <xf numFmtId="0" fontId="13" fillId="0" borderId="0" xfId="0" applyFont="1"/>
    <xf numFmtId="0" fontId="0" fillId="0" borderId="0" xfId="0" applyAlignment="1">
      <alignment horizontal="centerContinuous"/>
    </xf>
    <xf numFmtId="0" fontId="14" fillId="0" borderId="0" xfId="0" applyFont="1" applyAlignment="1">
      <alignment horizontal="centerContinuous"/>
    </xf>
    <xf numFmtId="0" fontId="2" fillId="3" borderId="0" xfId="0" applyFont="1" applyFill="1" applyAlignment="1">
      <alignment horizontal="center" vertical="center"/>
    </xf>
    <xf numFmtId="0" fontId="14" fillId="0" borderId="0" xfId="0" applyFont="1" applyAlignment="1">
      <alignment horizontal="left"/>
    </xf>
    <xf numFmtId="164" fontId="2" fillId="2" borderId="0" xfId="1" applyNumberFormat="1" applyFont="1" applyFill="1" applyAlignment="1">
      <alignment horizontal="centerContinuous" vertical="center"/>
    </xf>
    <xf numFmtId="164" fontId="2" fillId="0" borderId="0" xfId="1" applyNumberFormat="1" applyFont="1" applyFill="1" applyAlignment="1">
      <alignment horizontal="center" vertical="center"/>
    </xf>
    <xf numFmtId="166" fontId="0" fillId="0" borderId="0" xfId="2" applyNumberFormat="1" applyFont="1"/>
    <xf numFmtId="10" fontId="0" fillId="0" borderId="0" xfId="2" applyNumberFormat="1" applyFont="1"/>
    <xf numFmtId="4" fontId="0" fillId="0" borderId="0" xfId="0" applyNumberFormat="1"/>
    <xf numFmtId="9" fontId="0" fillId="0" borderId="0" xfId="2" applyFont="1"/>
    <xf numFmtId="9" fontId="0" fillId="0" borderId="0" xfId="0" applyNumberFormat="1"/>
    <xf numFmtId="2" fontId="0" fillId="0" borderId="0" xfId="0" applyNumberFormat="1"/>
    <xf numFmtId="0" fontId="15" fillId="0" borderId="0" xfId="0" applyFont="1"/>
    <xf numFmtId="0" fontId="0" fillId="0" borderId="4" xfId="0" applyBorder="1"/>
    <xf numFmtId="0" fontId="15" fillId="0" borderId="5" xfId="0" applyFont="1" applyBorder="1"/>
    <xf numFmtId="2" fontId="15" fillId="0" borderId="5" xfId="0" applyNumberFormat="1" applyFont="1" applyBorder="1"/>
    <xf numFmtId="2" fontId="15" fillId="0" borderId="0" xfId="0" applyNumberFormat="1" applyFont="1"/>
    <xf numFmtId="168" fontId="0" fillId="0" borderId="0" xfId="0" applyNumberFormat="1"/>
    <xf numFmtId="0" fontId="3" fillId="0" borderId="0" xfId="0" applyFont="1" applyAlignment="1">
      <alignment horizontal="center" vertical="center"/>
    </xf>
    <xf numFmtId="43" fontId="2" fillId="0" borderId="0" xfId="1" applyFont="1" applyFill="1" applyAlignment="1">
      <alignment horizontal="center" vertical="center"/>
    </xf>
    <xf numFmtId="43" fontId="2" fillId="2" borderId="0" xfId="1" applyFont="1" applyFill="1" applyAlignment="1">
      <alignment horizontal="centerContinuous" vertical="center"/>
    </xf>
    <xf numFmtId="43" fontId="0" fillId="0" borderId="0" xfId="0" applyNumberFormat="1"/>
    <xf numFmtId="0" fontId="15" fillId="4" borderId="0" xfId="0" applyFont="1" applyFill="1" applyAlignment="1">
      <alignment horizontal="centerContinuous"/>
    </xf>
    <xf numFmtId="0" fontId="0" fillId="4" borderId="0" xfId="0" applyFill="1" applyAlignment="1">
      <alignment horizontal="centerContinuous"/>
    </xf>
    <xf numFmtId="0" fontId="15" fillId="4" borderId="0" xfId="0" applyFont="1" applyFill="1" applyAlignment="1">
      <alignment horizontal="center"/>
    </xf>
    <xf numFmtId="43" fontId="15" fillId="4" borderId="0" xfId="0" applyNumberFormat="1" applyFont="1" applyFill="1" applyAlignment="1">
      <alignment horizontal="center"/>
    </xf>
    <xf numFmtId="43" fontId="0" fillId="0" borderId="0" xfId="1" applyFont="1"/>
    <xf numFmtId="43" fontId="0" fillId="0" borderId="0" xfId="1" applyFont="1" applyFill="1"/>
    <xf numFmtId="43" fontId="15" fillId="4" borderId="0" xfId="1" applyFont="1" applyFill="1" applyAlignment="1">
      <alignment horizontal="center"/>
    </xf>
    <xf numFmtId="10" fontId="0" fillId="0" borderId="0" xfId="0" applyNumberFormat="1"/>
    <xf numFmtId="10" fontId="17" fillId="0" borderId="0" xfId="2" applyNumberFormat="1" applyFont="1"/>
    <xf numFmtId="9" fontId="5" fillId="0" borderId="0" xfId="2" applyFont="1"/>
    <xf numFmtId="164" fontId="0" fillId="0" borderId="0" xfId="1" applyNumberFormat="1" applyFont="1"/>
    <xf numFmtId="164" fontId="17" fillId="0" borderId="0" xfId="1" applyNumberFormat="1" applyFont="1"/>
    <xf numFmtId="164" fontId="4" fillId="2" borderId="0" xfId="1" applyNumberFormat="1" applyFont="1" applyFill="1" applyAlignment="1">
      <alignment horizontal="centerContinuous" vertical="center"/>
    </xf>
    <xf numFmtId="164" fontId="4" fillId="0" borderId="0" xfId="1" applyNumberFormat="1" applyFont="1" applyFill="1" applyAlignment="1">
      <alignment vertical="center"/>
    </xf>
    <xf numFmtId="164" fontId="3" fillId="0" borderId="0" xfId="1" applyNumberFormat="1" applyFont="1" applyFill="1" applyAlignment="1">
      <alignment horizontal="centerContinuous" vertical="center"/>
    </xf>
    <xf numFmtId="164" fontId="4" fillId="0" borderId="0" xfId="1" applyNumberFormat="1" applyFont="1" applyFill="1" applyAlignment="1">
      <alignment horizontal="centerContinuous" vertical="center"/>
    </xf>
    <xf numFmtId="10" fontId="6" fillId="0" borderId="0" xfId="2" applyNumberFormat="1" applyFont="1"/>
    <xf numFmtId="4" fontId="5" fillId="0" borderId="0" xfId="0" applyNumberFormat="1" applyFont="1"/>
    <xf numFmtId="2" fontId="5" fillId="0" borderId="0" xfId="0" applyNumberFormat="1" applyFont="1"/>
    <xf numFmtId="10" fontId="5" fillId="0" borderId="0" xfId="0" applyNumberFormat="1" applyFont="1"/>
    <xf numFmtId="0" fontId="5" fillId="0" borderId="5" xfId="0" applyFont="1" applyBorder="1"/>
    <xf numFmtId="10" fontId="5" fillId="0" borderId="5" xfId="0" applyNumberFormat="1" applyFont="1" applyBorder="1"/>
    <xf numFmtId="43" fontId="5" fillId="0" borderId="5" xfId="1" applyFont="1" applyBorder="1"/>
    <xf numFmtId="164" fontId="5" fillId="0" borderId="0" xfId="0" applyNumberFormat="1" applyFont="1"/>
    <xf numFmtId="167" fontId="5" fillId="0" borderId="0" xfId="0" applyNumberFormat="1" applyFont="1"/>
    <xf numFmtId="169" fontId="5" fillId="0" borderId="0" xfId="0" applyNumberFormat="1" applyFont="1"/>
    <xf numFmtId="169" fontId="5" fillId="0" borderId="0" xfId="1" applyNumberFormat="1" applyFont="1"/>
    <xf numFmtId="164" fontId="5" fillId="0" borderId="5" xfId="0" applyNumberFormat="1" applyFont="1" applyBorder="1"/>
    <xf numFmtId="0" fontId="8" fillId="0" borderId="5" xfId="0" applyFont="1" applyBorder="1"/>
    <xf numFmtId="164" fontId="8" fillId="0" borderId="5" xfId="0" applyNumberFormat="1" applyFont="1" applyBorder="1"/>
    <xf numFmtId="169" fontId="8" fillId="0" borderId="5" xfId="1" applyNumberFormat="1" applyFont="1" applyBorder="1"/>
    <xf numFmtId="0" fontId="8" fillId="0" borderId="6" xfId="0" applyFont="1" applyBorder="1"/>
    <xf numFmtId="0" fontId="5" fillId="0" borderId="6" xfId="0" applyFont="1" applyBorder="1"/>
    <xf numFmtId="10" fontId="8" fillId="0" borderId="5" xfId="0" applyNumberFormat="1" applyFont="1" applyBorder="1"/>
    <xf numFmtId="10" fontId="6" fillId="0" borderId="0" xfId="0" applyNumberFormat="1" applyFont="1"/>
    <xf numFmtId="10" fontId="8" fillId="0" borderId="5" xfId="2" applyNumberFormat="1" applyFont="1" applyBorder="1"/>
    <xf numFmtId="0" fontId="8" fillId="0" borderId="0" xfId="0" applyFont="1" applyAlignment="1">
      <alignment horizontal="right"/>
    </xf>
    <xf numFmtId="0" fontId="8" fillId="4" borderId="0" xfId="0" applyFont="1" applyFill="1"/>
    <xf numFmtId="0" fontId="11" fillId="0" borderId="0" xfId="0" applyFont="1"/>
    <xf numFmtId="10" fontId="8" fillId="0" borderId="0" xfId="0" applyNumberFormat="1" applyFont="1"/>
    <xf numFmtId="0" fontId="8" fillId="4" borderId="4" xfId="0" applyFont="1" applyFill="1" applyBorder="1"/>
    <xf numFmtId="0" fontId="5" fillId="4" borderId="4" xfId="0" applyFont="1" applyFill="1" applyBorder="1"/>
    <xf numFmtId="164" fontId="15" fillId="0" borderId="0" xfId="1" applyNumberFormat="1" applyFont="1"/>
    <xf numFmtId="10" fontId="1" fillId="0" borderId="0" xfId="2" applyNumberFormat="1" applyFont="1"/>
    <xf numFmtId="164" fontId="4" fillId="2" borderId="0" xfId="1" applyNumberFormat="1" applyFont="1" applyFill="1" applyAlignment="1">
      <alignment vertical="center"/>
    </xf>
    <xf numFmtId="164" fontId="15" fillId="0" borderId="0" xfId="1" applyNumberFormat="1" applyFont="1" applyAlignment="1">
      <alignment wrapText="1"/>
    </xf>
    <xf numFmtId="164" fontId="16" fillId="0" borderId="0" xfId="1" applyNumberFormat="1" applyFont="1"/>
    <xf numFmtId="43" fontId="17" fillId="0" borderId="0" xfId="1" applyFont="1"/>
    <xf numFmtId="9" fontId="17" fillId="0" borderId="0" xfId="2" applyFont="1"/>
    <xf numFmtId="166" fontId="17" fillId="0" borderId="0" xfId="2" applyNumberFormat="1" applyFont="1"/>
    <xf numFmtId="164" fontId="16" fillId="0" borderId="0" xfId="1" applyNumberFormat="1" applyFont="1" applyAlignment="1">
      <alignment horizontal="left"/>
    </xf>
    <xf numFmtId="164" fontId="1" fillId="0" borderId="0" xfId="1" applyNumberFormat="1" applyFont="1"/>
    <xf numFmtId="9" fontId="1" fillId="0" borderId="0" xfId="2" applyFont="1"/>
    <xf numFmtId="164" fontId="8" fillId="0" borderId="0" xfId="1" applyNumberFormat="1" applyFont="1"/>
    <xf numFmtId="164" fontId="8" fillId="2" borderId="0" xfId="1" applyNumberFormat="1" applyFont="1" applyFill="1"/>
    <xf numFmtId="164" fontId="1" fillId="0" borderId="0" xfId="1" applyNumberFormat="1" applyFont="1" applyAlignment="1">
      <alignment horizontal="left"/>
    </xf>
    <xf numFmtId="43" fontId="1" fillId="0" borderId="0" xfId="1" applyFont="1"/>
    <xf numFmtId="164" fontId="15" fillId="0" borderId="6" xfId="1" applyNumberFormat="1" applyFont="1" applyBorder="1"/>
    <xf numFmtId="10" fontId="16" fillId="0" borderId="0" xfId="2" applyNumberFormat="1" applyFont="1"/>
    <xf numFmtId="164" fontId="0" fillId="0" borderId="5" xfId="1" applyNumberFormat="1" applyFont="1" applyBorder="1"/>
    <xf numFmtId="164" fontId="1" fillId="0" borderId="5" xfId="1" applyNumberFormat="1" applyFont="1" applyBorder="1"/>
    <xf numFmtId="164" fontId="17" fillId="0" borderId="5" xfId="1" applyNumberFormat="1" applyFont="1" applyBorder="1"/>
    <xf numFmtId="3" fontId="17" fillId="0" borderId="0" xfId="0" applyNumberFormat="1" applyFont="1"/>
    <xf numFmtId="164" fontId="5" fillId="0" borderId="0" xfId="1" applyNumberFormat="1" applyFont="1" applyAlignment="1">
      <alignment horizontal="right"/>
    </xf>
    <xf numFmtId="0" fontId="5" fillId="0" borderId="0" xfId="0" applyFont="1" applyAlignment="1">
      <alignment horizontal="right"/>
    </xf>
    <xf numFmtId="164" fontId="8" fillId="0" borderId="5" xfId="0" applyNumberFormat="1" applyFont="1" applyBorder="1" applyAlignment="1">
      <alignment horizontal="right"/>
    </xf>
    <xf numFmtId="10" fontId="5" fillId="0" borderId="0" xfId="0" applyNumberFormat="1" applyFont="1" applyAlignment="1">
      <alignment horizontal="right"/>
    </xf>
    <xf numFmtId="164" fontId="8" fillId="0" borderId="5" xfId="1" applyNumberFormat="1" applyFont="1" applyBorder="1" applyAlignment="1">
      <alignment horizontal="right"/>
    </xf>
    <xf numFmtId="10" fontId="8" fillId="0" borderId="6" xfId="2" applyNumberFormat="1" applyFont="1" applyBorder="1" applyAlignment="1">
      <alignment horizontal="right"/>
    </xf>
    <xf numFmtId="0" fontId="8" fillId="0" borderId="6" xfId="0" applyFont="1" applyBorder="1" applyAlignment="1">
      <alignment horizontal="right"/>
    </xf>
    <xf numFmtId="0" fontId="5" fillId="0" borderId="6" xfId="0" applyFont="1" applyBorder="1" applyAlignment="1">
      <alignment horizontal="right"/>
    </xf>
    <xf numFmtId="10" fontId="5" fillId="0" borderId="6" xfId="2" applyNumberFormat="1" applyFont="1" applyBorder="1" applyAlignment="1">
      <alignment horizontal="right"/>
    </xf>
    <xf numFmtId="9" fontId="5" fillId="0" borderId="0" xfId="2" applyFont="1" applyAlignment="1">
      <alignment horizontal="right"/>
    </xf>
    <xf numFmtId="0" fontId="6" fillId="0" borderId="0" xfId="0" applyFont="1" applyAlignment="1">
      <alignment horizontal="right"/>
    </xf>
    <xf numFmtId="2" fontId="5" fillId="0" borderId="0" xfId="0" applyNumberFormat="1" applyFont="1" applyAlignment="1">
      <alignment horizontal="right"/>
    </xf>
    <xf numFmtId="164" fontId="8" fillId="0" borderId="6" xfId="0" applyNumberFormat="1" applyFont="1" applyBorder="1"/>
    <xf numFmtId="3" fontId="5" fillId="0" borderId="0" xfId="0" applyNumberFormat="1" applyFont="1"/>
    <xf numFmtId="164" fontId="5" fillId="0" borderId="5" xfId="1" applyNumberFormat="1" applyFont="1" applyBorder="1"/>
    <xf numFmtId="43" fontId="8" fillId="4" borderId="0" xfId="1" applyFont="1" applyFill="1"/>
    <xf numFmtId="164" fontId="8" fillId="0" borderId="5" xfId="1" applyNumberFormat="1" applyFont="1" applyBorder="1"/>
    <xf numFmtId="164" fontId="8" fillId="0" borderId="6" xfId="1" applyNumberFormat="1" applyFont="1" applyBorder="1"/>
    <xf numFmtId="9" fontId="6" fillId="0" borderId="0" xfId="0" applyNumberFormat="1" applyFont="1"/>
    <xf numFmtId="1" fontId="5" fillId="0" borderId="0" xfId="0" applyNumberFormat="1" applyFont="1"/>
    <xf numFmtId="171" fontId="8" fillId="0" borderId="6" xfId="2" applyNumberFormat="1" applyFont="1" applyBorder="1"/>
    <xf numFmtId="164" fontId="22" fillId="0" borderId="0" xfId="0" applyNumberFormat="1" applyFont="1"/>
    <xf numFmtId="1" fontId="5" fillId="4" borderId="0" xfId="0" applyNumberFormat="1" applyFont="1" applyFill="1"/>
    <xf numFmtId="9" fontId="8" fillId="0" borderId="0" xfId="0" applyNumberFormat="1" applyFont="1"/>
    <xf numFmtId="164" fontId="4" fillId="4" borderId="4" xfId="1" applyNumberFormat="1" applyFont="1" applyFill="1" applyBorder="1" applyAlignment="1">
      <alignment horizontal="centerContinuous" vertical="center"/>
    </xf>
    <xf numFmtId="0" fontId="5" fillId="4" borderId="4" xfId="0" applyFont="1" applyFill="1" applyBorder="1" applyAlignment="1">
      <alignment horizontal="centerContinuous"/>
    </xf>
    <xf numFmtId="164" fontId="24" fillId="4" borderId="4" xfId="1" applyNumberFormat="1" applyFont="1" applyFill="1" applyBorder="1" applyAlignment="1">
      <alignment horizontal="centerContinuous" vertical="center"/>
    </xf>
    <xf numFmtId="164" fontId="4" fillId="2" borderId="0" xfId="1" applyNumberFormat="1" applyFont="1" applyFill="1" applyAlignment="1">
      <alignment horizontal="left" vertical="center"/>
    </xf>
    <xf numFmtId="164" fontId="4" fillId="4" borderId="0" xfId="1" applyNumberFormat="1" applyFont="1" applyFill="1" applyAlignment="1">
      <alignment horizontal="center" vertical="center"/>
    </xf>
    <xf numFmtId="10" fontId="8" fillId="4" borderId="0" xfId="0" applyNumberFormat="1" applyFont="1" applyFill="1" applyAlignment="1">
      <alignment horizontal="center" vertical="center" wrapText="1"/>
    </xf>
    <xf numFmtId="43" fontId="11" fillId="0" borderId="0" xfId="1" applyFont="1"/>
    <xf numFmtId="165" fontId="0" fillId="0" borderId="0" xfId="0" applyNumberFormat="1"/>
    <xf numFmtId="165" fontId="8" fillId="0" borderId="0" xfId="0" applyNumberFormat="1" applyFont="1"/>
    <xf numFmtId="3" fontId="8" fillId="0" borderId="0" xfId="0" applyNumberFormat="1" applyFont="1"/>
    <xf numFmtId="170" fontId="8" fillId="0" borderId="0" xfId="0" applyNumberFormat="1" applyFont="1"/>
    <xf numFmtId="44" fontId="8" fillId="0" borderId="0" xfId="3" applyFont="1"/>
    <xf numFmtId="43" fontId="8" fillId="0" borderId="0" xfId="1" applyFont="1"/>
    <xf numFmtId="165" fontId="5" fillId="0" borderId="0" xfId="0" applyNumberFormat="1" applyFont="1"/>
    <xf numFmtId="170" fontId="5" fillId="0" borderId="0" xfId="0" applyNumberFormat="1" applyFont="1"/>
    <xf numFmtId="172" fontId="5" fillId="0" borderId="0" xfId="3" applyNumberFormat="1" applyFont="1"/>
    <xf numFmtId="43" fontId="8" fillId="0" borderId="0" xfId="0" applyNumberFormat="1" applyFont="1"/>
    <xf numFmtId="3" fontId="25" fillId="0" borderId="0" xfId="0" applyNumberFormat="1" applyFont="1"/>
    <xf numFmtId="164" fontId="4" fillId="2" borderId="0" xfId="1" applyNumberFormat="1" applyFont="1" applyFill="1" applyAlignment="1">
      <alignment horizontal="right" vertical="center"/>
    </xf>
    <xf numFmtId="44" fontId="26" fillId="0" borderId="0" xfId="3" applyFont="1"/>
    <xf numFmtId="44" fontId="5" fillId="0" borderId="0" xfId="0" applyNumberFormat="1" applyFont="1"/>
    <xf numFmtId="43" fontId="8" fillId="0" borderId="6" xfId="0" applyNumberFormat="1" applyFont="1" applyBorder="1"/>
    <xf numFmtId="9" fontId="8" fillId="0" borderId="0" xfId="2" applyFont="1"/>
    <xf numFmtId="4" fontId="27" fillId="0" borderId="0" xfId="0" applyNumberFormat="1" applyFont="1"/>
    <xf numFmtId="43" fontId="0" fillId="0" borderId="0" xfId="2" applyNumberFormat="1" applyFont="1"/>
    <xf numFmtId="0" fontId="0" fillId="4" borderId="0" xfId="0" applyFill="1"/>
    <xf numFmtId="0" fontId="15" fillId="4" borderId="0" xfId="0" applyFont="1" applyFill="1" applyAlignment="1">
      <alignment horizontal="right"/>
    </xf>
    <xf numFmtId="0" fontId="15" fillId="0" borderId="1" xfId="0" applyFont="1" applyBorder="1"/>
    <xf numFmtId="10" fontId="15" fillId="0" borderId="1" xfId="2" applyNumberFormat="1" applyFont="1" applyBorder="1"/>
    <xf numFmtId="2" fontId="15" fillId="0" borderId="1" xfId="0" applyNumberFormat="1" applyFont="1" applyBorder="1"/>
    <xf numFmtId="0" fontId="15" fillId="4" borderId="3" xfId="0" applyFont="1" applyFill="1" applyBorder="1"/>
    <xf numFmtId="10" fontId="15" fillId="4" borderId="3" xfId="2" applyNumberFormat="1" applyFont="1" applyFill="1" applyBorder="1"/>
    <xf numFmtId="10" fontId="15" fillId="0" borderId="0" xfId="2" applyNumberFormat="1" applyFont="1" applyFill="1" applyBorder="1"/>
    <xf numFmtId="0" fontId="28" fillId="0" borderId="0" xfId="0" applyFont="1"/>
    <xf numFmtId="164" fontId="15" fillId="0" borderId="0" xfId="1" applyNumberFormat="1" applyFont="1" applyBorder="1"/>
    <xf numFmtId="173" fontId="4" fillId="2" borderId="0" xfId="1" applyNumberFormat="1" applyFont="1" applyFill="1"/>
    <xf numFmtId="174" fontId="4" fillId="2" borderId="0" xfId="1" applyNumberFormat="1" applyFont="1" applyFill="1"/>
    <xf numFmtId="164" fontId="15" fillId="4" borderId="0" xfId="1" applyNumberFormat="1" applyFont="1" applyFill="1"/>
    <xf numFmtId="164" fontId="4" fillId="2" borderId="0" xfId="1" applyNumberFormat="1" applyFont="1" applyFill="1" applyAlignment="1">
      <alignment horizontal="right"/>
    </xf>
    <xf numFmtId="175" fontId="0" fillId="0" borderId="0" xfId="2" applyNumberFormat="1" applyFont="1"/>
    <xf numFmtId="176" fontId="0" fillId="0" borderId="0" xfId="2" applyNumberFormat="1" applyFont="1" applyAlignment="1">
      <alignment horizontal="left"/>
    </xf>
    <xf numFmtId="9" fontId="29" fillId="0" borderId="0" xfId="2" applyFont="1"/>
    <xf numFmtId="164" fontId="30" fillId="0" borderId="0" xfId="1" applyNumberFormat="1" applyFont="1"/>
    <xf numFmtId="164" fontId="31" fillId="0" borderId="0" xfId="1" applyNumberFormat="1" applyFont="1"/>
    <xf numFmtId="166" fontId="5" fillId="0" borderId="0" xfId="2" applyNumberFormat="1" applyFont="1"/>
    <xf numFmtId="164" fontId="6" fillId="0" borderId="0" xfId="1" applyNumberFormat="1" applyFont="1" applyFill="1"/>
    <xf numFmtId="164" fontId="30" fillId="0" borderId="0" xfId="1" applyNumberFormat="1" applyFont="1" applyFill="1"/>
    <xf numFmtId="164" fontId="5" fillId="0" borderId="0" xfId="1" applyNumberFormat="1" applyFont="1" applyFill="1"/>
    <xf numFmtId="164" fontId="5" fillId="0" borderId="1" xfId="1" applyNumberFormat="1" applyFont="1" applyFill="1" applyBorder="1"/>
    <xf numFmtId="164" fontId="8" fillId="0" borderId="2" xfId="1" applyNumberFormat="1" applyFont="1" applyFill="1" applyBorder="1"/>
    <xf numFmtId="9" fontId="5" fillId="0" borderId="0" xfId="2" applyFont="1" applyFill="1"/>
    <xf numFmtId="10" fontId="5" fillId="0" borderId="0" xfId="2" applyNumberFormat="1" applyFont="1" applyFill="1"/>
    <xf numFmtId="164" fontId="6" fillId="0" borderId="0" xfId="1" applyNumberFormat="1" applyFont="1" applyFill="1" applyBorder="1"/>
    <xf numFmtId="164" fontId="5" fillId="0" borderId="0" xfId="1" applyNumberFormat="1" applyFont="1" applyFill="1" applyBorder="1"/>
    <xf numFmtId="0" fontId="5" fillId="0" borderId="2" xfId="0" applyFont="1" applyBorder="1"/>
    <xf numFmtId="164" fontId="5" fillId="0" borderId="2" xfId="1" applyNumberFormat="1" applyFont="1" applyFill="1" applyBorder="1"/>
    <xf numFmtId="0" fontId="15" fillId="4" borderId="0" xfId="0" applyFont="1" applyFill="1"/>
    <xf numFmtId="164" fontId="20" fillId="0" borderId="0" xfId="1" applyNumberFormat="1" applyFont="1"/>
    <xf numFmtId="164" fontId="22" fillId="2" borderId="0" xfId="1" applyNumberFormat="1" applyFont="1" applyFill="1" applyAlignment="1">
      <alignment horizontal="left" vertical="center"/>
    </xf>
    <xf numFmtId="0" fontId="0" fillId="0" borderId="0" xfId="0" applyAlignment="1">
      <alignment vertical="center"/>
    </xf>
    <xf numFmtId="0" fontId="5" fillId="0" borderId="0" xfId="0" applyFont="1" applyAlignment="1">
      <alignment horizontal="left"/>
    </xf>
    <xf numFmtId="0" fontId="15" fillId="0" borderId="0" xfId="0" applyFont="1" applyAlignment="1">
      <alignment horizontal="centerContinuous"/>
    </xf>
    <xf numFmtId="0" fontId="2" fillId="2" borderId="0" xfId="0" applyFont="1" applyFill="1" applyAlignment="1">
      <alignment horizontal="centerContinuous"/>
    </xf>
    <xf numFmtId="0" fontId="32" fillId="2" borderId="0" xfId="0" applyFont="1" applyFill="1" applyAlignment="1">
      <alignment horizontal="centerContinuous"/>
    </xf>
    <xf numFmtId="0" fontId="10" fillId="0" borderId="0" xfId="0" applyFont="1" applyAlignment="1">
      <alignment vertical="center"/>
    </xf>
    <xf numFmtId="165" fontId="10" fillId="0" borderId="0" xfId="0" applyNumberFormat="1" applyFont="1" applyAlignment="1">
      <alignment vertical="center"/>
    </xf>
    <xf numFmtId="0" fontId="0" fillId="0" borderId="0" xfId="0" applyAlignment="1">
      <alignment vertical="top"/>
    </xf>
    <xf numFmtId="0" fontId="35" fillId="0" borderId="0" xfId="0" applyFont="1"/>
    <xf numFmtId="0" fontId="10" fillId="0" borderId="0" xfId="0" applyFont="1" applyAlignment="1">
      <alignment horizontal="left" vertical="center"/>
    </xf>
    <xf numFmtId="0" fontId="36" fillId="0" borderId="0" xfId="0" applyFont="1" applyAlignment="1">
      <alignment vertical="center"/>
    </xf>
    <xf numFmtId="0" fontId="12" fillId="0" borderId="0" xfId="0" applyFont="1" applyAlignment="1">
      <alignment horizontal="left"/>
    </xf>
    <xf numFmtId="0" fontId="16" fillId="0" borderId="0" xfId="0" applyFont="1" applyAlignment="1">
      <alignment wrapText="1"/>
    </xf>
    <xf numFmtId="0" fontId="0" fillId="0" borderId="0" xfId="0" applyAlignment="1">
      <alignment horizontal="left"/>
    </xf>
    <xf numFmtId="0" fontId="0" fillId="0" borderId="0" xfId="0" applyAlignment="1">
      <alignment vertical="top" wrapText="1"/>
    </xf>
    <xf numFmtId="0" fontId="37" fillId="0" borderId="0" xfId="0" applyFont="1" applyAlignment="1">
      <alignment horizontal="centerContinuous"/>
    </xf>
    <xf numFmtId="49" fontId="0" fillId="0" borderId="0" xfId="0" applyNumberFormat="1"/>
    <xf numFmtId="0" fontId="34" fillId="0" borderId="0" xfId="0" applyFont="1"/>
    <xf numFmtId="49" fontId="34" fillId="0" borderId="0" xfId="0" applyNumberFormat="1" applyFont="1"/>
    <xf numFmtId="0" fontId="38" fillId="0" borderId="0" xfId="6" applyFont="1"/>
    <xf numFmtId="0" fontId="38" fillId="0" borderId="0" xfId="6" applyFont="1" applyAlignment="1">
      <alignment horizontal="left"/>
    </xf>
    <xf numFmtId="164" fontId="15" fillId="0" borderId="3" xfId="1" applyNumberFormat="1" applyFont="1" applyBorder="1"/>
    <xf numFmtId="0" fontId="39" fillId="0" borderId="0" xfId="0" applyFont="1"/>
    <xf numFmtId="0" fontId="3" fillId="0" borderId="0" xfId="0" applyFont="1"/>
    <xf numFmtId="0" fontId="0" fillId="0" borderId="0" xfId="0" applyAlignment="1">
      <alignment horizontal="left" wrapText="1"/>
    </xf>
    <xf numFmtId="0" fontId="11" fillId="0" borderId="0" xfId="0" applyFont="1" applyAlignment="1">
      <alignment horizontal="left" vertical="center" wrapText="1"/>
    </xf>
    <xf numFmtId="0" fontId="15" fillId="0" borderId="0" xfId="0" applyFont="1" applyAlignment="1">
      <alignment horizontal="left" wrapText="1"/>
    </xf>
    <xf numFmtId="0" fontId="21" fillId="0" borderId="0" xfId="0" applyFont="1" applyAlignment="1">
      <alignment horizontal="center" vertical="center"/>
    </xf>
    <xf numFmtId="164" fontId="21" fillId="0" borderId="0" xfId="1" applyNumberFormat="1" applyFont="1" applyBorder="1" applyAlignment="1">
      <alignment horizontal="center" vertical="center"/>
    </xf>
    <xf numFmtId="0" fontId="0" fillId="0" borderId="0" xfId="0" applyAlignment="1">
      <alignment horizontal="left" vertical="center" wrapText="1"/>
    </xf>
    <xf numFmtId="0" fontId="16" fillId="0" borderId="0" xfId="0" applyFont="1" applyAlignment="1">
      <alignment horizontal="left" wrapText="1"/>
    </xf>
    <xf numFmtId="164" fontId="2" fillId="2" borderId="0" xfId="1" applyNumberFormat="1" applyFont="1" applyFill="1" applyBorder="1" applyAlignment="1">
      <alignment horizontal="center" vertical="center"/>
    </xf>
    <xf numFmtId="10" fontId="8" fillId="4" borderId="7" xfId="0" applyNumberFormat="1" applyFont="1" applyFill="1" applyBorder="1" applyAlignment="1">
      <alignment horizontal="center" vertical="center" wrapText="1"/>
    </xf>
    <xf numFmtId="0" fontId="13" fillId="0" borderId="0" xfId="0" applyFont="1" applyAlignment="1">
      <alignment horizontal="left" vertical="center" wrapText="1"/>
    </xf>
  </cellXfs>
  <cellStyles count="7">
    <cellStyle name="Comma" xfId="1" builtinId="3"/>
    <cellStyle name="Currency" xfId="3" builtinId="4"/>
    <cellStyle name="Hyperlink" xfId="6" builtinId="8"/>
    <cellStyle name="Normal" xfId="0" builtinId="0"/>
    <cellStyle name="Normal 2" xfId="4" xr:uid="{47422E41-2DE8-2E4C-8BF3-1A6A1A6A4477}"/>
    <cellStyle name="Percent" xfId="2" builtinId="5"/>
    <cellStyle name="Percent 2" xfId="5" xr:uid="{35454342-4F6B-1B4E-AE42-8B7015544A40}"/>
  </cellStyles>
  <dxfs count="0"/>
  <tableStyles count="0" defaultTableStyle="TableStyleMedium2" defaultPivotStyle="PivotStyleLight16"/>
  <colors>
    <mruColors>
      <color rgb="FF0115FE"/>
      <color rgb="FF971908"/>
      <color rgb="FFE9767D"/>
      <color rgb="FFFFBC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[1]NFLX!$E$1</c:f>
              <c:strCache>
                <c:ptCount val="1"/>
                <c:pt idx="0">
                  <c:v>Share Price</c:v>
                </c:pt>
              </c:strCache>
            </c:strRef>
          </c:tx>
          <c:spPr>
            <a:ln w="28575" cap="rnd">
              <a:solidFill>
                <a:srgbClr val="C00000"/>
              </a:solidFill>
              <a:round/>
            </a:ln>
            <a:effectLst/>
          </c:spPr>
          <c:marker>
            <c:symbol val="none"/>
          </c:marker>
          <c:cat>
            <c:numRef>
              <c:f>[1]NFLX!$H$2:$H$12</c:f>
              <c:numCache>
                <c:formatCode>General</c:formatCode>
                <c:ptCount val="11"/>
                <c:pt idx="0">
                  <c:v>2014</c:v>
                </c:pt>
                <c:pt idx="1">
                  <c:v>2015</c:v>
                </c:pt>
                <c:pt idx="2">
                  <c:v>2016</c:v>
                </c:pt>
                <c:pt idx="3">
                  <c:v>2017</c:v>
                </c:pt>
                <c:pt idx="4">
                  <c:v>2018</c:v>
                </c:pt>
                <c:pt idx="5">
                  <c:v>2019</c:v>
                </c:pt>
                <c:pt idx="6">
                  <c:v>2020</c:v>
                </c:pt>
                <c:pt idx="7">
                  <c:v>2021</c:v>
                </c:pt>
                <c:pt idx="8">
                  <c:v>2022</c:v>
                </c:pt>
                <c:pt idx="9">
                  <c:v>2023</c:v>
                </c:pt>
                <c:pt idx="10">
                  <c:v>2024</c:v>
                </c:pt>
              </c:numCache>
            </c:numRef>
          </c:cat>
          <c:val>
            <c:numRef>
              <c:f>[1]NFLX!$E$2:$E$12</c:f>
              <c:numCache>
                <c:formatCode>General</c:formatCode>
                <c:ptCount val="11"/>
                <c:pt idx="0">
                  <c:v>58.475715999999998</c:v>
                </c:pt>
                <c:pt idx="1">
                  <c:v>63.114285000000002</c:v>
                </c:pt>
                <c:pt idx="2">
                  <c:v>91.839995999999999</c:v>
                </c:pt>
                <c:pt idx="3">
                  <c:v>140.71000699999999</c:v>
                </c:pt>
                <c:pt idx="4">
                  <c:v>270.29998799999998</c:v>
                </c:pt>
                <c:pt idx="5">
                  <c:v>339.5</c:v>
                </c:pt>
                <c:pt idx="6">
                  <c:v>345.08999599999999</c:v>
                </c:pt>
                <c:pt idx="7">
                  <c:v>532.39001499999995</c:v>
                </c:pt>
                <c:pt idx="8">
                  <c:v>427.14001500000001</c:v>
                </c:pt>
                <c:pt idx="9">
                  <c:v>353.85998499999999</c:v>
                </c:pt>
                <c:pt idx="10">
                  <c:v>486.88000499999998</c:v>
                </c:pt>
              </c:numCache>
            </c:numRef>
          </c:val>
          <c:smooth val="0"/>
          <c:extLst>
            <c:ext xmlns:c16="http://schemas.microsoft.com/office/drawing/2014/chart" uri="{C3380CC4-5D6E-409C-BE32-E72D297353CC}">
              <c16:uniqueId val="{00000000-7534-CD4B-B782-CCD19FF7B771}"/>
            </c:ext>
          </c:extLst>
        </c:ser>
        <c:dLbls>
          <c:showLegendKey val="0"/>
          <c:showVal val="0"/>
          <c:showCatName val="0"/>
          <c:showSerName val="0"/>
          <c:showPercent val="0"/>
          <c:showBubbleSize val="0"/>
        </c:dLbls>
        <c:smooth val="0"/>
        <c:axId val="1972919552"/>
        <c:axId val="2036078992"/>
      </c:lineChart>
      <c:catAx>
        <c:axId val="1972919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078992"/>
        <c:crosses val="autoZero"/>
        <c:auto val="1"/>
        <c:lblAlgn val="ctr"/>
        <c:lblOffset val="100"/>
        <c:noMultiLvlLbl val="0"/>
      </c:catAx>
      <c:valAx>
        <c:axId val="20360789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919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idx val="0"/>
            <c:bubble3D val="0"/>
            <c:spPr>
              <a:solidFill>
                <a:schemeClr val="bg1">
                  <a:lumMod val="50000"/>
                </a:schemeClr>
              </a:solidFill>
              <a:ln w="19050">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432-3D49-BBBD-9FE0F99CFE0B}"/>
              </c:ext>
            </c:extLst>
          </c:dPt>
          <c:dPt>
            <c:idx val="1"/>
            <c:bubble3D val="0"/>
            <c:spPr>
              <a:solidFill>
                <a:srgbClr val="971908"/>
              </a:solidFill>
              <a:ln w="19050">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432-3D49-BBBD-9FE0F99CFE0B}"/>
              </c:ext>
            </c:extLst>
          </c:dPt>
          <c:dPt>
            <c:idx val="2"/>
            <c:bubble3D val="0"/>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19050">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7432-3D49-BBBD-9FE0F99CFE0B}"/>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32-3D49-BBBD-9FE0F99CFE0B}"/>
                </c:ext>
              </c:extLst>
            </c:dLbl>
            <c:dLbl>
              <c:idx val="1"/>
              <c:layout>
                <c:manualLayout>
                  <c:x val="9.7503002243079992E-2"/>
                  <c:y val="-0.20647719624544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432-3D49-BBBD-9FE0F99CFE0B}"/>
                </c:ext>
              </c:extLst>
            </c:dLbl>
            <c:dLbl>
              <c:idx val="2"/>
              <c:layout>
                <c:manualLayout>
                  <c:x val="-2.3310839894166647E-2"/>
                  <c:y val="2.92550785575232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32-3D49-BBBD-9FE0F99CFE0B}"/>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'One Page Profile'!$V$4:$V$6</c:f>
              <c:strCache>
                <c:ptCount val="3"/>
                <c:pt idx="0">
                  <c:v>Insiders</c:v>
                </c:pt>
                <c:pt idx="1">
                  <c:v>Institutional Investors</c:v>
                </c:pt>
                <c:pt idx="2">
                  <c:v>Others</c:v>
                </c:pt>
              </c:strCache>
            </c:strRef>
          </c:cat>
          <c:val>
            <c:numRef>
              <c:f>'One Page Profile'!$U$4:$U$6</c:f>
              <c:numCache>
                <c:formatCode>0.00%</c:formatCode>
                <c:ptCount val="3"/>
                <c:pt idx="0">
                  <c:v>7.4000000000000003E-3</c:v>
                </c:pt>
                <c:pt idx="1">
                  <c:v>0.85199999999999998</c:v>
                </c:pt>
                <c:pt idx="2">
                  <c:v>0.14060000000000003</c:v>
                </c:pt>
              </c:numCache>
            </c:numRef>
          </c:val>
          <c:extLst>
            <c:ext xmlns:c16="http://schemas.microsoft.com/office/drawing/2014/chart" uri="{C3380CC4-5D6E-409C-BE32-E72D297353CC}">
              <c16:uniqueId val="{00000000-7432-3D49-BBBD-9FE0F99CFE0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Net profit Margin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Analysis'!$B$9</c:f>
              <c:strCache>
                <c:ptCount val="1"/>
                <c:pt idx="0">
                  <c:v>Net Profit Margin (A)</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Analysis'!$C$9:$G$9</c:f>
              <c:numCache>
                <c:formatCode>0.00%</c:formatCode>
                <c:ptCount val="5"/>
                <c:pt idx="0">
                  <c:v>9.2621283899885734E-2</c:v>
                </c:pt>
                <c:pt idx="1">
                  <c:v>0.11047322825648974</c:v>
                </c:pt>
                <c:pt idx="2">
                  <c:v>0.17227607499049427</c:v>
                </c:pt>
                <c:pt idx="3">
                  <c:v>0.14207957792921522</c:v>
                </c:pt>
                <c:pt idx="4">
                  <c:v>0.16036362043723068</c:v>
                </c:pt>
              </c:numCache>
            </c:numRef>
          </c:val>
          <c:extLst>
            <c:ext xmlns:c16="http://schemas.microsoft.com/office/drawing/2014/chart" uri="{C3380CC4-5D6E-409C-BE32-E72D297353CC}">
              <c16:uniqueId val="{00000000-D4A2-5445-8245-6DC349926EAE}"/>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Analysis'!$B$8</c:f>
              <c:strCache>
                <c:ptCount val="1"/>
                <c:pt idx="0">
                  <c:v>Revenue</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Analysis'!$C$8:$G$8</c:f>
              <c:numCache>
                <c:formatCode>_(* #,##0_);_(* \(#,##0\);_(* "-"??_);_(@_)</c:formatCode>
                <c:ptCount val="5"/>
                <c:pt idx="0">
                  <c:v>20156447</c:v>
                </c:pt>
                <c:pt idx="1">
                  <c:v>24996056</c:v>
                </c:pt>
                <c:pt idx="2">
                  <c:v>29697844</c:v>
                </c:pt>
                <c:pt idx="3">
                  <c:v>31615550</c:v>
                </c:pt>
                <c:pt idx="4">
                  <c:v>33723297</c:v>
                </c:pt>
              </c:numCache>
            </c:numRef>
          </c:val>
          <c:extLst>
            <c:ext xmlns:c16="http://schemas.microsoft.com/office/drawing/2014/chart" uri="{C3380CC4-5D6E-409C-BE32-E72D297353CC}">
              <c16:uniqueId val="{00000000-D198-574C-8E56-3B2B12E5593E}"/>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_(* #,##0_);_(* \(#,##0\);_(* &quot;-&quot;??_);_(@_)"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Assets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Analysis'!$B$12</c:f>
              <c:strCache>
                <c:ptCount val="1"/>
                <c:pt idx="0">
                  <c:v>Total Assets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Analysis'!$C$12:$G$12</c:f>
              <c:numCache>
                <c:formatCode>_(* #,##0_);_(* \(#,##0\);_(* "-"??_);_(@_)</c:formatCode>
                <c:ptCount val="5"/>
                <c:pt idx="0">
                  <c:v>33975712</c:v>
                </c:pt>
                <c:pt idx="1">
                  <c:v>39280359</c:v>
                </c:pt>
                <c:pt idx="2">
                  <c:v>44584663</c:v>
                </c:pt>
                <c:pt idx="3">
                  <c:v>48594768</c:v>
                </c:pt>
                <c:pt idx="4">
                  <c:v>48731992</c:v>
                </c:pt>
              </c:numCache>
            </c:numRef>
          </c:val>
          <c:extLst>
            <c:ext xmlns:c16="http://schemas.microsoft.com/office/drawing/2014/chart" uri="{C3380CC4-5D6E-409C-BE32-E72D297353CC}">
              <c16:uniqueId val="{00000000-4FE9-6D4D-B69C-E12984DF61D9}"/>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_(* #,##0_);_(* \(#,##0\);_(* &quot;-&quot;??_);_(@_)"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Shareholder's</a:t>
            </a:r>
            <a:r>
              <a:rPr lang="en-US" b="1" baseline="0"/>
              <a:t> Equity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Analysis'!$B$16</c:f>
              <c:strCache>
                <c:ptCount val="1"/>
                <c:pt idx="0">
                  <c:v>Total Equity</c:v>
                </c:pt>
              </c:strCache>
            </c:strRef>
          </c:tx>
          <c:spPr>
            <a:solidFill>
              <a:srgbClr val="C00000"/>
            </a:solidFill>
            <a:ln>
              <a:noFill/>
            </a:ln>
            <a:effectLst/>
          </c:spPr>
          <c:invertIfNegative val="0"/>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Analysis'!$C$16:$G$16</c:f>
              <c:numCache>
                <c:formatCode>_(* #,##0_);_(* \(#,##0\);_(* "-"??_);_(@_)</c:formatCode>
                <c:ptCount val="5"/>
                <c:pt idx="0">
                  <c:v>7582157</c:v>
                </c:pt>
                <c:pt idx="1">
                  <c:v>11065240</c:v>
                </c:pt>
                <c:pt idx="2">
                  <c:v>15849248</c:v>
                </c:pt>
                <c:pt idx="3">
                  <c:v>20777401</c:v>
                </c:pt>
                <c:pt idx="4">
                  <c:v>20588313</c:v>
                </c:pt>
              </c:numCache>
            </c:numRef>
          </c:val>
          <c:extLst>
            <c:ext xmlns:c16="http://schemas.microsoft.com/office/drawing/2014/chart" uri="{C3380CC4-5D6E-409C-BE32-E72D297353CC}">
              <c16:uniqueId val="{00000000-6036-D544-A314-FE45F590D401}"/>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_(* #,##0_);_(* \(#,##0\);_(* &quot;-&quot;??_);_(@_)"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Return</a:t>
            </a:r>
            <a:r>
              <a:rPr lang="en-US" b="1" baseline="0"/>
              <a:t> on Equity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Analysis'!$B$19</c:f>
              <c:strCache>
                <c:ptCount val="1"/>
                <c:pt idx="0">
                  <c:v>Return on Equity (A*B*C) - Dupont Equation </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Analysis'!$C$19:$G$19</c:f>
              <c:numCache>
                <c:formatCode>0.00%</c:formatCode>
                <c:ptCount val="5"/>
                <c:pt idx="0">
                  <c:v>0.24622491990076173</c:v>
                </c:pt>
                <c:pt idx="1">
                  <c:v>0.24955581623173106</c:v>
                </c:pt>
                <c:pt idx="2">
                  <c:v>0.32280572554609538</c:v>
                </c:pt>
                <c:pt idx="3">
                  <c:v>0.21619277598771858</c:v>
                </c:pt>
                <c:pt idx="4">
                  <c:v>0.26267280859777098</c:v>
                </c:pt>
              </c:numCache>
            </c:numRef>
          </c:val>
          <c:extLst>
            <c:ext xmlns:c16="http://schemas.microsoft.com/office/drawing/2014/chart" uri="{C3380CC4-5D6E-409C-BE32-E72D297353CC}">
              <c16:uniqueId val="{00000000-656C-6448-B513-67C5B504D59C}"/>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Return on Asset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'Dupont Analysis'!$B$21</c:f>
              <c:strCache>
                <c:ptCount val="1"/>
                <c:pt idx="0">
                  <c:v>Return on Asset (A*B) - Dupont Equation</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'Dupont Analysis'!$C$5:$G$6</c:f>
              <c:strCache>
                <c:ptCount val="5"/>
                <c:pt idx="0">
                  <c:v>2019</c:v>
                </c:pt>
                <c:pt idx="1">
                  <c:v>2020</c:v>
                </c:pt>
                <c:pt idx="2">
                  <c:v>2021</c:v>
                </c:pt>
                <c:pt idx="3">
                  <c:v>2022</c:v>
                </c:pt>
                <c:pt idx="4">
                  <c:v>2023</c:v>
                </c:pt>
              </c:strCache>
            </c:strRef>
          </c:cat>
          <c:val>
            <c:numRef>
              <c:f>'Dupont Analysis'!$C$21:$G$21</c:f>
              <c:numCache>
                <c:formatCode>0.00%</c:formatCode>
                <c:ptCount val="5"/>
                <c:pt idx="0">
                  <c:v>5.4948546773648188E-2</c:v>
                </c:pt>
                <c:pt idx="1">
                  <c:v>7.0299637536408457E-2</c:v>
                </c:pt>
                <c:pt idx="2">
                  <c:v>0.11475309345727253</c:v>
                </c:pt>
                <c:pt idx="3">
                  <c:v>9.2436370927833217E-2</c:v>
                </c:pt>
                <c:pt idx="4">
                  <c:v>0.11097412147650357</c:v>
                </c:pt>
              </c:numCache>
            </c:numRef>
          </c:val>
          <c:extLst>
            <c:ext xmlns:c16="http://schemas.microsoft.com/office/drawing/2014/chart" uri="{C3380CC4-5D6E-409C-BE32-E72D297353CC}">
              <c16:uniqueId val="{00000000-D4C8-6E4F-A17E-F0FCC42F3AC3}"/>
            </c:ext>
          </c:extLst>
        </c:ser>
        <c:dLbls>
          <c:showLegendKey val="0"/>
          <c:showVal val="0"/>
          <c:showCatName val="0"/>
          <c:showSerName val="0"/>
          <c:showPercent val="0"/>
          <c:showBubbleSize val="0"/>
        </c:dLbls>
        <c:gapWidth val="219"/>
        <c:overlap val="-27"/>
        <c:axId val="51697999"/>
        <c:axId val="2122001520"/>
      </c:barChart>
      <c:catAx>
        <c:axId val="5169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1520"/>
        <c:crosses val="autoZero"/>
        <c:auto val="1"/>
        <c:lblAlgn val="ctr"/>
        <c:lblOffset val="100"/>
        <c:noMultiLvlLbl val="0"/>
      </c:catAx>
      <c:valAx>
        <c:axId val="2122001520"/>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5169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Monthly Return Distribution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75000"/>
                  <a:lumOff val="25000"/>
                </a:sysClr>
              </a:solidFill>
              <a:latin typeface="Calibri" panose="020F0502020204030204"/>
            </a:rPr>
            <a:t>Monthly Return Distribution</a:t>
          </a:r>
        </a:p>
      </cx:txPr>
    </cx:title>
    <cx:plotArea>
      <cx:plotAreaRegion>
        <cx:series layoutId="clusteredColumn" uniqueId="{D314D13B-AE72-CB41-A9CF-9D495915287D}">
          <cx:tx>
            <cx:txData>
              <cx:f/>
              <cx:v>Monthly Return Distribution</cx:v>
            </cx:txData>
          </cx:tx>
          <cx:spPr>
            <a:solidFill>
              <a:srgbClr val="C00000"/>
            </a:solidFill>
          </cx:spPr>
          <cx:dataLabels pos="inEnd">
            <cx:spPr>
              <a:noFill/>
            </cx:spPr>
            <cx:txPr>
              <a:bodyPr spcFirstLastPara="1" vertOverflow="ellipsis" horzOverflow="overflow" wrap="square" lIns="0" tIns="0" rIns="0" bIns="0" anchor="ctr" anchorCtr="1"/>
              <a:lstStyle/>
              <a:p>
                <a:pPr algn="ctr" rtl="0">
                  <a:defRPr>
                    <a:noFill/>
                  </a:defRPr>
                </a:pPr>
                <a:endParaRPr lang="en-US" sz="900" b="0" i="0" u="none" strike="noStrike" baseline="0">
                  <a:noFill/>
                  <a:latin typeface="Calibri" panose="020F0502020204030204"/>
                </a:endParaRPr>
              </a:p>
            </cx:txPr>
            <cx:visibility seriesName="0" categoryName="0" value="1"/>
          </cx:dataLabels>
          <cx:dataId val="0"/>
          <cx:layoutPr>
            <cx:binning intervalClosed="r">
              <cx:binCount val="12"/>
            </cx:binning>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microsoft.com/office/2007/relationships/hdphoto" Target="../media/hdphoto2.wdp"/><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microsoft.com/office/2007/relationships/hdphoto" Target="../media/hdphoto2.wdp"/><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microsoft.com/office/2007/relationships/hdphoto" Target="../media/hdphoto3.wdp"/><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microsoft.com/office/2007/relationships/hdphoto" Target="../media/hdphoto4.wdp"/><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microsoft.com/office/2007/relationships/hdphoto" Target="../media/hdphoto5.wdp"/><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2" Type="http://schemas.microsoft.com/office/2007/relationships/hdphoto" Target="../media/hdphoto6.wdp"/><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2" Type="http://schemas.microsoft.com/office/2007/relationships/hdphoto" Target="../media/hdphoto7.wdp"/><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3" Type="http://schemas.microsoft.com/office/2007/relationships/hdphoto" Target="../media/hdphoto8.wdp"/><Relationship Id="rId2" Type="http://schemas.openxmlformats.org/officeDocument/2006/relationships/image" Target="../media/image9.png"/><Relationship Id="rId1" Type="http://schemas.microsoft.com/office/2014/relationships/chartEx" Target="../charts/chartEx1.xml"/></Relationships>
</file>

<file path=xl/drawings/_rels/drawing11.xml.rels><?xml version="1.0" encoding="UTF-8" standalone="yes"?>
<Relationships xmlns="http://schemas.openxmlformats.org/package/2006/relationships"><Relationship Id="rId8" Type="http://schemas.microsoft.com/office/2007/relationships/hdphoto" Target="../media/hdphoto9.wdp"/><Relationship Id="rId3" Type="http://schemas.openxmlformats.org/officeDocument/2006/relationships/chart" Target="../charts/chart5.xml"/><Relationship Id="rId7" Type="http://schemas.openxmlformats.org/officeDocument/2006/relationships/image" Target="../media/image10.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114300</xdr:rowOff>
    </xdr:from>
    <xdr:to>
      <xdr:col>8</xdr:col>
      <xdr:colOff>422164</xdr:colOff>
      <xdr:row>11</xdr:row>
      <xdr:rowOff>12700</xdr:rowOff>
    </xdr:to>
    <xdr:pic>
      <xdr:nvPicPr>
        <xdr:cNvPr id="3" name="Picture 2" descr="Netflix isn't changing its logo, but has a new icon - The Verge">
          <a:extLst>
            <a:ext uri="{FF2B5EF4-FFF2-40B4-BE49-F238E27FC236}">
              <a16:creationId xmlns:a16="http://schemas.microsoft.com/office/drawing/2014/main" id="{14F37DBD-8DF1-1407-F56A-6BA90A127F75}"/>
            </a:ext>
          </a:extLst>
        </xdr:cNvPr>
        <xdr:cNvPicPr>
          <a:picLocks noChangeAspect="1" noChangeArrowheads="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1651000" y="325967"/>
          <a:ext cx="5375164" cy="20150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102712</xdr:colOff>
      <xdr:row>1</xdr:row>
      <xdr:rowOff>34638</xdr:rowOff>
    </xdr:from>
    <xdr:to>
      <xdr:col>1</xdr:col>
      <xdr:colOff>1985818</xdr:colOff>
      <xdr:row>6</xdr:row>
      <xdr:rowOff>704273</xdr:rowOff>
    </xdr:to>
    <xdr:pic>
      <xdr:nvPicPr>
        <xdr:cNvPr id="2" name="Picture 1" descr="Netflix | Brand Assets | Logos">
          <a:extLst>
            <a:ext uri="{FF2B5EF4-FFF2-40B4-BE49-F238E27FC236}">
              <a16:creationId xmlns:a16="http://schemas.microsoft.com/office/drawing/2014/main" id="{18EA7BC3-3738-F819-620A-4BD9178596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712" y="242456"/>
          <a:ext cx="2033197" cy="1743362"/>
        </a:xfrm>
        <a:prstGeom prst="rect">
          <a:avLst/>
        </a:prstGeom>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151587</xdr:colOff>
      <xdr:row>9</xdr:row>
      <xdr:rowOff>127858</xdr:rowOff>
    </xdr:from>
    <xdr:to>
      <xdr:col>10</xdr:col>
      <xdr:colOff>657235</xdr:colOff>
      <xdr:row>19</xdr:row>
      <xdr:rowOff>13470</xdr:rowOff>
    </xdr:to>
    <xdr:graphicFrame macro="">
      <xdr:nvGraphicFramePr>
        <xdr:cNvPr id="3" name="Chart 2">
          <a:extLst>
            <a:ext uri="{FF2B5EF4-FFF2-40B4-BE49-F238E27FC236}">
              <a16:creationId xmlns:a16="http://schemas.microsoft.com/office/drawing/2014/main" id="{0BDC22B0-836B-2049-9BDD-924E9BE18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149202</xdr:colOff>
      <xdr:row>21</xdr:row>
      <xdr:rowOff>106218</xdr:rowOff>
    </xdr:from>
    <xdr:to>
      <xdr:col>10</xdr:col>
      <xdr:colOff>655426</xdr:colOff>
      <xdr:row>30</xdr:row>
      <xdr:rowOff>203377</xdr:rowOff>
    </xdr:to>
    <xdr:graphicFrame macro="">
      <xdr:nvGraphicFramePr>
        <xdr:cNvPr id="7" name="Chart 6">
          <a:extLst>
            <a:ext uri="{FF2B5EF4-FFF2-40B4-BE49-F238E27FC236}">
              <a16:creationId xmlns:a16="http://schemas.microsoft.com/office/drawing/2014/main" id="{4C12EBE0-7680-17B7-A337-5BCDCE2E6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10161</xdr:rowOff>
    </xdr:from>
    <xdr:to>
      <xdr:col>0</xdr:col>
      <xdr:colOff>396240</xdr:colOff>
      <xdr:row>2</xdr:row>
      <xdr:rowOff>0</xdr:rowOff>
    </xdr:to>
    <xdr:pic>
      <xdr:nvPicPr>
        <xdr:cNvPr id="3" name="Picture 2">
          <a:extLst>
            <a:ext uri="{FF2B5EF4-FFF2-40B4-BE49-F238E27FC236}">
              <a16:creationId xmlns:a16="http://schemas.microsoft.com/office/drawing/2014/main" id="{24F0A836-B388-AD6A-20DA-7CC39B48A503}"/>
            </a:ext>
          </a:extLst>
        </xdr:cNvPr>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19350" b="80650" l="32040" r="65212"/>
                  </a14:imgEffect>
                </a14:imgLayer>
              </a14:imgProps>
            </a:ext>
          </a:extLst>
        </a:blip>
        <a:srcRect l="27894" t="11688" r="30642" b="11688"/>
        <a:stretch/>
      </xdr:blipFill>
      <xdr:spPr>
        <a:xfrm>
          <a:off x="0" y="10161"/>
          <a:ext cx="396240" cy="3759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10161</xdr:rowOff>
    </xdr:from>
    <xdr:to>
      <xdr:col>0</xdr:col>
      <xdr:colOff>396240</xdr:colOff>
      <xdr:row>1</xdr:row>
      <xdr:rowOff>178001</xdr:rowOff>
    </xdr:to>
    <xdr:pic>
      <xdr:nvPicPr>
        <xdr:cNvPr id="2" name="Picture 1">
          <a:extLst>
            <a:ext uri="{FF2B5EF4-FFF2-40B4-BE49-F238E27FC236}">
              <a16:creationId xmlns:a16="http://schemas.microsoft.com/office/drawing/2014/main" id="{F835D31C-C8F3-9842-9914-2728F270F3B2}"/>
            </a:ext>
          </a:extLst>
        </xdr:cNvPr>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19350" b="80650" l="32040" r="65212"/>
                  </a14:imgEffect>
                </a14:imgLayer>
              </a14:imgProps>
            </a:ext>
          </a:extLst>
        </a:blip>
        <a:srcRect l="27894" t="11688" r="30642" b="11688"/>
        <a:stretch/>
      </xdr:blipFill>
      <xdr:spPr>
        <a:xfrm>
          <a:off x="0" y="10161"/>
          <a:ext cx="396240" cy="3708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136935</xdr:colOff>
      <xdr:row>0</xdr:row>
      <xdr:rowOff>160544</xdr:rowOff>
    </xdr:from>
    <xdr:to>
      <xdr:col>11</xdr:col>
      <xdr:colOff>184053</xdr:colOff>
      <xdr:row>4</xdr:row>
      <xdr:rowOff>68648</xdr:rowOff>
    </xdr:to>
    <xdr:pic>
      <xdr:nvPicPr>
        <xdr:cNvPr id="3" name="Picture 2" descr="Netflix isn't changing its logo, but has a new icon - The Verge">
          <a:extLst>
            <a:ext uri="{FF2B5EF4-FFF2-40B4-BE49-F238E27FC236}">
              <a16:creationId xmlns:a16="http://schemas.microsoft.com/office/drawing/2014/main" id="{60A9B221-383D-A747-A83A-5EA73C6F6C28}"/>
            </a:ext>
          </a:extLst>
        </xdr:cNvPr>
        <xdr:cNvPicPr>
          <a:picLocks noChangeAspect="1" noChangeArrowheads="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8203151" y="160544"/>
          <a:ext cx="2037929" cy="731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114300</xdr:colOff>
      <xdr:row>0</xdr:row>
      <xdr:rowOff>114300</xdr:rowOff>
    </xdr:from>
    <xdr:to>
      <xdr:col>15</xdr:col>
      <xdr:colOff>145629</xdr:colOff>
      <xdr:row>4</xdr:row>
      <xdr:rowOff>33388</xdr:rowOff>
    </xdr:to>
    <xdr:pic>
      <xdr:nvPicPr>
        <xdr:cNvPr id="2" name="Picture 1" descr="Netflix isn't changing its logo, but has a new icon - The Verge">
          <a:extLst>
            <a:ext uri="{FF2B5EF4-FFF2-40B4-BE49-F238E27FC236}">
              <a16:creationId xmlns:a16="http://schemas.microsoft.com/office/drawing/2014/main" id="{D66FF8B1-2B00-5C4C-A4CF-8D8D9C632082}"/>
            </a:ext>
          </a:extLst>
        </xdr:cNvPr>
        <xdr:cNvPicPr>
          <a:picLocks noChangeAspect="1" noChangeArrowheads="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7175500" y="114300"/>
          <a:ext cx="2037929" cy="731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1042537</xdr:colOff>
      <xdr:row>0</xdr:row>
      <xdr:rowOff>85299</xdr:rowOff>
    </xdr:from>
    <xdr:to>
      <xdr:col>6</xdr:col>
      <xdr:colOff>76063</xdr:colOff>
      <xdr:row>4</xdr:row>
      <xdr:rowOff>21068</xdr:rowOff>
    </xdr:to>
    <xdr:pic>
      <xdr:nvPicPr>
        <xdr:cNvPr id="2" name="Picture 1" descr="Netflix isn't changing its logo, but has a new icon - The Verge">
          <a:extLst>
            <a:ext uri="{FF2B5EF4-FFF2-40B4-BE49-F238E27FC236}">
              <a16:creationId xmlns:a16="http://schemas.microsoft.com/office/drawing/2014/main" id="{58BFF1D8-A703-764B-A21F-2CF43E0C3619}"/>
            </a:ext>
          </a:extLst>
        </xdr:cNvPr>
        <xdr:cNvPicPr>
          <a:picLocks noChangeAspect="1" noChangeArrowheads="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5297985" y="85299"/>
          <a:ext cx="2037929" cy="731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30183</xdr:colOff>
      <xdr:row>0</xdr:row>
      <xdr:rowOff>120063</xdr:rowOff>
    </xdr:from>
    <xdr:to>
      <xdr:col>6</xdr:col>
      <xdr:colOff>898186</xdr:colOff>
      <xdr:row>3</xdr:row>
      <xdr:rowOff>177367</xdr:rowOff>
    </xdr:to>
    <xdr:pic>
      <xdr:nvPicPr>
        <xdr:cNvPr id="3" name="Picture 2" descr="Netflix isn't changing its logo, but has a new icon - The Verge">
          <a:extLst>
            <a:ext uri="{FF2B5EF4-FFF2-40B4-BE49-F238E27FC236}">
              <a16:creationId xmlns:a16="http://schemas.microsoft.com/office/drawing/2014/main" id="{27DBEBB3-C8B3-4F4C-99A5-52E6B953CDC0}"/>
            </a:ext>
          </a:extLst>
        </xdr:cNvPr>
        <xdr:cNvPicPr>
          <a:picLocks noChangeAspect="1" noChangeArrowheads="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4115350" y="120063"/>
          <a:ext cx="1778169" cy="6288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81280</xdr:colOff>
      <xdr:row>0</xdr:row>
      <xdr:rowOff>71120</xdr:rowOff>
    </xdr:from>
    <xdr:to>
      <xdr:col>6</xdr:col>
      <xdr:colOff>900009</xdr:colOff>
      <xdr:row>4</xdr:row>
      <xdr:rowOff>30848</xdr:rowOff>
    </xdr:to>
    <xdr:pic>
      <xdr:nvPicPr>
        <xdr:cNvPr id="3" name="Picture 2" descr="Netflix isn't changing its logo, but has a new icon - The Verge">
          <a:extLst>
            <a:ext uri="{FF2B5EF4-FFF2-40B4-BE49-F238E27FC236}">
              <a16:creationId xmlns:a16="http://schemas.microsoft.com/office/drawing/2014/main" id="{69D8A232-496D-8C43-B284-6B9105F816DB}"/>
            </a:ext>
          </a:extLst>
        </xdr:cNvPr>
        <xdr:cNvPicPr>
          <a:picLocks noChangeAspect="1" noChangeArrowheads="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6304280" y="71120"/>
          <a:ext cx="2046396" cy="72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8</xdr:col>
      <xdr:colOff>25400</xdr:colOff>
      <xdr:row>33</xdr:row>
      <xdr:rowOff>25400</xdr:rowOff>
    </xdr:from>
    <xdr:to>
      <xdr:col>13</xdr:col>
      <xdr:colOff>76200</xdr:colOff>
      <xdr:row>46</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2EA8F1-2D13-B941-AD79-59CF982C57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54900" y="6731000"/>
              <a:ext cx="4178300"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863600</xdr:colOff>
      <xdr:row>0</xdr:row>
      <xdr:rowOff>127000</xdr:rowOff>
    </xdr:from>
    <xdr:to>
      <xdr:col>7</xdr:col>
      <xdr:colOff>425029</xdr:colOff>
      <xdr:row>4</xdr:row>
      <xdr:rowOff>46088</xdr:rowOff>
    </xdr:to>
    <xdr:pic>
      <xdr:nvPicPr>
        <xdr:cNvPr id="4" name="Picture 3" descr="Netflix isn't changing its logo, but has a new icon - The Verge">
          <a:extLst>
            <a:ext uri="{FF2B5EF4-FFF2-40B4-BE49-F238E27FC236}">
              <a16:creationId xmlns:a16="http://schemas.microsoft.com/office/drawing/2014/main" id="{EFBF703E-9C3A-9E43-9CDA-01FFBD6BCD66}"/>
            </a:ext>
          </a:extLst>
        </xdr:cNvPr>
        <xdr:cNvPicPr>
          <a:picLocks noChangeAspect="1" noChangeArrowheads="1"/>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5168900" y="127000"/>
          <a:ext cx="2037929" cy="731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19050</xdr:colOff>
      <xdr:row>22</xdr:row>
      <xdr:rowOff>139699</xdr:rowOff>
    </xdr:from>
    <xdr:to>
      <xdr:col>1</xdr:col>
      <xdr:colOff>3128010</xdr:colOff>
      <xdr:row>33</xdr:row>
      <xdr:rowOff>99059</xdr:rowOff>
    </xdr:to>
    <xdr:graphicFrame macro="">
      <xdr:nvGraphicFramePr>
        <xdr:cNvPr id="4" name="Chart 3">
          <a:extLst>
            <a:ext uri="{FF2B5EF4-FFF2-40B4-BE49-F238E27FC236}">
              <a16:creationId xmlns:a16="http://schemas.microsoft.com/office/drawing/2014/main" id="{E18752F8-0E61-D17C-59E0-0F573742A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114300</xdr:colOff>
      <xdr:row>22</xdr:row>
      <xdr:rowOff>139699</xdr:rowOff>
    </xdr:from>
    <xdr:to>
      <xdr:col>4</xdr:col>
      <xdr:colOff>505460</xdr:colOff>
      <xdr:row>33</xdr:row>
      <xdr:rowOff>99059</xdr:rowOff>
    </xdr:to>
    <xdr:graphicFrame macro="">
      <xdr:nvGraphicFramePr>
        <xdr:cNvPr id="14" name="Chart 13">
          <a:extLst>
            <a:ext uri="{FF2B5EF4-FFF2-40B4-BE49-F238E27FC236}">
              <a16:creationId xmlns:a16="http://schemas.microsoft.com/office/drawing/2014/main" id="{334978BC-7B09-E749-A779-D2EB4F4DC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838200</xdr:colOff>
      <xdr:row>22</xdr:row>
      <xdr:rowOff>139699</xdr:rowOff>
    </xdr:from>
    <xdr:to>
      <xdr:col>6</xdr:col>
      <xdr:colOff>1330960</xdr:colOff>
      <xdr:row>33</xdr:row>
      <xdr:rowOff>99059</xdr:rowOff>
    </xdr:to>
    <xdr:graphicFrame macro="">
      <xdr:nvGraphicFramePr>
        <xdr:cNvPr id="15" name="Chart 14">
          <a:extLst>
            <a:ext uri="{FF2B5EF4-FFF2-40B4-BE49-F238E27FC236}">
              <a16:creationId xmlns:a16="http://schemas.microsoft.com/office/drawing/2014/main" id="{45F3BA1A-AA25-3243-8C08-1F2F84054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12700</xdr:colOff>
      <xdr:row>34</xdr:row>
      <xdr:rowOff>88900</xdr:rowOff>
    </xdr:from>
    <xdr:to>
      <xdr:col>1</xdr:col>
      <xdr:colOff>3121660</xdr:colOff>
      <xdr:row>45</xdr:row>
      <xdr:rowOff>48260</xdr:rowOff>
    </xdr:to>
    <xdr:graphicFrame macro="">
      <xdr:nvGraphicFramePr>
        <xdr:cNvPr id="16" name="Chart 15">
          <a:extLst>
            <a:ext uri="{FF2B5EF4-FFF2-40B4-BE49-F238E27FC236}">
              <a16:creationId xmlns:a16="http://schemas.microsoft.com/office/drawing/2014/main" id="{F0AEF8DD-89D4-F540-BF9F-4B8767404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127000</xdr:colOff>
      <xdr:row>34</xdr:row>
      <xdr:rowOff>114300</xdr:rowOff>
    </xdr:from>
    <xdr:to>
      <xdr:col>4</xdr:col>
      <xdr:colOff>518160</xdr:colOff>
      <xdr:row>45</xdr:row>
      <xdr:rowOff>73660</xdr:rowOff>
    </xdr:to>
    <xdr:graphicFrame macro="">
      <xdr:nvGraphicFramePr>
        <xdr:cNvPr id="17" name="Chart 16">
          <a:extLst>
            <a:ext uri="{FF2B5EF4-FFF2-40B4-BE49-F238E27FC236}">
              <a16:creationId xmlns:a16="http://schemas.microsoft.com/office/drawing/2014/main" id="{89D32536-11E5-424A-90C2-5374E5585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850900</xdr:colOff>
      <xdr:row>34</xdr:row>
      <xdr:rowOff>114300</xdr:rowOff>
    </xdr:from>
    <xdr:to>
      <xdr:col>6</xdr:col>
      <xdr:colOff>1343660</xdr:colOff>
      <xdr:row>45</xdr:row>
      <xdr:rowOff>73660</xdr:rowOff>
    </xdr:to>
    <xdr:graphicFrame macro="">
      <xdr:nvGraphicFramePr>
        <xdr:cNvPr id="18" name="Chart 17">
          <a:extLst>
            <a:ext uri="{FF2B5EF4-FFF2-40B4-BE49-F238E27FC236}">
              <a16:creationId xmlns:a16="http://schemas.microsoft.com/office/drawing/2014/main" id="{02173E7D-B027-AF48-AF31-33C712D918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754811</xdr:colOff>
      <xdr:row>0</xdr:row>
      <xdr:rowOff>119812</xdr:rowOff>
    </xdr:from>
    <xdr:to>
      <xdr:col>4</xdr:col>
      <xdr:colOff>73023</xdr:colOff>
      <xdr:row>4</xdr:row>
      <xdr:rowOff>36983</xdr:rowOff>
    </xdr:to>
    <xdr:pic>
      <xdr:nvPicPr>
        <xdr:cNvPr id="3" name="Picture 2" descr="Netflix isn't changing its logo, but has a new icon - The Verge">
          <a:extLst>
            <a:ext uri="{FF2B5EF4-FFF2-40B4-BE49-F238E27FC236}">
              <a16:creationId xmlns:a16="http://schemas.microsoft.com/office/drawing/2014/main" id="{CB73EE82-A0EB-5643-B747-65A8EE0E7FC5}"/>
            </a:ext>
          </a:extLst>
        </xdr:cNvPr>
        <xdr:cNvPicPr>
          <a:picLocks noChangeAspect="1" noChangeArrowheads="1"/>
        </xdr:cNvPicPr>
      </xdr:nvPicPr>
      <xdr:blipFill rotWithShape="1">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27000" y1="42500" x2="27000" y2="42500"/>
                      <a14:foregroundMark x1="41167" y1="42167" x2="41167" y2="42167"/>
                      <a14:foregroundMark x1="51500" y1="41667" x2="51500" y2="41667"/>
                      <a14:foregroundMark x1="61667" y1="43000" x2="61667" y2="43000"/>
                      <a14:foregroundMark x1="73167" y1="44833" x2="73167" y2="44833"/>
                      <a14:foregroundMark x1="80667" y1="46667" x2="80667" y2="46667"/>
                      <a14:foregroundMark x1="18167" y1="52500" x2="18167" y2="52500"/>
                    </a14:backgroundRemoval>
                  </a14:imgEffect>
                </a14:imgLayer>
              </a14:imgProps>
            </a:ext>
            <a:ext uri="{28A0092B-C50C-407E-A947-70E740481C1C}">
              <a14:useLocalDpi xmlns:a14="http://schemas.microsoft.com/office/drawing/2010/main" val="0"/>
            </a:ext>
          </a:extLst>
        </a:blip>
        <a:srcRect t="35747" b="28505"/>
        <a:stretch/>
      </xdr:blipFill>
      <xdr:spPr bwMode="auto">
        <a:xfrm>
          <a:off x="4924245" y="119812"/>
          <a:ext cx="2037929" cy="731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uskaanporwal/Downloads/NFLX.csv" TargetMode="External"/><Relationship Id="rId1" Type="http://schemas.openxmlformats.org/officeDocument/2006/relationships/externalLinkPath" Target="/Users/muskaanporwal/Downloads/NFLX.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FLX"/>
    </sheetNames>
    <sheetDataSet>
      <sheetData sheetId="0">
        <row r="1">
          <cell r="E1" t="str">
            <v>Share Price</v>
          </cell>
        </row>
        <row r="2">
          <cell r="E2">
            <v>58.475715999999998</v>
          </cell>
          <cell r="H2">
            <v>2014</v>
          </cell>
        </row>
        <row r="3">
          <cell r="E3">
            <v>63.114285000000002</v>
          </cell>
          <cell r="H3">
            <v>2015</v>
          </cell>
        </row>
        <row r="4">
          <cell r="E4">
            <v>91.839995999999999</v>
          </cell>
          <cell r="H4">
            <v>2016</v>
          </cell>
        </row>
        <row r="5">
          <cell r="E5">
            <v>140.71000699999999</v>
          </cell>
          <cell r="H5">
            <v>2017</v>
          </cell>
        </row>
        <row r="6">
          <cell r="E6">
            <v>270.29998799999998</v>
          </cell>
          <cell r="H6">
            <v>2018</v>
          </cell>
        </row>
        <row r="7">
          <cell r="E7">
            <v>339.5</v>
          </cell>
          <cell r="H7">
            <v>2019</v>
          </cell>
        </row>
        <row r="8">
          <cell r="E8">
            <v>345.08999599999999</v>
          </cell>
          <cell r="H8">
            <v>2020</v>
          </cell>
        </row>
        <row r="9">
          <cell r="E9">
            <v>532.39001499999995</v>
          </cell>
          <cell r="H9">
            <v>2021</v>
          </cell>
        </row>
        <row r="10">
          <cell r="E10">
            <v>427.14001500000001</v>
          </cell>
          <cell r="H10">
            <v>2022</v>
          </cell>
        </row>
        <row r="11">
          <cell r="E11">
            <v>353.85998499999999</v>
          </cell>
          <cell r="H11">
            <v>2023</v>
          </cell>
        </row>
        <row r="12">
          <cell r="E12">
            <v>486.88000499999998</v>
          </cell>
          <cell r="H12">
            <v>2024</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4">
  <rv s="0">
    <v>https://www.bing.com/financeapi/forcetrigger?t=a1ygoc&amp;q=XNAS%3aNFLX&amp;form=skydnc</v>
    <v>Learn more on Bing</v>
  </rv>
  <rv s="1">
    <v>0</v>
    <v>NETFLIX, INC. (XNAS:NFLX)</v>
    <v>2</v>
    <v>3</v>
    <v>Finance</v>
    <v>4</v>
    <v>en-US</v>
    <v>a1ygoc</v>
    <v>268435456</v>
    <v>1</v>
    <v>Powered by Refinitiv</v>
    <v>689.88</v>
    <v>344.73</v>
    <v>1.2670999999999999</v>
    <v>-8.77</v>
    <v>-1.2789999999999999E-2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689.88</v>
    <v>Software &amp; IT Services</v>
    <v>Stock</v>
    <v>45463.780688101564</v>
    <v>0</v>
    <v>673.72029999999995</v>
    <v>291677022280</v>
    <v>NETFLIX, INC.</v>
    <v>NETFLIX, INC.</v>
    <v>681.8</v>
    <v>47.568100000000001</v>
    <v>685.67</v>
    <v>676.9</v>
    <v>430901200</v>
    <v>NFLX</v>
    <v>NETFLIX, INC. (XNAS:NFLX)</v>
    <v>1724874</v>
    <v>2941078</v>
    <v>1997</v>
  </rv>
  <rv s="2">
    <v>1</v>
  </rv>
  <rv s="0">
    <v>http://en.wikipedia.org/wiki/Public_domain</v>
    <v>Public domain</v>
  </rv>
  <rv s="0">
    <v>http://en.wikipedia.org/wiki/The_Walt_Disney_Company</v>
    <v>Wikipedia</v>
  </rv>
  <rv s="3">
    <v>3</v>
    <v>4</v>
  </rv>
  <rv s="4">
    <v>10</v>
    <v>https://www.bing.com/th?id=AMMS_0aa288ba528f6f45e3de87d97e250136&amp;qlt=95</v>
    <v>5</v>
    <v>0</v>
    <v>https://www.bing.com/images/search?form=xlimg&amp;q=the+walt+disney+company</v>
    <v>Image of THE WALT DISNEY COMPANY</v>
  </rv>
  <rv s="0">
    <v>https://www.bing.com/financeapi/forcetrigger?t=afo2vh&amp;q=XFRA%3aWDP&amp;form=skydnc</v>
    <v>Learn more on Bing</v>
  </rv>
  <rv s="5">
    <v>5</v>
    <v>THE WALT DISNEY COMPANY (XFRA:WDP)</v>
    <v>7</v>
    <v>8</v>
    <v>Finance</v>
    <v>9</v>
    <v>en-US</v>
    <v>afo2vh</v>
    <v>268435456</v>
    <v>1</v>
    <v>Powered by Refinitiv</v>
    <v>171.9</v>
    <v>73.83</v>
    <v>1.399</v>
    <v>-0.16</v>
    <v>-1.694E-3</v>
    <v>EUR</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225000</v>
    <v>Deutsche Boerse AG</v>
    <v>XFRA</v>
    <v>XFRA</v>
    <v>500 S Buena Vista St, BURBANK, CA, 91521-0001 US</v>
    <v>94.8</v>
    <v>6</v>
    <v>Media &amp; Publishing</v>
    <v>Stock</v>
    <v>45463.769444444442</v>
    <v>7</v>
    <v>94.19</v>
    <v>185038900000</v>
    <v>THE WALT DISNEY COMPANY</v>
    <v>THE WALT DISNEY COMPANY</v>
    <v>94.8</v>
    <v>109.593</v>
    <v>94.46</v>
    <v>94.3</v>
    <v>1823043000</v>
    <v>WDP</v>
    <v>THE WALT DISNEY COMPANY (XFRA:WDP)</v>
    <v>448</v>
    <v>8763430</v>
    <v>2018</v>
  </rv>
  <rv s="2">
    <v>8</v>
  </rv>
  <rv s="0">
    <v>https://www.bing.com/financeapi/forcetrigger?t=a1r32w&amp;q=XNAS%3aWBD&amp;form=skydnc</v>
    <v>Learn more on Bing</v>
  </rv>
  <rv s="1">
    <v>0</v>
    <v>WARNER BROS. DISCOVERY, INC. (XNAS:WBD)</v>
    <v>2</v>
    <v>3</v>
    <v>Finance</v>
    <v>4</v>
    <v>en-US</v>
    <v>a1r32w</v>
    <v>268435456</v>
    <v>1</v>
    <v>Powered by Refinitiv</v>
    <v>14.76</v>
    <v>6.94</v>
    <v>1.4827999999999999</v>
    <v>0.05</v>
    <v>7.1530000000000005E-3</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7.16</v>
    <v>Media &amp; Publishing</v>
    <v>Stock</v>
    <v>45463.780698193747</v>
    <v>10</v>
    <v>6.94</v>
    <v>17250203520</v>
    <v>WARNER BROS. DISCOVERY, INC.</v>
    <v>WARNER BROS. DISCOVERY, INC.</v>
    <v>6.99</v>
    <v>0</v>
    <v>6.99</v>
    <v>7.04</v>
    <v>2450313000</v>
    <v>WBD</v>
    <v>WARNER BROS. DISCOVERY, INC. (XNAS:WBD)</v>
    <v>18469424</v>
    <v>28558084</v>
    <v>2008</v>
  </rv>
  <rv s="2">
    <v>11</v>
  </rv>
  <rv s="0">
    <v>http://en.wikipedia.org/wiki/CBS_Corporation</v>
    <v>Wikipedia</v>
  </rv>
  <rv s="3">
    <v>3</v>
    <v>13</v>
  </rv>
  <rv s="4">
    <v>10</v>
    <v>https://www.bing.com/th?id=AMMS_6017cbc2a2b9a7e0267820597f74cec1&amp;qlt=95</v>
    <v>14</v>
    <v>0</v>
    <v>https://www.bing.com/images/search?form=xlimg&amp;q=cbs+corporation</v>
    <v>Image of PARAMOUNT GLOBAL</v>
  </rv>
  <rv s="0">
    <v>https://www.bing.com/financeapi/forcetrigger?t=a1pb4c&amp;q=XNAS%3aPARA&amp;form=skydnc</v>
    <v>Learn more on Bing</v>
  </rv>
  <rv s="5">
    <v>5</v>
    <v>PARAMOUNT GLOBAL (XNAS:PARA)</v>
    <v>7</v>
    <v>11</v>
    <v>Finance</v>
    <v>4</v>
    <v>en-US</v>
    <v>a1pb4c</v>
    <v>268435456</v>
    <v>1</v>
    <v>Powered by Refinitiv</v>
    <v>17.5</v>
    <v>9.5399999999999991</v>
    <v>1.7804</v>
    <v>0.36499999999999999</v>
    <v>3.7981000000000001E-2</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10.050000000000001</v>
    <v>15</v>
    <v>Media &amp; Publishing</v>
    <v>Stock</v>
    <v>45463.780709316408</v>
    <v>16</v>
    <v>9.5914999999999999</v>
    <v>6706468000</v>
    <v>PARAMOUNT GLOBAL</v>
    <v>PARAMOUNT GLOBAL</v>
    <v>9.6</v>
    <v>0</v>
    <v>9.61</v>
    <v>9.9749999999999996</v>
    <v>666478700</v>
    <v>PARA</v>
    <v>PARAMOUNT GLOBAL (XNAS:PARA)</v>
    <v>11671897</v>
    <v>16503321</v>
    <v>1986</v>
  </rv>
  <rv s="2">
    <v>17</v>
  </rv>
  <rv s="0">
    <v>https://www.bing.com/financeapi/forcetrigger?t=bp8fww&amp;q=XNAS%3aFOXA&amp;form=skydnc</v>
    <v>Learn more on Bing</v>
  </rv>
  <rv s="1">
    <v>0</v>
    <v>FOX CORPORATION (XNAS:FOXA)</v>
    <v>2</v>
    <v>3</v>
    <v>Finance</v>
    <v>4</v>
    <v>en-US</v>
    <v>bp8fww</v>
    <v>268435456</v>
    <v>1</v>
    <v>Powered by Refinitiv</v>
    <v>35.405000000000001</v>
    <v>28.285</v>
    <v>0.77569999999999995</v>
    <v>0.76</v>
    <v>2.2646000000000003E-2</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The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The Other, Corporate and Eliminations segment consists of the FOX Studio Lot, which provides television and film production services and Credible Labs Inc.</v>
    <v>10400</v>
    <v>Nasdaq Stock Market</v>
    <v>XNAS</v>
    <v>XNAS</v>
    <v>1211 Avenue of the Americas, NEW YORK, NY, 10036-8701 US</v>
    <v>34.39</v>
    <v>Media &amp; Publishing</v>
    <v>Stock</v>
    <v>45463.780688981249</v>
    <v>19</v>
    <v>33.5</v>
    <v>15109880000</v>
    <v>FOX CORPORATION</v>
    <v>FOX CORPORATION</v>
    <v>33.56</v>
    <v>10.5145</v>
    <v>33.56</v>
    <v>34.32</v>
    <v>466731200</v>
    <v>FOXA</v>
    <v>FOX CORPORATION (XNAS:FOXA)</v>
    <v>1442159</v>
    <v>2801893</v>
    <v>2018</v>
  </rv>
  <rv s="2">
    <v>20</v>
  </rv>
  <rv s="0">
    <v>https://www.bing.com/financeapi/forcetrigger?t=aw3oh7&amp;q=XNYS%3aFUBO&amp;form=skydnc</v>
    <v>Learn more on Bing</v>
  </rv>
  <rv s="6">
    <v>12</v>
    <v>FUBOTV INC. (XNYS:FUBO)</v>
    <v>2</v>
    <v>13</v>
    <v>Finance</v>
    <v>4</v>
    <v>en-US</v>
    <v>aw3oh7</v>
    <v>268435456</v>
    <v>1</v>
    <v>Powered by Refinitiv</v>
    <v>3.87</v>
    <v>1.1200000000000001</v>
    <v>1.7694000000000001</v>
    <v>-4.02E-2</v>
    <v>-3.4068000000000001E-2</v>
    <v>USD</v>
    <v>fuboTV Inc. is a sports-first, live television (TV) streaming company. The Company is engaged in offering access to tens of thousands of live sporting events annually, as well as news and entertainment content. Its platform is designed to allow customers to seamlessly access content through streaming devices and on Smart TVs, mobile phones, tablets, and computers. The Company operates through its streaming segment. Its base plan, Fubo Pro, includes over 100+ channels, including Nielsen-rated networks, and dozens of sports, news, and entertainment options. Its subscribers have the option to add premium channels and channel packages, as well as upgrade attachments such as Cloud DVR Plus for more storage and Family Share for additional simultaneous streams. The Company also offers multi-view on Apple TV, which enables subscribers to watch up to four live streams simultaneously. Its platform allows content providers to monetize and distribute their content to its highly engaged audience.</v>
    <v>530</v>
    <v>New York Stock Exchange</v>
    <v>XNYS</v>
    <v>XNYS</v>
    <v>1290 AVENUE OF THE AMERICAS, NEW YORK, NEW YORK, NY, 10104 US</v>
    <v>1.18</v>
    <v>Software &amp; IT Services</v>
    <v>Stock</v>
    <v>45463.780557765625</v>
    <v>22</v>
    <v>1.1200000000000001</v>
    <v>341802882</v>
    <v>FUBOTV INC.</v>
    <v>FUBOTV INC.</v>
    <v>1.18</v>
    <v>1.18</v>
    <v>1.1397999999999999</v>
    <v>299879700</v>
    <v>FUBO</v>
    <v>FUBOTV INC. (XNYS:FUBO)</v>
    <v>5017882</v>
    <v>8429717</v>
    <v>2009</v>
  </rv>
  <rv s="2">
    <v>23</v>
  </rv>
  <rv s="0">
    <v>https://www.bing.com/financeapi/forcetrigger?t=a1x8nm&amp;q=XNYS%3aLYV&amp;form=skydnc</v>
    <v>Learn more on Bing</v>
  </rv>
  <rv s="1">
    <v>0</v>
    <v>LIVE NATION ENTERTAINMENT, INC. (XNYS:LYV)</v>
    <v>2</v>
    <v>3</v>
    <v>Finance</v>
    <v>4</v>
    <v>en-US</v>
    <v>a1x8nm</v>
    <v>268435456</v>
    <v>1</v>
    <v>Powered by Refinitiv</v>
    <v>107.24</v>
    <v>76.48</v>
    <v>1.3372999999999999</v>
    <v>0.14000000000000001</v>
    <v>1.5229999999999998E-3</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92.45</v>
    <v>Media &amp; Publishing</v>
    <v>Stock</v>
    <v>45463.78068984922</v>
    <v>25</v>
    <v>91.58</v>
    <v>21311234608</v>
    <v>LIVE NATION ENTERTAINMENT, INC.</v>
    <v>LIVE NATION ENTERTAINMENT, INC.</v>
    <v>91.67</v>
    <v>90.663499999999999</v>
    <v>91.94</v>
    <v>92.08</v>
    <v>231442600</v>
    <v>LYV</v>
    <v>LIVE NATION ENTERTAINMENT, INC. (XNYS:LYV)</v>
    <v>773553</v>
    <v>2155663</v>
    <v>2005</v>
  </rv>
  <rv s="2">
    <v>26</v>
  </rv>
  <rv s="0">
    <v>https://www.bing.com/financeapi/forcetrigger?t=a1tj77&amp;q=XNAS%3aFWONA&amp;form=skydnc</v>
    <v>Learn more on Bing</v>
  </rv>
  <rv s="1">
    <v>0</v>
    <v>LIBERTY MEDIA CORPORATION (XNAS:FWONA)</v>
    <v>2</v>
    <v>3</v>
    <v>Finance</v>
    <v>4</v>
    <v>en-US</v>
    <v>a1tj77</v>
    <v>268435456</v>
    <v>1</v>
    <v>Powered by Refinitiv</v>
    <v>70.209999999999994</v>
    <v>55.075000000000003</v>
    <v>1.1169</v>
    <v>-0.94</v>
    <v>-1.4234E-2</v>
    <v>USD</v>
    <v>Liberty Media Corporation operates and owns interests in a range of media, communications, and entertainment businesses. The Company’s businesses are attributed to three tracking stock groups: the Liberty SiriusXM Group, the Formula One Group, and the Liberty Live Group. Its Sirius XM Holdings segment operates two complementary audio entertainment businesses, SiriusXM and Pandora and Off-platform. SiriusXM features music, sports, entertainment, comedy, talk, news, traffic and weather channels and other content, as well as podcasts and infotainment services, in the United States on a subscription fee basis. SiriusXM’s packages include live, curated and certain exclusive and on-demand programming. Its Formula 1 segment is a global motorsports business that holds commercial rights with respect to the World Championship, an annual, approximately nine-month long, motor race-based competition. It is also a provider of premium experiences at the world's sports and entertainment events.</v>
    <v>6400</v>
    <v>Nasdaq Stock Market</v>
    <v>XNAS</v>
    <v>XNAS</v>
    <v>12300 Liberty Blvd, ENGLEWOOD, CO, 80112 US</v>
    <v>65.949299999999994</v>
    <v>Media &amp; Publishing</v>
    <v>Stock</v>
    <v>45463.780638865624</v>
    <v>28</v>
    <v>65.099999999999994</v>
    <v>27144270000</v>
    <v>LIBERTY MEDIA CORPORATION</v>
    <v>LIBERTY MEDIA CORPORATION</v>
    <v>65.52</v>
    <v>41.466299999999997</v>
    <v>66.040000000000006</v>
    <v>65.099999999999994</v>
    <v>653445000</v>
    <v>FWONA</v>
    <v>LIBERTY MEDIA CORPORATION (XNAS:FWONA)</v>
    <v>30144</v>
    <v>112761</v>
    <v>2012</v>
  </rv>
  <rv s="2">
    <v>29</v>
  </rv>
  <rv s="0">
    <v>https://www.bing.com/financeapi/forcetrigger?t=a1yx9c&amp;q=XNAS%3aNWSA&amp;form=skydnc</v>
    <v>Learn more on Bing</v>
  </rv>
  <rv s="1">
    <v>0</v>
    <v>NEWS CORPORATION (XNAS:NWSA)</v>
    <v>2</v>
    <v>3</v>
    <v>Finance</v>
    <v>4</v>
    <v>en-US</v>
    <v>a1yx9c</v>
    <v>268435456</v>
    <v>1</v>
    <v>Powered by Refinitiv</v>
    <v>28</v>
    <v>18.59</v>
    <v>1.3386</v>
    <v>-0.12</v>
    <v>-4.4429999999999999E-3</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and The News Media, which consists of News Corp Australia, News UK and the New York Post and includes, among other publications, The Australian and The Daily Telegraph.</v>
    <v>25000</v>
    <v>Nasdaq Stock Market</v>
    <v>XNAS</v>
    <v>XNAS</v>
    <v>1211 Avenue of the Americas, NEW YORK, NY, 10036 US</v>
    <v>27.22</v>
    <v>Media &amp; Publishing</v>
    <v>Stock</v>
    <v>45463.780636365627</v>
    <v>31</v>
    <v>26.835000000000001</v>
    <v>15514740000</v>
    <v>NEWS CORPORATION</v>
    <v>NEWS CORPORATION</v>
    <v>26.92</v>
    <v>75.312200000000004</v>
    <v>27.01</v>
    <v>26.89</v>
    <v>569888900</v>
    <v>NWSA</v>
    <v>NEWS CORPORATION (XNAS:NWSA)</v>
    <v>801557</v>
    <v>2213258</v>
    <v>2012</v>
  </rv>
  <rv s="2">
    <v>32</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10</v>
      <v>2</v>
      <v>2</v>
      <v>10</v>
      <v>3</v>
      <v>10</v>
      <v>11</v>
      <v>10</v>
      <v>10</v>
      <v>4</v>
      <v>4</v>
      <v>5</v>
      <v>6</v>
      <v>10</v>
      <v>10</v>
      <v>10</v>
      <v>4</v>
      <v>7</v>
      <v>8</v>
      <v>9</v>
      <v>4</v>
    </spb>
    <spb s="8">
      <v>Delayed 15 minutes</v>
      <v>from previous close</v>
      <v>from previous close</v>
      <v>GMT</v>
    </spb>
    <spb s="9">
      <v>Powered by Refinitiv</v>
    </spb>
    <spb s="7">
      <v>1</v>
      <v>2</v>
      <v>2</v>
      <v>1</v>
      <v>3</v>
      <v>1</v>
      <v>11</v>
      <v>1</v>
      <v>1</v>
      <v>4</v>
      <v>4</v>
      <v>5</v>
      <v>6</v>
      <v>1</v>
      <v>1</v>
      <v>1</v>
      <v>4</v>
      <v>7</v>
      <v>8</v>
      <v>9</v>
      <v>4</v>
    </spb>
    <spb s="0">
      <v>2</v>
      <v>Name</v>
      <v>LearnMoreOnLink</v>
    </spb>
    <spb s="10">
      <v>1</v>
      <v>2</v>
      <v>1</v>
      <v>3</v>
      <v>1</v>
      <v>1</v>
      <v>1</v>
      <v>4</v>
      <v>4</v>
      <v>5</v>
      <v>6</v>
      <v>1</v>
      <v>1</v>
      <v>1</v>
      <v>4</v>
      <v>7</v>
      <v>8</v>
      <v>9</v>
      <v>4</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737B-903F-BB44-A640-0AAB7768FDC5}">
  <dimension ref="B12:I29"/>
  <sheetViews>
    <sheetView showGridLines="0" tabSelected="1" view="pageBreakPreview" zoomScale="97" zoomScaleNormal="100" zoomScaleSheetLayoutView="97" workbookViewId="0">
      <selection activeCell="H23" sqref="H23"/>
    </sheetView>
  </sheetViews>
  <sheetFormatPr baseColWidth="10" defaultRowHeight="16" x14ac:dyDescent="0.2"/>
  <sheetData>
    <row r="12" spans="2:9" ht="20" x14ac:dyDescent="0.2">
      <c r="B12" s="214" t="s">
        <v>414</v>
      </c>
      <c r="C12" s="31"/>
      <c r="D12" s="31"/>
      <c r="E12" s="214"/>
      <c r="F12" s="31"/>
      <c r="G12" s="31"/>
      <c r="H12" s="31"/>
      <c r="I12" s="31"/>
    </row>
    <row r="17" spans="2:6" ht="19" x14ac:dyDescent="0.25">
      <c r="B17" s="216"/>
      <c r="C17" s="217" t="s">
        <v>415</v>
      </c>
      <c r="D17" s="219" t="s">
        <v>423</v>
      </c>
      <c r="E17" s="216"/>
      <c r="F17" s="216"/>
    </row>
    <row r="18" spans="2:6" ht="19" x14ac:dyDescent="0.25">
      <c r="B18" s="216"/>
      <c r="C18" s="217" t="s">
        <v>416</v>
      </c>
      <c r="D18" s="219" t="s">
        <v>424</v>
      </c>
      <c r="E18" s="216"/>
      <c r="F18" s="216"/>
    </row>
    <row r="19" spans="2:6" ht="19" x14ac:dyDescent="0.25">
      <c r="B19" s="216"/>
      <c r="C19" s="217" t="s">
        <v>417</v>
      </c>
      <c r="D19" s="218" t="s">
        <v>425</v>
      </c>
      <c r="E19" s="216"/>
      <c r="F19" s="216"/>
    </row>
    <row r="20" spans="2:6" ht="19" x14ac:dyDescent="0.25">
      <c r="B20" s="216"/>
      <c r="C20" s="217" t="s">
        <v>418</v>
      </c>
      <c r="D20" s="218" t="s">
        <v>426</v>
      </c>
      <c r="E20" s="216"/>
      <c r="F20" s="216"/>
    </row>
    <row r="21" spans="2:6" ht="19" x14ac:dyDescent="0.25">
      <c r="B21" s="216"/>
      <c r="C21" s="217" t="s">
        <v>419</v>
      </c>
      <c r="D21" s="218" t="s">
        <v>427</v>
      </c>
      <c r="E21" s="216"/>
      <c r="F21" s="216"/>
    </row>
    <row r="22" spans="2:6" ht="19" x14ac:dyDescent="0.25">
      <c r="B22" s="216"/>
      <c r="C22" s="217" t="s">
        <v>420</v>
      </c>
      <c r="D22" s="218" t="s">
        <v>147</v>
      </c>
      <c r="E22" s="216"/>
      <c r="F22" s="216"/>
    </row>
    <row r="23" spans="2:6" ht="19" x14ac:dyDescent="0.25">
      <c r="B23" s="216"/>
      <c r="C23" s="217" t="s">
        <v>421</v>
      </c>
      <c r="D23" s="218" t="s">
        <v>428</v>
      </c>
      <c r="E23" s="216"/>
      <c r="F23" s="216"/>
    </row>
    <row r="24" spans="2:6" ht="19" x14ac:dyDescent="0.25">
      <c r="B24" s="216"/>
      <c r="C24" s="217" t="s">
        <v>422</v>
      </c>
      <c r="D24" s="218" t="s">
        <v>429</v>
      </c>
      <c r="E24" s="216"/>
      <c r="F24" s="216"/>
    </row>
    <row r="25" spans="2:6" ht="19" x14ac:dyDescent="0.25">
      <c r="B25" s="216"/>
      <c r="C25" s="217" t="s">
        <v>431</v>
      </c>
      <c r="D25" s="218" t="s">
        <v>430</v>
      </c>
      <c r="E25" s="216"/>
      <c r="F25" s="216"/>
    </row>
    <row r="26" spans="2:6" ht="19" x14ac:dyDescent="0.25">
      <c r="B26" s="216"/>
      <c r="C26" s="217" t="s">
        <v>432</v>
      </c>
      <c r="D26" s="218" t="s">
        <v>317</v>
      </c>
      <c r="E26" s="216"/>
      <c r="F26" s="216"/>
    </row>
    <row r="27" spans="2:6" ht="19" x14ac:dyDescent="0.25">
      <c r="B27" s="216"/>
      <c r="C27" s="217"/>
      <c r="D27" s="216"/>
      <c r="E27" s="216"/>
      <c r="F27" s="216"/>
    </row>
    <row r="28" spans="2:6" x14ac:dyDescent="0.2">
      <c r="C28" s="215"/>
    </row>
    <row r="29" spans="2:6" x14ac:dyDescent="0.2">
      <c r="C29" s="215"/>
    </row>
  </sheetData>
  <hyperlinks>
    <hyperlink ref="D17" location="'One Page Profile'!A1" display="One Page Profile" xr:uid="{F131FA24-4576-0548-B3F7-971C5C26A5FD}"/>
    <hyperlink ref="D18" location="'Financial Statements'!A1" display="Financial Statements" xr:uid="{56426DEF-83C3-444F-A86D-60307824BB95}"/>
    <hyperlink ref="D19" location="'Notes to Accounts'!A1" display="Notes to Accounts" xr:uid="{73F67BE4-75A6-F947-B66F-AAB7CC68C5CA}"/>
    <hyperlink ref="D20" location="Assumptions!A1" display="Assumptions" xr:uid="{23D9190E-5FDC-9448-90ED-E0B6ADFA3B19}"/>
    <hyperlink ref="D21" location="'Regression Analysis'!A1" display="Regression Analysis" xr:uid="{FE8EEC53-F408-F14F-91A6-D9CE2960E117}"/>
    <hyperlink ref="D22" location="'Weighted Average Cost of Capita'!A1" display="Weighted Average Cost of Capital" xr:uid="{7C2A5095-52A6-FD4B-81A6-85B3C70D8F07}"/>
    <hyperlink ref="D23" location="'DCF Valuation'!A1" display="DCF Valuation" xr:uid="{2A870A15-4E8C-104B-80C0-FD1FC1E0963A}"/>
    <hyperlink ref="D24" location="'Relative Valuation'!A1" display="Relative Valuation" xr:uid="{9850776A-F555-B144-871E-9D72C2B3F709}"/>
    <hyperlink ref="D25" location="'Monte Carlo'!A1" display="Monte Carlo Simulation and VAR" xr:uid="{6730AA29-A691-644B-8DC7-92C206A261AF}"/>
    <hyperlink ref="D26" location="'Dupoint Analysis'!A1" display="Dupont Analysis" xr:uid="{5AF07D5B-C030-034E-A556-8026607C121B}"/>
  </hyperlinks>
  <pageMargins left="0.7" right="0.7" top="0.75" bottom="0.75" header="0.3" footer="0.3"/>
  <pageSetup scale="78" orientation="portrait" horizontalDpi="0" verticalDpi="0"/>
  <ignoredErrors>
    <ignoredError sqref="C17:C27"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499CC-D792-4943-9EA4-539AEDF85747}">
  <dimension ref="B2:V52"/>
  <sheetViews>
    <sheetView showGridLines="0" view="pageBreakPreview" zoomScale="118" zoomScaleNormal="132" zoomScaleSheetLayoutView="100" workbookViewId="0"/>
  </sheetViews>
  <sheetFormatPr baseColWidth="10" defaultRowHeight="16" x14ac:dyDescent="0.2"/>
  <cols>
    <col min="1" max="1" width="2" customWidth="1"/>
    <col min="2" max="2" width="27.5" customWidth="1"/>
    <col min="3" max="3" width="9.1640625" bestFit="1" customWidth="1"/>
    <col min="4" max="4" width="9" customWidth="1"/>
    <col min="5" max="5" width="9.1640625" customWidth="1"/>
    <col min="6" max="6" width="11.33203125" customWidth="1"/>
    <col min="7" max="7" width="5.5" customWidth="1"/>
    <col min="8" max="8" width="3.33203125" customWidth="1"/>
    <col min="9" max="9" width="15.33203125" customWidth="1"/>
    <col min="11" max="11" width="11.33203125" customWidth="1"/>
    <col min="12" max="12" width="2.6640625" customWidth="1"/>
  </cols>
  <sheetData>
    <row r="2" spans="2:22" ht="19" customHeight="1" x14ac:dyDescent="0.25">
      <c r="B2" s="27"/>
      <c r="C2" s="34" t="e" vm="1">
        <v>#VALUE!</v>
      </c>
      <c r="F2" s="28"/>
      <c r="G2" s="33"/>
      <c r="H2" s="28"/>
      <c r="I2" s="28"/>
      <c r="J2" s="28"/>
      <c r="K2" s="28"/>
      <c r="U2" s="201" t="s">
        <v>374</v>
      </c>
      <c r="V2" s="31"/>
    </row>
    <row r="3" spans="2:22" ht="16" customHeight="1" x14ac:dyDescent="0.2">
      <c r="C3" s="224" t="str" cm="1">
        <f t="array" ref="C3">_FV(C2,"Description")</f>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c>
      <c r="D3" s="224"/>
      <c r="E3" s="224"/>
      <c r="F3" s="224"/>
      <c r="G3" s="224"/>
      <c r="H3" s="224"/>
      <c r="I3" s="224"/>
      <c r="J3" s="224"/>
      <c r="K3" s="224"/>
      <c r="U3" s="43" t="s">
        <v>369</v>
      </c>
      <c r="V3" s="43" t="s">
        <v>370</v>
      </c>
    </row>
    <row r="4" spans="2:22" x14ac:dyDescent="0.2">
      <c r="C4" s="224"/>
      <c r="D4" s="224"/>
      <c r="E4" s="224"/>
      <c r="F4" s="224"/>
      <c r="G4" s="224"/>
      <c r="H4" s="224"/>
      <c r="I4" s="224"/>
      <c r="J4" s="224"/>
      <c r="K4" s="224"/>
      <c r="U4" s="38">
        <v>7.4000000000000003E-3</v>
      </c>
      <c r="V4" t="s">
        <v>372</v>
      </c>
    </row>
    <row r="5" spans="2:22" x14ac:dyDescent="0.2">
      <c r="C5" s="224"/>
      <c r="D5" s="224"/>
      <c r="E5" s="224"/>
      <c r="F5" s="224"/>
      <c r="G5" s="224"/>
      <c r="H5" s="224"/>
      <c r="I5" s="224"/>
      <c r="J5" s="224"/>
      <c r="K5" s="224"/>
      <c r="U5" s="38">
        <v>0.85199999999999998</v>
      </c>
      <c r="V5" t="s">
        <v>371</v>
      </c>
    </row>
    <row r="6" spans="2:22" x14ac:dyDescent="0.2">
      <c r="C6" s="224"/>
      <c r="D6" s="224"/>
      <c r="E6" s="224"/>
      <c r="F6" s="224"/>
      <c r="G6" s="224"/>
      <c r="H6" s="224"/>
      <c r="I6" s="224"/>
      <c r="J6" s="224"/>
      <c r="K6" s="224"/>
      <c r="U6" s="38">
        <f>1-U5-U4</f>
        <v>0.14060000000000003</v>
      </c>
      <c r="V6" t="s">
        <v>373</v>
      </c>
    </row>
    <row r="7" spans="2:22" ht="70" customHeight="1" x14ac:dyDescent="0.2">
      <c r="C7" s="224"/>
      <c r="D7" s="224"/>
      <c r="E7" s="224"/>
      <c r="F7" s="224"/>
      <c r="G7" s="224"/>
      <c r="H7" s="224"/>
      <c r="I7" s="224"/>
      <c r="J7" s="224"/>
      <c r="K7" s="224"/>
    </row>
    <row r="8" spans="2:22" ht="25" customHeight="1" x14ac:dyDescent="0.3">
      <c r="B8" s="204" t="s">
        <v>124</v>
      </c>
      <c r="C8" s="205" cm="1">
        <f t="array" ref="C8">_FV(C2,"Price")</f>
        <v>676.9</v>
      </c>
      <c r="D8" s="207" t="s">
        <v>400</v>
      </c>
      <c r="E8" s="208"/>
      <c r="F8" s="208" t="s">
        <v>399</v>
      </c>
    </row>
    <row r="9" spans="2:22" x14ac:dyDescent="0.2">
      <c r="B9" s="202" t="s">
        <v>375</v>
      </c>
      <c r="C9" s="203"/>
      <c r="D9" s="203"/>
      <c r="E9" s="203"/>
      <c r="F9" s="203"/>
      <c r="H9" s="202" t="s">
        <v>123</v>
      </c>
      <c r="I9" s="202"/>
      <c r="J9" s="202"/>
      <c r="K9" s="202"/>
    </row>
    <row r="10" spans="2:22" x14ac:dyDescent="0.2">
      <c r="C10" s="16">
        <v>2020</v>
      </c>
      <c r="D10" s="16">
        <v>2021</v>
      </c>
      <c r="E10" s="16">
        <v>2022</v>
      </c>
      <c r="F10" s="16">
        <v>2023</v>
      </c>
    </row>
    <row r="11" spans="2:22" x14ac:dyDescent="0.2">
      <c r="B11" s="2" t="s">
        <v>376</v>
      </c>
      <c r="C11" s="9">
        <f>'Financial Statements'!C4/'Financial Statements'!B4-1</f>
        <v>0.24010228588401517</v>
      </c>
      <c r="D11" s="9">
        <f>'Financial Statements'!D4/'Financial Statements'!C4-1</f>
        <v>0.18810119484449861</v>
      </c>
      <c r="E11" s="9">
        <f>'Financial Statements'!E4/'Financial Statements'!D4-1</f>
        <v>6.45739131769969E-2</v>
      </c>
      <c r="F11" s="9">
        <f>'Financial Statements'!F4/'Financial Statements'!E4-1</f>
        <v>6.6668047843545297E-2</v>
      </c>
    </row>
    <row r="12" spans="2:22" x14ac:dyDescent="0.2">
      <c r="B12" s="2" t="s">
        <v>377</v>
      </c>
      <c r="C12" s="9">
        <f>'Financial Statements'!C10/'Financial Statements'!C4</f>
        <v>0.62041431656258095</v>
      </c>
      <c r="D12" s="9">
        <f>'Financial Statements'!D10/'Financial Statements'!D4</f>
        <v>0.6274289810398358</v>
      </c>
      <c r="E12" s="9">
        <f>'Financial Statements'!E10/'Financial Statements'!E4</f>
        <v>0.63246234843297044</v>
      </c>
      <c r="F12" s="9">
        <f>'Financial Statements'!F10/'Financial Statements'!F4</f>
        <v>0.63779016031558244</v>
      </c>
    </row>
    <row r="13" spans="2:22" x14ac:dyDescent="0.2">
      <c r="B13" s="2" t="s">
        <v>378</v>
      </c>
      <c r="C13" s="9">
        <f>'Financial Statements'!C12/'Financial Statements'!C4</f>
        <v>0.18344049957321268</v>
      </c>
      <c r="D13" s="9">
        <f>'Financial Statements'!D12/'Financial Statements'!D4</f>
        <v>0.20858446828665408</v>
      </c>
      <c r="E13" s="9">
        <f>'Financial Statements'!E12/'Financial Statements'!E4</f>
        <v>0.17816647187855345</v>
      </c>
      <c r="F13" s="9">
        <f>'Financial Statements'!F12/'Financial Statements'!F4</f>
        <v>0.20620768485358951</v>
      </c>
    </row>
    <row r="14" spans="2:22" x14ac:dyDescent="0.2">
      <c r="B14" s="2" t="s">
        <v>381</v>
      </c>
      <c r="C14" s="9">
        <f>('Financial Statements'!C6-'Financial Statements'!C11)/'Financial Statements'!C4</f>
        <v>0.38885082510616875</v>
      </c>
      <c r="D14" s="9">
        <f>('Financial Statements'!D6-'Financial Statements'!D11)/'Financial Statements'!D4</f>
        <v>0.41636561226464791</v>
      </c>
      <c r="E14" s="9">
        <f>('Financial Statements'!E6-'Financial Statements'!E11)/'Financial Statements'!E4</f>
        <v>0.39370705238403253</v>
      </c>
      <c r="F14" s="9">
        <f>('Financial Statements'!F6-'Financial Statements'!F11)/'Financial Statements'!F4</f>
        <v>0.41537839553469519</v>
      </c>
    </row>
    <row r="15" spans="2:22" x14ac:dyDescent="0.2">
      <c r="B15" s="2" t="s">
        <v>379</v>
      </c>
      <c r="C15" s="9">
        <f>'Financial Statements'!C19/'Financial Statements'!C4</f>
        <v>0.11047322825648974</v>
      </c>
      <c r="D15" s="9">
        <f>'Financial Statements'!D19/'Financial Statements'!D4</f>
        <v>0.17227607499049427</v>
      </c>
      <c r="E15" s="9">
        <f>'Financial Statements'!E19/'Financial Statements'!E4</f>
        <v>0.14207957792921522</v>
      </c>
      <c r="F15" s="9">
        <f>'Financial Statements'!F19/'Financial Statements'!F4</f>
        <v>0.16036362043723068</v>
      </c>
    </row>
    <row r="16" spans="2:22" x14ac:dyDescent="0.2">
      <c r="B16" s="2" t="s">
        <v>380</v>
      </c>
      <c r="C16" s="13">
        <f>'Financial Statements'!C22</f>
        <v>6.2627743682556094</v>
      </c>
      <c r="D16" s="13">
        <f>'Financial Statements'!D22</f>
        <v>11.545007954327493</v>
      </c>
      <c r="E16" s="13">
        <f>'Financial Statements'!E22</f>
        <v>10.101066341652087</v>
      </c>
      <c r="F16" s="13">
        <f>'Financial Statements'!F22</f>
        <v>12.247158441111395</v>
      </c>
    </row>
    <row r="17" spans="2:11" x14ac:dyDescent="0.2">
      <c r="B17" s="2" t="s">
        <v>382</v>
      </c>
      <c r="C17" s="9">
        <f>'Financial Statements'!C22/'Financial Statements'!B22-1</f>
        <v>0.46864473583596578</v>
      </c>
      <c r="D17" s="9">
        <f>'Financial Statements'!D22/'Financial Statements'!C22-1</f>
        <v>0.84343348098985738</v>
      </c>
      <c r="E17" s="9">
        <f>'Financial Statements'!E22/'Financial Statements'!D22-1</f>
        <v>-0.12507064684473979</v>
      </c>
      <c r="F17" s="9">
        <f>'Financial Statements'!F22/'Financial Statements'!E22-1</f>
        <v>0.21246193489590537</v>
      </c>
    </row>
    <row r="18" spans="2:11" x14ac:dyDescent="0.2">
      <c r="B18" s="2" t="s">
        <v>383</v>
      </c>
      <c r="C18" s="57">
        <v>0</v>
      </c>
      <c r="D18" s="57">
        <v>0</v>
      </c>
      <c r="E18" s="57">
        <v>0</v>
      </c>
      <c r="F18" s="57">
        <v>0</v>
      </c>
    </row>
    <row r="20" spans="2:11" ht="10" customHeight="1" x14ac:dyDescent="0.25">
      <c r="H20" s="32"/>
      <c r="I20" s="31"/>
      <c r="J20" s="31"/>
      <c r="K20" s="31"/>
    </row>
    <row r="21" spans="2:11" x14ac:dyDescent="0.2">
      <c r="B21" s="202" t="s">
        <v>384</v>
      </c>
      <c r="C21" s="203"/>
      <c r="D21" s="203"/>
      <c r="E21" s="203"/>
      <c r="F21" s="203"/>
      <c r="H21" s="202" t="s">
        <v>368</v>
      </c>
      <c r="I21" s="202"/>
      <c r="J21" s="202"/>
      <c r="K21" s="202"/>
    </row>
    <row r="22" spans="2:11" x14ac:dyDescent="0.2">
      <c r="C22" s="16">
        <v>2020</v>
      </c>
      <c r="D22" s="16">
        <v>2021</v>
      </c>
      <c r="E22" s="16">
        <v>2022</v>
      </c>
      <c r="F22" s="16">
        <v>2023</v>
      </c>
    </row>
    <row r="23" spans="2:11" x14ac:dyDescent="0.2">
      <c r="B23" t="s">
        <v>385</v>
      </c>
      <c r="C23" s="9">
        <f>'Dupont Analysis'!D19</f>
        <v>0.24955581623173106</v>
      </c>
      <c r="D23" s="9">
        <f>'Dupont Analysis'!E19</f>
        <v>0.32280572554609538</v>
      </c>
      <c r="E23" s="9">
        <f>'Dupont Analysis'!F19</f>
        <v>0.21619277598771858</v>
      </c>
      <c r="F23" s="9">
        <f>'Dupont Analysis'!G19</f>
        <v>0.26267280859777098</v>
      </c>
    </row>
    <row r="24" spans="2:11" x14ac:dyDescent="0.2">
      <c r="B24" t="s">
        <v>386</v>
      </c>
      <c r="C24" s="9">
        <f>'Financial Statements'!C12/('Financial Statements'!C40-'Financial Statements'!C49)</f>
        <v>0.14568232122855737</v>
      </c>
      <c r="D24" s="9">
        <f>'Financial Statements'!D12/('Financial Statements'!D40-'Financial Statements'!D49)</f>
        <v>0.17161350285049212</v>
      </c>
      <c r="E24" s="9">
        <f>'Financial Statements'!E12/('Financial Statements'!E40-'Financial Statements'!E49)</f>
        <v>0.13852202280977521</v>
      </c>
      <c r="F24" s="9">
        <f>'Financial Statements'!F12/('Financial Statements'!F40-'Financial Statements'!F49)</f>
        <v>0.17441108132390945</v>
      </c>
    </row>
    <row r="25" spans="2:11" x14ac:dyDescent="0.2">
      <c r="B25" t="s">
        <v>387</v>
      </c>
      <c r="C25" s="13">
        <f>'Financial Statements'!C121</f>
        <v>1.4738923873318608</v>
      </c>
      <c r="D25" s="13">
        <f>'Financial Statements'!D121</f>
        <v>0.97120664652354483</v>
      </c>
      <c r="E25" s="13">
        <f>'Financial Statements'!E121</f>
        <v>0.69080228080499573</v>
      </c>
      <c r="F25" s="13">
        <f>'Financial Statements'!F121</f>
        <v>0.7063842967609828</v>
      </c>
    </row>
    <row r="26" spans="2:11" x14ac:dyDescent="0.2">
      <c r="B26" t="s">
        <v>388</v>
      </c>
      <c r="C26" s="9">
        <f>'Financial Statements'!C81/'Financial Statements'!C40</f>
        <v>6.1788564610623847E-2</v>
      </c>
      <c r="D26" s="9">
        <f>'Financial Statements'!D81/'Financial Statements'!D40</f>
        <v>8.8059429763997551E-3</v>
      </c>
      <c r="E26" s="9">
        <f>'Financial Statements'!E81/'Financial Statements'!E40</f>
        <v>4.1697019728543616E-2</v>
      </c>
      <c r="F26" s="9">
        <f>'Financial Statements'!F81/'Financial Statements'!F40</f>
        <v>0.14927157092203414</v>
      </c>
    </row>
    <row r="27" spans="2:11" x14ac:dyDescent="0.2">
      <c r="B27" t="s">
        <v>389</v>
      </c>
      <c r="C27" s="13">
        <f>'Financial Statements'!C110</f>
        <v>1.2505571188547981</v>
      </c>
      <c r="D27" s="13">
        <f>'Financial Statements'!D110</f>
        <v>0.95062519981821103</v>
      </c>
      <c r="E27" s="13">
        <f>'Financial Statements'!E110</f>
        <v>1.1683902885068089</v>
      </c>
      <c r="F27" s="13">
        <f>'Financial Statements'!F110</f>
        <v>1.1193453531369859</v>
      </c>
    </row>
    <row r="28" spans="2:11" x14ac:dyDescent="0.2">
      <c r="B28" t="s">
        <v>390</v>
      </c>
      <c r="C28" s="2">
        <v>86.51</v>
      </c>
      <c r="D28" s="2">
        <v>52.16</v>
      </c>
      <c r="E28" s="2">
        <v>29.21</v>
      </c>
      <c r="F28" s="2">
        <v>39.4</v>
      </c>
    </row>
    <row r="29" spans="2:11" x14ac:dyDescent="0.2">
      <c r="B29" t="s">
        <v>403</v>
      </c>
      <c r="C29" s="9">
        <f>'Financial Statements'!C126</f>
        <v>7.0299637536408457E-2</v>
      </c>
      <c r="D29" s="9">
        <f>'Financial Statements'!D126</f>
        <v>0.11475309345727251</v>
      </c>
      <c r="E29" s="9">
        <f>'Financial Statements'!E126</f>
        <v>9.2436370927833217E-2</v>
      </c>
      <c r="F29" s="9">
        <f>'Financial Statements'!F126</f>
        <v>0.11097412147650357</v>
      </c>
    </row>
    <row r="30" spans="2:11" x14ac:dyDescent="0.2">
      <c r="B30" s="212" t="s">
        <v>404</v>
      </c>
      <c r="C30" s="13">
        <f>'Financial Statements'!C120</f>
        <v>0.41519409229431942</v>
      </c>
      <c r="D30" s="13">
        <f>'Financial Statements'!D120</f>
        <v>0.34525089939560605</v>
      </c>
      <c r="E30" s="13">
        <f>'Financial Statements'!E120</f>
        <v>0.29536257895088625</v>
      </c>
      <c r="F30" s="13">
        <f>'Financial Statements'!F120</f>
        <v>0.29843354238423087</v>
      </c>
    </row>
    <row r="33" spans="2:11" x14ac:dyDescent="0.2">
      <c r="B33" s="202" t="s">
        <v>413</v>
      </c>
      <c r="C33" s="203"/>
      <c r="D33" s="203"/>
      <c r="E33" s="203"/>
      <c r="F33" s="203"/>
      <c r="H33" s="202" t="s">
        <v>392</v>
      </c>
      <c r="I33" s="202"/>
      <c r="J33" s="202"/>
      <c r="K33" s="202"/>
    </row>
    <row r="35" spans="2:11" ht="16" customHeight="1" x14ac:dyDescent="0.2">
      <c r="B35" s="223" t="s">
        <v>405</v>
      </c>
      <c r="C35" s="223"/>
      <c r="D35" s="223"/>
      <c r="E35" s="223"/>
      <c r="F35" s="223"/>
      <c r="H35" s="209" t="s">
        <v>394</v>
      </c>
      <c r="I35" s="206" t="s">
        <v>393</v>
      </c>
    </row>
    <row r="36" spans="2:11" x14ac:dyDescent="0.2">
      <c r="B36" s="223"/>
      <c r="C36" s="223"/>
      <c r="D36" s="223"/>
      <c r="E36" s="223"/>
      <c r="F36" s="223"/>
      <c r="H36" s="209" t="s">
        <v>394</v>
      </c>
      <c r="I36" t="s">
        <v>395</v>
      </c>
    </row>
    <row r="37" spans="2:11" ht="16" customHeight="1" x14ac:dyDescent="0.2">
      <c r="B37" s="223" t="s">
        <v>410</v>
      </c>
      <c r="C37" s="223"/>
      <c r="D37" s="223"/>
      <c r="E37" s="223"/>
      <c r="F37" s="223"/>
      <c r="H37" s="209" t="s">
        <v>394</v>
      </c>
      <c r="I37" t="s">
        <v>396</v>
      </c>
    </row>
    <row r="38" spans="2:11" x14ac:dyDescent="0.2">
      <c r="B38" s="223"/>
      <c r="C38" s="223"/>
      <c r="D38" s="223"/>
      <c r="E38" s="223"/>
      <c r="F38" s="223"/>
      <c r="H38" s="209" t="s">
        <v>394</v>
      </c>
      <c r="I38" t="s">
        <v>397</v>
      </c>
    </row>
    <row r="39" spans="2:11" x14ac:dyDescent="0.2">
      <c r="B39" s="223"/>
      <c r="C39" s="223"/>
      <c r="D39" s="223"/>
      <c r="E39" s="223"/>
      <c r="F39" s="223"/>
      <c r="H39" s="209" t="s">
        <v>394</v>
      </c>
      <c r="I39" t="s">
        <v>398</v>
      </c>
    </row>
    <row r="40" spans="2:11" x14ac:dyDescent="0.2">
      <c r="B40" s="223" t="s">
        <v>406</v>
      </c>
      <c r="C40" s="223"/>
      <c r="D40" s="223"/>
      <c r="E40" s="223"/>
      <c r="F40" s="223"/>
    </row>
    <row r="41" spans="2:11" x14ac:dyDescent="0.2">
      <c r="B41" s="223"/>
      <c r="C41" s="223"/>
      <c r="D41" s="223"/>
      <c r="E41" s="223"/>
      <c r="F41" s="223"/>
      <c r="H41" s="202" t="s">
        <v>408</v>
      </c>
      <c r="I41" s="202"/>
      <c r="J41" s="202"/>
      <c r="K41" s="202"/>
    </row>
    <row r="42" spans="2:11" ht="17" customHeight="1" x14ac:dyDescent="0.2">
      <c r="B42" s="223" t="s">
        <v>412</v>
      </c>
      <c r="C42" s="223"/>
      <c r="D42" s="223"/>
      <c r="E42" s="223"/>
      <c r="F42" s="223"/>
      <c r="H42" s="223" t="s">
        <v>409</v>
      </c>
      <c r="I42" s="223"/>
      <c r="J42" s="223"/>
      <c r="K42" s="223"/>
    </row>
    <row r="43" spans="2:11" ht="16" customHeight="1" x14ac:dyDescent="0.2">
      <c r="B43" s="223"/>
      <c r="C43" s="223"/>
      <c r="D43" s="223"/>
      <c r="E43" s="223"/>
      <c r="F43" s="223"/>
      <c r="H43" s="223"/>
      <c r="I43" s="223"/>
      <c r="J43" s="223"/>
      <c r="K43" s="223"/>
    </row>
    <row r="44" spans="2:11" x14ac:dyDescent="0.2">
      <c r="B44" s="223"/>
      <c r="C44" s="223"/>
      <c r="D44" s="223"/>
      <c r="E44" s="223"/>
      <c r="F44" s="223"/>
      <c r="H44" s="223"/>
      <c r="I44" s="223"/>
      <c r="J44" s="223"/>
      <c r="K44" s="223"/>
    </row>
    <row r="45" spans="2:11" ht="16" customHeight="1" x14ac:dyDescent="0.2">
      <c r="B45" s="223"/>
      <c r="C45" s="223"/>
      <c r="D45" s="223"/>
      <c r="E45" s="223"/>
      <c r="F45" s="223"/>
      <c r="H45" s="223"/>
      <c r="I45" s="223"/>
      <c r="J45" s="223"/>
      <c r="K45" s="223"/>
    </row>
    <row r="46" spans="2:11" x14ac:dyDescent="0.2">
      <c r="B46" s="223"/>
      <c r="C46" s="223"/>
      <c r="D46" s="223"/>
      <c r="E46" s="223"/>
      <c r="F46" s="223"/>
      <c r="H46" s="223"/>
      <c r="I46" s="223"/>
      <c r="J46" s="223"/>
      <c r="K46" s="223"/>
    </row>
    <row r="47" spans="2:11" x14ac:dyDescent="0.2">
      <c r="B47" s="225" t="s">
        <v>411</v>
      </c>
      <c r="C47" s="225"/>
      <c r="D47" s="225"/>
      <c r="E47" s="225"/>
      <c r="F47" s="225"/>
      <c r="H47" s="223"/>
      <c r="I47" s="223"/>
      <c r="J47" s="223"/>
      <c r="K47" s="223"/>
    </row>
    <row r="48" spans="2:11" x14ac:dyDescent="0.2">
      <c r="B48" s="225"/>
      <c r="C48" s="225"/>
      <c r="D48" s="225"/>
      <c r="E48" s="225"/>
      <c r="F48" s="225"/>
      <c r="H48" s="223"/>
      <c r="I48" s="223"/>
      <c r="J48" s="223"/>
      <c r="K48" s="223"/>
    </row>
    <row r="49" spans="2:11" x14ac:dyDescent="0.2">
      <c r="B49" s="225"/>
      <c r="C49" s="225"/>
      <c r="D49" s="225"/>
      <c r="E49" s="225"/>
      <c r="F49" s="225"/>
      <c r="H49" s="223"/>
      <c r="I49" s="223"/>
      <c r="J49" s="223"/>
      <c r="K49" s="223"/>
    </row>
    <row r="50" spans="2:11" x14ac:dyDescent="0.2">
      <c r="B50" s="223" t="s">
        <v>407</v>
      </c>
      <c r="C50" s="223"/>
      <c r="D50" s="223"/>
      <c r="E50" s="223"/>
      <c r="F50" s="223"/>
      <c r="H50" s="223"/>
      <c r="I50" s="223"/>
      <c r="J50" s="223"/>
      <c r="K50" s="223"/>
    </row>
    <row r="51" spans="2:11" x14ac:dyDescent="0.2">
      <c r="B51" s="223"/>
      <c r="C51" s="223"/>
      <c r="D51" s="223"/>
      <c r="E51" s="223"/>
      <c r="F51" s="223"/>
      <c r="H51" s="223"/>
      <c r="I51" s="223"/>
      <c r="J51" s="223"/>
      <c r="K51" s="223"/>
    </row>
    <row r="52" spans="2:11" x14ac:dyDescent="0.2">
      <c r="H52" s="213"/>
      <c r="I52" s="213"/>
      <c r="J52" s="213"/>
      <c r="K52" s="213"/>
    </row>
  </sheetData>
  <mergeCells count="8">
    <mergeCell ref="H42:K51"/>
    <mergeCell ref="C3:K7"/>
    <mergeCell ref="B35:F36"/>
    <mergeCell ref="B40:F41"/>
    <mergeCell ref="B50:F51"/>
    <mergeCell ref="B37:F39"/>
    <mergeCell ref="B47:F49"/>
    <mergeCell ref="B42:F46"/>
  </mergeCells>
  <pageMargins left="0.7" right="0.7" top="0.75" bottom="0.75" header="0.3" footer="0.3"/>
  <pageSetup scale="7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5805-5244-0049-A5DF-E061485540B0}">
  <dimension ref="A1:M131"/>
  <sheetViews>
    <sheetView showGridLines="0" view="pageBreakPreview" topLeftCell="A106" zoomScaleNormal="125" zoomScaleSheetLayoutView="100" workbookViewId="0">
      <selection activeCell="B29" sqref="B29:K29"/>
    </sheetView>
  </sheetViews>
  <sheetFormatPr baseColWidth="10" defaultRowHeight="15" outlineLevelRow="1" x14ac:dyDescent="0.2"/>
  <cols>
    <col min="1" max="1" width="47.83203125" style="2" bestFit="1" customWidth="1"/>
    <col min="2" max="2" width="11.6640625" style="6" customWidth="1"/>
    <col min="3" max="11" width="11.6640625" style="6" bestFit="1" customWidth="1"/>
    <col min="12" max="16384" width="10.83203125" style="2"/>
  </cols>
  <sheetData>
    <row r="1" spans="1:13" x14ac:dyDescent="0.2">
      <c r="A1" s="226" t="s">
        <v>237</v>
      </c>
      <c r="B1" s="1" t="s">
        <v>235</v>
      </c>
      <c r="C1" s="1"/>
      <c r="D1" s="1"/>
      <c r="E1" s="1"/>
      <c r="F1" s="1"/>
      <c r="G1" s="1" t="s">
        <v>10</v>
      </c>
      <c r="H1" s="1"/>
      <c r="I1" s="1"/>
      <c r="J1" s="1"/>
      <c r="K1" s="1"/>
    </row>
    <row r="2" spans="1:13" x14ac:dyDescent="0.2">
      <c r="A2" s="226"/>
      <c r="B2" s="175">
        <v>2019</v>
      </c>
      <c r="C2" s="175">
        <f>B2+1</f>
        <v>2020</v>
      </c>
      <c r="D2" s="175">
        <f>C2+1</f>
        <v>2021</v>
      </c>
      <c r="E2" s="175">
        <f t="shared" ref="E2:K2" si="0">D2+1</f>
        <v>2022</v>
      </c>
      <c r="F2" s="175">
        <f t="shared" si="0"/>
        <v>2023</v>
      </c>
      <c r="G2" s="176">
        <f t="shared" si="0"/>
        <v>2024</v>
      </c>
      <c r="H2" s="176">
        <f t="shared" si="0"/>
        <v>2025</v>
      </c>
      <c r="I2" s="176">
        <f t="shared" si="0"/>
        <v>2026</v>
      </c>
      <c r="J2" s="176">
        <f t="shared" si="0"/>
        <v>2027</v>
      </c>
      <c r="K2" s="176">
        <f t="shared" si="0"/>
        <v>2028</v>
      </c>
    </row>
    <row r="3" spans="1:13" x14ac:dyDescent="0.2">
      <c r="A3" s="3" t="s">
        <v>107</v>
      </c>
      <c r="B3" s="15"/>
      <c r="C3" s="15"/>
      <c r="D3" s="15"/>
      <c r="E3" s="15"/>
      <c r="F3" s="15"/>
      <c r="G3" s="15"/>
      <c r="H3" s="15"/>
      <c r="I3" s="15"/>
      <c r="J3" s="15"/>
      <c r="K3" s="15"/>
      <c r="L3" s="6"/>
      <c r="M3" s="6"/>
    </row>
    <row r="4" spans="1:13" outlineLevel="1" x14ac:dyDescent="0.2">
      <c r="A4" s="2" t="s">
        <v>11</v>
      </c>
      <c r="B4" s="5">
        <v>20156447</v>
      </c>
      <c r="C4" s="5">
        <v>24996056</v>
      </c>
      <c r="D4" s="5">
        <v>29697844</v>
      </c>
      <c r="E4" s="5">
        <v>31615550</v>
      </c>
      <c r="F4" s="5">
        <v>33723297</v>
      </c>
      <c r="G4" s="6">
        <f>'Notes to Accounts'!G7</f>
        <v>36627015.988800004</v>
      </c>
      <c r="H4" s="6">
        <f>'Notes to Accounts'!H7</f>
        <v>39557007.989712</v>
      </c>
      <c r="I4" s="6">
        <f>'Notes to Accounts'!I7</f>
        <v>42516043.788221285</v>
      </c>
      <c r="J4" s="6">
        <f>'Notes to Accounts'!J7</f>
        <v>45509096.906321265</v>
      </c>
      <c r="K4" s="6">
        <f>'Notes to Accounts'!K7</f>
        <v>48541012.390854485</v>
      </c>
    </row>
    <row r="5" spans="1:13" outlineLevel="1" x14ac:dyDescent="0.2">
      <c r="A5" s="2" t="s">
        <v>12</v>
      </c>
      <c r="B5" s="5">
        <f>-12440213+B11</f>
        <v>-3120387</v>
      </c>
      <c r="C5" s="5">
        <f>-15276319+C11</f>
        <v>-4353697</v>
      </c>
      <c r="D5" s="5">
        <f>-17332683+D11</f>
        <v>-4893904</v>
      </c>
      <c r="E5" s="5">
        <f>-19168285+E11</f>
        <v>-4805471</v>
      </c>
      <c r="F5" s="5">
        <f>-19715368+F11</f>
        <v>-5160984</v>
      </c>
      <c r="G5" s="6">
        <f>-'Notes to Accounts'!G47</f>
        <v>-5860322.5582080008</v>
      </c>
      <c r="H5" s="6">
        <f>-'Notes to Accounts'!H47</f>
        <v>-6329121.2783539202</v>
      </c>
      <c r="I5" s="6">
        <f>-'Notes to Accounts'!I47</f>
        <v>-6802567.0061154058</v>
      </c>
      <c r="J5" s="6">
        <f>-'Notes to Accounts'!J47</f>
        <v>-7281455.5050114021</v>
      </c>
      <c r="K5" s="6">
        <f>-'Notes to Accounts'!K47</f>
        <v>-7766561.9825367182</v>
      </c>
    </row>
    <row r="6" spans="1:13" outlineLevel="1" x14ac:dyDescent="0.2">
      <c r="A6" s="7" t="s">
        <v>24</v>
      </c>
      <c r="B6" s="8">
        <f t="shared" ref="B6:F6" si="1">SUM(B4:B5)</f>
        <v>17036060</v>
      </c>
      <c r="C6" s="8">
        <f t="shared" si="1"/>
        <v>20642359</v>
      </c>
      <c r="D6" s="8">
        <f t="shared" si="1"/>
        <v>24803940</v>
      </c>
      <c r="E6" s="8">
        <f t="shared" si="1"/>
        <v>26810079</v>
      </c>
      <c r="F6" s="8">
        <f t="shared" si="1"/>
        <v>28562313</v>
      </c>
      <c r="G6" s="8">
        <f>SUM(G4:G5)</f>
        <v>30766693.430592004</v>
      </c>
      <c r="H6" s="8">
        <f t="shared" ref="H6:K6" si="2">SUM(H4:H5)</f>
        <v>33227886.711358078</v>
      </c>
      <c r="I6" s="8">
        <f t="shared" si="2"/>
        <v>35713476.782105878</v>
      </c>
      <c r="J6" s="8">
        <f t="shared" si="2"/>
        <v>38227641.401309863</v>
      </c>
      <c r="K6" s="8">
        <f t="shared" si="2"/>
        <v>40774450.408317767</v>
      </c>
    </row>
    <row r="7" spans="1:13" outlineLevel="1" x14ac:dyDescent="0.2">
      <c r="A7" s="2" t="s">
        <v>13</v>
      </c>
      <c r="B7" s="5">
        <v>-2652462</v>
      </c>
      <c r="C7" s="5">
        <v>-2228362</v>
      </c>
      <c r="D7" s="5">
        <v>-2545146</v>
      </c>
      <c r="E7" s="5">
        <f>-2530502</f>
        <v>-2530502</v>
      </c>
      <c r="F7" s="5">
        <v>-2657883</v>
      </c>
      <c r="G7" s="6">
        <f>-'Notes to Accounts'!G50</f>
        <v>-3296431.4389920002</v>
      </c>
      <c r="H7" s="6">
        <f>-'Notes to Accounts'!H50</f>
        <v>-3560130.7190740798</v>
      </c>
      <c r="I7" s="6">
        <f>-'Notes to Accounts'!I50</f>
        <v>-3826443.9409399154</v>
      </c>
      <c r="J7" s="6">
        <f>-'Notes to Accounts'!J50</f>
        <v>-4095818.7215689137</v>
      </c>
      <c r="K7" s="6">
        <f>-'Notes to Accounts'!K50</f>
        <v>-4368691.1151769031</v>
      </c>
    </row>
    <row r="8" spans="1:13" outlineLevel="1" x14ac:dyDescent="0.2">
      <c r="A8" s="2" t="s">
        <v>14</v>
      </c>
      <c r="B8" s="5">
        <v>-1545149</v>
      </c>
      <c r="C8" s="5">
        <v>-1829600</v>
      </c>
      <c r="D8" s="5">
        <v>-2273885</v>
      </c>
      <c r="E8" s="5">
        <v>-2711041</v>
      </c>
      <c r="F8" s="5">
        <v>-2675758</v>
      </c>
      <c r="G8" s="6">
        <f>-'Notes to Accounts'!G53</f>
        <v>-2930161.2791040004</v>
      </c>
      <c r="H8" s="6">
        <f>-'Notes to Accounts'!H53</f>
        <v>-3164560.6391769601</v>
      </c>
      <c r="I8" s="6">
        <f>-'Notes to Accounts'!I53</f>
        <v>-3401283.5030577029</v>
      </c>
      <c r="J8" s="6">
        <f>-'Notes to Accounts'!J53</f>
        <v>-3640727.752505701</v>
      </c>
      <c r="K8" s="6">
        <f>-'Notes to Accounts'!K53</f>
        <v>-3883280.9912683591</v>
      </c>
    </row>
    <row r="9" spans="1:13" outlineLevel="1" x14ac:dyDescent="0.2">
      <c r="A9" s="2" t="s">
        <v>15</v>
      </c>
      <c r="B9" s="5">
        <v>-914369</v>
      </c>
      <c r="C9" s="5">
        <v>-1076486</v>
      </c>
      <c r="D9" s="5">
        <v>-1351621</v>
      </c>
      <c r="E9" s="5">
        <v>-1572891</v>
      </c>
      <c r="F9" s="5">
        <v>-1720285</v>
      </c>
      <c r="G9" s="6">
        <f>-'Notes to Accounts'!G56</f>
        <v>-1831350.7994400002</v>
      </c>
      <c r="H9" s="6">
        <f>-'Notes to Accounts'!H56</f>
        <v>-1977850.3994856002</v>
      </c>
      <c r="I9" s="6">
        <f>-'Notes to Accounts'!I56</f>
        <v>-2125802.1894110641</v>
      </c>
      <c r="J9" s="6">
        <f>-'Notes to Accounts'!J56</f>
        <v>-2275454.8453160631</v>
      </c>
      <c r="K9" s="6">
        <f>-'Notes to Accounts'!K56</f>
        <v>-2427050.6195427245</v>
      </c>
    </row>
    <row r="10" spans="1:13" outlineLevel="1" x14ac:dyDescent="0.2">
      <c r="A10" s="7" t="s">
        <v>100</v>
      </c>
      <c r="B10" s="8">
        <f t="shared" ref="B10:K10" si="3">SUM(B6:B9)</f>
        <v>11924080</v>
      </c>
      <c r="C10" s="8">
        <f t="shared" si="3"/>
        <v>15507911</v>
      </c>
      <c r="D10" s="8">
        <f t="shared" si="3"/>
        <v>18633288</v>
      </c>
      <c r="E10" s="8">
        <f t="shared" si="3"/>
        <v>19995645</v>
      </c>
      <c r="F10" s="8">
        <f t="shared" si="3"/>
        <v>21508387</v>
      </c>
      <c r="G10" s="8">
        <f t="shared" si="3"/>
        <v>22708749.913056001</v>
      </c>
      <c r="H10" s="8">
        <f t="shared" si="3"/>
        <v>24525344.95362144</v>
      </c>
      <c r="I10" s="8">
        <f t="shared" si="3"/>
        <v>26359947.148697197</v>
      </c>
      <c r="J10" s="8">
        <f t="shared" si="3"/>
        <v>28215640.081919186</v>
      </c>
      <c r="K10" s="8">
        <f t="shared" si="3"/>
        <v>30095427.682329781</v>
      </c>
    </row>
    <row r="11" spans="1:13" outlineLevel="1" x14ac:dyDescent="0.2">
      <c r="A11" s="2" t="s">
        <v>99</v>
      </c>
      <c r="B11" s="192">
        <f>SUM(B69:B70)</f>
        <v>9319826</v>
      </c>
      <c r="C11" s="192">
        <f>SUM(C69:C70)</f>
        <v>10922622</v>
      </c>
      <c r="D11" s="192">
        <f>SUM(D69:D70)</f>
        <v>12438779</v>
      </c>
      <c r="E11" s="192">
        <f>SUM(E69:E70)</f>
        <v>14362814</v>
      </c>
      <c r="F11" s="192">
        <f>SUM(F69:F70)</f>
        <v>14554384</v>
      </c>
      <c r="G11" s="193">
        <f>'Notes to Accounts'!G66-('Notes to Accounts'!G78+'Notes to Accounts'!G86)</f>
        <v>15035268.9062864</v>
      </c>
      <c r="H11" s="193">
        <f>'Notes to Accounts'!H66-('Notes to Accounts'!H78+'Notes to Accounts'!H86)</f>
        <v>16496156.948750217</v>
      </c>
      <c r="I11" s="193">
        <f>'Notes to Accounts'!I66-('Notes to Accounts'!I78+'Notes to Accounts'!I86)</f>
        <v>17969799.215110648</v>
      </c>
      <c r="J11" s="193">
        <f>'Notes to Accounts'!J66-('Notes to Accounts'!J78+'Notes to Accounts'!J86)</f>
        <v>19457979.537077393</v>
      </c>
      <c r="K11" s="193">
        <f>'Notes to Accounts'!K66-('Notes to Accounts'!K78+'Notes to Accounts'!K86)</f>
        <v>20962661.332308434</v>
      </c>
    </row>
    <row r="12" spans="1:13" outlineLevel="1" x14ac:dyDescent="0.2">
      <c r="A12" s="7" t="s">
        <v>25</v>
      </c>
      <c r="B12" s="8">
        <f t="shared" ref="B12:K12" si="4">B10-B11</f>
        <v>2604254</v>
      </c>
      <c r="C12" s="8">
        <f t="shared" si="4"/>
        <v>4585289</v>
      </c>
      <c r="D12" s="8">
        <f t="shared" si="4"/>
        <v>6194509</v>
      </c>
      <c r="E12" s="8">
        <f t="shared" si="4"/>
        <v>5632831</v>
      </c>
      <c r="F12" s="8">
        <f t="shared" si="4"/>
        <v>6954003</v>
      </c>
      <c r="G12" s="8">
        <f t="shared" si="4"/>
        <v>7673481.0067696013</v>
      </c>
      <c r="H12" s="8">
        <f t="shared" si="4"/>
        <v>8029188.0048712231</v>
      </c>
      <c r="I12" s="8">
        <f t="shared" si="4"/>
        <v>8390147.933586549</v>
      </c>
      <c r="J12" s="8">
        <f t="shared" si="4"/>
        <v>8757660.5448417924</v>
      </c>
      <c r="K12" s="8">
        <f t="shared" si="4"/>
        <v>9132766.3500213474</v>
      </c>
    </row>
    <row r="13" spans="1:13" outlineLevel="1" x14ac:dyDescent="0.2">
      <c r="A13" s="2" t="s">
        <v>16</v>
      </c>
    </row>
    <row r="14" spans="1:13" outlineLevel="1" x14ac:dyDescent="0.2">
      <c r="A14" s="2" t="s">
        <v>17</v>
      </c>
      <c r="B14" s="5">
        <v>-626023</v>
      </c>
      <c r="C14" s="5">
        <v>-767499</v>
      </c>
      <c r="D14" s="5">
        <v>-765620</v>
      </c>
      <c r="E14" s="5">
        <f>-706212</f>
        <v>-706212</v>
      </c>
      <c r="F14" s="5">
        <v>-699826</v>
      </c>
      <c r="G14" s="6">
        <f>-'Notes to Accounts'!G147*1000</f>
        <v>-665758.75000000012</v>
      </c>
      <c r="H14" s="6">
        <f>-'Notes to Accounts'!H147*1000</f>
        <v>-585063.75</v>
      </c>
      <c r="I14" s="6">
        <f>-'Notes to Accounts'!I147*1000</f>
        <v>-541313.75</v>
      </c>
      <c r="J14" s="6">
        <f>-'Notes to Accounts'!J147*1000</f>
        <v>-489331.25</v>
      </c>
      <c r="K14" s="6">
        <f>-'Notes to Accounts'!K147*1000</f>
        <v>-299706.24999999994</v>
      </c>
    </row>
    <row r="15" spans="1:13" outlineLevel="1" x14ac:dyDescent="0.2">
      <c r="A15" s="2" t="s">
        <v>18</v>
      </c>
      <c r="B15" s="5">
        <v>84000</v>
      </c>
      <c r="C15" s="5">
        <v>-618441</v>
      </c>
      <c r="D15" s="5">
        <v>411214</v>
      </c>
      <c r="E15" s="5">
        <v>337310</v>
      </c>
      <c r="F15" s="5">
        <v>-48772</v>
      </c>
      <c r="G15" s="6">
        <f>'Notes to Accounts'!G149</f>
        <v>18279.288586214851</v>
      </c>
      <c r="H15" s="6">
        <f>'Notes to Accounts'!H149</f>
        <v>19741.547192167043</v>
      </c>
      <c r="I15" s="6">
        <f>'Notes to Accounts'!I149</f>
        <v>21218.300562259534</v>
      </c>
      <c r="J15" s="6">
        <f>'Notes to Accounts'!J149</f>
        <v>22712.030810892116</v>
      </c>
      <c r="K15" s="6">
        <f>'Notes to Accounts'!K149</f>
        <v>24225.155934919232</v>
      </c>
    </row>
    <row r="16" spans="1:13" outlineLevel="1" x14ac:dyDescent="0.2">
      <c r="A16" s="7" t="s">
        <v>19</v>
      </c>
      <c r="B16" s="8">
        <f t="shared" ref="B16:K16" si="5">SUM(B12,B14:B15)</f>
        <v>2062231</v>
      </c>
      <c r="C16" s="8">
        <f t="shared" si="5"/>
        <v>3199349</v>
      </c>
      <c r="D16" s="8">
        <f t="shared" si="5"/>
        <v>5840103</v>
      </c>
      <c r="E16" s="8">
        <f t="shared" si="5"/>
        <v>5263929</v>
      </c>
      <c r="F16" s="8">
        <f t="shared" si="5"/>
        <v>6205405</v>
      </c>
      <c r="G16" s="8">
        <f t="shared" si="5"/>
        <v>7026001.5453558164</v>
      </c>
      <c r="H16" s="8">
        <f t="shared" si="5"/>
        <v>7463865.8020633906</v>
      </c>
      <c r="I16" s="8">
        <f t="shared" si="5"/>
        <v>7870052.4841488088</v>
      </c>
      <c r="J16" s="8">
        <f t="shared" si="5"/>
        <v>8291041.325652685</v>
      </c>
      <c r="K16" s="8">
        <f t="shared" si="5"/>
        <v>8857285.2559562661</v>
      </c>
    </row>
    <row r="17" spans="1:13" outlineLevel="1" x14ac:dyDescent="0.2">
      <c r="A17" s="2" t="s">
        <v>95</v>
      </c>
      <c r="B17" s="5">
        <v>-195315</v>
      </c>
      <c r="C17" s="5">
        <v>-437954</v>
      </c>
      <c r="D17" s="5">
        <v>-723875</v>
      </c>
      <c r="E17" s="5">
        <v>-772005</v>
      </c>
      <c r="F17" s="5">
        <v>-797415</v>
      </c>
      <c r="G17" s="182">
        <f>-G16*G18</f>
        <v>-843120.18544269796</v>
      </c>
      <c r="H17" s="182">
        <f t="shared" ref="H17:K17" si="6">-H16*H18</f>
        <v>-895663.89624760684</v>
      </c>
      <c r="I17" s="182">
        <f t="shared" si="6"/>
        <v>-944406.29809785704</v>
      </c>
      <c r="J17" s="182">
        <f t="shared" si="6"/>
        <v>-994924.95907832216</v>
      </c>
      <c r="K17" s="182">
        <f t="shared" si="6"/>
        <v>-1062874.2307147519</v>
      </c>
    </row>
    <row r="18" spans="1:13" outlineLevel="1" x14ac:dyDescent="0.2">
      <c r="A18" s="2" t="s">
        <v>194</v>
      </c>
      <c r="B18" s="29">
        <f t="shared" ref="B18:F18" si="7">-B17/B16</f>
        <v>9.471053436787634E-2</v>
      </c>
      <c r="C18" s="29">
        <f t="shared" si="7"/>
        <v>0.13688847324877654</v>
      </c>
      <c r="D18" s="29">
        <f t="shared" si="7"/>
        <v>0.1239490125431007</v>
      </c>
      <c r="E18" s="29">
        <f t="shared" si="7"/>
        <v>0.14665946292208729</v>
      </c>
      <c r="F18" s="29">
        <f t="shared" si="7"/>
        <v>0.12850329672277636</v>
      </c>
      <c r="G18" s="181">
        <v>0.12</v>
      </c>
      <c r="H18" s="181">
        <v>0.12</v>
      </c>
      <c r="I18" s="181">
        <v>0.12</v>
      </c>
      <c r="J18" s="181">
        <v>0.12</v>
      </c>
      <c r="K18" s="181">
        <v>0.12</v>
      </c>
    </row>
    <row r="19" spans="1:13" ht="16" outlineLevel="1" thickBot="1" x14ac:dyDescent="0.25">
      <c r="A19" s="194" t="s">
        <v>20</v>
      </c>
      <c r="B19" s="195">
        <f t="shared" ref="B19:G19" si="8">SUM(B16:B17)</f>
        <v>1866916</v>
      </c>
      <c r="C19" s="195">
        <f t="shared" si="8"/>
        <v>2761395</v>
      </c>
      <c r="D19" s="195">
        <f t="shared" si="8"/>
        <v>5116228</v>
      </c>
      <c r="E19" s="195">
        <f t="shared" si="8"/>
        <v>4491924</v>
      </c>
      <c r="F19" s="195">
        <f t="shared" si="8"/>
        <v>5407990</v>
      </c>
      <c r="G19" s="195">
        <f t="shared" si="8"/>
        <v>6182881.3599131182</v>
      </c>
      <c r="H19" s="195">
        <f t="shared" ref="H19:K19" si="9">SUM(H16:H17)</f>
        <v>6568201.9058157839</v>
      </c>
      <c r="I19" s="195">
        <f t="shared" si="9"/>
        <v>6925646.1860509515</v>
      </c>
      <c r="J19" s="195">
        <f t="shared" si="9"/>
        <v>7296116.3665743629</v>
      </c>
      <c r="K19" s="195">
        <f t="shared" si="9"/>
        <v>7794411.0252415147</v>
      </c>
    </row>
    <row r="20" spans="1:13" ht="16" outlineLevel="1" thickTop="1" x14ac:dyDescent="0.2">
      <c r="B20" s="9"/>
      <c r="C20" s="9"/>
      <c r="D20" s="9"/>
      <c r="E20" s="9"/>
      <c r="F20" s="9"/>
    </row>
    <row r="21" spans="1:13" hidden="1" outlineLevel="1" x14ac:dyDescent="0.2">
      <c r="A21" s="11" t="s">
        <v>21</v>
      </c>
    </row>
    <row r="22" spans="1:13" hidden="1" outlineLevel="1" x14ac:dyDescent="0.2">
      <c r="A22" s="2" t="s">
        <v>22</v>
      </c>
      <c r="B22" s="12">
        <f>B19/B26</f>
        <v>4.2643222117912556</v>
      </c>
      <c r="C22" s="12">
        <f>C19/C26</f>
        <v>6.2627743682556094</v>
      </c>
      <c r="D22" s="12">
        <f>D19/D26</f>
        <v>11.545007954327493</v>
      </c>
      <c r="E22" s="12">
        <f t="shared" ref="E22:F22" si="10">E19/E26</f>
        <v>10.101066341652087</v>
      </c>
      <c r="F22" s="12">
        <f t="shared" si="10"/>
        <v>12.247158441111395</v>
      </c>
      <c r="G22" s="12"/>
      <c r="H22" s="12"/>
      <c r="I22" s="12"/>
      <c r="J22" s="12"/>
      <c r="K22" s="12"/>
      <c r="L22" s="13"/>
    </row>
    <row r="23" spans="1:13" hidden="1" outlineLevel="1" x14ac:dyDescent="0.2">
      <c r="A23" s="2" t="s">
        <v>23</v>
      </c>
      <c r="B23" s="12">
        <f>B19/B27</f>
        <v>4.1324936637411041</v>
      </c>
      <c r="C23" s="12">
        <f>C19/C27</f>
        <v>6.0795824820346622</v>
      </c>
      <c r="D23" s="12">
        <f>D19/D27</f>
        <v>11.235271382518029</v>
      </c>
      <c r="E23" s="12">
        <f t="shared" ref="E23:F23" si="11">E19/E27</f>
        <v>9.9535199095925009</v>
      </c>
      <c r="F23" s="12">
        <f t="shared" si="11"/>
        <v>12.031177001899897</v>
      </c>
      <c r="G23" s="12"/>
      <c r="H23" s="12"/>
      <c r="I23" s="12"/>
      <c r="J23" s="12"/>
      <c r="K23" s="12"/>
      <c r="L23" s="13"/>
    </row>
    <row r="24" spans="1:13" hidden="1" outlineLevel="1" x14ac:dyDescent="0.2"/>
    <row r="25" spans="1:13" ht="16" hidden="1" outlineLevel="1" x14ac:dyDescent="0.2">
      <c r="A25" s="14" t="s">
        <v>64</v>
      </c>
    </row>
    <row r="26" spans="1:13" hidden="1" outlineLevel="1" x14ac:dyDescent="0.2">
      <c r="A26" s="2" t="s">
        <v>22</v>
      </c>
      <c r="B26" s="5">
        <v>437799</v>
      </c>
      <c r="C26" s="5">
        <v>440922</v>
      </c>
      <c r="D26" s="5">
        <v>443155</v>
      </c>
      <c r="E26" s="5">
        <v>444698</v>
      </c>
      <c r="F26" s="5">
        <v>441571</v>
      </c>
    </row>
    <row r="27" spans="1:13" hidden="1" outlineLevel="1" x14ac:dyDescent="0.2">
      <c r="A27" s="2" t="s">
        <v>23</v>
      </c>
      <c r="B27" s="5">
        <v>451765</v>
      </c>
      <c r="C27" s="5">
        <v>454208</v>
      </c>
      <c r="D27" s="5">
        <v>455372</v>
      </c>
      <c r="E27" s="5">
        <v>451290</v>
      </c>
      <c r="F27" s="5">
        <v>449498</v>
      </c>
    </row>
    <row r="28" spans="1:13" hidden="1" x14ac:dyDescent="0.2">
      <c r="L28" s="6"/>
      <c r="M28" s="6"/>
    </row>
    <row r="29" spans="1:13" x14ac:dyDescent="0.2">
      <c r="A29" s="3" t="s">
        <v>108</v>
      </c>
      <c r="B29" s="175">
        <v>2019</v>
      </c>
      <c r="C29" s="175">
        <f>B29+1</f>
        <v>2020</v>
      </c>
      <c r="D29" s="175">
        <f>C29+1</f>
        <v>2021</v>
      </c>
      <c r="E29" s="175">
        <f t="shared" ref="E29" si="12">D29+1</f>
        <v>2022</v>
      </c>
      <c r="F29" s="175">
        <f t="shared" ref="F29" si="13">E29+1</f>
        <v>2023</v>
      </c>
      <c r="G29" s="176">
        <f t="shared" ref="G29" si="14">F29+1</f>
        <v>2024</v>
      </c>
      <c r="H29" s="176">
        <f t="shared" ref="H29" si="15">G29+1</f>
        <v>2025</v>
      </c>
      <c r="I29" s="176">
        <f t="shared" ref="I29" si="16">H29+1</f>
        <v>2026</v>
      </c>
      <c r="J29" s="176">
        <f t="shared" ref="J29" si="17">I29+1</f>
        <v>2027</v>
      </c>
      <c r="K29" s="176">
        <f t="shared" ref="K29" si="18">J29+1</f>
        <v>2028</v>
      </c>
      <c r="L29" s="6"/>
      <c r="M29" s="6"/>
    </row>
    <row r="30" spans="1:13" outlineLevel="1" x14ac:dyDescent="0.2">
      <c r="A30" s="16" t="s">
        <v>26</v>
      </c>
    </row>
    <row r="31" spans="1:13" outlineLevel="1" x14ac:dyDescent="0.2">
      <c r="A31" s="2" t="s">
        <v>27</v>
      </c>
    </row>
    <row r="32" spans="1:13" outlineLevel="1" x14ac:dyDescent="0.2">
      <c r="A32" s="2" t="s">
        <v>28</v>
      </c>
      <c r="B32" s="5">
        <v>5018437</v>
      </c>
      <c r="C32" s="5">
        <v>8205550</v>
      </c>
      <c r="D32" s="5">
        <v>6027804</v>
      </c>
      <c r="E32" s="5">
        <v>5147176</v>
      </c>
      <c r="F32" s="5">
        <v>7116913</v>
      </c>
      <c r="G32" s="6">
        <f>G105</f>
        <v>8367190.5384170832</v>
      </c>
      <c r="H32" s="6">
        <f t="shared" ref="H32:K32" si="19">H105</f>
        <v>9286490.4431680217</v>
      </c>
      <c r="I32" s="6">
        <f t="shared" si="19"/>
        <v>10437648.455897294</v>
      </c>
      <c r="J32" s="6">
        <f t="shared" si="19"/>
        <v>12379539.589856228</v>
      </c>
      <c r="K32" s="6">
        <f t="shared" si="19"/>
        <v>11829905.000634031</v>
      </c>
    </row>
    <row r="33" spans="1:12" outlineLevel="1" x14ac:dyDescent="0.2">
      <c r="A33" s="2" t="s">
        <v>29</v>
      </c>
      <c r="B33" s="185">
        <v>0</v>
      </c>
      <c r="C33" s="185">
        <v>0</v>
      </c>
      <c r="D33" s="185">
        <v>0</v>
      </c>
      <c r="E33" s="185">
        <v>911276</v>
      </c>
      <c r="F33" s="185">
        <v>20973</v>
      </c>
      <c r="G33" s="186">
        <v>20973</v>
      </c>
      <c r="H33" s="186">
        <v>20973</v>
      </c>
      <c r="I33" s="186">
        <v>20973</v>
      </c>
      <c r="J33" s="186">
        <v>20973</v>
      </c>
      <c r="K33" s="186">
        <v>20973</v>
      </c>
      <c r="L33" s="76"/>
    </row>
    <row r="34" spans="1:12" outlineLevel="1" x14ac:dyDescent="0.2">
      <c r="A34" s="2" t="s">
        <v>354</v>
      </c>
      <c r="B34" s="185">
        <v>454399</v>
      </c>
      <c r="C34" s="185">
        <v>610819</v>
      </c>
      <c r="D34" s="185">
        <v>804320</v>
      </c>
      <c r="E34" s="185">
        <v>988898</v>
      </c>
      <c r="F34" s="185">
        <v>1287054</v>
      </c>
      <c r="G34" s="186">
        <f>'Notes to Accounts'!G97</f>
        <v>1051251.3748313771</v>
      </c>
      <c r="H34" s="186">
        <f>'Notes to Accounts'!H97</f>
        <v>1135346.6262748891</v>
      </c>
      <c r="I34" s="186">
        <f>'Notes to Accounts'!I97</f>
        <v>1220275.479127913</v>
      </c>
      <c r="J34" s="186">
        <f>'Notes to Accounts'!J97</f>
        <v>1306180.681077973</v>
      </c>
      <c r="K34" s="186">
        <f>'Notes to Accounts'!K97</f>
        <v>1393201.2923792792</v>
      </c>
      <c r="L34" s="76"/>
    </row>
    <row r="35" spans="1:12" outlineLevel="1" x14ac:dyDescent="0.2">
      <c r="A35" s="2" t="s">
        <v>30</v>
      </c>
      <c r="B35" s="185">
        <f>1160067-B34</f>
        <v>705668</v>
      </c>
      <c r="C35" s="185">
        <f>1556030-C34</f>
        <v>945211</v>
      </c>
      <c r="D35" s="185">
        <f>2042021-D34</f>
        <v>1237701</v>
      </c>
      <c r="E35" s="185">
        <f>3208021-E34</f>
        <v>2219123</v>
      </c>
      <c r="F35" s="185">
        <f>2780247-F34</f>
        <v>1493193</v>
      </c>
      <c r="G35" s="187">
        <f>Assumptions!G33</f>
        <v>2649816.455185934</v>
      </c>
      <c r="H35" s="187">
        <f>Assumptions!H33</f>
        <v>2532653.2774769198</v>
      </c>
      <c r="I35" s="187">
        <f>Assumptions!I33</f>
        <v>3194203.4041385232</v>
      </c>
      <c r="J35" s="187">
        <f>Assumptions!J33</f>
        <v>3217474.3869633479</v>
      </c>
      <c r="K35" s="187">
        <f>Assumptions!K33</f>
        <v>3953169.3075752975</v>
      </c>
      <c r="L35" s="76"/>
    </row>
    <row r="36" spans="1:12" outlineLevel="1" x14ac:dyDescent="0.2">
      <c r="A36" s="7" t="s">
        <v>31</v>
      </c>
      <c r="B36" s="188">
        <f t="shared" ref="B36:K36" si="20">SUM(B32:B35)</f>
        <v>6178504</v>
      </c>
      <c r="C36" s="188">
        <f t="shared" si="20"/>
        <v>9761580</v>
      </c>
      <c r="D36" s="188">
        <f t="shared" si="20"/>
        <v>8069825</v>
      </c>
      <c r="E36" s="188">
        <f t="shared" si="20"/>
        <v>9266473</v>
      </c>
      <c r="F36" s="188">
        <f t="shared" si="20"/>
        <v>9918133</v>
      </c>
      <c r="G36" s="188">
        <f>SUM(G32:G35)</f>
        <v>12089231.368434396</v>
      </c>
      <c r="H36" s="188">
        <f t="shared" si="20"/>
        <v>12975463.346919831</v>
      </c>
      <c r="I36" s="188">
        <f t="shared" si="20"/>
        <v>14873100.339163732</v>
      </c>
      <c r="J36" s="188">
        <f t="shared" si="20"/>
        <v>16924167.657897551</v>
      </c>
      <c r="K36" s="188">
        <f t="shared" si="20"/>
        <v>17197248.600588609</v>
      </c>
    </row>
    <row r="37" spans="1:12" outlineLevel="1" x14ac:dyDescent="0.2">
      <c r="A37" s="2" t="s">
        <v>32</v>
      </c>
      <c r="B37" s="185">
        <v>24504567</v>
      </c>
      <c r="C37" s="185">
        <v>25383950</v>
      </c>
      <c r="D37" s="185">
        <v>30919539</v>
      </c>
      <c r="E37" s="185">
        <v>32736713</v>
      </c>
      <c r="F37" s="185">
        <v>31658056</v>
      </c>
      <c r="G37" s="187">
        <f>'Notes to Accounts'!G79+'Notes to Accounts'!G87</f>
        <v>35071932.946107998</v>
      </c>
      <c r="H37" s="187">
        <f>'Notes to Accounts'!H79+'Notes to Accounts'!H87</f>
        <v>38509696.354203038</v>
      </c>
      <c r="I37" s="187">
        <f>'Notes to Accounts'!I79+'Notes to Accounts'!I87</f>
        <v>41974593.4170864</v>
      </c>
      <c r="J37" s="187">
        <f>'Notes to Accounts'!J79+'Notes to Accounts'!J87</f>
        <v>45470591.265506178</v>
      </c>
      <c r="K37" s="187">
        <f>'Notes to Accounts'!K79+'Notes to Accounts'!K87</f>
        <v>49002135.567156941</v>
      </c>
      <c r="L37" s="76"/>
    </row>
    <row r="38" spans="1:12" outlineLevel="1" x14ac:dyDescent="0.2">
      <c r="A38" s="2" t="s">
        <v>33</v>
      </c>
      <c r="B38" s="185">
        <v>565221</v>
      </c>
      <c r="C38" s="185">
        <v>960183</v>
      </c>
      <c r="D38" s="185">
        <v>1323453</v>
      </c>
      <c r="E38" s="185">
        <v>1398257</v>
      </c>
      <c r="F38" s="185">
        <v>1491444</v>
      </c>
      <c r="G38" s="187">
        <f>'Notes to Accounts'!G69</f>
        <v>1722076.3018936003</v>
      </c>
      <c r="H38" s="187">
        <f>'Notes to Accounts'!H69</f>
        <v>1962230.0198014644</v>
      </c>
      <c r="I38" s="187">
        <f>'Notes to Accounts'!I69</f>
        <v>2210716.0738003105</v>
      </c>
      <c r="J38" s="187">
        <f>'Notes to Accounts'!J69</f>
        <v>2466378.1105269957</v>
      </c>
      <c r="K38" s="187">
        <f>'Notes to Accounts'!K69</f>
        <v>2728088.7959035863</v>
      </c>
      <c r="L38" s="76"/>
    </row>
    <row r="39" spans="1:12" outlineLevel="1" x14ac:dyDescent="0.2">
      <c r="A39" s="2" t="s">
        <v>34</v>
      </c>
      <c r="B39" s="185">
        <v>2727420</v>
      </c>
      <c r="C39" s="185">
        <v>3174646</v>
      </c>
      <c r="D39" s="185">
        <v>4271846</v>
      </c>
      <c r="E39" s="185">
        <v>5193325</v>
      </c>
      <c r="F39" s="185">
        <v>5664359</v>
      </c>
      <c r="G39" s="187">
        <f>Assumptions!G34</f>
        <v>6689489.4356474737</v>
      </c>
      <c r="H39" s="187">
        <f>Assumptions!H34</f>
        <v>7504468.8413555222</v>
      </c>
      <c r="I39" s="187">
        <f>Assumptions!I34</f>
        <v>8195011.0035227779</v>
      </c>
      <c r="J39" s="187">
        <f>Assumptions!J34</f>
        <v>9136124.67729057</v>
      </c>
      <c r="K39" s="187">
        <f>Assumptions!K34</f>
        <v>10043486.185125174</v>
      </c>
      <c r="L39" s="76"/>
    </row>
    <row r="40" spans="1:12" ht="16" outlineLevel="1" thickBot="1" x14ac:dyDescent="0.25">
      <c r="A40" s="17" t="s">
        <v>35</v>
      </c>
      <c r="B40" s="189">
        <f t="shared" ref="B40:F40" si="21">SUM(B36:B39)</f>
        <v>33975712</v>
      </c>
      <c r="C40" s="189">
        <f t="shared" si="21"/>
        <v>39280359</v>
      </c>
      <c r="D40" s="189">
        <f t="shared" si="21"/>
        <v>44584663</v>
      </c>
      <c r="E40" s="189">
        <f t="shared" si="21"/>
        <v>48594768</v>
      </c>
      <c r="F40" s="189">
        <f t="shared" si="21"/>
        <v>48731992</v>
      </c>
      <c r="G40" s="189">
        <f>SUM(G36:G39)</f>
        <v>55572730.05208347</v>
      </c>
      <c r="H40" s="189">
        <f t="shared" ref="H40:K40" si="22">SUM(H36:H39)</f>
        <v>60951858.562279858</v>
      </c>
      <c r="I40" s="189">
        <f t="shared" si="22"/>
        <v>67253420.833573222</v>
      </c>
      <c r="J40" s="189">
        <f t="shared" si="22"/>
        <v>73997261.711221293</v>
      </c>
      <c r="K40" s="189">
        <f t="shared" si="22"/>
        <v>78970959.148774311</v>
      </c>
    </row>
    <row r="41" spans="1:12" ht="16" outlineLevel="1" thickTop="1" x14ac:dyDescent="0.2">
      <c r="B41" s="187"/>
      <c r="C41" s="190"/>
      <c r="D41" s="190"/>
      <c r="E41" s="190"/>
      <c r="F41" s="190"/>
      <c r="G41" s="187"/>
      <c r="H41" s="187"/>
      <c r="I41" s="187"/>
      <c r="J41" s="187"/>
      <c r="K41" s="187"/>
    </row>
    <row r="42" spans="1:12" outlineLevel="1" x14ac:dyDescent="0.2">
      <c r="A42" s="16" t="s">
        <v>36</v>
      </c>
      <c r="B42" s="187"/>
      <c r="C42" s="187"/>
      <c r="D42" s="187"/>
      <c r="E42" s="187"/>
      <c r="F42" s="187"/>
      <c r="G42" s="187"/>
      <c r="H42" s="187"/>
      <c r="I42" s="187"/>
      <c r="J42" s="187"/>
      <c r="K42" s="187"/>
    </row>
    <row r="43" spans="1:12" outlineLevel="1" x14ac:dyDescent="0.2">
      <c r="A43" s="2" t="s">
        <v>43</v>
      </c>
      <c r="B43" s="191"/>
      <c r="C43" s="191"/>
      <c r="D43" s="191"/>
      <c r="E43" s="191"/>
      <c r="F43" s="191"/>
      <c r="G43" s="191"/>
      <c r="H43" s="191"/>
      <c r="I43" s="191"/>
      <c r="J43" s="191"/>
      <c r="K43" s="191"/>
    </row>
    <row r="44" spans="1:12" outlineLevel="1" x14ac:dyDescent="0.2">
      <c r="A44" s="2" t="s">
        <v>37</v>
      </c>
      <c r="B44" s="185">
        <v>4413561</v>
      </c>
      <c r="C44" s="185">
        <v>4429536</v>
      </c>
      <c r="D44" s="185">
        <v>4292967</v>
      </c>
      <c r="E44" s="185">
        <v>4480150</v>
      </c>
      <c r="F44" s="185">
        <v>4466470</v>
      </c>
      <c r="G44" s="187">
        <f>Assumptions!G35</f>
        <v>4543512.4453890575</v>
      </c>
      <c r="H44" s="187">
        <f>Assumptions!H35</f>
        <v>4557736.8810434649</v>
      </c>
      <c r="I44" s="187">
        <f>Assumptions!I35</f>
        <v>4582564.6638856968</v>
      </c>
      <c r="J44" s="187">
        <f>Assumptions!J35</f>
        <v>4614739.4479943141</v>
      </c>
      <c r="K44" s="187">
        <f>Assumptions!K35</f>
        <v>4646696.6558120716</v>
      </c>
      <c r="L44" s="76"/>
    </row>
    <row r="45" spans="1:12" outlineLevel="1" x14ac:dyDescent="0.2">
      <c r="A45" s="2" t="s">
        <v>38</v>
      </c>
      <c r="B45" s="185">
        <v>674347</v>
      </c>
      <c r="C45" s="185">
        <v>656183</v>
      </c>
      <c r="D45" s="185">
        <v>837483</v>
      </c>
      <c r="E45" s="185">
        <v>671513</v>
      </c>
      <c r="F45" s="185">
        <v>747412</v>
      </c>
      <c r="G45" s="187">
        <f>'Notes to Accounts'!G98</f>
        <v>912811.60923249228</v>
      </c>
      <c r="H45" s="187">
        <f>'Notes to Accounts'!H98</f>
        <v>997108.83920492232</v>
      </c>
      <c r="I45" s="187">
        <f>'Notes to Accounts'!I98</f>
        <v>1082166.2317296427</v>
      </c>
      <c r="J45" s="187">
        <f>'Notes to Accounts'!J98</f>
        <v>1168096.4749052802</v>
      </c>
      <c r="K45" s="187">
        <f>'Notes to Accounts'!K98</f>
        <v>1255019.2039590576</v>
      </c>
      <c r="L45" s="76"/>
    </row>
    <row r="46" spans="1:12" outlineLevel="1" x14ac:dyDescent="0.2">
      <c r="A46" s="2" t="s">
        <v>39</v>
      </c>
      <c r="B46" s="185">
        <v>843043</v>
      </c>
      <c r="C46" s="185">
        <v>1102196</v>
      </c>
      <c r="D46" s="185">
        <v>1449351</v>
      </c>
      <c r="E46" s="185">
        <v>1514650</v>
      </c>
      <c r="F46" s="185">
        <v>1803960</v>
      </c>
      <c r="G46" s="187">
        <f>Assumptions!G36</f>
        <v>1973739.6097854811</v>
      </c>
      <c r="H46" s="187">
        <f>Assumptions!H36</f>
        <v>2204179.6863705143</v>
      </c>
      <c r="I46" s="187">
        <f>Assumptions!I36</f>
        <v>2380957.791426762</v>
      </c>
      <c r="J46" s="187">
        <f>Assumptions!J36</f>
        <v>2651545.4240710619</v>
      </c>
      <c r="K46" s="187">
        <f>Assumptions!K36</f>
        <v>2850361.992034968</v>
      </c>
      <c r="L46" s="76"/>
    </row>
    <row r="47" spans="1:12" outlineLevel="1" x14ac:dyDescent="0.2">
      <c r="A47" s="2" t="s">
        <v>40</v>
      </c>
      <c r="B47" s="185">
        <v>924745</v>
      </c>
      <c r="C47" s="185">
        <v>1117992</v>
      </c>
      <c r="D47" s="185">
        <v>1209342</v>
      </c>
      <c r="E47" s="185">
        <v>1264661</v>
      </c>
      <c r="F47" s="185">
        <v>1442969</v>
      </c>
      <c r="G47" s="187">
        <f>Assumptions!G37</f>
        <v>1517796.4287221006</v>
      </c>
      <c r="H47" s="187">
        <f>Assumptions!H37</f>
        <v>1626325.0199353311</v>
      </c>
      <c r="I47" s="187">
        <f>Assumptions!I37</f>
        <v>1742894.9037166354</v>
      </c>
      <c r="J47" s="187">
        <f>Assumptions!J37</f>
        <v>1853925.9619824709</v>
      </c>
      <c r="K47" s="187">
        <f>Assumptions!K37</f>
        <v>1920366.0019578924</v>
      </c>
      <c r="L47" s="76"/>
    </row>
    <row r="48" spans="1:12" outlineLevel="1" x14ac:dyDescent="0.2">
      <c r="A48" s="2" t="s">
        <v>41</v>
      </c>
      <c r="B48" s="185">
        <v>0</v>
      </c>
      <c r="C48" s="185">
        <v>499878</v>
      </c>
      <c r="D48" s="185">
        <v>699823</v>
      </c>
      <c r="E48" s="185">
        <v>0</v>
      </c>
      <c r="F48" s="185">
        <v>399844</v>
      </c>
      <c r="G48" s="187">
        <f>'Notes to Accounts'!G124*1000</f>
        <v>1819000</v>
      </c>
      <c r="H48" s="187">
        <f>'Notes to Accounts'!H124*1000</f>
        <v>1000000</v>
      </c>
      <c r="I48" s="187">
        <f>'Notes to Accounts'!I124*1000</f>
        <v>1434000</v>
      </c>
      <c r="J48" s="187">
        <f>'Notes to Accounts'!J124*1000</f>
        <v>3500000</v>
      </c>
      <c r="K48" s="187">
        <f>'Notes to Accounts'!K124*1000</f>
        <v>0</v>
      </c>
      <c r="L48" s="76"/>
    </row>
    <row r="49" spans="1:12" outlineLevel="1" x14ac:dyDescent="0.2">
      <c r="A49" s="7" t="s">
        <v>42</v>
      </c>
      <c r="B49" s="188">
        <f t="shared" ref="B49:K49" si="23">SUM(B44:B48)</f>
        <v>6855696</v>
      </c>
      <c r="C49" s="188">
        <f t="shared" si="23"/>
        <v>7805785</v>
      </c>
      <c r="D49" s="188">
        <f t="shared" si="23"/>
        <v>8488966</v>
      </c>
      <c r="E49" s="188">
        <f t="shared" si="23"/>
        <v>7930974</v>
      </c>
      <c r="F49" s="188">
        <f t="shared" si="23"/>
        <v>8860655</v>
      </c>
      <c r="G49" s="188">
        <f t="shared" si="23"/>
        <v>10766860.093129132</v>
      </c>
      <c r="H49" s="188">
        <f t="shared" si="23"/>
        <v>10385350.426554233</v>
      </c>
      <c r="I49" s="188">
        <f t="shared" si="23"/>
        <v>11222583.590758737</v>
      </c>
      <c r="J49" s="188">
        <f t="shared" si="23"/>
        <v>13788307.308953129</v>
      </c>
      <c r="K49" s="188">
        <f t="shared" si="23"/>
        <v>10672443.85376399</v>
      </c>
    </row>
    <row r="50" spans="1:12" outlineLevel="1" x14ac:dyDescent="0.2">
      <c r="A50" s="2" t="s">
        <v>44</v>
      </c>
      <c r="B50" s="185">
        <v>3334323</v>
      </c>
      <c r="C50" s="185">
        <v>2618084</v>
      </c>
      <c r="D50" s="185">
        <v>3094213</v>
      </c>
      <c r="E50" s="185">
        <v>3081277</v>
      </c>
      <c r="F50" s="185">
        <v>2578173</v>
      </c>
      <c r="G50" s="187">
        <f>Assumptions!G38</f>
        <v>2735950.1314960998</v>
      </c>
      <c r="H50" s="187">
        <f>Assumptions!H38</f>
        <v>2701496.2902207966</v>
      </c>
      <c r="I50" s="187">
        <f>Assumptions!I38</f>
        <v>2421091.432640682</v>
      </c>
      <c r="J50" s="187">
        <f>Assumptions!J38</f>
        <v>2554964.1192924026</v>
      </c>
      <c r="K50" s="187">
        <f>Assumptions!K38</f>
        <v>2603203.9697245094</v>
      </c>
      <c r="L50" s="76"/>
    </row>
    <row r="51" spans="1:12" outlineLevel="1" x14ac:dyDescent="0.2">
      <c r="A51" s="2" t="s">
        <v>45</v>
      </c>
      <c r="B51" s="185">
        <v>14759260</v>
      </c>
      <c r="C51" s="185">
        <v>15809095</v>
      </c>
      <c r="D51" s="185">
        <v>14693072</v>
      </c>
      <c r="E51" s="185">
        <v>14353076</v>
      </c>
      <c r="F51" s="185">
        <v>14143417</v>
      </c>
      <c r="G51" s="187">
        <f>'Notes to Accounts'!G125*1000</f>
        <v>12389000</v>
      </c>
      <c r="H51" s="187">
        <f>'Notes to Accounts'!H125*1000</f>
        <v>11389000</v>
      </c>
      <c r="I51" s="187">
        <f>'Notes to Accounts'!I125*1000</f>
        <v>9955000</v>
      </c>
      <c r="J51" s="187">
        <f>'Notes to Accounts'!J125*1000</f>
        <v>6455000</v>
      </c>
      <c r="K51" s="187">
        <f>'Notes to Accounts'!K125*1000</f>
        <v>6455000</v>
      </c>
      <c r="L51" s="76"/>
    </row>
    <row r="52" spans="1:12" outlineLevel="1" x14ac:dyDescent="0.2">
      <c r="A52" s="2" t="s">
        <v>46</v>
      </c>
      <c r="B52" s="185">
        <v>1444276</v>
      </c>
      <c r="C52" s="185">
        <v>1982155</v>
      </c>
      <c r="D52" s="185">
        <v>2459164</v>
      </c>
      <c r="E52" s="185">
        <v>2452040</v>
      </c>
      <c r="F52" s="185">
        <v>2561434</v>
      </c>
      <c r="G52" s="187">
        <f>Assumptions!G39</f>
        <v>2909725.4675451219</v>
      </c>
      <c r="H52" s="187">
        <f>Assumptions!H39</f>
        <v>3136615.5797759285</v>
      </c>
      <c r="I52" s="187">
        <f>Assumptions!I39</f>
        <v>3389703.3583939499</v>
      </c>
      <c r="J52" s="187">
        <f>Assumptions!J39</f>
        <v>3637831.4646215411</v>
      </c>
      <c r="K52" s="187">
        <f>Assumptions!K39</f>
        <v>3884741.4816900729</v>
      </c>
      <c r="L52" s="76"/>
    </row>
    <row r="53" spans="1:12" outlineLevel="1" x14ac:dyDescent="0.2">
      <c r="A53" s="7" t="s">
        <v>47</v>
      </c>
      <c r="B53" s="8">
        <f t="shared" ref="B53:K53" si="24">SUM(B49:B52)</f>
        <v>26393555</v>
      </c>
      <c r="C53" s="8">
        <f t="shared" si="24"/>
        <v>28215119</v>
      </c>
      <c r="D53" s="8">
        <f t="shared" si="24"/>
        <v>28735415</v>
      </c>
      <c r="E53" s="8">
        <f t="shared" si="24"/>
        <v>27817367</v>
      </c>
      <c r="F53" s="8">
        <f t="shared" si="24"/>
        <v>28143679</v>
      </c>
      <c r="G53" s="8">
        <f t="shared" si="24"/>
        <v>28801535.692170352</v>
      </c>
      <c r="H53" s="8">
        <f t="shared" si="24"/>
        <v>27612462.296550959</v>
      </c>
      <c r="I53" s="8">
        <f t="shared" si="24"/>
        <v>26988378.381793369</v>
      </c>
      <c r="J53" s="8">
        <f t="shared" si="24"/>
        <v>26436102.89286707</v>
      </c>
      <c r="K53" s="8">
        <f t="shared" si="24"/>
        <v>23615389.305178571</v>
      </c>
    </row>
    <row r="54" spans="1:12" outlineLevel="1" x14ac:dyDescent="0.2">
      <c r="A54" s="2" t="s">
        <v>48</v>
      </c>
      <c r="C54" s="184"/>
      <c r="D54" s="184"/>
      <c r="E54" s="184"/>
      <c r="F54" s="184"/>
      <c r="G54" s="184"/>
      <c r="H54" s="184"/>
      <c r="I54" s="184"/>
      <c r="J54" s="184"/>
      <c r="K54" s="184"/>
    </row>
    <row r="55" spans="1:12" ht="16" outlineLevel="1" x14ac:dyDescent="0.2">
      <c r="A55" s="19" t="s">
        <v>49</v>
      </c>
      <c r="B55" s="5">
        <v>0</v>
      </c>
      <c r="C55" s="5">
        <v>0</v>
      </c>
      <c r="D55" s="5">
        <v>0</v>
      </c>
      <c r="E55" s="5">
        <v>0</v>
      </c>
      <c r="F55" s="5">
        <v>0</v>
      </c>
      <c r="G55" s="5">
        <v>0</v>
      </c>
      <c r="H55" s="5">
        <v>0</v>
      </c>
      <c r="I55" s="5">
        <v>0</v>
      </c>
      <c r="J55" s="5">
        <v>0</v>
      </c>
      <c r="K55" s="5">
        <v>0</v>
      </c>
    </row>
    <row r="56" spans="1:12" ht="16" outlineLevel="1" x14ac:dyDescent="0.2">
      <c r="A56" s="19" t="s">
        <v>50</v>
      </c>
      <c r="B56" s="5">
        <v>2793929</v>
      </c>
      <c r="C56" s="5">
        <v>3447698</v>
      </c>
      <c r="D56" s="5">
        <v>4024561</v>
      </c>
      <c r="E56" s="5">
        <v>4637601</v>
      </c>
      <c r="F56" s="5">
        <v>5145172</v>
      </c>
      <c r="G56" s="6">
        <f>F56</f>
        <v>5145172</v>
      </c>
      <c r="H56" s="6">
        <f t="shared" ref="H56:K56" si="25">G56</f>
        <v>5145172</v>
      </c>
      <c r="I56" s="6">
        <f t="shared" si="25"/>
        <v>5145172</v>
      </c>
      <c r="J56" s="6">
        <f t="shared" si="25"/>
        <v>5145172</v>
      </c>
      <c r="K56" s="6">
        <f t="shared" si="25"/>
        <v>5145172</v>
      </c>
      <c r="L56" s="76"/>
    </row>
    <row r="57" spans="1:12" outlineLevel="1" x14ac:dyDescent="0.2">
      <c r="A57" s="2" t="s">
        <v>51</v>
      </c>
      <c r="B57" s="5">
        <v>0</v>
      </c>
      <c r="C57" s="5">
        <v>0</v>
      </c>
      <c r="D57" s="5">
        <v>-824190</v>
      </c>
      <c r="E57" s="5">
        <v>-824190</v>
      </c>
      <c r="F57" s="5">
        <v>-6922200</v>
      </c>
      <c r="G57" s="182">
        <v>-6922200</v>
      </c>
      <c r="H57" s="182">
        <v>-6922200</v>
      </c>
      <c r="I57" s="182">
        <v>-6922200</v>
      </c>
      <c r="J57" s="182">
        <v>-6922200</v>
      </c>
      <c r="K57" s="182">
        <v>-6922200</v>
      </c>
      <c r="L57" s="76"/>
    </row>
    <row r="58" spans="1:12" outlineLevel="1" x14ac:dyDescent="0.2">
      <c r="A58" s="2" t="s">
        <v>52</v>
      </c>
      <c r="B58" s="5">
        <v>-23521</v>
      </c>
      <c r="C58" s="5">
        <v>44398</v>
      </c>
      <c r="D58" s="5">
        <v>-40495</v>
      </c>
      <c r="E58" s="5">
        <v>-217306</v>
      </c>
      <c r="F58" s="5">
        <v>-223945</v>
      </c>
      <c r="G58" s="6">
        <f>F58</f>
        <v>-223945</v>
      </c>
      <c r="H58" s="6">
        <f t="shared" ref="H58:K58" si="26">G58</f>
        <v>-223945</v>
      </c>
      <c r="I58" s="6">
        <f t="shared" si="26"/>
        <v>-223945</v>
      </c>
      <c r="J58" s="6">
        <f t="shared" si="26"/>
        <v>-223945</v>
      </c>
      <c r="K58" s="6">
        <f t="shared" si="26"/>
        <v>-223945</v>
      </c>
      <c r="L58" s="76"/>
    </row>
    <row r="59" spans="1:12" outlineLevel="1" x14ac:dyDescent="0.2">
      <c r="A59" s="2" t="s">
        <v>53</v>
      </c>
      <c r="B59" s="5">
        <v>4811749</v>
      </c>
      <c r="C59" s="5">
        <v>7573144</v>
      </c>
      <c r="D59" s="5">
        <v>12689372</v>
      </c>
      <c r="E59" s="5">
        <v>17181296</v>
      </c>
      <c r="F59" s="5">
        <v>22589286</v>
      </c>
      <c r="G59" s="6">
        <f>F59+G19</f>
        <v>28772167.359913118</v>
      </c>
      <c r="H59" s="6">
        <f t="shared" ref="H59:K59" si="27">G59+H19</f>
        <v>35340369.265728906</v>
      </c>
      <c r="I59" s="6">
        <f t="shared" si="27"/>
        <v>42266015.451779857</v>
      </c>
      <c r="J59" s="6">
        <f t="shared" si="27"/>
        <v>49562131.818354219</v>
      </c>
      <c r="K59" s="6">
        <f t="shared" si="27"/>
        <v>57356542.843595736</v>
      </c>
      <c r="L59" s="76"/>
    </row>
    <row r="60" spans="1:12" outlineLevel="1" x14ac:dyDescent="0.2">
      <c r="A60" s="20" t="s">
        <v>54</v>
      </c>
      <c r="B60" s="21">
        <f t="shared" ref="B60:E60" si="28">SUM(B55:B59)</f>
        <v>7582157</v>
      </c>
      <c r="C60" s="21">
        <f t="shared" si="28"/>
        <v>11065240</v>
      </c>
      <c r="D60" s="21">
        <f t="shared" si="28"/>
        <v>15849248</v>
      </c>
      <c r="E60" s="21">
        <f t="shared" si="28"/>
        <v>20777401</v>
      </c>
      <c r="F60" s="21">
        <f>SUM(F55:F59)</f>
        <v>20588313</v>
      </c>
      <c r="G60" s="21">
        <f>SUM(G55:G59)</f>
        <v>26771194.359913118</v>
      </c>
      <c r="H60" s="21">
        <f t="shared" ref="H60:K60" si="29">SUM(H55:H59)</f>
        <v>33339396.265728906</v>
      </c>
      <c r="I60" s="21">
        <f t="shared" si="29"/>
        <v>40265042.451779857</v>
      </c>
      <c r="J60" s="21">
        <f t="shared" si="29"/>
        <v>47561158.818354219</v>
      </c>
      <c r="K60" s="21">
        <f t="shared" si="29"/>
        <v>55355569.843595736</v>
      </c>
    </row>
    <row r="61" spans="1:12" ht="16" outlineLevel="1" thickBot="1" x14ac:dyDescent="0.25">
      <c r="A61" s="17" t="s">
        <v>55</v>
      </c>
      <c r="B61" s="18">
        <f t="shared" ref="B61:F61" si="30">SUM(B53,B60)</f>
        <v>33975712</v>
      </c>
      <c r="C61" s="18">
        <f t="shared" si="30"/>
        <v>39280359</v>
      </c>
      <c r="D61" s="18">
        <f t="shared" si="30"/>
        <v>44584663</v>
      </c>
      <c r="E61" s="18">
        <f t="shared" si="30"/>
        <v>48594768</v>
      </c>
      <c r="F61" s="18">
        <f t="shared" si="30"/>
        <v>48731992</v>
      </c>
      <c r="G61" s="18">
        <f t="shared" ref="G61:K61" si="31">SUM(G53,G60)</f>
        <v>55572730.05208347</v>
      </c>
      <c r="H61" s="18">
        <f t="shared" si="31"/>
        <v>60951858.562279865</v>
      </c>
      <c r="I61" s="18">
        <f t="shared" si="31"/>
        <v>67253420.833573222</v>
      </c>
      <c r="J61" s="18">
        <f t="shared" si="31"/>
        <v>73997261.711221293</v>
      </c>
      <c r="K61" s="18">
        <f t="shared" si="31"/>
        <v>78970959.148774311</v>
      </c>
    </row>
    <row r="62" spans="1:12" ht="16" thickTop="1" x14ac:dyDescent="0.2">
      <c r="B62" s="6">
        <f>B40-B61</f>
        <v>0</v>
      </c>
      <c r="C62" s="6">
        <f t="shared" ref="C62:K62" si="32">C40-C61</f>
        <v>0</v>
      </c>
      <c r="D62" s="6">
        <f t="shared" si="32"/>
        <v>0</v>
      </c>
      <c r="E62" s="6">
        <f t="shared" si="32"/>
        <v>0</v>
      </c>
      <c r="F62" s="6">
        <f t="shared" si="32"/>
        <v>0</v>
      </c>
      <c r="G62" s="6">
        <f>G40-G61</f>
        <v>0</v>
      </c>
      <c r="H62" s="6">
        <f t="shared" si="32"/>
        <v>0</v>
      </c>
      <c r="I62" s="6">
        <f t="shared" si="32"/>
        <v>0</v>
      </c>
      <c r="J62" s="6">
        <f t="shared" si="32"/>
        <v>0</v>
      </c>
      <c r="K62" s="6">
        <f t="shared" si="32"/>
        <v>0</v>
      </c>
    </row>
    <row r="63" spans="1:12" x14ac:dyDescent="0.2">
      <c r="A63" s="3" t="s">
        <v>56</v>
      </c>
      <c r="B63" s="175">
        <v>2019</v>
      </c>
      <c r="C63" s="175">
        <f>B63+1</f>
        <v>2020</v>
      </c>
      <c r="D63" s="175">
        <f>C63+1</f>
        <v>2021</v>
      </c>
      <c r="E63" s="175">
        <f t="shared" ref="E63" si="33">D63+1</f>
        <v>2022</v>
      </c>
      <c r="F63" s="175">
        <f t="shared" ref="F63" si="34">E63+1</f>
        <v>2023</v>
      </c>
      <c r="G63" s="176">
        <f t="shared" ref="G63" si="35">F63+1</f>
        <v>2024</v>
      </c>
      <c r="H63" s="176">
        <f t="shared" ref="H63" si="36">G63+1</f>
        <v>2025</v>
      </c>
      <c r="I63" s="176">
        <f t="shared" ref="I63" si="37">H63+1</f>
        <v>2026</v>
      </c>
      <c r="J63" s="176">
        <f t="shared" ref="J63" si="38">I63+1</f>
        <v>2027</v>
      </c>
      <c r="K63" s="176">
        <f t="shared" ref="K63" si="39">J63+1</f>
        <v>2028</v>
      </c>
    </row>
    <row r="64" spans="1:12" outlineLevel="1" x14ac:dyDescent="0.2">
      <c r="A64" s="22" t="s">
        <v>57</v>
      </c>
    </row>
    <row r="65" spans="1:11" outlineLevel="1" x14ac:dyDescent="0.2">
      <c r="A65" s="2" t="s">
        <v>58</v>
      </c>
      <c r="B65" s="6">
        <f t="shared" ref="B65:K65" si="40">B19</f>
        <v>1866916</v>
      </c>
      <c r="C65" s="6">
        <f t="shared" si="40"/>
        <v>2761395</v>
      </c>
      <c r="D65" s="6">
        <f t="shared" si="40"/>
        <v>5116228</v>
      </c>
      <c r="E65" s="6">
        <f t="shared" si="40"/>
        <v>4491924</v>
      </c>
      <c r="F65" s="6">
        <f t="shared" si="40"/>
        <v>5407990</v>
      </c>
      <c r="G65" s="187">
        <f>G19</f>
        <v>6182881.3599131182</v>
      </c>
      <c r="H65" s="6">
        <f t="shared" si="40"/>
        <v>6568201.9058157839</v>
      </c>
      <c r="I65" s="6">
        <f t="shared" si="40"/>
        <v>6925646.1860509515</v>
      </c>
      <c r="J65" s="6">
        <f t="shared" si="40"/>
        <v>7296116.3665743629</v>
      </c>
      <c r="K65" s="6">
        <f t="shared" si="40"/>
        <v>7794411.0252415147</v>
      </c>
    </row>
    <row r="66" spans="1:11" ht="32" outlineLevel="1" x14ac:dyDescent="0.2">
      <c r="A66" s="19" t="s">
        <v>59</v>
      </c>
      <c r="G66" s="187"/>
    </row>
    <row r="67" spans="1:11" outlineLevel="1" x14ac:dyDescent="0.2">
      <c r="A67" s="2" t="s">
        <v>60</v>
      </c>
      <c r="B67" s="5">
        <v>-13916683</v>
      </c>
      <c r="C67" s="5">
        <v>-11779284</v>
      </c>
      <c r="D67" s="5">
        <v>-17702202</v>
      </c>
      <c r="E67" s="5">
        <v>-16839038</v>
      </c>
      <c r="F67" s="5">
        <v>-12554703</v>
      </c>
      <c r="G67" s="187">
        <f>-('Notes to Accounts'!G77+'Notes to Accounts'!G85)</f>
        <v>-18313507.994400002</v>
      </c>
      <c r="H67" s="6">
        <f>-('Notes to Accounts'!H77+'Notes to Accounts'!H85)</f>
        <v>-19778503.994856</v>
      </c>
      <c r="I67" s="6">
        <f>-('Notes to Accounts'!I77+'Notes to Accounts'!I85)</f>
        <v>-21258021.894110642</v>
      </c>
      <c r="J67" s="6">
        <f>-('Notes to Accounts'!J77+'Notes to Accounts'!J85)</f>
        <v>-22754548.453160632</v>
      </c>
      <c r="K67" s="6">
        <f>-('Notes to Accounts'!K77+'Notes to Accounts'!K85)</f>
        <v>-24270506.195427243</v>
      </c>
    </row>
    <row r="68" spans="1:11" outlineLevel="1" x14ac:dyDescent="0.2">
      <c r="A68" s="2" t="s">
        <v>61</v>
      </c>
      <c r="B68" s="5">
        <v>-694011</v>
      </c>
      <c r="C68" s="5">
        <v>-757433</v>
      </c>
      <c r="D68" s="5">
        <v>232898</v>
      </c>
      <c r="E68" s="5">
        <v>179310</v>
      </c>
      <c r="F68" s="5">
        <v>-585602</v>
      </c>
      <c r="G68" s="187">
        <f>(G44+G50)-(F44+F50)</f>
        <v>234819.57688515726</v>
      </c>
      <c r="H68" s="6">
        <f t="shared" ref="H68:K68" si="41">(H44+H50)-(G44+G50)</f>
        <v>-20229.405620896257</v>
      </c>
      <c r="I68" s="6">
        <f t="shared" si="41"/>
        <v>-255577.07473788224</v>
      </c>
      <c r="J68" s="6">
        <f t="shared" si="41"/>
        <v>166047.47076033801</v>
      </c>
      <c r="K68" s="6">
        <f t="shared" si="41"/>
        <v>80197.058249864727</v>
      </c>
    </row>
    <row r="69" spans="1:11" outlineLevel="1" x14ac:dyDescent="0.2">
      <c r="A69" s="2" t="s">
        <v>62</v>
      </c>
      <c r="B69" s="5">
        <v>9216247</v>
      </c>
      <c r="C69" s="5">
        <v>10806912</v>
      </c>
      <c r="D69" s="5">
        <v>12230367</v>
      </c>
      <c r="E69" s="5">
        <v>14026132</v>
      </c>
      <c r="F69" s="5">
        <v>14197437</v>
      </c>
      <c r="G69" s="187">
        <f>-('Notes to Accounts'!G78+'Notes to Accounts'!G86)</f>
        <v>14899631.048292</v>
      </c>
      <c r="H69" s="6">
        <f>-('Notes to Accounts'!H78+'Notes to Accounts'!H86)</f>
        <v>16340740.586760961</v>
      </c>
      <c r="I69" s="6">
        <f>-('Notes to Accounts'!I78+'Notes to Accounts'!I86)</f>
        <v>17793124.83122728</v>
      </c>
      <c r="J69" s="6">
        <f>-('Notes to Accounts'!J78+'Notes to Accounts'!J86)</f>
        <v>19258550.604740866</v>
      </c>
      <c r="K69" s="6">
        <f>-('Notes to Accounts'!K78+'Notes to Accounts'!K86)</f>
        <v>20738961.89377648</v>
      </c>
    </row>
    <row r="70" spans="1:11" outlineLevel="1" x14ac:dyDescent="0.2">
      <c r="A70" s="23" t="s">
        <v>97</v>
      </c>
      <c r="B70" s="5">
        <v>103579</v>
      </c>
      <c r="C70" s="5">
        <v>115710</v>
      </c>
      <c r="D70" s="5">
        <v>208412</v>
      </c>
      <c r="E70" s="5">
        <v>336682</v>
      </c>
      <c r="F70" s="5">
        <v>356947</v>
      </c>
      <c r="G70" s="187">
        <f>'Notes to Accounts'!G66</f>
        <v>135637.85799440002</v>
      </c>
      <c r="H70" s="6">
        <f>'Notes to Accounts'!H66</f>
        <v>155416.36198925602</v>
      </c>
      <c r="I70" s="6">
        <f>'Notes to Accounts'!I66</f>
        <v>176674.38388336668</v>
      </c>
      <c r="J70" s="6">
        <f>'Notes to Accounts'!J66</f>
        <v>199428.9323365273</v>
      </c>
      <c r="K70" s="6">
        <f>'Notes to Accounts'!K66</f>
        <v>223699.43853195454</v>
      </c>
    </row>
    <row r="71" spans="1:11" outlineLevel="1" x14ac:dyDescent="0.2">
      <c r="A71" s="2" t="s">
        <v>63</v>
      </c>
      <c r="B71" s="5">
        <v>405376</v>
      </c>
      <c r="C71" s="5">
        <v>415180</v>
      </c>
      <c r="D71" s="5">
        <v>403220</v>
      </c>
      <c r="E71" s="5">
        <v>575452</v>
      </c>
      <c r="F71" s="5">
        <v>339368</v>
      </c>
      <c r="G71" s="187"/>
    </row>
    <row r="72" spans="1:11" outlineLevel="1" x14ac:dyDescent="0.2">
      <c r="A72" s="2" t="s">
        <v>92</v>
      </c>
      <c r="B72" s="5">
        <v>-45576</v>
      </c>
      <c r="C72" s="5">
        <v>533278</v>
      </c>
      <c r="D72" s="5">
        <v>-430661</v>
      </c>
      <c r="E72" s="5">
        <v>-353111</v>
      </c>
      <c r="F72" s="5">
        <v>176296</v>
      </c>
      <c r="G72" s="187">
        <v>0</v>
      </c>
      <c r="H72" s="6">
        <v>0</v>
      </c>
      <c r="I72" s="6">
        <v>0</v>
      </c>
      <c r="J72" s="6">
        <v>0</v>
      </c>
      <c r="K72" s="6">
        <v>0</v>
      </c>
    </row>
    <row r="73" spans="1:11" outlineLevel="1" x14ac:dyDescent="0.2">
      <c r="A73" s="2" t="s">
        <v>65</v>
      </c>
      <c r="B73" s="5">
        <v>228230</v>
      </c>
      <c r="C73" s="5">
        <v>293126</v>
      </c>
      <c r="D73" s="5">
        <v>376777</v>
      </c>
      <c r="E73" s="5">
        <v>533543</v>
      </c>
      <c r="F73" s="5">
        <v>512075</v>
      </c>
      <c r="G73" s="187">
        <v>0</v>
      </c>
      <c r="H73" s="6">
        <v>0</v>
      </c>
      <c r="I73" s="6">
        <v>0</v>
      </c>
      <c r="J73" s="6">
        <v>0</v>
      </c>
      <c r="K73" s="6">
        <v>0</v>
      </c>
    </row>
    <row r="74" spans="1:11" outlineLevel="1" x14ac:dyDescent="0.2">
      <c r="A74" s="2" t="s">
        <v>66</v>
      </c>
      <c r="B74" s="5">
        <v>-94443</v>
      </c>
      <c r="C74" s="5">
        <v>70066</v>
      </c>
      <c r="D74" s="5">
        <v>199548</v>
      </c>
      <c r="E74" s="5">
        <v>-166550</v>
      </c>
      <c r="F74" s="5">
        <v>-459359</v>
      </c>
      <c r="G74" s="187">
        <v>0</v>
      </c>
      <c r="H74" s="6">
        <v>0</v>
      </c>
      <c r="I74" s="6">
        <v>0</v>
      </c>
      <c r="J74" s="6">
        <v>0</v>
      </c>
      <c r="K74" s="6">
        <v>0</v>
      </c>
    </row>
    <row r="75" spans="1:11" outlineLevel="1" x14ac:dyDescent="0.2">
      <c r="A75" s="2" t="s">
        <v>67</v>
      </c>
      <c r="B75" s="5"/>
      <c r="C75" s="5"/>
      <c r="D75" s="5"/>
      <c r="E75" s="5"/>
      <c r="F75" s="5"/>
      <c r="G75" s="187"/>
    </row>
    <row r="76" spans="1:11" outlineLevel="1" x14ac:dyDescent="0.2">
      <c r="A76" s="2" t="s">
        <v>68</v>
      </c>
      <c r="B76" s="5">
        <v>-252113</v>
      </c>
      <c r="C76" s="5">
        <v>-187623</v>
      </c>
      <c r="D76" s="5">
        <v>-369681</v>
      </c>
      <c r="E76" s="5">
        <v>-353834</v>
      </c>
      <c r="F76" s="5">
        <v>-181003</v>
      </c>
      <c r="G76" s="187">
        <f>(F34+F35)-(G34+G35)</f>
        <v>-920820.83001731103</v>
      </c>
      <c r="H76" s="6">
        <f t="shared" ref="H76:K76" si="42">(G34+G35)-(H34+H35)</f>
        <v>33067.926265501883</v>
      </c>
      <c r="I76" s="6">
        <f t="shared" si="42"/>
        <v>-746478.97951462679</v>
      </c>
      <c r="J76" s="6">
        <f t="shared" si="42"/>
        <v>-109176.18477488495</v>
      </c>
      <c r="K76" s="6">
        <f t="shared" si="42"/>
        <v>-822715.53191325627</v>
      </c>
    </row>
    <row r="77" spans="1:11" outlineLevel="1" x14ac:dyDescent="0.2">
      <c r="A77" s="2" t="s">
        <v>69</v>
      </c>
      <c r="B77" s="5">
        <v>96063</v>
      </c>
      <c r="C77" s="5">
        <v>-41605</v>
      </c>
      <c r="D77" s="5">
        <v>145115</v>
      </c>
      <c r="E77" s="5">
        <v>-158543</v>
      </c>
      <c r="F77" s="5">
        <v>93502</v>
      </c>
      <c r="G77" s="187">
        <f>G45-F45</f>
        <v>165399.60923249228</v>
      </c>
      <c r="H77" s="6">
        <f>H45-G45</f>
        <v>84297.229972430039</v>
      </c>
      <c r="I77" s="6">
        <f>I45-H45</f>
        <v>85057.392524720402</v>
      </c>
      <c r="J77" s="6">
        <f>J45-I45</f>
        <v>85930.243175637443</v>
      </c>
      <c r="K77" s="6">
        <f>K45-J45</f>
        <v>86922.72905377741</v>
      </c>
    </row>
    <row r="78" spans="1:11" outlineLevel="1" x14ac:dyDescent="0.2">
      <c r="A78" s="2" t="s">
        <v>70</v>
      </c>
      <c r="B78" s="5">
        <v>157778</v>
      </c>
      <c r="C78" s="5">
        <v>198183</v>
      </c>
      <c r="D78" s="5">
        <v>180338</v>
      </c>
      <c r="E78" s="5">
        <v>-55513</v>
      </c>
      <c r="F78" s="5">
        <v>103565</v>
      </c>
      <c r="G78" s="187">
        <f>G46-F46</f>
        <v>169779.60978548112</v>
      </c>
      <c r="H78" s="6">
        <f t="shared" ref="H78:K78" si="43">H46-G46</f>
        <v>230440.07658503321</v>
      </c>
      <c r="I78" s="6">
        <f t="shared" si="43"/>
        <v>176778.10505624767</v>
      </c>
      <c r="J78" s="6">
        <f t="shared" si="43"/>
        <v>270587.63264429988</v>
      </c>
      <c r="K78" s="6">
        <f t="shared" si="43"/>
        <v>198816.5679639061</v>
      </c>
    </row>
    <row r="79" spans="1:11" outlineLevel="1" x14ac:dyDescent="0.2">
      <c r="A79" s="2" t="s">
        <v>71</v>
      </c>
      <c r="B79" s="5">
        <v>163846</v>
      </c>
      <c r="C79" s="5">
        <v>193247</v>
      </c>
      <c r="D79" s="5">
        <v>91350</v>
      </c>
      <c r="E79" s="5">
        <v>27356</v>
      </c>
      <c r="F79" s="5">
        <v>178708</v>
      </c>
      <c r="G79" s="187">
        <f>G47-F47</f>
        <v>74827.428722100565</v>
      </c>
      <c r="H79" s="6">
        <f t="shared" ref="H79:K79" si="44">H47-G47</f>
        <v>108528.59121323051</v>
      </c>
      <c r="I79" s="6">
        <f t="shared" si="44"/>
        <v>116569.88378130435</v>
      </c>
      <c r="J79" s="6">
        <f t="shared" si="44"/>
        <v>111031.05826583551</v>
      </c>
      <c r="K79" s="6">
        <f t="shared" si="44"/>
        <v>66440.039975421503</v>
      </c>
    </row>
    <row r="80" spans="1:11" outlineLevel="1" x14ac:dyDescent="0.2">
      <c r="A80" s="2" t="s">
        <v>72</v>
      </c>
      <c r="B80" s="5">
        <v>-122531</v>
      </c>
      <c r="C80" s="5">
        <v>-194075</v>
      </c>
      <c r="D80" s="5">
        <v>-289099</v>
      </c>
      <c r="E80" s="5">
        <v>-217553</v>
      </c>
      <c r="F80" s="5">
        <v>-310920</v>
      </c>
      <c r="G80" s="187">
        <f>(F39-F52)-(G39-G52)</f>
        <v>-676838.96810235176</v>
      </c>
      <c r="H80" s="6">
        <f t="shared" ref="H80:K80" si="45">(G39-G52)-(H39-H52)</f>
        <v>-588089.29347724188</v>
      </c>
      <c r="I80" s="6">
        <f t="shared" si="45"/>
        <v>-437454.3835492339</v>
      </c>
      <c r="J80" s="6">
        <f t="shared" si="45"/>
        <v>-692985.56754020136</v>
      </c>
      <c r="K80" s="6">
        <f t="shared" si="45"/>
        <v>-660451.49076607171</v>
      </c>
    </row>
    <row r="81" spans="1:11" outlineLevel="1" x14ac:dyDescent="0.2">
      <c r="A81" s="24" t="s">
        <v>73</v>
      </c>
      <c r="B81" s="8">
        <f t="shared" ref="B81:K81" si="46">SUM(B65:B80)</f>
        <v>-2887322</v>
      </c>
      <c r="C81" s="8">
        <f t="shared" si="46"/>
        <v>2427077</v>
      </c>
      <c r="D81" s="8">
        <f t="shared" si="46"/>
        <v>392610</v>
      </c>
      <c r="E81" s="8">
        <f t="shared" si="46"/>
        <v>2026257</v>
      </c>
      <c r="F81" s="8">
        <f t="shared" si="46"/>
        <v>7274301</v>
      </c>
      <c r="G81" s="188">
        <f t="shared" si="46"/>
        <v>1951808.6983050834</v>
      </c>
      <c r="H81" s="8">
        <f t="shared" si="46"/>
        <v>3133869.9846480587</v>
      </c>
      <c r="I81" s="8">
        <f t="shared" si="46"/>
        <v>2576318.4506114861</v>
      </c>
      <c r="J81" s="8">
        <f t="shared" si="46"/>
        <v>3830982.103022146</v>
      </c>
      <c r="K81" s="8">
        <f t="shared" si="46"/>
        <v>3435775.5346863489</v>
      </c>
    </row>
    <row r="82" spans="1:11" outlineLevel="1" x14ac:dyDescent="0.2">
      <c r="G82" s="187"/>
    </row>
    <row r="83" spans="1:11" outlineLevel="1" x14ac:dyDescent="0.2">
      <c r="A83" s="22" t="s">
        <v>74</v>
      </c>
      <c r="G83" s="187"/>
    </row>
    <row r="84" spans="1:11" outlineLevel="1" x14ac:dyDescent="0.2">
      <c r="A84" s="2" t="s">
        <v>75</v>
      </c>
      <c r="B84" s="5">
        <v>-253035</v>
      </c>
      <c r="C84" s="5">
        <v>-497923</v>
      </c>
      <c r="D84" s="5">
        <v>-524585</v>
      </c>
      <c r="E84" s="5">
        <v>-407729</v>
      </c>
      <c r="F84" s="5">
        <v>-348552</v>
      </c>
      <c r="G84" s="187">
        <f>-'Notes to Accounts'!G62</f>
        <v>-366270.15988800005</v>
      </c>
      <c r="H84" s="6">
        <f>-'Notes to Accounts'!H62</f>
        <v>-395570.07989712001</v>
      </c>
      <c r="I84" s="6">
        <f>-'Notes to Accounts'!I62</f>
        <v>-425160.43788221286</v>
      </c>
      <c r="J84" s="6">
        <f>-'Notes to Accounts'!J62</f>
        <v>-455090.96906321263</v>
      </c>
      <c r="K84" s="6">
        <f>-'Notes to Accounts'!K62</f>
        <v>-485410.12390854489</v>
      </c>
    </row>
    <row r="85" spans="1:11" outlineLevel="1" x14ac:dyDescent="0.2">
      <c r="A85" s="2" t="s">
        <v>76</v>
      </c>
      <c r="B85" s="5">
        <v>-134029</v>
      </c>
      <c r="C85" s="5">
        <v>-7431</v>
      </c>
      <c r="D85" s="5">
        <v>-26919</v>
      </c>
      <c r="E85" s="5">
        <v>0</v>
      </c>
      <c r="F85" s="5">
        <v>0</v>
      </c>
    </row>
    <row r="86" spans="1:11" outlineLevel="1" x14ac:dyDescent="0.2">
      <c r="A86" s="2" t="s">
        <v>77</v>
      </c>
      <c r="B86" s="5">
        <v>0</v>
      </c>
      <c r="C86" s="5">
        <v>0</v>
      </c>
      <c r="D86" s="5">
        <v>-788349</v>
      </c>
      <c r="E86" s="5">
        <v>-757387</v>
      </c>
      <c r="F86" s="5">
        <v>0</v>
      </c>
    </row>
    <row r="87" spans="1:11" outlineLevel="1" x14ac:dyDescent="0.2">
      <c r="A87" s="2" t="s">
        <v>78</v>
      </c>
      <c r="B87" s="5">
        <v>0</v>
      </c>
      <c r="C87" s="5">
        <v>0</v>
      </c>
      <c r="D87" s="5">
        <v>0</v>
      </c>
      <c r="E87" s="5">
        <v>-911276</v>
      </c>
      <c r="F87" s="5">
        <v>-504862</v>
      </c>
      <c r="G87" s="6">
        <v>0</v>
      </c>
      <c r="H87" s="6">
        <v>0</v>
      </c>
      <c r="I87" s="6">
        <v>0</v>
      </c>
      <c r="J87" s="6">
        <v>0</v>
      </c>
      <c r="K87" s="6">
        <v>0</v>
      </c>
    </row>
    <row r="88" spans="1:11" outlineLevel="1" x14ac:dyDescent="0.2">
      <c r="A88" s="2" t="s">
        <v>79</v>
      </c>
      <c r="B88" s="5">
        <v>0</v>
      </c>
      <c r="C88" s="5">
        <v>0</v>
      </c>
      <c r="D88" s="5">
        <v>0</v>
      </c>
      <c r="E88" s="5">
        <v>0</v>
      </c>
      <c r="F88" s="5">
        <v>1395165</v>
      </c>
      <c r="G88" s="6">
        <v>0</v>
      </c>
      <c r="H88" s="6">
        <v>0</v>
      </c>
      <c r="I88" s="6">
        <v>0</v>
      </c>
      <c r="J88" s="6">
        <v>0</v>
      </c>
      <c r="K88" s="6">
        <v>0</v>
      </c>
    </row>
    <row r="89" spans="1:11" outlineLevel="1" x14ac:dyDescent="0.2">
      <c r="A89" s="2" t="s">
        <v>96</v>
      </c>
      <c r="B89" s="5">
        <v>0</v>
      </c>
      <c r="C89" s="5"/>
      <c r="D89" s="5"/>
      <c r="E89" s="5"/>
      <c r="F89" s="5"/>
      <c r="I89" s="6" t="s">
        <v>355</v>
      </c>
    </row>
    <row r="90" spans="1:11" outlineLevel="1" x14ac:dyDescent="0.2">
      <c r="A90" s="24" t="s">
        <v>80</v>
      </c>
      <c r="B90" s="8">
        <f t="shared" ref="B90:K90" si="47">SUM(B84:B88)</f>
        <v>-387064</v>
      </c>
      <c r="C90" s="8">
        <f t="shared" si="47"/>
        <v>-505354</v>
      </c>
      <c r="D90" s="8">
        <f t="shared" si="47"/>
        <v>-1339853</v>
      </c>
      <c r="E90" s="8">
        <f t="shared" si="47"/>
        <v>-2076392</v>
      </c>
      <c r="F90" s="8">
        <f t="shared" si="47"/>
        <v>541751</v>
      </c>
      <c r="G90" s="8">
        <f t="shared" si="47"/>
        <v>-366270.15988800005</v>
      </c>
      <c r="H90" s="8">
        <f t="shared" si="47"/>
        <v>-395570.07989712001</v>
      </c>
      <c r="I90" s="8">
        <f t="shared" si="47"/>
        <v>-425160.43788221286</v>
      </c>
      <c r="J90" s="8">
        <f t="shared" si="47"/>
        <v>-455090.96906321263</v>
      </c>
      <c r="K90" s="8">
        <f t="shared" si="47"/>
        <v>-485410.12390854489</v>
      </c>
    </row>
    <row r="91" spans="1:11" outlineLevel="1" x14ac:dyDescent="0.2"/>
    <row r="92" spans="1:11" outlineLevel="1" x14ac:dyDescent="0.2">
      <c r="A92" s="22" t="s">
        <v>81</v>
      </c>
    </row>
    <row r="93" spans="1:11" outlineLevel="1" x14ac:dyDescent="0.2">
      <c r="A93" s="2" t="s">
        <v>82</v>
      </c>
      <c r="B93" s="5">
        <v>0</v>
      </c>
      <c r="C93" s="5">
        <v>0</v>
      </c>
      <c r="D93" s="5">
        <v>-500000</v>
      </c>
      <c r="E93" s="5">
        <v>-700000</v>
      </c>
      <c r="F93" s="5">
        <v>0</v>
      </c>
      <c r="G93" s="6">
        <f>G48+G51-F48-F51</f>
        <v>-335261</v>
      </c>
      <c r="H93" s="6">
        <f t="shared" ref="H93:K93" si="48">H48+H51-G48-G51</f>
        <v>-1819000</v>
      </c>
      <c r="I93" s="6">
        <f t="shared" si="48"/>
        <v>-1000000</v>
      </c>
      <c r="J93" s="6">
        <f t="shared" si="48"/>
        <v>-1434000</v>
      </c>
      <c r="K93" s="6">
        <f t="shared" si="48"/>
        <v>-3500000</v>
      </c>
    </row>
    <row r="94" spans="1:11" outlineLevel="1" x14ac:dyDescent="0.2">
      <c r="A94" s="2" t="s">
        <v>83</v>
      </c>
      <c r="B94" s="5">
        <v>72490</v>
      </c>
      <c r="C94" s="5">
        <v>235406</v>
      </c>
      <c r="D94" s="5">
        <v>174414</v>
      </c>
      <c r="E94" s="5">
        <v>35746</v>
      </c>
      <c r="F94" s="5">
        <v>169990</v>
      </c>
      <c r="G94" s="6">
        <v>0</v>
      </c>
      <c r="H94" s="6">
        <v>0</v>
      </c>
      <c r="I94" s="6">
        <v>0</v>
      </c>
      <c r="J94" s="6">
        <v>0</v>
      </c>
      <c r="K94" s="6">
        <v>0</v>
      </c>
    </row>
    <row r="95" spans="1:11" outlineLevel="1" x14ac:dyDescent="0.2">
      <c r="A95" s="2" t="s">
        <v>94</v>
      </c>
      <c r="B95" s="5">
        <v>4469306</v>
      </c>
      <c r="C95" s="5">
        <v>1009464</v>
      </c>
      <c r="D95" s="5">
        <v>0</v>
      </c>
      <c r="E95" s="5">
        <v>0</v>
      </c>
      <c r="F95" s="5">
        <v>0</v>
      </c>
      <c r="G95" s="6">
        <v>0</v>
      </c>
      <c r="H95" s="6">
        <v>0</v>
      </c>
      <c r="I95" s="6">
        <v>0</v>
      </c>
      <c r="J95" s="6">
        <v>0</v>
      </c>
      <c r="K95" s="6">
        <v>0</v>
      </c>
    </row>
    <row r="96" spans="1:11" outlineLevel="1" x14ac:dyDescent="0.2">
      <c r="A96" s="2" t="s">
        <v>93</v>
      </c>
      <c r="B96" s="5">
        <v>-36134</v>
      </c>
      <c r="C96" s="5">
        <v>-7559</v>
      </c>
      <c r="D96" s="5"/>
      <c r="E96" s="5"/>
      <c r="F96" s="5"/>
      <c r="G96" s="6">
        <v>0</v>
      </c>
      <c r="H96" s="6">
        <v>0</v>
      </c>
      <c r="I96" s="6">
        <v>0</v>
      </c>
      <c r="J96" s="6">
        <v>0</v>
      </c>
      <c r="K96" s="6">
        <v>0</v>
      </c>
    </row>
    <row r="97" spans="1:11" outlineLevel="1" x14ac:dyDescent="0.2">
      <c r="A97" s="2" t="s">
        <v>84</v>
      </c>
      <c r="B97" s="5">
        <v>0</v>
      </c>
      <c r="C97" s="5">
        <v>0</v>
      </c>
      <c r="D97" s="5">
        <v>-600022</v>
      </c>
      <c r="E97" s="5">
        <v>0</v>
      </c>
      <c r="F97" s="5">
        <v>-6045347</v>
      </c>
      <c r="G97" s="6">
        <v>0</v>
      </c>
      <c r="H97" s="6">
        <v>0</v>
      </c>
      <c r="I97" s="6">
        <v>0</v>
      </c>
      <c r="J97" s="6">
        <v>0</v>
      </c>
      <c r="K97" s="6">
        <v>0</v>
      </c>
    </row>
    <row r="98" spans="1:11" ht="16" outlineLevel="1" x14ac:dyDescent="0.2">
      <c r="A98" s="19" t="s">
        <v>85</v>
      </c>
      <c r="B98" s="5">
        <v>0</v>
      </c>
      <c r="C98" s="5">
        <v>0</v>
      </c>
      <c r="D98" s="5">
        <v>-224168</v>
      </c>
      <c r="E98" s="5">
        <v>0</v>
      </c>
      <c r="F98" s="5">
        <v>0</v>
      </c>
      <c r="G98" s="6">
        <v>0</v>
      </c>
      <c r="H98" s="6">
        <v>0</v>
      </c>
      <c r="I98" s="6">
        <v>0</v>
      </c>
      <c r="J98" s="6">
        <v>0</v>
      </c>
      <c r="K98" s="6">
        <v>0</v>
      </c>
    </row>
    <row r="99" spans="1:11" outlineLevel="1" x14ac:dyDescent="0.2">
      <c r="A99" s="2" t="s">
        <v>86</v>
      </c>
      <c r="B99" s="5">
        <v>0</v>
      </c>
      <c r="C99" s="5">
        <v>0</v>
      </c>
      <c r="D99" s="5">
        <v>0</v>
      </c>
      <c r="E99" s="5">
        <v>0</v>
      </c>
      <c r="F99" s="5">
        <v>-75446</v>
      </c>
    </row>
    <row r="100" spans="1:11" outlineLevel="1" x14ac:dyDescent="0.2">
      <c r="A100" s="24" t="s">
        <v>87</v>
      </c>
      <c r="B100" s="8">
        <f t="shared" ref="B100:K100" si="49">SUM(B93:B99)</f>
        <v>4505662</v>
      </c>
      <c r="C100" s="8">
        <f t="shared" si="49"/>
        <v>1237311</v>
      </c>
      <c r="D100" s="8">
        <f t="shared" si="49"/>
        <v>-1149776</v>
      </c>
      <c r="E100" s="8">
        <f t="shared" si="49"/>
        <v>-664254</v>
      </c>
      <c r="F100" s="8">
        <f t="shared" si="49"/>
        <v>-5950803</v>
      </c>
      <c r="G100" s="8">
        <f>SUM(G93:G99)</f>
        <v>-335261</v>
      </c>
      <c r="H100" s="8">
        <f t="shared" si="49"/>
        <v>-1819000</v>
      </c>
      <c r="I100" s="8">
        <f t="shared" si="49"/>
        <v>-1000000</v>
      </c>
      <c r="J100" s="8">
        <f t="shared" si="49"/>
        <v>-1434000</v>
      </c>
      <c r="K100" s="8">
        <f t="shared" si="49"/>
        <v>-3500000</v>
      </c>
    </row>
    <row r="101" spans="1:11" outlineLevel="1" x14ac:dyDescent="0.2"/>
    <row r="102" spans="1:11" ht="32" outlineLevel="1" x14ac:dyDescent="0.2">
      <c r="A102" s="19" t="s">
        <v>88</v>
      </c>
      <c r="B102" s="5">
        <v>469</v>
      </c>
      <c r="C102" s="5">
        <v>36050</v>
      </c>
      <c r="D102" s="5">
        <v>-86740</v>
      </c>
      <c r="E102" s="5">
        <v>-170140</v>
      </c>
      <c r="F102" s="5">
        <v>82684</v>
      </c>
    </row>
    <row r="103" spans="1:11" ht="32" outlineLevel="1" x14ac:dyDescent="0.2">
      <c r="A103" s="25" t="s">
        <v>89</v>
      </c>
      <c r="B103" s="8">
        <f t="shared" ref="B103:F103" si="50">SUM(B81,B90,B100,B102)</f>
        <v>1231745</v>
      </c>
      <c r="C103" s="8">
        <f t="shared" si="50"/>
        <v>3195084</v>
      </c>
      <c r="D103" s="8">
        <f t="shared" si="50"/>
        <v>-2183759</v>
      </c>
      <c r="E103" s="8">
        <f t="shared" si="50"/>
        <v>-884529</v>
      </c>
      <c r="F103" s="8">
        <f t="shared" si="50"/>
        <v>1947933</v>
      </c>
      <c r="G103" s="8">
        <f>SUM(G81,G90,G100,G102)</f>
        <v>1250277.5384170834</v>
      </c>
      <c r="H103" s="8">
        <f t="shared" ref="H103:K103" si="51">SUM(H81,H90,H100,H102)</f>
        <v>919299.90475093853</v>
      </c>
      <c r="I103" s="8">
        <f t="shared" si="51"/>
        <v>1151158.0127292732</v>
      </c>
      <c r="J103" s="8">
        <f t="shared" si="51"/>
        <v>1941891.1339589334</v>
      </c>
      <c r="K103" s="8">
        <f t="shared" si="51"/>
        <v>-549634.58922219602</v>
      </c>
    </row>
    <row r="104" spans="1:11" ht="16" outlineLevel="1" x14ac:dyDescent="0.2">
      <c r="A104" s="19" t="s">
        <v>90</v>
      </c>
      <c r="B104" s="5">
        <v>3812041</v>
      </c>
      <c r="C104" s="6">
        <f>B105</f>
        <v>5043786</v>
      </c>
      <c r="D104" s="6">
        <f>C105</f>
        <v>8238870</v>
      </c>
      <c r="E104" s="6">
        <f>D105</f>
        <v>6055111</v>
      </c>
      <c r="F104" s="6">
        <f>E105</f>
        <v>5170582</v>
      </c>
      <c r="G104" s="6">
        <f>F32</f>
        <v>7116913</v>
      </c>
      <c r="H104" s="6">
        <f t="shared" ref="H104:K104" si="52">G32</f>
        <v>8367190.5384170832</v>
      </c>
      <c r="I104" s="6">
        <f t="shared" si="52"/>
        <v>9286490.4431680217</v>
      </c>
      <c r="J104" s="6">
        <f t="shared" si="52"/>
        <v>10437648.455897294</v>
      </c>
      <c r="K104" s="6">
        <f t="shared" si="52"/>
        <v>12379539.589856228</v>
      </c>
    </row>
    <row r="105" spans="1:11" ht="17" outlineLevel="1" thickBot="1" x14ac:dyDescent="0.25">
      <c r="A105" s="26" t="s">
        <v>91</v>
      </c>
      <c r="B105" s="10">
        <f t="shared" ref="B105:G105" si="53">SUM(B103:B104)</f>
        <v>5043786</v>
      </c>
      <c r="C105" s="10">
        <f t="shared" si="53"/>
        <v>8238870</v>
      </c>
      <c r="D105" s="10">
        <f t="shared" si="53"/>
        <v>6055111</v>
      </c>
      <c r="E105" s="10">
        <f t="shared" si="53"/>
        <v>5170582</v>
      </c>
      <c r="F105" s="10">
        <f t="shared" si="53"/>
        <v>7118515</v>
      </c>
      <c r="G105" s="10">
        <f t="shared" si="53"/>
        <v>8367190.5384170832</v>
      </c>
      <c r="H105" s="10">
        <f t="shared" ref="H105:K105" si="54">SUM(H103:H104)</f>
        <v>9286490.4431680217</v>
      </c>
      <c r="I105" s="10">
        <f t="shared" si="54"/>
        <v>10437648.455897294</v>
      </c>
      <c r="J105" s="10">
        <f t="shared" si="54"/>
        <v>12379539.589856228</v>
      </c>
      <c r="K105" s="10">
        <f t="shared" si="54"/>
        <v>11829905.000634031</v>
      </c>
    </row>
    <row r="106" spans="1:11" ht="16" outlineLevel="1" thickTop="1" x14ac:dyDescent="0.2"/>
    <row r="107" spans="1:11" x14ac:dyDescent="0.2">
      <c r="A107" s="3" t="s">
        <v>98</v>
      </c>
      <c r="B107" s="175">
        <v>2019</v>
      </c>
      <c r="C107" s="175">
        <f>B107+1</f>
        <v>2020</v>
      </c>
      <c r="D107" s="175">
        <f>C107+1</f>
        <v>2021</v>
      </c>
      <c r="E107" s="175">
        <f t="shared" ref="E107" si="55">D107+1</f>
        <v>2022</v>
      </c>
      <c r="F107" s="175">
        <f t="shared" ref="F107" si="56">E107+1</f>
        <v>2023</v>
      </c>
      <c r="G107" s="176">
        <f t="shared" ref="G107" si="57">F107+1</f>
        <v>2024</v>
      </c>
      <c r="H107" s="176">
        <f t="shared" ref="H107" si="58">G107+1</f>
        <v>2025</v>
      </c>
      <c r="I107" s="176">
        <f t="shared" ref="I107" si="59">H107+1</f>
        <v>2026</v>
      </c>
      <c r="J107" s="176">
        <f t="shared" ref="J107" si="60">I107+1</f>
        <v>2027</v>
      </c>
      <c r="K107" s="176">
        <f t="shared" ref="K107" si="61">J107+1</f>
        <v>2028</v>
      </c>
    </row>
    <row r="108" spans="1:11" outlineLevel="1" x14ac:dyDescent="0.2"/>
    <row r="109" spans="1:11" outlineLevel="1" x14ac:dyDescent="0.2">
      <c r="A109" s="16" t="s">
        <v>102</v>
      </c>
    </row>
    <row r="110" spans="1:11" outlineLevel="1" x14ac:dyDescent="0.2">
      <c r="A110" s="2" t="s">
        <v>103</v>
      </c>
      <c r="B110" s="12">
        <f>B36/B49</f>
        <v>0.9012219911734709</v>
      </c>
      <c r="C110" s="12">
        <f>C36/C49</f>
        <v>1.2505571188547981</v>
      </c>
      <c r="D110" s="12">
        <f>D36/D49</f>
        <v>0.95062519981821103</v>
      </c>
      <c r="E110" s="12">
        <f>E36/E49</f>
        <v>1.1683902885068089</v>
      </c>
      <c r="F110" s="12">
        <f>F36/F49</f>
        <v>1.1193453531369859</v>
      </c>
      <c r="G110" s="12">
        <f t="shared" ref="G110:K110" si="62">G36/G49</f>
        <v>1.1228186550087276</v>
      </c>
      <c r="H110" s="12">
        <f t="shared" si="62"/>
        <v>1.2494006281909329</v>
      </c>
      <c r="I110" s="12">
        <f t="shared" si="62"/>
        <v>1.3252830971480596</v>
      </c>
      <c r="J110" s="12">
        <f t="shared" si="62"/>
        <v>1.2274289569183174</v>
      </c>
      <c r="K110" s="12">
        <f t="shared" si="62"/>
        <v>1.6113693204882433</v>
      </c>
    </row>
    <row r="111" spans="1:11" outlineLevel="1" x14ac:dyDescent="0.2">
      <c r="A111" s="2" t="s">
        <v>104</v>
      </c>
      <c r="B111" s="12">
        <f>B81/B49</f>
        <v>-0.42115665572102379</v>
      </c>
      <c r="C111" s="12">
        <f>C81/C49</f>
        <v>0.31093310922604195</v>
      </c>
      <c r="D111" s="12">
        <f>D81/D49</f>
        <v>4.6249448990607338E-2</v>
      </c>
      <c r="E111" s="12">
        <f>E81/E49</f>
        <v>0.25548652662333782</v>
      </c>
      <c r="F111" s="12">
        <f>F81/F49</f>
        <v>0.82096650868361309</v>
      </c>
      <c r="G111" s="12">
        <f t="shared" ref="G111:K111" si="63">G81/G49</f>
        <v>0.18127928490039816</v>
      </c>
      <c r="H111" s="12">
        <f t="shared" si="63"/>
        <v>0.30175871356589834</v>
      </c>
      <c r="I111" s="12">
        <f t="shared" si="63"/>
        <v>0.22956553896671009</v>
      </c>
      <c r="J111" s="12">
        <f t="shared" si="63"/>
        <v>0.27784281400042365</v>
      </c>
      <c r="K111" s="12">
        <f t="shared" si="63"/>
        <v>0.32192959567312307</v>
      </c>
    </row>
    <row r="112" spans="1:11" outlineLevel="1" x14ac:dyDescent="0.2">
      <c r="A112" s="2" t="s">
        <v>105</v>
      </c>
      <c r="B112" s="12">
        <f t="shared" ref="B112:F112" si="64">(B32)/B49</f>
        <v>0.73200984991166473</v>
      </c>
      <c r="C112" s="12">
        <f t="shared" si="64"/>
        <v>1.0512139394051976</v>
      </c>
      <c r="D112" s="12">
        <f t="shared" si="64"/>
        <v>0.71007517287735633</v>
      </c>
      <c r="E112" s="12">
        <f t="shared" si="64"/>
        <v>0.64899670582705227</v>
      </c>
      <c r="F112" s="12">
        <f t="shared" si="64"/>
        <v>0.80320393921216882</v>
      </c>
      <c r="G112" s="12">
        <f t="shared" ref="G112:K112" si="65">(G32)/G49</f>
        <v>0.77712447882150926</v>
      </c>
      <c r="H112" s="12">
        <f t="shared" si="65"/>
        <v>0.89419134278063994</v>
      </c>
      <c r="I112" s="12">
        <f t="shared" si="65"/>
        <v>0.93005753724055129</v>
      </c>
      <c r="J112" s="12">
        <f t="shared" si="65"/>
        <v>0.89782881339015785</v>
      </c>
      <c r="K112" s="12">
        <f t="shared" si="65"/>
        <v>1.1084532430181699</v>
      </c>
    </row>
    <row r="113" spans="1:11" outlineLevel="1" x14ac:dyDescent="0.2">
      <c r="A113" s="2" t="s">
        <v>101</v>
      </c>
    </row>
    <row r="114" spans="1:11" outlineLevel="1" x14ac:dyDescent="0.2">
      <c r="A114" s="16" t="s">
        <v>106</v>
      </c>
    </row>
    <row r="115" spans="1:11" outlineLevel="1" x14ac:dyDescent="0.2">
      <c r="A115" s="2" t="s">
        <v>109</v>
      </c>
      <c r="B115" s="12">
        <f>B4/B40</f>
        <v>0.59326047383495595</v>
      </c>
      <c r="C115" s="12">
        <f>C4/C40</f>
        <v>0.63634998855280323</v>
      </c>
      <c r="D115" s="12">
        <f>D4/D40</f>
        <v>0.66609999945496956</v>
      </c>
      <c r="E115" s="12">
        <f>E4/E40</f>
        <v>0.65059575960934724</v>
      </c>
      <c r="F115" s="12">
        <f>F4/F40</f>
        <v>0.69201556546262255</v>
      </c>
      <c r="G115" s="12">
        <f t="shared" ref="G115:K115" si="66">G4/G40</f>
        <v>0.65908253840458619</v>
      </c>
      <c r="H115" s="12">
        <f t="shared" si="66"/>
        <v>0.64898772445623032</v>
      </c>
      <c r="I115" s="12">
        <f t="shared" si="66"/>
        <v>0.63217667237228592</v>
      </c>
      <c r="J115" s="12">
        <f t="shared" si="66"/>
        <v>0.6150105538218863</v>
      </c>
      <c r="K115" s="12">
        <f t="shared" si="66"/>
        <v>0.61466915071156103</v>
      </c>
    </row>
    <row r="116" spans="1:11" outlineLevel="1" x14ac:dyDescent="0.2">
      <c r="A116" s="2" t="s">
        <v>110</v>
      </c>
      <c r="B116" s="12">
        <f>B4/(B36-B49)</f>
        <v>-29.76474471051046</v>
      </c>
      <c r="C116" s="12">
        <f>C4/(C36-C49)</f>
        <v>12.780509204696811</v>
      </c>
      <c r="D116" s="12">
        <f>D4/(D36-D49)</f>
        <v>-70.854065815560872</v>
      </c>
      <c r="E116" s="12">
        <f>E4/(E36-E49)</f>
        <v>23.673211286567792</v>
      </c>
      <c r="F116" s="12">
        <f>F4/(F36-F49)</f>
        <v>31.890305992181396</v>
      </c>
      <c r="G116" s="12">
        <f t="shared" ref="G116:K116" si="67">G4/(G36-G49)</f>
        <v>27.697982157352001</v>
      </c>
      <c r="H116" s="12">
        <f t="shared" si="67"/>
        <v>15.272310206509635</v>
      </c>
      <c r="I116" s="12">
        <f t="shared" si="67"/>
        <v>11.646582311065316</v>
      </c>
      <c r="J116" s="12">
        <f t="shared" si="67"/>
        <v>14.512475634203646</v>
      </c>
      <c r="K116" s="12">
        <f t="shared" si="67"/>
        <v>7.4394582327505825</v>
      </c>
    </row>
    <row r="117" spans="1:11" outlineLevel="1" x14ac:dyDescent="0.2">
      <c r="A117" s="2" t="s">
        <v>111</v>
      </c>
      <c r="B117" s="12">
        <f>(B37+B38)/B4</f>
        <v>1.2437602718375913</v>
      </c>
      <c r="C117" s="12">
        <f>(C37+C38)/C4</f>
        <v>1.0539315882473619</v>
      </c>
      <c r="D117" s="12">
        <f>(D37+D38)/D4</f>
        <v>1.0857014401449478</v>
      </c>
      <c r="E117" s="12">
        <f>(E37+E38)/E4</f>
        <v>1.0796892668323024</v>
      </c>
      <c r="F117" s="12">
        <f>(F37+F38)/F4</f>
        <v>0.98298514525433267</v>
      </c>
      <c r="G117" s="12">
        <f t="shared" ref="G117:K117" si="68">(G37+G38)/G4</f>
        <v>1.0045592919514017</v>
      </c>
      <c r="H117" s="12">
        <f t="shared" si="68"/>
        <v>1.0231291098793533</v>
      </c>
      <c r="I117" s="12">
        <f t="shared" si="68"/>
        <v>1.0392620186153794</v>
      </c>
      <c r="J117" s="12">
        <f t="shared" si="68"/>
        <v>1.0533491682928711</v>
      </c>
      <c r="K117" s="12">
        <f t="shared" si="68"/>
        <v>1.0657013897140497</v>
      </c>
    </row>
    <row r="118" spans="1:11" outlineLevel="1" x14ac:dyDescent="0.2"/>
    <row r="119" spans="1:11" outlineLevel="1" x14ac:dyDescent="0.2">
      <c r="A119" s="16" t="s">
        <v>112</v>
      </c>
    </row>
    <row r="120" spans="1:11" outlineLevel="1" x14ac:dyDescent="0.2">
      <c r="A120" s="2" t="s">
        <v>113</v>
      </c>
      <c r="B120" s="12">
        <f t="shared" ref="B120:C120" si="69">(B48+B51)/B40</f>
        <v>0.43440620170079142</v>
      </c>
      <c r="C120" s="12">
        <f t="shared" si="69"/>
        <v>0.41519409229431942</v>
      </c>
      <c r="D120" s="12">
        <f t="shared" ref="D120:F120" si="70">(D48+D51)/D40</f>
        <v>0.34525089939560605</v>
      </c>
      <c r="E120" s="12">
        <f t="shared" si="70"/>
        <v>0.29536257895088625</v>
      </c>
      <c r="F120" s="12">
        <f t="shared" si="70"/>
        <v>0.29843354238423087</v>
      </c>
      <c r="G120" s="12">
        <f t="shared" ref="G120:K120" si="71">(G48+G51)/G40</f>
        <v>0.2556649634934991</v>
      </c>
      <c r="H120" s="12">
        <f t="shared" si="71"/>
        <v>0.20325877327171366</v>
      </c>
      <c r="I120" s="12">
        <f t="shared" si="71"/>
        <v>0.16934454573223073</v>
      </c>
      <c r="J120" s="12">
        <f t="shared" si="71"/>
        <v>0.13453200523622047</v>
      </c>
      <c r="K120" s="12">
        <f t="shared" si="71"/>
        <v>8.1738908449109124E-2</v>
      </c>
    </row>
    <row r="121" spans="1:11" outlineLevel="1" x14ac:dyDescent="0.2">
      <c r="A121" s="2" t="s">
        <v>114</v>
      </c>
      <c r="B121" s="12">
        <f>(B48+B51)/B60</f>
        <v>1.9465779988465024</v>
      </c>
      <c r="C121" s="12">
        <f>(C48+C51)/C60</f>
        <v>1.4738923873318608</v>
      </c>
      <c r="D121" s="12">
        <f t="shared" ref="D121:F121" si="72">(D48+D51)/D60</f>
        <v>0.97120664652354483</v>
      </c>
      <c r="E121" s="12">
        <f t="shared" si="72"/>
        <v>0.69080228080499573</v>
      </c>
      <c r="F121" s="12">
        <f t="shared" si="72"/>
        <v>0.7063842967609828</v>
      </c>
      <c r="G121" s="12">
        <f t="shared" ref="G121:K121" si="73">(G48+G51)/G60</f>
        <v>0.53071969105998862</v>
      </c>
      <c r="H121" s="12">
        <f t="shared" si="73"/>
        <v>0.37160240999130573</v>
      </c>
      <c r="I121" s="12">
        <f t="shared" si="73"/>
        <v>0.28285081317470623</v>
      </c>
      <c r="J121" s="12">
        <f t="shared" si="73"/>
        <v>0.20930945013388297</v>
      </c>
      <c r="K121" s="12">
        <f t="shared" si="73"/>
        <v>0.11660976516434145</v>
      </c>
    </row>
    <row r="122" spans="1:11" outlineLevel="1" x14ac:dyDescent="0.2">
      <c r="A122" s="2" t="s">
        <v>115</v>
      </c>
      <c r="B122" s="12">
        <f>(B48+B51)/B10</f>
        <v>1.2377692870225627</v>
      </c>
      <c r="C122" s="12">
        <f>(C48+C51)/C10</f>
        <v>1.0516550552811401</v>
      </c>
      <c r="D122" s="12">
        <f>(D48+D51)/D10</f>
        <v>0.82609655365172263</v>
      </c>
      <c r="E122" s="12">
        <f>(E48+E51)/E10</f>
        <v>0.71781010314996085</v>
      </c>
      <c r="F122" s="12">
        <f>(F48+F51)/F10</f>
        <v>0.67616697616608812</v>
      </c>
      <c r="G122" s="12">
        <f t="shared" ref="G122:K122" si="74">(G48+G51)/G10</f>
        <v>0.62566191685572958</v>
      </c>
      <c r="H122" s="12">
        <f t="shared" si="74"/>
        <v>0.50515089689576931</v>
      </c>
      <c r="I122" s="12">
        <f t="shared" si="74"/>
        <v>0.4320570119414251</v>
      </c>
      <c r="J122" s="12">
        <f t="shared" si="74"/>
        <v>0.35281850672525578</v>
      </c>
      <c r="K122" s="12">
        <f t="shared" si="74"/>
        <v>0.21448440833389407</v>
      </c>
    </row>
    <row r="123" spans="1:11" outlineLevel="1" x14ac:dyDescent="0.2"/>
    <row r="124" spans="1:11" outlineLevel="1" x14ac:dyDescent="0.2">
      <c r="A124" s="16" t="s">
        <v>116</v>
      </c>
    </row>
    <row r="125" spans="1:11" outlineLevel="1" x14ac:dyDescent="0.2">
      <c r="A125" s="2" t="s">
        <v>117</v>
      </c>
      <c r="B125" s="69">
        <v>0.35636567015317544</v>
      </c>
      <c r="C125" s="9">
        <f t="shared" ref="C125:F125" si="75">C19/B60</f>
        <v>0.36419649448039654</v>
      </c>
      <c r="D125" s="9">
        <f t="shared" si="75"/>
        <v>0.46236936568931175</v>
      </c>
      <c r="E125" s="9">
        <f t="shared" si="75"/>
        <v>0.28341559170504493</v>
      </c>
      <c r="F125" s="9">
        <f t="shared" si="75"/>
        <v>0.26028231346163072</v>
      </c>
      <c r="G125" s="9">
        <f t="shared" ref="G125" si="76">G19/F60</f>
        <v>0.30031024688196251</v>
      </c>
      <c r="H125" s="9">
        <f t="shared" ref="H125" si="77">H19/G60</f>
        <v>0.2453458675587121</v>
      </c>
      <c r="I125" s="9">
        <f t="shared" ref="I125" si="78">I19/H60</f>
        <v>0.20773160170180227</v>
      </c>
      <c r="J125" s="9">
        <f t="shared" ref="J125" si="79">J19/I60</f>
        <v>0.18120225193632816</v>
      </c>
      <c r="K125" s="9">
        <f t="shared" ref="K125" si="80">K19/J60</f>
        <v>0.16388185693729546</v>
      </c>
    </row>
    <row r="126" spans="1:11" outlineLevel="1" x14ac:dyDescent="0.2">
      <c r="A126" s="2" t="s">
        <v>118</v>
      </c>
      <c r="B126" s="9">
        <f t="shared" ref="B126:F126" si="81">B19/B40</f>
        <v>5.4948546773648188E-2</v>
      </c>
      <c r="C126" s="9">
        <f t="shared" si="81"/>
        <v>7.0299637536408457E-2</v>
      </c>
      <c r="D126" s="9">
        <f t="shared" si="81"/>
        <v>0.11475309345727251</v>
      </c>
      <c r="E126" s="9">
        <f t="shared" si="81"/>
        <v>9.2436370927833217E-2</v>
      </c>
      <c r="F126" s="9">
        <f t="shared" si="81"/>
        <v>0.11097412147650357</v>
      </c>
      <c r="G126" s="9">
        <f t="shared" ref="G126:K126" si="82">G19/G40</f>
        <v>0.11125747023978205</v>
      </c>
      <c r="H126" s="9">
        <f t="shared" si="82"/>
        <v>0.10776048607450545</v>
      </c>
      <c r="I126" s="9">
        <f t="shared" si="82"/>
        <v>0.1029783481674383</v>
      </c>
      <c r="J126" s="9">
        <f t="shared" si="82"/>
        <v>9.8599815693827836E-2</v>
      </c>
      <c r="K126" s="9">
        <f t="shared" si="82"/>
        <v>9.8699713277605419E-2</v>
      </c>
    </row>
    <row r="127" spans="1:11" outlineLevel="1" x14ac:dyDescent="0.2">
      <c r="A127" s="2" t="s">
        <v>122</v>
      </c>
      <c r="B127" s="9">
        <f>B12/B4</f>
        <v>0.12920203645017397</v>
      </c>
      <c r="C127" s="9">
        <f>C12/C4</f>
        <v>0.18344049957321268</v>
      </c>
      <c r="D127" s="9">
        <f>D12/D4</f>
        <v>0.20858446828665408</v>
      </c>
      <c r="E127" s="9">
        <f>E12/E4</f>
        <v>0.17816647187855345</v>
      </c>
      <c r="F127" s="9">
        <f>F12/F4</f>
        <v>0.20620768485358951</v>
      </c>
      <c r="G127" s="9">
        <f t="shared" ref="G127:K127" si="83">G12/G4</f>
        <v>0.20950330786204471</v>
      </c>
      <c r="H127" s="9">
        <f t="shared" si="83"/>
        <v>0.20297763690720635</v>
      </c>
      <c r="I127" s="9">
        <f t="shared" si="83"/>
        <v>0.19734074918586308</v>
      </c>
      <c r="J127" s="9">
        <f t="shared" si="83"/>
        <v>0.19243758149868589</v>
      </c>
      <c r="K127" s="9">
        <f t="shared" si="83"/>
        <v>0.18814536203909157</v>
      </c>
    </row>
    <row r="128" spans="1:11" outlineLevel="1" x14ac:dyDescent="0.2"/>
    <row r="129" spans="1:6" outlineLevel="1" x14ac:dyDescent="0.2">
      <c r="A129" s="16" t="s">
        <v>119</v>
      </c>
    </row>
    <row r="130" spans="1:6" outlineLevel="1" x14ac:dyDescent="0.2">
      <c r="A130" s="2" t="s">
        <v>120</v>
      </c>
      <c r="B130" s="6">
        <v>0</v>
      </c>
      <c r="C130" s="6">
        <v>0</v>
      </c>
      <c r="D130" s="6">
        <v>0</v>
      </c>
      <c r="E130" s="6">
        <v>0</v>
      </c>
      <c r="F130" s="6">
        <v>0</v>
      </c>
    </row>
    <row r="131" spans="1:6" outlineLevel="1" x14ac:dyDescent="0.2">
      <c r="A131" s="2" t="s">
        <v>121</v>
      </c>
      <c r="B131" s="6">
        <v>0</v>
      </c>
      <c r="C131" s="6">
        <v>0</v>
      </c>
      <c r="D131" s="6">
        <v>0</v>
      </c>
      <c r="E131" s="6">
        <v>0</v>
      </c>
      <c r="F131" s="6">
        <v>0</v>
      </c>
    </row>
  </sheetData>
  <mergeCells count="1">
    <mergeCell ref="A1:A2"/>
  </mergeCells>
  <pageMargins left="0.7" right="0.7" top="0" bottom="0" header="0" footer="0"/>
  <pageSetup scale="53" orientation="landscape" horizontalDpi="0" verticalDpi="0"/>
  <rowBreaks count="1" manualBreakCount="1">
    <brk id="62" max="10" man="1"/>
  </row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48505-4117-C84F-A2B0-AC93813756F1}">
  <dimension ref="A1:M153"/>
  <sheetViews>
    <sheetView showGridLines="0" view="pageBreakPreview" topLeftCell="A33" zoomScale="87" zoomScaleNormal="80" zoomScaleSheetLayoutView="100" workbookViewId="0">
      <selection activeCell="B128" sqref="B128:K128"/>
    </sheetView>
  </sheetViews>
  <sheetFormatPr baseColWidth="10" defaultRowHeight="16" x14ac:dyDescent="0.2"/>
  <cols>
    <col min="1" max="1" width="50.6640625" style="104" bestFit="1" customWidth="1"/>
    <col min="2" max="2" width="13.33203125" style="104" bestFit="1" customWidth="1"/>
    <col min="3" max="3" width="13" style="104" bestFit="1" customWidth="1"/>
    <col min="4" max="4" width="13.33203125" style="104" bestFit="1" customWidth="1"/>
    <col min="5" max="5" width="13" style="104" bestFit="1" customWidth="1"/>
    <col min="6" max="6" width="13.33203125" style="104" bestFit="1" customWidth="1"/>
    <col min="7" max="7" width="16.6640625" style="104" bestFit="1" customWidth="1"/>
    <col min="8" max="8" width="13.33203125" style="104" bestFit="1" customWidth="1"/>
    <col min="9" max="10" width="13" style="104" bestFit="1" customWidth="1"/>
    <col min="11" max="11" width="12.5" style="104" bestFit="1" customWidth="1"/>
    <col min="12" max="12" width="14.83203125" style="104" customWidth="1"/>
    <col min="13" max="16384" width="10.83203125" style="104"/>
  </cols>
  <sheetData>
    <row r="1" spans="1:13" s="106" customFormat="1" ht="15" x14ac:dyDescent="0.2">
      <c r="A1" s="227" t="s">
        <v>237</v>
      </c>
      <c r="B1" s="1" t="s">
        <v>235</v>
      </c>
      <c r="C1" s="1"/>
      <c r="D1" s="1"/>
      <c r="E1" s="1"/>
      <c r="F1" s="1"/>
      <c r="G1" s="1" t="s">
        <v>10</v>
      </c>
      <c r="H1" s="1"/>
      <c r="I1" s="1"/>
      <c r="J1" s="1"/>
      <c r="K1" s="1"/>
    </row>
    <row r="2" spans="1:13" s="106" customFormat="1" ht="15" x14ac:dyDescent="0.2">
      <c r="A2" s="227"/>
      <c r="B2" s="4" t="s">
        <v>0</v>
      </c>
      <c r="C2" s="4" t="s">
        <v>1</v>
      </c>
      <c r="D2" s="4" t="s">
        <v>2</v>
      </c>
      <c r="E2" s="4" t="s">
        <v>3</v>
      </c>
      <c r="F2" s="4" t="s">
        <v>4</v>
      </c>
      <c r="G2" s="4" t="s">
        <v>5</v>
      </c>
      <c r="H2" s="4" t="s">
        <v>6</v>
      </c>
      <c r="I2" s="4" t="s">
        <v>7</v>
      </c>
      <c r="J2" s="4" t="s">
        <v>8</v>
      </c>
      <c r="K2" s="4" t="s">
        <v>9</v>
      </c>
    </row>
    <row r="3" spans="1:13" s="106" customFormat="1" ht="15" x14ac:dyDescent="0.2">
      <c r="A3" s="97" t="s">
        <v>217</v>
      </c>
      <c r="B3" s="107"/>
      <c r="C3" s="107"/>
      <c r="D3" s="107"/>
      <c r="E3" s="107"/>
      <c r="F3" s="107"/>
      <c r="G3" s="107"/>
      <c r="H3" s="107"/>
      <c r="I3" s="107"/>
      <c r="J3" s="107"/>
      <c r="K3" s="107"/>
    </row>
    <row r="5" spans="1:13" x14ac:dyDescent="0.2">
      <c r="A5" s="104" t="s">
        <v>218</v>
      </c>
      <c r="B5" s="104">
        <f t="shared" ref="B5:K5" si="0">SUM(B10,B19,B28,B37)</f>
        <v>19859230</v>
      </c>
      <c r="C5" s="104">
        <f t="shared" si="0"/>
        <v>24756675</v>
      </c>
      <c r="D5" s="104">
        <f t="shared" si="0"/>
        <v>29515496</v>
      </c>
      <c r="E5" s="104">
        <f t="shared" si="0"/>
        <v>31469852</v>
      </c>
      <c r="F5" s="104">
        <f t="shared" si="0"/>
        <v>33640458</v>
      </c>
      <c r="G5" s="104">
        <f t="shared" si="0"/>
        <v>36560744.788800001</v>
      </c>
      <c r="H5" s="104">
        <f t="shared" si="0"/>
        <v>39507304.589712001</v>
      </c>
      <c r="I5" s="104">
        <f t="shared" si="0"/>
        <v>42482908.188221283</v>
      </c>
      <c r="J5" s="104">
        <f t="shared" si="0"/>
        <v>45492529.106321268</v>
      </c>
      <c r="K5" s="104">
        <f t="shared" si="0"/>
        <v>48541012.390854485</v>
      </c>
    </row>
    <row r="6" spans="1:13" x14ac:dyDescent="0.2">
      <c r="A6" s="104" t="s">
        <v>219</v>
      </c>
      <c r="B6" s="64">
        <v>297217</v>
      </c>
      <c r="C6" s="64">
        <v>239381</v>
      </c>
      <c r="D6" s="64">
        <v>182348</v>
      </c>
      <c r="E6" s="64">
        <v>145698</v>
      </c>
      <c r="F6" s="64">
        <v>82839</v>
      </c>
      <c r="G6" s="104">
        <f>F6-($F$6/5)</f>
        <v>66271.199999999997</v>
      </c>
      <c r="H6" s="104">
        <f>G6-($F$6/5)</f>
        <v>49703.399999999994</v>
      </c>
      <c r="I6" s="104">
        <f>H6-($F$6/5)</f>
        <v>33135.599999999991</v>
      </c>
      <c r="J6" s="104">
        <f>I6-($F$6/5)</f>
        <v>16567.799999999992</v>
      </c>
      <c r="K6" s="104">
        <f>J6-($F$6/5)</f>
        <v>0</v>
      </c>
    </row>
    <row r="7" spans="1:13" x14ac:dyDescent="0.2">
      <c r="A7" s="110" t="s">
        <v>220</v>
      </c>
      <c r="B7" s="110">
        <f>SUM(B5:B6)</f>
        <v>20156447</v>
      </c>
      <c r="C7" s="110">
        <f t="shared" ref="C7:K7" si="1">SUM(C5:C6)</f>
        <v>24996056</v>
      </c>
      <c r="D7" s="110">
        <f t="shared" si="1"/>
        <v>29697844</v>
      </c>
      <c r="E7" s="110">
        <f t="shared" si="1"/>
        <v>31615550</v>
      </c>
      <c r="F7" s="110">
        <f t="shared" si="1"/>
        <v>33723297</v>
      </c>
      <c r="G7" s="110">
        <f t="shared" si="1"/>
        <v>36627015.988800004</v>
      </c>
      <c r="H7" s="110">
        <f t="shared" si="1"/>
        <v>39557007.989712</v>
      </c>
      <c r="I7" s="110">
        <f t="shared" si="1"/>
        <v>42516043.788221285</v>
      </c>
      <c r="J7" s="110">
        <f t="shared" si="1"/>
        <v>45509096.906321265</v>
      </c>
      <c r="K7" s="110">
        <f t="shared" si="1"/>
        <v>48541012.390854485</v>
      </c>
    </row>
    <row r="8" spans="1:13" x14ac:dyDescent="0.2">
      <c r="C8" s="96"/>
      <c r="D8" s="96"/>
      <c r="E8" s="96"/>
      <c r="F8" s="96"/>
    </row>
    <row r="9" spans="1:13" x14ac:dyDescent="0.2">
      <c r="A9" s="95" t="s">
        <v>221</v>
      </c>
    </row>
    <row r="10" spans="1:13" x14ac:dyDescent="0.2">
      <c r="A10" s="104" t="s">
        <v>222</v>
      </c>
      <c r="B10" s="64">
        <v>10051208</v>
      </c>
      <c r="C10" s="64">
        <v>11455396</v>
      </c>
      <c r="D10" s="64">
        <v>12972100</v>
      </c>
      <c r="E10" s="64">
        <v>14084643</v>
      </c>
      <c r="F10" s="64">
        <v>14873783</v>
      </c>
      <c r="G10" s="104">
        <f>G13*G14*12</f>
        <v>16365018.067200003</v>
      </c>
      <c r="H10" s="104">
        <f>H13*H14*12</f>
        <v>17911833.692544002</v>
      </c>
      <c r="I10" s="104">
        <f>I13*I14*12</f>
        <v>19513975.935674883</v>
      </c>
      <c r="J10" s="104">
        <f>J13*J14*12</f>
        <v>21173039.135053981</v>
      </c>
      <c r="K10" s="104">
        <f>K13*K14*12</f>
        <v>22890659.272033971</v>
      </c>
      <c r="L10" s="103"/>
      <c r="M10" s="108"/>
    </row>
    <row r="11" spans="1:13" x14ac:dyDescent="0.2">
      <c r="A11" s="197" t="s">
        <v>228</v>
      </c>
      <c r="B11" s="64">
        <v>2905</v>
      </c>
      <c r="C11" s="64">
        <v>6274</v>
      </c>
      <c r="D11" s="64">
        <v>1279</v>
      </c>
      <c r="E11" s="64">
        <v>-919</v>
      </c>
      <c r="F11" s="64">
        <v>5832</v>
      </c>
      <c r="G11" s="104">
        <f>INDEX(Assumptions!$I$8:$K$8,MATCH(Assumptions!$B$3,Assumptions!$I$5:$K$5,0))</f>
        <v>6000</v>
      </c>
      <c r="H11" s="104">
        <f>INDEX(Assumptions!$I$8:$K$8,MATCH(Assumptions!$B$3,Assumptions!$I$5:$K$5,0))</f>
        <v>6000</v>
      </c>
      <c r="I11" s="104">
        <f>INDEX(Assumptions!$I$8:$K$8,MATCH(Assumptions!$B$3,Assumptions!$I$5:$K$5,0))</f>
        <v>6000</v>
      </c>
      <c r="J11" s="104">
        <f>INDEX(Assumptions!$I$8:$K$8,MATCH(Assumptions!$B$3,Assumptions!$I$5:$K$5,0))</f>
        <v>6000</v>
      </c>
      <c r="K11" s="104">
        <f>INDEX(Assumptions!$I$8:$K$8,MATCH(Assumptions!$B$3,Assumptions!$I$5:$K$5,0))</f>
        <v>6000</v>
      </c>
      <c r="L11" s="99"/>
    </row>
    <row r="12" spans="1:13" x14ac:dyDescent="0.2">
      <c r="A12" s="104" t="s">
        <v>223</v>
      </c>
      <c r="B12" s="64">
        <v>67662</v>
      </c>
      <c r="C12" s="64">
        <v>73936</v>
      </c>
      <c r="D12" s="64">
        <v>75215</v>
      </c>
      <c r="E12" s="64">
        <v>74296</v>
      </c>
      <c r="F12" s="64">
        <v>80128</v>
      </c>
      <c r="G12" s="104">
        <f>F12+G11</f>
        <v>86128</v>
      </c>
      <c r="H12" s="104">
        <f>G12+H11</f>
        <v>92128</v>
      </c>
      <c r="I12" s="104">
        <f>H12+I11</f>
        <v>98128</v>
      </c>
      <c r="J12" s="104">
        <f>I12+J11</f>
        <v>104128</v>
      </c>
      <c r="K12" s="104">
        <f>J12+K11</f>
        <v>110128</v>
      </c>
      <c r="L12" s="99"/>
    </row>
    <row r="13" spans="1:13" x14ac:dyDescent="0.2">
      <c r="A13" s="104" t="s">
        <v>224</v>
      </c>
      <c r="B13" s="64">
        <v>66615</v>
      </c>
      <c r="C13" s="64">
        <v>71689</v>
      </c>
      <c r="D13" s="64">
        <v>74234</v>
      </c>
      <c r="E13" s="64">
        <v>74001</v>
      </c>
      <c r="F13" s="64">
        <v>76126</v>
      </c>
      <c r="G13" s="104">
        <f>F13+G11</f>
        <v>82126</v>
      </c>
      <c r="H13" s="104">
        <f t="shared" ref="H13:K13" si="2">G13+H11</f>
        <v>88126</v>
      </c>
      <c r="I13" s="104">
        <f t="shared" si="2"/>
        <v>94126</v>
      </c>
      <c r="J13" s="104">
        <f t="shared" si="2"/>
        <v>100126</v>
      </c>
      <c r="K13" s="104">
        <f t="shared" si="2"/>
        <v>106126</v>
      </c>
      <c r="L13" s="99"/>
    </row>
    <row r="14" spans="1:13" x14ac:dyDescent="0.2">
      <c r="A14" s="104" t="s">
        <v>225</v>
      </c>
      <c r="B14" s="100">
        <v>12.57</v>
      </c>
      <c r="C14" s="100">
        <v>13.32</v>
      </c>
      <c r="D14" s="100">
        <v>14.56</v>
      </c>
      <c r="E14" s="100">
        <v>15.86</v>
      </c>
      <c r="F14" s="100">
        <v>16.28</v>
      </c>
      <c r="G14" s="109">
        <f>F14*(1+G16)</f>
        <v>16.605600000000003</v>
      </c>
      <c r="H14" s="109">
        <f t="shared" ref="H14:K14" si="3">G14*(1+H16)</f>
        <v>16.937712000000001</v>
      </c>
      <c r="I14" s="109">
        <f t="shared" si="3"/>
        <v>17.276466240000001</v>
      </c>
      <c r="J14" s="109">
        <f t="shared" si="3"/>
        <v>17.621995564800002</v>
      </c>
      <c r="K14" s="109">
        <f t="shared" si="3"/>
        <v>17.974435476096001</v>
      </c>
      <c r="L14" s="99"/>
    </row>
    <row r="15" spans="1:13" x14ac:dyDescent="0.2">
      <c r="B15" s="64"/>
      <c r="C15" s="102"/>
      <c r="D15" s="102"/>
      <c r="E15" s="102"/>
      <c r="F15" s="64"/>
    </row>
    <row r="16" spans="1:13" x14ac:dyDescent="0.2">
      <c r="A16" s="63" t="s">
        <v>234</v>
      </c>
      <c r="B16" s="61"/>
      <c r="C16" s="96">
        <f>C14/B14-1</f>
        <v>5.9665871121718395E-2</v>
      </c>
      <c r="D16" s="96">
        <f>D14/C14-1</f>
        <v>9.3093093093093104E-2</v>
      </c>
      <c r="E16" s="96">
        <f>E14/D14-1</f>
        <v>8.9285714285714191E-2</v>
      </c>
      <c r="F16" s="96">
        <f>F14/E14-1</f>
        <v>2.6481715006305251E-2</v>
      </c>
      <c r="G16" s="105">
        <f>INDEX(Assumptions!$I$14:$K$14,MATCH(Assumptions!$B$3,Assumptions!$I$5:$K$5,0))</f>
        <v>0.02</v>
      </c>
      <c r="H16" s="105">
        <f>INDEX(Assumptions!$I$14:$K$14,MATCH(Assumptions!$B$3,Assumptions!$I$5:$K$5,0))</f>
        <v>0.02</v>
      </c>
      <c r="I16" s="105">
        <f>INDEX(Assumptions!$I$14:$K$14,MATCH(Assumptions!$B$3,Assumptions!$I$5:$K$5,0))</f>
        <v>0.02</v>
      </c>
      <c r="J16" s="105">
        <f>INDEX(Assumptions!$I$14:$K$14,MATCH(Assumptions!$B$3,Assumptions!$I$5:$K$5,0))</f>
        <v>0.02</v>
      </c>
      <c r="K16" s="105">
        <f>INDEX(Assumptions!$I$14:$K$14,MATCH(Assumptions!$B$3,Assumptions!$I$5:$K$5,0))</f>
        <v>0.02</v>
      </c>
    </row>
    <row r="17" spans="1:11" x14ac:dyDescent="0.2">
      <c r="B17" s="64"/>
      <c r="C17" s="64"/>
      <c r="D17" s="64"/>
      <c r="E17" s="64"/>
      <c r="F17" s="64"/>
    </row>
    <row r="18" spans="1:11" x14ac:dyDescent="0.2">
      <c r="A18" s="95" t="s">
        <v>226</v>
      </c>
      <c r="B18" s="64"/>
      <c r="C18" s="64"/>
      <c r="D18" s="64"/>
      <c r="E18" s="64"/>
      <c r="F18" s="64"/>
    </row>
    <row r="19" spans="1:11" x14ac:dyDescent="0.2">
      <c r="A19" s="104" t="s">
        <v>227</v>
      </c>
      <c r="B19" s="64">
        <v>5543067</v>
      </c>
      <c r="C19" s="64">
        <v>7772252</v>
      </c>
      <c r="D19" s="64">
        <v>9699819</v>
      </c>
      <c r="E19" s="64">
        <v>9745015</v>
      </c>
      <c r="F19" s="64">
        <v>10556487</v>
      </c>
      <c r="G19" s="104">
        <f>G22*G23*12</f>
        <v>11225499.436799999</v>
      </c>
      <c r="H19" s="104">
        <f>H22*H23*12</f>
        <v>11880309.906431999</v>
      </c>
      <c r="I19" s="104">
        <f>I22*I23*12</f>
        <v>12520901.616727678</v>
      </c>
      <c r="J19" s="104">
        <f>J22*J23*12</f>
        <v>13147493.461826801</v>
      </c>
      <c r="K19" s="104">
        <f>K22*K23*12</f>
        <v>13760301.379862269</v>
      </c>
    </row>
    <row r="20" spans="1:11" x14ac:dyDescent="0.2">
      <c r="A20" s="104" t="s">
        <v>228</v>
      </c>
      <c r="B20" s="64">
        <v>13960</v>
      </c>
      <c r="C20" s="64">
        <v>14920</v>
      </c>
      <c r="D20" s="64">
        <v>7338</v>
      </c>
      <c r="E20" s="64">
        <v>2693</v>
      </c>
      <c r="F20" s="64">
        <v>12084</v>
      </c>
      <c r="G20" s="104">
        <f>INDEX(Assumptions!$I$9:$K$9,MATCH(Assumptions!$B$3,Assumptions!$I$5:$K$5,0))</f>
        <v>6000</v>
      </c>
      <c r="H20" s="104">
        <f>INDEX(Assumptions!$I$9:$K$9,MATCH(Assumptions!$B$3,Assumptions!$I$5:$K$5,0))</f>
        <v>6000</v>
      </c>
      <c r="I20" s="104">
        <f>INDEX(Assumptions!$I$9:$K$9,MATCH(Assumptions!$B$3,Assumptions!$I$5:$K$5,0))</f>
        <v>6000</v>
      </c>
      <c r="J20" s="104">
        <f>INDEX(Assumptions!$I$9:$K$9,MATCH(Assumptions!$B$3,Assumptions!$I$5:$K$5,0))</f>
        <v>6000</v>
      </c>
      <c r="K20" s="104">
        <f>INDEX(Assumptions!$I$9:$K$9,MATCH(Assumptions!$B$3,Assumptions!$I$5:$K$5,0))</f>
        <v>6000</v>
      </c>
    </row>
    <row r="21" spans="1:11" x14ac:dyDescent="0.2">
      <c r="A21" s="104" t="s">
        <v>229</v>
      </c>
      <c r="B21" s="64">
        <v>51778</v>
      </c>
      <c r="C21" s="64">
        <v>66698</v>
      </c>
      <c r="D21" s="64">
        <v>74036</v>
      </c>
      <c r="E21" s="64">
        <v>76729</v>
      </c>
      <c r="F21" s="64">
        <v>88813</v>
      </c>
      <c r="G21" s="104">
        <f>F21+G20</f>
        <v>94813</v>
      </c>
      <c r="H21" s="104">
        <f>G21+H20</f>
        <v>100813</v>
      </c>
      <c r="I21" s="104">
        <f>H21+I20</f>
        <v>106813</v>
      </c>
      <c r="J21" s="104">
        <f>I21+J20</f>
        <v>112813</v>
      </c>
      <c r="K21" s="104">
        <f>J21+K20</f>
        <v>118813</v>
      </c>
    </row>
    <row r="22" spans="1:11" x14ac:dyDescent="0.2">
      <c r="A22" s="104" t="s">
        <v>230</v>
      </c>
      <c r="B22" s="64">
        <v>44731</v>
      </c>
      <c r="C22" s="64">
        <v>60425</v>
      </c>
      <c r="D22" s="64">
        <v>69518</v>
      </c>
      <c r="E22" s="64">
        <v>73904</v>
      </c>
      <c r="F22" s="64">
        <v>80928</v>
      </c>
      <c r="G22" s="104">
        <f>F22+G20</f>
        <v>86928</v>
      </c>
      <c r="H22" s="104">
        <f t="shared" ref="H22:K22" si="4">G22+H20</f>
        <v>92928</v>
      </c>
      <c r="I22" s="104">
        <f t="shared" si="4"/>
        <v>98928</v>
      </c>
      <c r="J22" s="104">
        <f t="shared" si="4"/>
        <v>104928</v>
      </c>
      <c r="K22" s="104">
        <f t="shared" si="4"/>
        <v>110928</v>
      </c>
    </row>
    <row r="23" spans="1:11" s="109" customFormat="1" x14ac:dyDescent="0.2">
      <c r="A23" s="109" t="s">
        <v>231</v>
      </c>
      <c r="B23" s="100">
        <v>10.33</v>
      </c>
      <c r="C23" s="100">
        <v>10.72</v>
      </c>
      <c r="D23" s="100">
        <v>11.63</v>
      </c>
      <c r="E23" s="100">
        <v>10.99</v>
      </c>
      <c r="F23" s="100">
        <v>10.87</v>
      </c>
      <c r="G23" s="109">
        <f>F23*(1+G25)</f>
        <v>10.761299999999999</v>
      </c>
      <c r="H23" s="109">
        <f t="shared" ref="H23:K23" si="5">G23*(1+H25)</f>
        <v>10.653686999999998</v>
      </c>
      <c r="I23" s="109">
        <f t="shared" si="5"/>
        <v>10.547150129999999</v>
      </c>
      <c r="J23" s="109">
        <f t="shared" si="5"/>
        <v>10.441678628699998</v>
      </c>
      <c r="K23" s="109">
        <f t="shared" si="5"/>
        <v>10.337261842412998</v>
      </c>
    </row>
    <row r="24" spans="1:11" s="109" customFormat="1" x14ac:dyDescent="0.2">
      <c r="B24" s="100"/>
      <c r="C24" s="100"/>
      <c r="D24" s="100"/>
      <c r="E24" s="100"/>
      <c r="F24" s="100"/>
    </row>
    <row r="25" spans="1:11" x14ac:dyDescent="0.2">
      <c r="A25" s="104" t="s">
        <v>234</v>
      </c>
      <c r="B25" s="61"/>
      <c r="C25" s="96">
        <f>C23/B23-1</f>
        <v>3.7754114230396985E-2</v>
      </c>
      <c r="D25" s="96">
        <f>D23/C23-1</f>
        <v>8.4888059701492491E-2</v>
      </c>
      <c r="E25" s="96">
        <f>E23/D23-1</f>
        <v>-5.5030094582975142E-2</v>
      </c>
      <c r="F25" s="96">
        <f>F23/E23-1</f>
        <v>-1.0919017288444133E-2</v>
      </c>
      <c r="G25" s="105">
        <f>INDEX(Assumptions!$I$15:$K$15,MATCH(Assumptions!$B$3,Assumptions!$I$5:$K$5,0))</f>
        <v>-0.01</v>
      </c>
      <c r="H25" s="105">
        <f>INDEX(Assumptions!$I$15:$K$15,MATCH(Assumptions!$B$3,Assumptions!$I$5:$K$5,0))</f>
        <v>-0.01</v>
      </c>
      <c r="I25" s="105">
        <f>INDEX(Assumptions!$I$15:$K$15,MATCH(Assumptions!$B$3,Assumptions!$I$5:$K$5,0))</f>
        <v>-0.01</v>
      </c>
      <c r="J25" s="105">
        <f>INDEX(Assumptions!$I$15:$K$15,MATCH(Assumptions!$B$3,Assumptions!$I$5:$K$5,0))</f>
        <v>-0.01</v>
      </c>
      <c r="K25" s="105">
        <f>INDEX(Assumptions!$I$15:$K$15,MATCH(Assumptions!$B$3,Assumptions!$I$5:$K$5,0))</f>
        <v>-0.01</v>
      </c>
    </row>
    <row r="26" spans="1:11" x14ac:dyDescent="0.2">
      <c r="B26" s="64"/>
      <c r="C26" s="61"/>
      <c r="D26" s="61"/>
      <c r="E26" s="61"/>
      <c r="F26" s="61"/>
      <c r="G26" s="96"/>
      <c r="H26" s="96"/>
      <c r="I26" s="96"/>
      <c r="J26" s="96"/>
      <c r="K26" s="96"/>
    </row>
    <row r="27" spans="1:11" x14ac:dyDescent="0.2">
      <c r="A27" s="95" t="s">
        <v>232</v>
      </c>
      <c r="B27" s="64"/>
      <c r="C27" s="64"/>
      <c r="D27" s="64"/>
      <c r="E27" s="64"/>
      <c r="F27" s="64"/>
    </row>
    <row r="28" spans="1:11" x14ac:dyDescent="0.2">
      <c r="A28" s="104" t="s">
        <v>227</v>
      </c>
      <c r="B28" s="64">
        <v>2795434</v>
      </c>
      <c r="C28" s="64">
        <v>3156727</v>
      </c>
      <c r="D28" s="64">
        <v>3576976</v>
      </c>
      <c r="E28" s="64">
        <v>4069973</v>
      </c>
      <c r="F28" s="64">
        <v>4446461</v>
      </c>
      <c r="G28" s="104">
        <f>G31*G32*12</f>
        <v>4960937.1168</v>
      </c>
      <c r="H28" s="104">
        <f>H31*H32*12</f>
        <v>5492629.3311360003</v>
      </c>
      <c r="I28" s="104">
        <f>I31*I32*12</f>
        <v>6043604.8591987202</v>
      </c>
      <c r="J28" s="104">
        <f>J31*J32*12</f>
        <v>6614422.3566514943</v>
      </c>
      <c r="K28" s="104">
        <f>K31*K32*12</f>
        <v>7205655.1120587001</v>
      </c>
    </row>
    <row r="29" spans="1:11" x14ac:dyDescent="0.2">
      <c r="A29" s="104" t="s">
        <v>228</v>
      </c>
      <c r="B29" s="64">
        <v>5340</v>
      </c>
      <c r="C29" s="64">
        <v>6120</v>
      </c>
      <c r="D29" s="64">
        <v>2424</v>
      </c>
      <c r="E29" s="64">
        <v>1738</v>
      </c>
      <c r="F29" s="64">
        <v>4298</v>
      </c>
      <c r="G29" s="104">
        <f>INDEX(Assumptions!$I$10:$K$10,MATCH(Assumptions!$B$3,Assumptions!$I$5:$K$5,0))</f>
        <v>4000</v>
      </c>
      <c r="H29" s="104">
        <f>INDEX(Assumptions!$I$10:$K$10,MATCH(Assumptions!$B$3,Assumptions!$I$5:$K$5,0))</f>
        <v>4000</v>
      </c>
      <c r="I29" s="104">
        <f>INDEX(Assumptions!$I$10:$K$10,MATCH(Assumptions!$B$3,Assumptions!$I$5:$K$5,0))</f>
        <v>4000</v>
      </c>
      <c r="J29" s="104">
        <f>INDEX(Assumptions!$I$10:$K$10,MATCH(Assumptions!$B$3,Assumptions!$I$5:$K$5,0))</f>
        <v>4000</v>
      </c>
      <c r="K29" s="104">
        <f>INDEX(Assumptions!$I$10:$K$10,MATCH(Assumptions!$B$3,Assumptions!$I$5:$K$5,0))</f>
        <v>4000</v>
      </c>
    </row>
    <row r="30" spans="1:11" x14ac:dyDescent="0.2">
      <c r="A30" s="104" t="s">
        <v>229</v>
      </c>
      <c r="B30" s="64">
        <v>31417</v>
      </c>
      <c r="C30" s="64">
        <v>37537</v>
      </c>
      <c r="D30" s="64">
        <v>39961</v>
      </c>
      <c r="E30" s="64">
        <v>41699</v>
      </c>
      <c r="F30" s="64">
        <v>45997</v>
      </c>
      <c r="G30" s="104">
        <f>F30+G29</f>
        <v>49997</v>
      </c>
      <c r="H30" s="104">
        <f>G30+H29</f>
        <v>53997</v>
      </c>
      <c r="I30" s="104">
        <f>H30+I29</f>
        <v>57997</v>
      </c>
      <c r="J30" s="104">
        <f>I30+J29</f>
        <v>61997</v>
      </c>
      <c r="K30" s="104">
        <f>J30+K29</f>
        <v>65997</v>
      </c>
    </row>
    <row r="31" spans="1:11" x14ac:dyDescent="0.2">
      <c r="A31" s="104" t="s">
        <v>230</v>
      </c>
      <c r="B31" s="64">
        <v>28391</v>
      </c>
      <c r="C31" s="64">
        <v>35297</v>
      </c>
      <c r="D31" s="64">
        <v>38573</v>
      </c>
      <c r="E31" s="64">
        <v>40000</v>
      </c>
      <c r="F31" s="64">
        <v>42802</v>
      </c>
      <c r="G31" s="104">
        <f>F31+G29</f>
        <v>46802</v>
      </c>
      <c r="H31" s="104">
        <f t="shared" ref="H31:K31" si="6">G31+H29</f>
        <v>50802</v>
      </c>
      <c r="I31" s="104">
        <f t="shared" si="6"/>
        <v>54802</v>
      </c>
      <c r="J31" s="104">
        <f t="shared" si="6"/>
        <v>58802</v>
      </c>
      <c r="K31" s="104">
        <f t="shared" si="6"/>
        <v>62802</v>
      </c>
    </row>
    <row r="32" spans="1:11" x14ac:dyDescent="0.2">
      <c r="A32" s="104" t="s">
        <v>231</v>
      </c>
      <c r="B32" s="100">
        <v>8.2100000000000009</v>
      </c>
      <c r="C32" s="100">
        <v>7.45</v>
      </c>
      <c r="D32" s="100">
        <v>7.73</v>
      </c>
      <c r="E32" s="100">
        <v>8.48</v>
      </c>
      <c r="F32" s="100">
        <v>8.66</v>
      </c>
      <c r="G32" s="109">
        <f>F32*(1+G34)</f>
        <v>8.8331999999999997</v>
      </c>
      <c r="H32" s="109">
        <f t="shared" ref="H32:K32" si="7">G32*(1+H34)</f>
        <v>9.0098640000000003</v>
      </c>
      <c r="I32" s="109">
        <f t="shared" si="7"/>
        <v>9.1900612800000001</v>
      </c>
      <c r="J32" s="109">
        <f t="shared" si="7"/>
        <v>9.3738625056</v>
      </c>
      <c r="K32" s="109">
        <f t="shared" si="7"/>
        <v>9.5613397557119999</v>
      </c>
    </row>
    <row r="33" spans="1:11" x14ac:dyDescent="0.2">
      <c r="B33" s="100"/>
      <c r="C33" s="100"/>
      <c r="D33" s="100"/>
      <c r="E33" s="100"/>
      <c r="F33" s="100"/>
      <c r="G33" s="109"/>
      <c r="H33" s="109"/>
      <c r="I33" s="109"/>
      <c r="J33" s="109"/>
      <c r="K33" s="109"/>
    </row>
    <row r="34" spans="1:11" x14ac:dyDescent="0.2">
      <c r="A34" s="104" t="s">
        <v>234</v>
      </c>
      <c r="B34" s="64"/>
      <c r="C34" s="96">
        <f>C32/B32-1</f>
        <v>-9.2570036540803979E-2</v>
      </c>
      <c r="D34" s="96">
        <f>D32/C32-1</f>
        <v>3.7583892617449655E-2</v>
      </c>
      <c r="E34" s="96">
        <f>E32/D32-1</f>
        <v>9.70245795601552E-2</v>
      </c>
      <c r="F34" s="96">
        <f>F32/E32-1</f>
        <v>2.1226415094339535E-2</v>
      </c>
      <c r="G34" s="105">
        <f>INDEX(Assumptions!$I$16:$K$16,MATCH(Assumptions!$B$3,Assumptions!$I$5:$K$5,0))</f>
        <v>0.02</v>
      </c>
      <c r="H34" s="105">
        <f>INDEX(Assumptions!$I$16:$K$16,MATCH(Assumptions!$B$3,Assumptions!$I$5:$K$5,0))</f>
        <v>0.02</v>
      </c>
      <c r="I34" s="105">
        <f>INDEX(Assumptions!$I$16:$K$16,MATCH(Assumptions!$B$3,Assumptions!$I$5:$K$5,0))</f>
        <v>0.02</v>
      </c>
      <c r="J34" s="105">
        <f>INDEX(Assumptions!$I$16:$K$16,MATCH(Assumptions!$B$3,Assumptions!$I$5:$K$5,0))</f>
        <v>0.02</v>
      </c>
      <c r="K34" s="105">
        <f>INDEX(Assumptions!$I$16:$K$16,MATCH(Assumptions!$B$3,Assumptions!$I$5:$K$5,0))</f>
        <v>0.02</v>
      </c>
    </row>
    <row r="35" spans="1:11" x14ac:dyDescent="0.2">
      <c r="B35" s="64"/>
      <c r="C35" s="61"/>
      <c r="D35" s="61"/>
      <c r="E35" s="61"/>
      <c r="F35" s="61"/>
      <c r="G35" s="96"/>
      <c r="H35" s="96"/>
      <c r="I35" s="96"/>
      <c r="J35" s="96"/>
      <c r="K35" s="96"/>
    </row>
    <row r="36" spans="1:11" ht="17" x14ac:dyDescent="0.2">
      <c r="A36" s="98" t="s">
        <v>233</v>
      </c>
      <c r="B36" s="64"/>
      <c r="C36" s="64"/>
      <c r="D36" s="64"/>
      <c r="E36" s="64"/>
      <c r="F36" s="64"/>
    </row>
    <row r="37" spans="1:11" x14ac:dyDescent="0.2">
      <c r="A37" s="104" t="s">
        <v>227</v>
      </c>
      <c r="B37" s="64">
        <v>1469521</v>
      </c>
      <c r="C37" s="64">
        <v>2372300</v>
      </c>
      <c r="D37" s="64">
        <v>3266601</v>
      </c>
      <c r="E37" s="64">
        <v>3570221</v>
      </c>
      <c r="F37" s="64">
        <v>3763727</v>
      </c>
      <c r="G37" s="104">
        <f>G40*G41*12</f>
        <v>4009290.1679999996</v>
      </c>
      <c r="H37" s="104">
        <f>H40*H41*12</f>
        <v>4222531.659599999</v>
      </c>
      <c r="I37" s="104">
        <f>I40*I41*12</f>
        <v>4404425.7766199987</v>
      </c>
      <c r="J37" s="104">
        <f>J40*J41*12</f>
        <v>4557574.1527889986</v>
      </c>
      <c r="K37" s="104">
        <f>K40*K41*12</f>
        <v>4684396.6268995479</v>
      </c>
    </row>
    <row r="38" spans="1:11" x14ac:dyDescent="0.2">
      <c r="A38" s="104" t="s">
        <v>228</v>
      </c>
      <c r="B38" s="64">
        <v>5626</v>
      </c>
      <c r="C38" s="64">
        <v>9259</v>
      </c>
      <c r="D38" s="64">
        <v>7140</v>
      </c>
      <c r="E38" s="64">
        <v>5391</v>
      </c>
      <c r="F38" s="64">
        <v>7315</v>
      </c>
      <c r="G38" s="104">
        <f>INDEX(Assumptions!$I$11:$K$11,MATCH(Assumptions!$B$3,Assumptions!$I$5:$K$5,0))</f>
        <v>5000</v>
      </c>
      <c r="H38" s="104">
        <f>INDEX(Assumptions!$I$11:$K$11,MATCH(Assumptions!$B$3,Assumptions!$I$5:$K$5,0))</f>
        <v>5000</v>
      </c>
      <c r="I38" s="104">
        <f>INDEX(Assumptions!$I$11:$K$11,MATCH(Assumptions!$B$3,Assumptions!$I$5:$K$5,0))</f>
        <v>5000</v>
      </c>
      <c r="J38" s="104">
        <f>INDEX(Assumptions!$I$11:$K$11,MATCH(Assumptions!$B$3,Assumptions!$I$5:$K$5,0))</f>
        <v>5000</v>
      </c>
      <c r="K38" s="104">
        <f>INDEX(Assumptions!$I$11:$K$11,MATCH(Assumptions!$B$3,Assumptions!$I$5:$K$5,0))</f>
        <v>5000</v>
      </c>
    </row>
    <row r="39" spans="1:11" x14ac:dyDescent="0.2">
      <c r="A39" s="104" t="s">
        <v>229</v>
      </c>
      <c r="B39" s="64">
        <v>16233</v>
      </c>
      <c r="C39" s="64">
        <v>25492</v>
      </c>
      <c r="D39" s="64">
        <v>32632</v>
      </c>
      <c r="E39" s="64">
        <v>38023</v>
      </c>
      <c r="F39" s="64">
        <v>45338</v>
      </c>
      <c r="G39" s="104">
        <f>F39+G38</f>
        <v>50338</v>
      </c>
      <c r="H39" s="104">
        <f>G39+H38</f>
        <v>55338</v>
      </c>
      <c r="I39" s="104">
        <f>H39+I38</f>
        <v>60338</v>
      </c>
      <c r="J39" s="104">
        <f>I39+J38</f>
        <v>65338</v>
      </c>
      <c r="K39" s="104">
        <f>J39+K38</f>
        <v>70338</v>
      </c>
    </row>
    <row r="40" spans="1:11" x14ac:dyDescent="0.2">
      <c r="A40" s="104" t="s">
        <v>230</v>
      </c>
      <c r="B40" s="64">
        <v>13247</v>
      </c>
      <c r="C40" s="64">
        <v>21674</v>
      </c>
      <c r="D40" s="64">
        <v>28461</v>
      </c>
      <c r="E40" s="64">
        <v>35019</v>
      </c>
      <c r="F40" s="64">
        <v>41033</v>
      </c>
      <c r="G40" s="104">
        <f>F40+G38</f>
        <v>46033</v>
      </c>
      <c r="H40" s="104">
        <f t="shared" ref="H40:K40" si="8">G40+H38</f>
        <v>51033</v>
      </c>
      <c r="I40" s="104">
        <f t="shared" si="8"/>
        <v>56033</v>
      </c>
      <c r="J40" s="104">
        <f t="shared" si="8"/>
        <v>61033</v>
      </c>
      <c r="K40" s="104">
        <f t="shared" si="8"/>
        <v>66033</v>
      </c>
    </row>
    <row r="41" spans="1:11" x14ac:dyDescent="0.2">
      <c r="A41" s="104" t="s">
        <v>231</v>
      </c>
      <c r="B41" s="100">
        <v>9.24</v>
      </c>
      <c r="C41" s="100">
        <v>9.1199999999999992</v>
      </c>
      <c r="D41" s="100">
        <v>9.56</v>
      </c>
      <c r="E41" s="100">
        <v>8.5</v>
      </c>
      <c r="F41" s="100">
        <v>7.64</v>
      </c>
      <c r="G41" s="109">
        <f>F41*(1+G43)</f>
        <v>7.2579999999999991</v>
      </c>
      <c r="H41" s="109">
        <f t="shared" ref="H41:K41" si="9">G41*(1+H43)</f>
        <v>6.8950999999999985</v>
      </c>
      <c r="I41" s="109">
        <f t="shared" si="9"/>
        <v>6.5503449999999983</v>
      </c>
      <c r="J41" s="109">
        <f t="shared" si="9"/>
        <v>6.2228277499999978</v>
      </c>
      <c r="K41" s="109">
        <f t="shared" si="9"/>
        <v>5.9116863624999976</v>
      </c>
    </row>
    <row r="43" spans="1:11" x14ac:dyDescent="0.2">
      <c r="A43" s="104" t="s">
        <v>234</v>
      </c>
      <c r="B43" s="64"/>
      <c r="C43" s="96">
        <f>C41/B41-1</f>
        <v>-1.2987012987013102E-2</v>
      </c>
      <c r="D43" s="96">
        <f>D41/C41-1</f>
        <v>4.8245614035087758E-2</v>
      </c>
      <c r="E43" s="96">
        <f>E41/D41-1</f>
        <v>-0.11087866108786615</v>
      </c>
      <c r="F43" s="96">
        <f>F41/E41-1</f>
        <v>-0.10117647058823531</v>
      </c>
      <c r="G43" s="105">
        <f>INDEX(Assumptions!$I$17:$K$17,MATCH(Assumptions!$B$3,Assumptions!$I$5:$K$5,0))</f>
        <v>-0.05</v>
      </c>
      <c r="H43" s="105">
        <f>INDEX(Assumptions!$I$17:$K$17,MATCH(Assumptions!$B$3,Assumptions!$I$5:$K$5,0))</f>
        <v>-0.05</v>
      </c>
      <c r="I43" s="105">
        <f>INDEX(Assumptions!$I$17:$K$17,MATCH(Assumptions!$B$3,Assumptions!$I$5:$K$5,0))</f>
        <v>-0.05</v>
      </c>
      <c r="J43" s="105">
        <f>INDEX(Assumptions!$I$17:$K$17,MATCH(Assumptions!$B$3,Assumptions!$I$5:$K$5,0))</f>
        <v>-0.05</v>
      </c>
      <c r="K43" s="105">
        <f>INDEX(Assumptions!$I$17:$K$17,MATCH(Assumptions!$B$3,Assumptions!$I$5:$K$5,0))</f>
        <v>-0.05</v>
      </c>
    </row>
    <row r="45" spans="1:11" s="6" customFormat="1" ht="15" x14ac:dyDescent="0.2">
      <c r="A45" s="97" t="s">
        <v>238</v>
      </c>
      <c r="B45" s="4" t="s">
        <v>0</v>
      </c>
      <c r="C45" s="4" t="s">
        <v>1</v>
      </c>
      <c r="D45" s="4" t="s">
        <v>2</v>
      </c>
      <c r="E45" s="4" t="s">
        <v>3</v>
      </c>
      <c r="F45" s="4" t="s">
        <v>4</v>
      </c>
      <c r="G45" s="4" t="s">
        <v>5</v>
      </c>
      <c r="H45" s="4" t="s">
        <v>6</v>
      </c>
      <c r="I45" s="4" t="s">
        <v>7</v>
      </c>
      <c r="J45" s="4" t="s">
        <v>8</v>
      </c>
      <c r="K45" s="4" t="s">
        <v>9</v>
      </c>
    </row>
    <row r="47" spans="1:11" x14ac:dyDescent="0.2">
      <c r="A47" s="104" t="s">
        <v>239</v>
      </c>
      <c r="B47" s="104">
        <f>-'Financial Statements'!B5</f>
        <v>3120387</v>
      </c>
      <c r="C47" s="104">
        <f>-'Financial Statements'!C5</f>
        <v>4353697</v>
      </c>
      <c r="D47" s="104">
        <f>-'Financial Statements'!D5</f>
        <v>4893904</v>
      </c>
      <c r="E47" s="104">
        <f>-'Financial Statements'!E5</f>
        <v>4805471</v>
      </c>
      <c r="F47" s="104">
        <f>-'Financial Statements'!F5</f>
        <v>5160984</v>
      </c>
      <c r="G47" s="104">
        <f>G$7*G48</f>
        <v>5860322.5582080008</v>
      </c>
      <c r="H47" s="104">
        <f t="shared" ref="H47:K47" si="10">H$7*H48</f>
        <v>6329121.2783539202</v>
      </c>
      <c r="I47" s="104">
        <f t="shared" si="10"/>
        <v>6802567.0061154058</v>
      </c>
      <c r="J47" s="104">
        <f t="shared" si="10"/>
        <v>7281455.5050114021</v>
      </c>
      <c r="K47" s="104">
        <f t="shared" si="10"/>
        <v>7766561.9825367182</v>
      </c>
    </row>
    <row r="48" spans="1:11" x14ac:dyDescent="0.2">
      <c r="A48" s="99" t="s">
        <v>243</v>
      </c>
      <c r="B48" s="111">
        <f>B47/B$7</f>
        <v>0.15480838463247021</v>
      </c>
      <c r="C48" s="111">
        <f t="shared" ref="C48:F48" si="11">C47/C$7</f>
        <v>0.17417535790446301</v>
      </c>
      <c r="D48" s="111">
        <f t="shared" si="11"/>
        <v>0.16478987498217043</v>
      </c>
      <c r="E48" s="111">
        <f t="shared" si="11"/>
        <v>0.15199707106155042</v>
      </c>
      <c r="F48" s="111">
        <f t="shared" si="11"/>
        <v>0.15303912900331187</v>
      </c>
      <c r="G48" s="105">
        <f>INDEX(Assumptions!$I$26:$K$26,MATCH(Assumptions!$B$3,Assumptions!$I$5:$K$5,0))</f>
        <v>0.16</v>
      </c>
      <c r="H48" s="105">
        <f>INDEX(Assumptions!$I$26:$K$26,MATCH(Assumptions!$B$3,Assumptions!$I$5:$K$5,0))</f>
        <v>0.16</v>
      </c>
      <c r="I48" s="105">
        <f>INDEX(Assumptions!$I$26:$K$26,MATCH(Assumptions!$B$3,Assumptions!$I$5:$K$5,0))</f>
        <v>0.16</v>
      </c>
      <c r="J48" s="105">
        <f>INDEX(Assumptions!$I$26:$K$26,MATCH(Assumptions!$B$3,Assumptions!$I$5:$K$5,0))</f>
        <v>0.16</v>
      </c>
      <c r="K48" s="105">
        <f>INDEX(Assumptions!$I$26:$K$26,MATCH(Assumptions!$B$3,Assumptions!$I$5:$K$5,0))</f>
        <v>0.16</v>
      </c>
    </row>
    <row r="49" spans="1:11" x14ac:dyDescent="0.2">
      <c r="B49" s="111"/>
    </row>
    <row r="50" spans="1:11" x14ac:dyDescent="0.2">
      <c r="A50" s="104" t="s">
        <v>240</v>
      </c>
      <c r="B50" s="104">
        <f>-'Financial Statements'!B7</f>
        <v>2652462</v>
      </c>
      <c r="C50" s="104">
        <f>-'Financial Statements'!C7</f>
        <v>2228362</v>
      </c>
      <c r="D50" s="104">
        <f>-'Financial Statements'!D7</f>
        <v>2545146</v>
      </c>
      <c r="E50" s="104">
        <f>-'Financial Statements'!E7</f>
        <v>2530502</v>
      </c>
      <c r="F50" s="104">
        <f>-'Financial Statements'!F7</f>
        <v>2657883</v>
      </c>
      <c r="G50" s="104">
        <f>G$7*G51</f>
        <v>3296431.4389920002</v>
      </c>
      <c r="H50" s="104">
        <f t="shared" ref="H50:K50" si="12">H$7*H51</f>
        <v>3560130.7190740798</v>
      </c>
      <c r="I50" s="104">
        <f t="shared" si="12"/>
        <v>3826443.9409399154</v>
      </c>
      <c r="J50" s="104">
        <f t="shared" si="12"/>
        <v>4095818.7215689137</v>
      </c>
      <c r="K50" s="104">
        <f t="shared" si="12"/>
        <v>4368691.1151769031</v>
      </c>
    </row>
    <row r="51" spans="1:11" x14ac:dyDescent="0.2">
      <c r="A51" s="99" t="s">
        <v>243</v>
      </c>
      <c r="B51" s="111">
        <f>B50/B$7</f>
        <v>0.13159372780331771</v>
      </c>
      <c r="C51" s="111">
        <f t="shared" ref="C51:F51" si="13">C50/C$7</f>
        <v>8.9148544074313163E-2</v>
      </c>
      <c r="D51" s="111">
        <f t="shared" si="13"/>
        <v>8.5701372799991807E-2</v>
      </c>
      <c r="E51" s="111">
        <f t="shared" si="13"/>
        <v>8.0039790546107853E-2</v>
      </c>
      <c r="F51" s="111">
        <f t="shared" si="13"/>
        <v>7.8814446879259759E-2</v>
      </c>
      <c r="G51" s="105">
        <f>INDEX(Assumptions!$I$27:$K$27,MATCH(Assumptions!$B$3,Assumptions!$I$5:$K$5,0))</f>
        <v>0.09</v>
      </c>
      <c r="H51" s="105">
        <f>INDEX(Assumptions!$I$27:$K$27,MATCH(Assumptions!$B$3,Assumptions!$I$5:$K$5,0))</f>
        <v>0.09</v>
      </c>
      <c r="I51" s="105">
        <f>INDEX(Assumptions!$I$27:$K$27,MATCH(Assumptions!$B$3,Assumptions!$I$5:$K$5,0))</f>
        <v>0.09</v>
      </c>
      <c r="J51" s="105">
        <f>INDEX(Assumptions!$I$27:$K$27,MATCH(Assumptions!$B$3,Assumptions!$I$5:$K$5,0))</f>
        <v>0.09</v>
      </c>
      <c r="K51" s="105">
        <f>INDEX(Assumptions!$I$27:$K$27,MATCH(Assumptions!$B$3,Assumptions!$I$5:$K$5,0))</f>
        <v>0.09</v>
      </c>
    </row>
    <row r="52" spans="1:11" x14ac:dyDescent="0.2">
      <c r="F52" s="111"/>
    </row>
    <row r="53" spans="1:11" x14ac:dyDescent="0.2">
      <c r="A53" s="104" t="s">
        <v>241</v>
      </c>
      <c r="B53" s="104">
        <f>-'Financial Statements'!B8</f>
        <v>1545149</v>
      </c>
      <c r="C53" s="104">
        <f>-'Financial Statements'!C8</f>
        <v>1829600</v>
      </c>
      <c r="D53" s="104">
        <f>-'Financial Statements'!D8</f>
        <v>2273885</v>
      </c>
      <c r="E53" s="104">
        <f>-'Financial Statements'!E8</f>
        <v>2711041</v>
      </c>
      <c r="F53" s="104">
        <f>-'Financial Statements'!F8</f>
        <v>2675758</v>
      </c>
      <c r="G53" s="104">
        <f t="shared" ref="G53:K53" si="14">G$7*G54</f>
        <v>2930161.2791040004</v>
      </c>
      <c r="H53" s="104">
        <f t="shared" si="14"/>
        <v>3164560.6391769601</v>
      </c>
      <c r="I53" s="104">
        <f t="shared" si="14"/>
        <v>3401283.5030577029</v>
      </c>
      <c r="J53" s="104">
        <f t="shared" si="14"/>
        <v>3640727.752505701</v>
      </c>
      <c r="K53" s="104">
        <f t="shared" si="14"/>
        <v>3883280.9912683591</v>
      </c>
    </row>
    <row r="54" spans="1:11" x14ac:dyDescent="0.2">
      <c r="A54" s="99" t="s">
        <v>243</v>
      </c>
      <c r="B54" s="111">
        <f>B53/B$7</f>
        <v>7.6657805812701013E-2</v>
      </c>
      <c r="C54" s="111">
        <f t="shared" ref="C54" si="15">C53/C$7</f>
        <v>7.3195547329546709E-2</v>
      </c>
      <c r="D54" s="111">
        <f t="shared" ref="D54" si="16">D53/D$7</f>
        <v>7.6567342733701471E-2</v>
      </c>
      <c r="E54" s="111">
        <f t="shared" ref="E54" si="17">E53/E$7</f>
        <v>8.5750239992661834E-2</v>
      </c>
      <c r="F54" s="111">
        <f t="shared" ref="F54" si="18">F53/F$7</f>
        <v>7.9344495883661673E-2</v>
      </c>
      <c r="G54" s="105">
        <f>INDEX(Assumptions!$I$28:$K$28,MATCH(Assumptions!$B$3,Assumptions!$I$5:$K$5,0))</f>
        <v>0.08</v>
      </c>
      <c r="H54" s="105">
        <f>INDEX(Assumptions!$I$28:$K$28,MATCH(Assumptions!$B$3,Assumptions!$I$5:$K$5,0))</f>
        <v>0.08</v>
      </c>
      <c r="I54" s="105">
        <f>INDEX(Assumptions!$I$28:$K$28,MATCH(Assumptions!$B$3,Assumptions!$I$5:$K$5,0))</f>
        <v>0.08</v>
      </c>
      <c r="J54" s="105">
        <f>INDEX(Assumptions!$I$28:$K$28,MATCH(Assumptions!$B$3,Assumptions!$I$5:$K$5,0))</f>
        <v>0.08</v>
      </c>
      <c r="K54" s="105">
        <f>INDEX(Assumptions!$I$28:$K$28,MATCH(Assumptions!$B$3,Assumptions!$I$5:$K$5,0))</f>
        <v>0.08</v>
      </c>
    </row>
    <row r="55" spans="1:11" x14ac:dyDescent="0.2">
      <c r="F55" s="111"/>
    </row>
    <row r="56" spans="1:11" x14ac:dyDescent="0.2">
      <c r="A56" s="104" t="s">
        <v>242</v>
      </c>
      <c r="B56" s="104">
        <f>-'Financial Statements'!B9</f>
        <v>914369</v>
      </c>
      <c r="C56" s="104">
        <f>-'Financial Statements'!C9</f>
        <v>1076486</v>
      </c>
      <c r="D56" s="104">
        <f>-'Financial Statements'!D9</f>
        <v>1351621</v>
      </c>
      <c r="E56" s="104">
        <f>-'Financial Statements'!E9</f>
        <v>1572891</v>
      </c>
      <c r="F56" s="104">
        <f>-'Financial Statements'!F9</f>
        <v>1720285</v>
      </c>
      <c r="G56" s="104">
        <f>G$7*G57</f>
        <v>1831350.7994400002</v>
      </c>
      <c r="H56" s="104">
        <f t="shared" ref="H56:K56" si="19">H$7*H57</f>
        <v>1977850.3994856002</v>
      </c>
      <c r="I56" s="104">
        <f t="shared" si="19"/>
        <v>2125802.1894110641</v>
      </c>
      <c r="J56" s="104">
        <f t="shared" si="19"/>
        <v>2275454.8453160631</v>
      </c>
      <c r="K56" s="104">
        <f t="shared" si="19"/>
        <v>2427050.6195427245</v>
      </c>
    </row>
    <row r="57" spans="1:11" x14ac:dyDescent="0.2">
      <c r="A57" s="99" t="s">
        <v>243</v>
      </c>
      <c r="B57" s="111">
        <f>B56/B$7</f>
        <v>4.5363600043202057E-2</v>
      </c>
      <c r="C57" s="111">
        <f t="shared" ref="C57" si="20">C56/C$7</f>
        <v>4.3066234129096208E-2</v>
      </c>
      <c r="D57" s="111">
        <f t="shared" ref="D57" si="21">D56/D$7</f>
        <v>4.5512428444300534E-2</v>
      </c>
      <c r="E57" s="111">
        <f t="shared" ref="E57" si="22">E56/E$7</f>
        <v>4.9750549966709419E-2</v>
      </c>
      <c r="F57" s="111">
        <f t="shared" ref="F57" si="23">F56/F$7</f>
        <v>5.1011767918184278E-2</v>
      </c>
      <c r="G57" s="105">
        <f>INDEX(Assumptions!$I$29:$K$29,MATCH(Assumptions!$B$3,Assumptions!$I$5:$K$5,0))</f>
        <v>0.05</v>
      </c>
      <c r="H57" s="105">
        <f>INDEX(Assumptions!$I$29:$K$29,MATCH(Assumptions!$B$3,Assumptions!$I$5:$K$5,0))</f>
        <v>0.05</v>
      </c>
      <c r="I57" s="105">
        <f>INDEX(Assumptions!$I$29:$K$29,MATCH(Assumptions!$B$3,Assumptions!$I$5:$K$5,0))</f>
        <v>0.05</v>
      </c>
      <c r="J57" s="105">
        <f>INDEX(Assumptions!$I$29:$K$29,MATCH(Assumptions!$B$3,Assumptions!$I$5:$K$5,0))</f>
        <v>0.05</v>
      </c>
      <c r="K57" s="105">
        <f>INDEX(Assumptions!$I$29:$K$29,MATCH(Assumptions!$B$3,Assumptions!$I$5:$K$5,0))</f>
        <v>0.05</v>
      </c>
    </row>
    <row r="59" spans="1:11" s="6" customFormat="1" ht="15" x14ac:dyDescent="0.2">
      <c r="A59" s="97" t="s">
        <v>254</v>
      </c>
      <c r="B59" s="4" t="s">
        <v>0</v>
      </c>
      <c r="C59" s="4" t="s">
        <v>1</v>
      </c>
      <c r="D59" s="4" t="s">
        <v>2</v>
      </c>
      <c r="E59" s="4" t="s">
        <v>3</v>
      </c>
      <c r="F59" s="4" t="s">
        <v>4</v>
      </c>
      <c r="G59" s="4" t="s">
        <v>5</v>
      </c>
      <c r="H59" s="4" t="s">
        <v>6</v>
      </c>
      <c r="I59" s="4" t="s">
        <v>7</v>
      </c>
      <c r="J59" s="4" t="s">
        <v>8</v>
      </c>
      <c r="K59" s="4" t="s">
        <v>9</v>
      </c>
    </row>
    <row r="61" spans="1:11" x14ac:dyDescent="0.2">
      <c r="A61" s="63" t="s">
        <v>253</v>
      </c>
      <c r="B61" s="64">
        <v>786800</v>
      </c>
      <c r="C61" s="104">
        <f>B63</f>
        <v>981226</v>
      </c>
      <c r="D61" s="104">
        <f>C63</f>
        <v>1454973</v>
      </c>
      <c r="E61" s="104">
        <f>D63</f>
        <v>1939759</v>
      </c>
      <c r="F61" s="104">
        <f>E63</f>
        <v>2151998</v>
      </c>
      <c r="G61" s="104">
        <f>F63</f>
        <v>2346487</v>
      </c>
      <c r="H61" s="104">
        <f t="shared" ref="H61:K61" si="24">G63</f>
        <v>2712757.1598880002</v>
      </c>
      <c r="I61" s="104">
        <f t="shared" si="24"/>
        <v>3108327.2397851204</v>
      </c>
      <c r="J61" s="104">
        <f t="shared" si="24"/>
        <v>3533487.6776673333</v>
      </c>
      <c r="K61" s="104">
        <f t="shared" si="24"/>
        <v>3988578.6467305459</v>
      </c>
    </row>
    <row r="62" spans="1:11" x14ac:dyDescent="0.2">
      <c r="A62" s="63" t="s">
        <v>249</v>
      </c>
      <c r="B62" s="104">
        <f>B63-B61</f>
        <v>194426</v>
      </c>
      <c r="C62" s="104">
        <f>C63-C61</f>
        <v>473747</v>
      </c>
      <c r="D62" s="104">
        <f>D63-D61</f>
        <v>484786</v>
      </c>
      <c r="E62" s="104">
        <f>E63-E61</f>
        <v>212239</v>
      </c>
      <c r="F62" s="104">
        <f>F63-F61</f>
        <v>194489</v>
      </c>
      <c r="G62" s="104">
        <f>G7*G72</f>
        <v>366270.15988800005</v>
      </c>
      <c r="H62" s="104">
        <f t="shared" ref="H62:K62" si="25">H7*H72</f>
        <v>395570.07989712001</v>
      </c>
      <c r="I62" s="104">
        <f t="shared" si="25"/>
        <v>425160.43788221286</v>
      </c>
      <c r="J62" s="104">
        <f t="shared" si="25"/>
        <v>455090.96906321263</v>
      </c>
      <c r="K62" s="104">
        <f t="shared" si="25"/>
        <v>485410.12390854489</v>
      </c>
    </row>
    <row r="63" spans="1:11" x14ac:dyDescent="0.2">
      <c r="A63" s="112" t="s">
        <v>245</v>
      </c>
      <c r="B63" s="114">
        <v>981226</v>
      </c>
      <c r="C63" s="114">
        <v>1454973</v>
      </c>
      <c r="D63" s="114">
        <v>1939759</v>
      </c>
      <c r="E63" s="114">
        <v>2151998</v>
      </c>
      <c r="F63" s="114">
        <v>2346487</v>
      </c>
      <c r="G63" s="113">
        <f>SUM(G61:G62)</f>
        <v>2712757.1598880002</v>
      </c>
      <c r="H63" s="113">
        <f>SUM(H61:H62)</f>
        <v>3108327.2397851204</v>
      </c>
      <c r="I63" s="113">
        <f t="shared" ref="I63:K63" si="26">SUM(I61:I62)</f>
        <v>3533487.6776673333</v>
      </c>
      <c r="J63" s="113">
        <f t="shared" si="26"/>
        <v>3988578.6467305459</v>
      </c>
      <c r="K63" s="113">
        <f t="shared" si="26"/>
        <v>4473988.7706390908</v>
      </c>
    </row>
    <row r="64" spans="1:11" x14ac:dyDescent="0.2">
      <c r="A64" s="63"/>
    </row>
    <row r="65" spans="1:11" x14ac:dyDescent="0.2">
      <c r="A65" s="63" t="s">
        <v>246</v>
      </c>
      <c r="B65" s="64">
        <v>368519</v>
      </c>
      <c r="C65" s="104">
        <f>B67</f>
        <v>416005</v>
      </c>
      <c r="D65" s="104">
        <f>C67</f>
        <v>494790</v>
      </c>
      <c r="E65" s="104">
        <f>D67</f>
        <v>616306</v>
      </c>
      <c r="F65" s="104">
        <f>E67</f>
        <v>753741</v>
      </c>
      <c r="G65" s="104">
        <f>F67</f>
        <v>855043</v>
      </c>
      <c r="H65" s="104">
        <f t="shared" ref="H65:K65" si="27">G67</f>
        <v>990680.85799439996</v>
      </c>
      <c r="I65" s="104">
        <f t="shared" si="27"/>
        <v>1146097.219983656</v>
      </c>
      <c r="J65" s="104">
        <f t="shared" si="27"/>
        <v>1322771.6038670226</v>
      </c>
      <c r="K65" s="104">
        <f t="shared" si="27"/>
        <v>1522200.5362035499</v>
      </c>
    </row>
    <row r="66" spans="1:11" x14ac:dyDescent="0.2">
      <c r="A66" s="63" t="s">
        <v>250</v>
      </c>
      <c r="B66" s="104">
        <f>B67-B65</f>
        <v>47486</v>
      </c>
      <c r="C66" s="104">
        <f>C67-C65</f>
        <v>78785</v>
      </c>
      <c r="D66" s="104">
        <f>D67-D65</f>
        <v>121516</v>
      </c>
      <c r="E66" s="104">
        <f>E67-E65</f>
        <v>137435</v>
      </c>
      <c r="F66" s="104">
        <f>F67-F65</f>
        <v>101302</v>
      </c>
      <c r="G66" s="104">
        <f>G63*G71</f>
        <v>135637.85799440002</v>
      </c>
      <c r="H66" s="104">
        <f t="shared" ref="H66:K66" si="28">H63*H71</f>
        <v>155416.36198925602</v>
      </c>
      <c r="I66" s="104">
        <f t="shared" si="28"/>
        <v>176674.38388336668</v>
      </c>
      <c r="J66" s="104">
        <f t="shared" si="28"/>
        <v>199428.9323365273</v>
      </c>
      <c r="K66" s="104">
        <f t="shared" si="28"/>
        <v>223699.43853195454</v>
      </c>
    </row>
    <row r="67" spans="1:11" x14ac:dyDescent="0.2">
      <c r="A67" s="112" t="s">
        <v>247</v>
      </c>
      <c r="B67" s="114">
        <v>416005</v>
      </c>
      <c r="C67" s="114">
        <v>494790</v>
      </c>
      <c r="D67" s="114">
        <v>616306</v>
      </c>
      <c r="E67" s="114">
        <v>753741</v>
      </c>
      <c r="F67" s="114">
        <v>855043</v>
      </c>
      <c r="G67" s="113">
        <f>SUM(G65:G66)</f>
        <v>990680.85799439996</v>
      </c>
      <c r="H67" s="113">
        <f t="shared" ref="H67:K67" si="29">SUM(H65:H66)</f>
        <v>1146097.219983656</v>
      </c>
      <c r="I67" s="113">
        <f t="shared" si="29"/>
        <v>1322771.6038670226</v>
      </c>
      <c r="J67" s="113">
        <f t="shared" si="29"/>
        <v>1522200.5362035499</v>
      </c>
      <c r="K67" s="113">
        <f t="shared" si="29"/>
        <v>1745899.9747355045</v>
      </c>
    </row>
    <row r="68" spans="1:11" x14ac:dyDescent="0.2">
      <c r="A68" s="63"/>
    </row>
    <row r="69" spans="1:11" x14ac:dyDescent="0.2">
      <c r="A69" s="63" t="s">
        <v>248</v>
      </c>
      <c r="B69" s="104">
        <f>B63-B67</f>
        <v>565221</v>
      </c>
      <c r="C69" s="104">
        <f t="shared" ref="C69:K69" si="30">C63-C67</f>
        <v>960183</v>
      </c>
      <c r="D69" s="104">
        <f t="shared" si="30"/>
        <v>1323453</v>
      </c>
      <c r="E69" s="104">
        <f t="shared" si="30"/>
        <v>1398257</v>
      </c>
      <c r="F69" s="104">
        <f t="shared" si="30"/>
        <v>1491444</v>
      </c>
      <c r="G69" s="104">
        <f t="shared" si="30"/>
        <v>1722076.3018936003</v>
      </c>
      <c r="H69" s="104">
        <f t="shared" si="30"/>
        <v>1962230.0198014644</v>
      </c>
      <c r="I69" s="104">
        <f t="shared" si="30"/>
        <v>2210716.0738003105</v>
      </c>
      <c r="J69" s="104">
        <f t="shared" si="30"/>
        <v>2466378.1105269957</v>
      </c>
      <c r="K69" s="104">
        <f t="shared" si="30"/>
        <v>2728088.7959035863</v>
      </c>
    </row>
    <row r="71" spans="1:11" x14ac:dyDescent="0.2">
      <c r="A71" s="63" t="s">
        <v>251</v>
      </c>
      <c r="B71" s="105">
        <f>B66/B63</f>
        <v>4.8394559459288687E-2</v>
      </c>
      <c r="C71" s="105">
        <f t="shared" ref="C71:F71" si="31">C66/C63</f>
        <v>5.4148771145581392E-2</v>
      </c>
      <c r="D71" s="105">
        <f t="shared" si="31"/>
        <v>6.2644895577234086E-2</v>
      </c>
      <c r="E71" s="105">
        <f t="shared" si="31"/>
        <v>6.386390693671648E-2</v>
      </c>
      <c r="F71" s="105">
        <f t="shared" si="31"/>
        <v>4.3171771247827069E-2</v>
      </c>
      <c r="G71" s="101">
        <v>0.05</v>
      </c>
      <c r="H71" s="101">
        <v>0.05</v>
      </c>
      <c r="I71" s="101">
        <v>0.05</v>
      </c>
      <c r="J71" s="101">
        <v>0.05</v>
      </c>
      <c r="K71" s="101">
        <v>0.05</v>
      </c>
    </row>
    <row r="72" spans="1:11" x14ac:dyDescent="0.2">
      <c r="A72" s="63" t="s">
        <v>252</v>
      </c>
      <c r="B72" s="105">
        <f>B62/B7</f>
        <v>9.6458468102041985E-3</v>
      </c>
      <c r="C72" s="105">
        <f t="shared" ref="C72:E72" si="32">C62/C7</f>
        <v>1.8952870004771954E-2</v>
      </c>
      <c r="D72" s="105">
        <f t="shared" si="32"/>
        <v>1.632394594031809E-2</v>
      </c>
      <c r="E72" s="105">
        <f t="shared" si="32"/>
        <v>6.7131206004640122E-3</v>
      </c>
      <c r="F72" s="105">
        <f>F62/F7</f>
        <v>5.767200045713205E-3</v>
      </c>
      <c r="G72" s="101">
        <v>0.01</v>
      </c>
      <c r="H72" s="101">
        <v>0.01</v>
      </c>
      <c r="I72" s="101">
        <v>0.01</v>
      </c>
      <c r="J72" s="101">
        <v>0.01</v>
      </c>
      <c r="K72" s="101">
        <v>0.01</v>
      </c>
    </row>
    <row r="74" spans="1:11" s="6" customFormat="1" ht="15" x14ac:dyDescent="0.2">
      <c r="A74" s="97" t="s">
        <v>255</v>
      </c>
      <c r="B74" s="4" t="s">
        <v>0</v>
      </c>
      <c r="C74" s="4" t="s">
        <v>1</v>
      </c>
      <c r="D74" s="4" t="s">
        <v>2</v>
      </c>
      <c r="E74" s="4" t="s">
        <v>3</v>
      </c>
      <c r="F74" s="4" t="s">
        <v>4</v>
      </c>
      <c r="G74" s="4" t="s">
        <v>5</v>
      </c>
      <c r="H74" s="4" t="s">
        <v>6</v>
      </c>
      <c r="I74" s="4" t="s">
        <v>7</v>
      </c>
      <c r="J74" s="4" t="s">
        <v>8</v>
      </c>
      <c r="K74" s="4" t="s">
        <v>9</v>
      </c>
    </row>
    <row r="76" spans="1:11" x14ac:dyDescent="0.2">
      <c r="A76" s="63" t="s">
        <v>256</v>
      </c>
      <c r="B76" s="64">
        <v>14081463</v>
      </c>
      <c r="C76" s="104">
        <f t="shared" ref="C76:H76" si="33">B79</f>
        <v>14703352</v>
      </c>
      <c r="D76" s="104">
        <f t="shared" si="33"/>
        <v>13747607</v>
      </c>
      <c r="E76" s="104">
        <f t="shared" si="33"/>
        <v>13799221</v>
      </c>
      <c r="F76" s="104">
        <f t="shared" si="33"/>
        <v>12732549</v>
      </c>
      <c r="G76" s="104">
        <f t="shared" si="33"/>
        <v>12722701</v>
      </c>
      <c r="H76" s="104">
        <f t="shared" si="33"/>
        <v>14002851.198208001</v>
      </c>
      <c r="I76" s="104">
        <f t="shared" ref="I76:K76" si="34">H79</f>
        <v>15290946.04520704</v>
      </c>
      <c r="J76" s="104">
        <f t="shared" si="34"/>
        <v>16588772.475047912</v>
      </c>
      <c r="K76" s="104">
        <f t="shared" si="34"/>
        <v>17898269.889042068</v>
      </c>
    </row>
    <row r="77" spans="1:11" x14ac:dyDescent="0.2">
      <c r="A77" s="63" t="s">
        <v>257</v>
      </c>
      <c r="B77" s="104">
        <f>B79-B76-B78</f>
        <v>7864688</v>
      </c>
      <c r="C77" s="104">
        <f>C79-C76-C78</f>
        <v>6588886</v>
      </c>
      <c r="D77" s="104">
        <f>D79-D76-D78</f>
        <v>8107425</v>
      </c>
      <c r="E77" s="104">
        <f>E79-E76-E78</f>
        <v>6615306</v>
      </c>
      <c r="F77" s="104">
        <f>F79-F76-F78</f>
        <v>7135598</v>
      </c>
      <c r="G77" s="104">
        <f>G7*G81</f>
        <v>9156753.997200001</v>
      </c>
      <c r="H77" s="104">
        <f>H7*H81</f>
        <v>9889251.997428</v>
      </c>
      <c r="I77" s="104">
        <f t="shared" ref="I77:K77" si="35">I7*I81</f>
        <v>10629010.947055321</v>
      </c>
      <c r="J77" s="104">
        <f t="shared" si="35"/>
        <v>11377274.226580316</v>
      </c>
      <c r="K77" s="104">
        <f t="shared" si="35"/>
        <v>12135253.097713621</v>
      </c>
    </row>
    <row r="78" spans="1:11" x14ac:dyDescent="0.2">
      <c r="A78" s="63" t="s">
        <v>258</v>
      </c>
      <c r="B78" s="64">
        <v>-7242799</v>
      </c>
      <c r="C78" s="64">
        <v>-7544631</v>
      </c>
      <c r="D78" s="64">
        <v>-8055811</v>
      </c>
      <c r="E78" s="64">
        <v>-7681978</v>
      </c>
      <c r="F78" s="115">
        <v>-7145446</v>
      </c>
      <c r="G78" s="104">
        <f>-G82*SUM(G76:G77)</f>
        <v>-7876603.7989920005</v>
      </c>
      <c r="H78" s="104">
        <f>-H82*SUM(H76:H77)</f>
        <v>-8601157.1504289601</v>
      </c>
      <c r="I78" s="104">
        <f t="shared" ref="I78:K78" si="36">-I82*SUM(I76:I77)</f>
        <v>-9331184.517214451</v>
      </c>
      <c r="J78" s="104">
        <f t="shared" si="36"/>
        <v>-10067776.812586162</v>
      </c>
      <c r="K78" s="104">
        <f t="shared" si="36"/>
        <v>-10812068.275232049</v>
      </c>
    </row>
    <row r="79" spans="1:11" x14ac:dyDescent="0.2">
      <c r="A79" s="112" t="s">
        <v>259</v>
      </c>
      <c r="B79" s="114">
        <v>14703352</v>
      </c>
      <c r="C79" s="114">
        <v>13747607</v>
      </c>
      <c r="D79" s="114">
        <v>13799221</v>
      </c>
      <c r="E79" s="114">
        <v>12732549</v>
      </c>
      <c r="F79" s="114">
        <v>12722701</v>
      </c>
      <c r="G79" s="113">
        <f>SUM(G76:G78)</f>
        <v>14002851.198208001</v>
      </c>
      <c r="H79" s="113">
        <f>SUM(H76:H78)</f>
        <v>15290946.04520704</v>
      </c>
      <c r="I79" s="113">
        <f t="shared" ref="I79:K79" si="37">SUM(I76:I78)</f>
        <v>16588772.475047912</v>
      </c>
      <c r="J79" s="113">
        <f t="shared" si="37"/>
        <v>17898269.889042068</v>
      </c>
      <c r="K79" s="113">
        <f t="shared" si="37"/>
        <v>19221454.711523645</v>
      </c>
    </row>
    <row r="81" spans="1:11" x14ac:dyDescent="0.2">
      <c r="A81" s="63" t="s">
        <v>260</v>
      </c>
      <c r="B81" s="105">
        <f>B77/B7</f>
        <v>0.39018225781557631</v>
      </c>
      <c r="C81" s="105">
        <f>C77/C7</f>
        <v>0.26359702506667454</v>
      </c>
      <c r="D81" s="105">
        <f>D77/D7</f>
        <v>0.2729970902938274</v>
      </c>
      <c r="E81" s="105">
        <f>E77/E7</f>
        <v>0.2092421608986717</v>
      </c>
      <c r="F81" s="105">
        <f>F77/F7</f>
        <v>0.2115925379419456</v>
      </c>
      <c r="G81" s="101">
        <v>0.25</v>
      </c>
      <c r="H81" s="101">
        <v>0.25</v>
      </c>
      <c r="I81" s="101">
        <v>0.25</v>
      </c>
      <c r="J81" s="101">
        <v>0.25</v>
      </c>
      <c r="K81" s="101">
        <v>0.25</v>
      </c>
    </row>
    <row r="82" spans="1:11" x14ac:dyDescent="0.2">
      <c r="A82" s="63" t="s">
        <v>261</v>
      </c>
      <c r="B82" s="105">
        <f>-B78/(B76+B77)</f>
        <v>0.33002593484388221</v>
      </c>
      <c r="C82" s="105">
        <f>-C78/(C76+C77)</f>
        <v>0.35433715328562454</v>
      </c>
      <c r="D82" s="105">
        <f>-D78/(D76+D77)</f>
        <v>0.36860211414927235</v>
      </c>
      <c r="E82" s="105">
        <f>-E78/(E76+E77)</f>
        <v>0.37629958313508804</v>
      </c>
      <c r="F82" s="105">
        <f>-F78/(F76+F77)</f>
        <v>0.35964330241768394</v>
      </c>
      <c r="G82" s="101">
        <v>0.36</v>
      </c>
      <c r="H82" s="101">
        <v>0.36</v>
      </c>
      <c r="I82" s="101">
        <v>0.36</v>
      </c>
      <c r="J82" s="101">
        <v>0.36</v>
      </c>
      <c r="K82" s="101">
        <v>0.36</v>
      </c>
    </row>
    <row r="84" spans="1:11" x14ac:dyDescent="0.2">
      <c r="A84" s="63" t="s">
        <v>262</v>
      </c>
      <c r="B84" s="64">
        <v>6020864</v>
      </c>
      <c r="C84" s="104">
        <f t="shared" ref="C84:H84" si="38">B87</f>
        <v>9801215</v>
      </c>
      <c r="D84" s="104">
        <f t="shared" si="38"/>
        <v>11636343</v>
      </c>
      <c r="E84" s="104">
        <f t="shared" si="38"/>
        <v>17120318</v>
      </c>
      <c r="F84" s="104">
        <f t="shared" si="38"/>
        <v>20004164</v>
      </c>
      <c r="G84" s="104">
        <f t="shared" si="38"/>
        <v>18935355</v>
      </c>
      <c r="H84" s="104">
        <f t="shared" si="38"/>
        <v>21069081.747900002</v>
      </c>
      <c r="I84" s="104">
        <f t="shared" ref="I84:K84" si="39">H87</f>
        <v>23218750.308995999</v>
      </c>
      <c r="J84" s="104">
        <f t="shared" si="39"/>
        <v>25385820.942038488</v>
      </c>
      <c r="K84" s="104">
        <f t="shared" si="39"/>
        <v>27572321.376464106</v>
      </c>
    </row>
    <row r="85" spans="1:11" x14ac:dyDescent="0.2">
      <c r="A85" s="63" t="s">
        <v>257</v>
      </c>
      <c r="B85" s="104">
        <f>B87-B84-B86</f>
        <v>5753799</v>
      </c>
      <c r="C85" s="104">
        <f>C87-C84-C86</f>
        <v>5097409</v>
      </c>
      <c r="D85" s="104">
        <f>D87-D84-D86</f>
        <v>9658531</v>
      </c>
      <c r="E85" s="104">
        <f>E87-E84-E86</f>
        <v>9228000</v>
      </c>
      <c r="F85" s="104">
        <f>F87-F84-F86</f>
        <v>5983182</v>
      </c>
      <c r="G85" s="104">
        <f>G7*G89</f>
        <v>9156753.997200001</v>
      </c>
      <c r="H85" s="104">
        <f t="shared" ref="H85:K85" si="40">H7*H89</f>
        <v>9889251.997428</v>
      </c>
      <c r="I85" s="104">
        <f t="shared" si="40"/>
        <v>10629010.947055321</v>
      </c>
      <c r="J85" s="104">
        <f t="shared" si="40"/>
        <v>11377274.226580316</v>
      </c>
      <c r="K85" s="104">
        <f t="shared" si="40"/>
        <v>12135253.097713621</v>
      </c>
    </row>
    <row r="86" spans="1:11" x14ac:dyDescent="0.2">
      <c r="A86" s="63" t="s">
        <v>258</v>
      </c>
      <c r="B86" s="64">
        <v>-1973448</v>
      </c>
      <c r="C86" s="64">
        <v>-3262281</v>
      </c>
      <c r="D86" s="64">
        <v>-4174556</v>
      </c>
      <c r="E86" s="64">
        <v>-6344154</v>
      </c>
      <c r="F86" s="64">
        <v>-7051991</v>
      </c>
      <c r="G86" s="104">
        <f>-G90*SUM(G84:G85)</f>
        <v>-7023027.2493000003</v>
      </c>
      <c r="H86" s="104">
        <f>-H90*SUM(H84:H85)</f>
        <v>-7739583.4363320004</v>
      </c>
      <c r="I86" s="104">
        <f t="shared" ref="I86" si="41">-I90*SUM(I84:I85)</f>
        <v>-8461940.3140128292</v>
      </c>
      <c r="J86" s="104">
        <f t="shared" ref="J86" si="42">-J90*SUM(J84:J85)</f>
        <v>-9190773.7921547014</v>
      </c>
      <c r="K86" s="104">
        <f t="shared" ref="K86" si="43">-K90*SUM(K84:K85)</f>
        <v>-9926893.6185444314</v>
      </c>
    </row>
    <row r="87" spans="1:11" x14ac:dyDescent="0.2">
      <c r="A87" s="112" t="s">
        <v>263</v>
      </c>
      <c r="B87" s="114">
        <v>9801215</v>
      </c>
      <c r="C87" s="114">
        <v>11636343</v>
      </c>
      <c r="D87" s="114">
        <v>17120318</v>
      </c>
      <c r="E87" s="114">
        <v>20004164</v>
      </c>
      <c r="F87" s="114">
        <v>18935355</v>
      </c>
      <c r="G87" s="113">
        <f>SUM(G84:G86)</f>
        <v>21069081.747900002</v>
      </c>
      <c r="H87" s="113">
        <f>SUM(H84:H86)</f>
        <v>23218750.308995999</v>
      </c>
      <c r="I87" s="113">
        <f t="shared" ref="I87" si="44">SUM(I84:I86)</f>
        <v>25385820.942038488</v>
      </c>
      <c r="J87" s="113">
        <f t="shared" ref="J87" si="45">SUM(J84:J86)</f>
        <v>27572321.376464106</v>
      </c>
      <c r="K87" s="113">
        <f t="shared" ref="K87" si="46">SUM(K84:K86)</f>
        <v>29780680.855633296</v>
      </c>
    </row>
    <row r="89" spans="1:11" x14ac:dyDescent="0.2">
      <c r="A89" s="63" t="s">
        <v>260</v>
      </c>
      <c r="B89" s="105">
        <f>B85/B7</f>
        <v>0.28545700539385738</v>
      </c>
      <c r="C89" s="105">
        <f t="shared" ref="C89:F89" si="47">C85/C7</f>
        <v>0.20392853176517128</v>
      </c>
      <c r="D89" s="105">
        <f t="shared" si="47"/>
        <v>0.32522667302043878</v>
      </c>
      <c r="E89" s="105">
        <f t="shared" si="47"/>
        <v>0.29188168480383864</v>
      </c>
      <c r="F89" s="105">
        <f t="shared" si="47"/>
        <v>0.17741984124505975</v>
      </c>
      <c r="G89" s="101">
        <v>0.25</v>
      </c>
      <c r="H89" s="101">
        <v>0.25</v>
      </c>
      <c r="I89" s="101">
        <v>0.25</v>
      </c>
      <c r="J89" s="101">
        <v>0.25</v>
      </c>
      <c r="K89" s="101">
        <v>0.25</v>
      </c>
    </row>
    <row r="90" spans="1:11" x14ac:dyDescent="0.2">
      <c r="A90" s="63" t="s">
        <v>261</v>
      </c>
      <c r="B90" s="105">
        <f>-B86/(B84+B85)</f>
        <v>0.1676012298611009</v>
      </c>
      <c r="C90" s="105">
        <f>-C86/(C84+C85)</f>
        <v>0.21896525477789089</v>
      </c>
      <c r="D90" s="105">
        <f>-D86/(D84+D85)</f>
        <v>0.19603572202399508</v>
      </c>
      <c r="E90" s="105">
        <f>-E86/(E84+E85)</f>
        <v>0.24078022741337796</v>
      </c>
      <c r="F90" s="105">
        <f>-F86/(F84+F85)</f>
        <v>0.27136249311491834</v>
      </c>
      <c r="G90" s="101">
        <v>0.25</v>
      </c>
      <c r="H90" s="101">
        <v>0.25</v>
      </c>
      <c r="I90" s="101">
        <v>0.25</v>
      </c>
      <c r="J90" s="101">
        <v>0.25</v>
      </c>
      <c r="K90" s="101">
        <v>0.25</v>
      </c>
    </row>
    <row r="92" spans="1:11" s="6" customFormat="1" ht="15" x14ac:dyDescent="0.2">
      <c r="A92" s="97" t="s">
        <v>198</v>
      </c>
      <c r="B92" s="4" t="s">
        <v>0</v>
      </c>
      <c r="C92" s="4" t="s">
        <v>1</v>
      </c>
      <c r="D92" s="4" t="s">
        <v>2</v>
      </c>
      <c r="E92" s="4" t="s">
        <v>3</v>
      </c>
      <c r="F92" s="4" t="s">
        <v>4</v>
      </c>
      <c r="G92" s="4" t="s">
        <v>5</v>
      </c>
      <c r="H92" s="4" t="s">
        <v>6</v>
      </c>
      <c r="I92" s="4" t="s">
        <v>7</v>
      </c>
      <c r="J92" s="4" t="s">
        <v>8</v>
      </c>
      <c r="K92" s="4" t="s">
        <v>9</v>
      </c>
    </row>
    <row r="94" spans="1:11" x14ac:dyDescent="0.2">
      <c r="A94" s="63" t="s">
        <v>227</v>
      </c>
      <c r="B94" s="104">
        <f>'Financial Statements'!B4</f>
        <v>20156447</v>
      </c>
      <c r="C94" s="104">
        <f>'Financial Statements'!C4</f>
        <v>24996056</v>
      </c>
      <c r="D94" s="104">
        <f>'Financial Statements'!D4</f>
        <v>29697844</v>
      </c>
      <c r="E94" s="104">
        <f>'Financial Statements'!E4</f>
        <v>31615550</v>
      </c>
      <c r="F94" s="104">
        <f>'Financial Statements'!F4</f>
        <v>33723297</v>
      </c>
      <c r="G94" s="104">
        <f>'Financial Statements'!G4</f>
        <v>36627015.988800004</v>
      </c>
      <c r="H94" s="104">
        <f>'Financial Statements'!H4</f>
        <v>39557007.989712</v>
      </c>
      <c r="I94" s="104">
        <f>'Financial Statements'!I4</f>
        <v>42516043.788221285</v>
      </c>
      <c r="J94" s="104">
        <f>'Financial Statements'!J4</f>
        <v>45509096.906321265</v>
      </c>
      <c r="K94" s="104">
        <f>'Financial Statements'!K4</f>
        <v>48541012.390854485</v>
      </c>
    </row>
    <row r="95" spans="1:11" x14ac:dyDescent="0.2">
      <c r="A95" s="63" t="s">
        <v>328</v>
      </c>
      <c r="B95" s="104">
        <f>-('Financial Statements'!B5-'Financial Statements'!B11)</f>
        <v>12440213</v>
      </c>
      <c r="C95" s="104">
        <f>-('Financial Statements'!C5-'Financial Statements'!C11)</f>
        <v>15276319</v>
      </c>
      <c r="D95" s="104">
        <f>-('Financial Statements'!D5-'Financial Statements'!D11)</f>
        <v>17332683</v>
      </c>
      <c r="E95" s="104">
        <f>-('Financial Statements'!E5-'Financial Statements'!E11)</f>
        <v>19168285</v>
      </c>
      <c r="F95" s="104">
        <f>-('Financial Statements'!F5-'Financial Statements'!F11)</f>
        <v>19715368</v>
      </c>
      <c r="G95" s="104">
        <f>-('Financial Statements'!G5-'Financial Statements'!G11)</f>
        <v>20895591.4644944</v>
      </c>
      <c r="H95" s="104">
        <f>-('Financial Statements'!H5-'Financial Statements'!H11)</f>
        <v>22825278.227104135</v>
      </c>
      <c r="I95" s="104">
        <f>-('Financial Statements'!I5-'Financial Statements'!I11)</f>
        <v>24772366.221226055</v>
      </c>
      <c r="J95" s="104">
        <f>-('Financial Statements'!J5-'Financial Statements'!J11)</f>
        <v>26739435.042088795</v>
      </c>
      <c r="K95" s="104">
        <f>-('Financial Statements'!K5-'Financial Statements'!K11)</f>
        <v>28729223.314845152</v>
      </c>
    </row>
    <row r="97" spans="1:12" x14ac:dyDescent="0.2">
      <c r="A97" s="63" t="s">
        <v>329</v>
      </c>
      <c r="B97" s="183">
        <f>'Financial Statements'!B34</f>
        <v>454399</v>
      </c>
      <c r="C97" s="183">
        <f>'Financial Statements'!C34</f>
        <v>610819</v>
      </c>
      <c r="D97" s="183">
        <f>'Financial Statements'!D34</f>
        <v>804320</v>
      </c>
      <c r="E97" s="183">
        <f>'Financial Statements'!E34</f>
        <v>988898</v>
      </c>
      <c r="F97" s="183">
        <f>'Financial Statements'!F34</f>
        <v>1287054</v>
      </c>
      <c r="G97" s="104">
        <f>G94*G100/365</f>
        <v>1051251.3748313771</v>
      </c>
      <c r="H97" s="104">
        <f t="shared" ref="H97:K97" si="48">H94*H100/365</f>
        <v>1135346.6262748891</v>
      </c>
      <c r="I97" s="104">
        <f t="shared" si="48"/>
        <v>1220275.479127913</v>
      </c>
      <c r="J97" s="104">
        <f t="shared" si="48"/>
        <v>1306180.681077973</v>
      </c>
      <c r="K97" s="104">
        <f t="shared" si="48"/>
        <v>1393201.2923792792</v>
      </c>
    </row>
    <row r="98" spans="1:12" x14ac:dyDescent="0.2">
      <c r="A98" s="63" t="s">
        <v>330</v>
      </c>
      <c r="B98" s="104">
        <f>'Financial Statements'!B45</f>
        <v>674347</v>
      </c>
      <c r="C98" s="104">
        <f>'Financial Statements'!C45</f>
        <v>656183</v>
      </c>
      <c r="D98" s="104">
        <f>'Financial Statements'!D45</f>
        <v>837483</v>
      </c>
      <c r="E98" s="104">
        <f>'Financial Statements'!E45</f>
        <v>671513</v>
      </c>
      <c r="F98" s="104">
        <f>'Financial Statements'!F45</f>
        <v>747412</v>
      </c>
      <c r="G98" s="104">
        <f>G95*G101/365</f>
        <v>912811.60923249228</v>
      </c>
      <c r="H98" s="104">
        <f t="shared" ref="H98:K98" si="49">H95*H101/365</f>
        <v>997108.83920492232</v>
      </c>
      <c r="I98" s="104">
        <f t="shared" si="49"/>
        <v>1082166.2317296427</v>
      </c>
      <c r="J98" s="104">
        <f t="shared" si="49"/>
        <v>1168096.4749052802</v>
      </c>
      <c r="K98" s="104">
        <f t="shared" si="49"/>
        <v>1255019.2039590576</v>
      </c>
    </row>
    <row r="100" spans="1:12" x14ac:dyDescent="0.2">
      <c r="A100" s="63" t="s">
        <v>331</v>
      </c>
      <c r="B100" s="104">
        <f>(B97/B94)*365</f>
        <v>8.2284161985492794</v>
      </c>
      <c r="C100" s="104">
        <f t="shared" ref="C100:F100" si="50">(C97/C94)*365</f>
        <v>8.9193645189465087</v>
      </c>
      <c r="D100" s="104">
        <f t="shared" si="50"/>
        <v>9.8854583517914634</v>
      </c>
      <c r="E100" s="104">
        <f t="shared" si="50"/>
        <v>11.416779717575686</v>
      </c>
      <c r="F100" s="104">
        <f t="shared" si="50"/>
        <v>13.93027229810893</v>
      </c>
      <c r="G100" s="64">
        <f>AVERAGE(B100:F100)</f>
        <v>10.476058216994375</v>
      </c>
      <c r="H100" s="64">
        <f>G100</f>
        <v>10.476058216994375</v>
      </c>
      <c r="I100" s="64">
        <f t="shared" ref="I100:K101" si="51">H100</f>
        <v>10.476058216994375</v>
      </c>
      <c r="J100" s="64">
        <f t="shared" si="51"/>
        <v>10.476058216994375</v>
      </c>
      <c r="K100" s="64">
        <f t="shared" si="51"/>
        <v>10.476058216994375</v>
      </c>
    </row>
    <row r="101" spans="1:12" x14ac:dyDescent="0.2">
      <c r="A101" s="63" t="s">
        <v>332</v>
      </c>
      <c r="B101" s="104">
        <f>B98/B95*365</f>
        <v>19.785565970614812</v>
      </c>
      <c r="C101" s="104">
        <f t="shared" ref="C101:F101" si="52">C98/C95*365</f>
        <v>15.678305421613675</v>
      </c>
      <c r="D101" s="104">
        <f t="shared" si="52"/>
        <v>17.636121020617523</v>
      </c>
      <c r="E101" s="104">
        <f t="shared" si="52"/>
        <v>12.786863561346257</v>
      </c>
      <c r="F101" s="104">
        <f t="shared" si="52"/>
        <v>13.837194416051478</v>
      </c>
      <c r="G101" s="64">
        <f>AVERAGE(B101:F101)</f>
        <v>15.944810078048747</v>
      </c>
      <c r="H101" s="64">
        <f>G101</f>
        <v>15.944810078048747</v>
      </c>
      <c r="I101" s="64">
        <f t="shared" si="51"/>
        <v>15.944810078048747</v>
      </c>
      <c r="J101" s="64">
        <f t="shared" si="51"/>
        <v>15.944810078048747</v>
      </c>
      <c r="K101" s="64">
        <f t="shared" si="51"/>
        <v>15.944810078048747</v>
      </c>
    </row>
    <row r="103" spans="1:12" s="6" customFormat="1" ht="15" x14ac:dyDescent="0.2">
      <c r="A103" s="97" t="s">
        <v>333</v>
      </c>
      <c r="B103" s="178" t="str">
        <f>B2</f>
        <v>2019A</v>
      </c>
      <c r="C103" s="178" t="str">
        <f t="shared" ref="C103:K103" si="53">C2</f>
        <v>2020A</v>
      </c>
      <c r="D103" s="178" t="str">
        <f t="shared" si="53"/>
        <v>2021A</v>
      </c>
      <c r="E103" s="178" t="str">
        <f t="shared" si="53"/>
        <v>2022A</v>
      </c>
      <c r="F103" s="178" t="str">
        <f t="shared" si="53"/>
        <v>2023A</v>
      </c>
      <c r="G103" s="178" t="str">
        <f t="shared" si="53"/>
        <v>2024E</v>
      </c>
      <c r="H103" s="178" t="str">
        <f t="shared" si="53"/>
        <v>2025E</v>
      </c>
      <c r="I103" s="178" t="str">
        <f t="shared" si="53"/>
        <v>2026E</v>
      </c>
      <c r="J103" s="178" t="str">
        <f t="shared" si="53"/>
        <v>2027E</v>
      </c>
      <c r="K103" s="178" t="str">
        <f t="shared" si="53"/>
        <v>2028E</v>
      </c>
    </row>
    <row r="104" spans="1:12" x14ac:dyDescent="0.2">
      <c r="A104" s="179"/>
    </row>
    <row r="105" spans="1:12" x14ac:dyDescent="0.2">
      <c r="A105" s="180">
        <v>5.3749999999999999E-2</v>
      </c>
      <c r="B105" s="64">
        <v>500</v>
      </c>
      <c r="C105" s="64">
        <v>500</v>
      </c>
      <c r="D105" s="64">
        <v>0</v>
      </c>
      <c r="E105" s="64">
        <v>0</v>
      </c>
      <c r="F105" s="64">
        <v>0</v>
      </c>
      <c r="G105" s="64">
        <v>0</v>
      </c>
      <c r="H105" s="64">
        <v>0</v>
      </c>
      <c r="I105" s="64">
        <v>0</v>
      </c>
      <c r="J105" s="64">
        <v>0</v>
      </c>
      <c r="K105" s="64">
        <v>0</v>
      </c>
      <c r="L105" t="s">
        <v>338</v>
      </c>
    </row>
    <row r="106" spans="1:12" x14ac:dyDescent="0.2">
      <c r="A106" s="180">
        <v>5.5E-2</v>
      </c>
      <c r="B106" s="64">
        <v>700</v>
      </c>
      <c r="C106" s="64">
        <v>700</v>
      </c>
      <c r="D106" s="64">
        <v>700</v>
      </c>
      <c r="E106" s="64">
        <v>0</v>
      </c>
      <c r="F106" s="64">
        <v>0</v>
      </c>
      <c r="G106" s="64">
        <v>0</v>
      </c>
      <c r="H106" s="64"/>
      <c r="I106" s="64"/>
      <c r="J106" s="64"/>
      <c r="K106" s="64"/>
      <c r="L106" t="s">
        <v>339</v>
      </c>
    </row>
    <row r="107" spans="1:12" x14ac:dyDescent="0.2">
      <c r="A107" s="180">
        <v>5.7500000000000002E-2</v>
      </c>
      <c r="B107" s="64">
        <v>400</v>
      </c>
      <c r="C107" s="64">
        <v>400</v>
      </c>
      <c r="D107" s="64">
        <v>400</v>
      </c>
      <c r="E107" s="64">
        <v>400</v>
      </c>
      <c r="F107" s="64">
        <v>400</v>
      </c>
      <c r="G107" s="64">
        <v>0</v>
      </c>
      <c r="H107" s="64">
        <v>0</v>
      </c>
      <c r="I107" s="64">
        <v>0</v>
      </c>
      <c r="J107" s="64">
        <v>0</v>
      </c>
      <c r="K107" s="64">
        <v>0</v>
      </c>
      <c r="L107" t="s">
        <v>340</v>
      </c>
    </row>
    <row r="108" spans="1:12" x14ac:dyDescent="0.2">
      <c r="A108" s="180">
        <v>5.8749999999999997E-2</v>
      </c>
      <c r="B108" s="64">
        <v>800</v>
      </c>
      <c r="C108" s="64">
        <v>800</v>
      </c>
      <c r="D108" s="64">
        <v>800</v>
      </c>
      <c r="E108" s="64">
        <v>800</v>
      </c>
      <c r="F108" s="64">
        <v>800</v>
      </c>
      <c r="G108" s="64">
        <v>800</v>
      </c>
      <c r="H108" s="64">
        <v>0</v>
      </c>
      <c r="I108" s="64">
        <v>0</v>
      </c>
      <c r="J108" s="64">
        <v>0</v>
      </c>
      <c r="K108" s="64">
        <v>0</v>
      </c>
      <c r="L108" t="s">
        <v>341</v>
      </c>
    </row>
    <row r="109" spans="1:12" x14ac:dyDescent="0.2">
      <c r="A109" s="180">
        <v>0.03</v>
      </c>
      <c r="B109" s="64">
        <v>0</v>
      </c>
      <c r="C109" s="64">
        <v>574</v>
      </c>
      <c r="D109" s="64">
        <v>535</v>
      </c>
      <c r="E109" s="64">
        <v>503</v>
      </c>
      <c r="F109" s="64">
        <v>519</v>
      </c>
      <c r="G109" s="64">
        <v>519</v>
      </c>
      <c r="H109" s="64">
        <v>0</v>
      </c>
      <c r="I109" s="64">
        <v>0</v>
      </c>
      <c r="J109" s="64">
        <v>0</v>
      </c>
      <c r="K109" s="64">
        <v>0</v>
      </c>
      <c r="L109" t="s">
        <v>342</v>
      </c>
    </row>
    <row r="110" spans="1:12" x14ac:dyDescent="0.2">
      <c r="A110" s="180">
        <v>3.6249999999999998E-2</v>
      </c>
      <c r="B110" s="64">
        <v>0</v>
      </c>
      <c r="C110" s="64">
        <v>500</v>
      </c>
      <c r="D110" s="64">
        <v>500</v>
      </c>
      <c r="E110" s="64">
        <v>500</v>
      </c>
      <c r="F110" s="64">
        <v>500</v>
      </c>
      <c r="G110" s="64">
        <v>500</v>
      </c>
      <c r="H110" s="64">
        <v>0</v>
      </c>
      <c r="I110" s="64">
        <v>0</v>
      </c>
      <c r="J110" s="64">
        <v>0</v>
      </c>
      <c r="K110" s="64">
        <v>0</v>
      </c>
      <c r="L110" t="s">
        <v>342</v>
      </c>
    </row>
    <row r="111" spans="1:12" x14ac:dyDescent="0.2">
      <c r="A111" s="180">
        <v>4.3749999999999997E-2</v>
      </c>
      <c r="B111" s="64">
        <v>1000</v>
      </c>
      <c r="C111" s="64">
        <v>1000</v>
      </c>
      <c r="D111" s="64">
        <v>1000</v>
      </c>
      <c r="E111" s="64">
        <v>1000</v>
      </c>
      <c r="F111" s="64">
        <v>1000</v>
      </c>
      <c r="G111" s="64">
        <v>1000</v>
      </c>
      <c r="H111" s="64">
        <v>1000</v>
      </c>
      <c r="I111" s="64">
        <v>0</v>
      </c>
      <c r="J111" s="64">
        <v>0</v>
      </c>
      <c r="K111" s="64">
        <v>0</v>
      </c>
      <c r="L111" t="s">
        <v>343</v>
      </c>
    </row>
    <row r="112" spans="1:12" x14ac:dyDescent="0.2">
      <c r="A112" s="180">
        <v>3.6249999999999998E-2</v>
      </c>
      <c r="B112" s="64">
        <v>1459</v>
      </c>
      <c r="C112" s="64">
        <v>1588</v>
      </c>
      <c r="D112" s="64">
        <v>1480</v>
      </c>
      <c r="E112" s="64">
        <v>1391</v>
      </c>
      <c r="F112" s="64">
        <v>1434</v>
      </c>
      <c r="G112" s="64">
        <v>1434</v>
      </c>
      <c r="H112" s="64">
        <v>1434</v>
      </c>
      <c r="I112" s="64">
        <v>1434</v>
      </c>
      <c r="J112" s="64">
        <v>0</v>
      </c>
      <c r="K112" s="64">
        <v>0</v>
      </c>
      <c r="L112" t="s">
        <v>344</v>
      </c>
    </row>
    <row r="113" spans="1:12" x14ac:dyDescent="0.2">
      <c r="A113" s="180">
        <v>4.8750000000000002E-2</v>
      </c>
      <c r="B113" s="64">
        <v>1600</v>
      </c>
      <c r="C113" s="64">
        <v>1600</v>
      </c>
      <c r="D113" s="64">
        <v>1600</v>
      </c>
      <c r="E113" s="64">
        <v>1600</v>
      </c>
      <c r="F113" s="64">
        <v>1600</v>
      </c>
      <c r="G113" s="64">
        <v>1600</v>
      </c>
      <c r="H113" s="64">
        <v>1600</v>
      </c>
      <c r="I113" s="64">
        <v>1600</v>
      </c>
      <c r="J113" s="64">
        <v>1600</v>
      </c>
      <c r="K113" s="64">
        <v>0</v>
      </c>
      <c r="L113" t="s">
        <v>345</v>
      </c>
    </row>
    <row r="114" spans="1:12" x14ac:dyDescent="0.2">
      <c r="A114" s="180">
        <v>5.8749999999999997E-2</v>
      </c>
      <c r="B114" s="64">
        <v>1900</v>
      </c>
      <c r="C114" s="64">
        <v>1900</v>
      </c>
      <c r="D114" s="64">
        <v>1900</v>
      </c>
      <c r="E114" s="64">
        <v>1900</v>
      </c>
      <c r="F114" s="64">
        <v>1900</v>
      </c>
      <c r="G114" s="64">
        <v>1900</v>
      </c>
      <c r="H114" s="64">
        <v>1900</v>
      </c>
      <c r="I114" s="64">
        <v>1900</v>
      </c>
      <c r="J114" s="64">
        <v>1900</v>
      </c>
      <c r="K114" s="64">
        <v>0</v>
      </c>
      <c r="L114" t="s">
        <v>346</v>
      </c>
    </row>
    <row r="115" spans="1:12" x14ac:dyDescent="0.2">
      <c r="A115" s="180">
        <v>4.6249999999999999E-2</v>
      </c>
      <c r="B115" s="64">
        <v>1234</v>
      </c>
      <c r="C115" s="64">
        <v>1344</v>
      </c>
      <c r="D115" s="64">
        <v>1252</v>
      </c>
      <c r="E115" s="64">
        <v>1177</v>
      </c>
      <c r="F115" s="64">
        <v>1215</v>
      </c>
      <c r="G115" s="64">
        <v>1215</v>
      </c>
      <c r="H115" s="64">
        <v>1215</v>
      </c>
      <c r="I115" s="64">
        <v>1215</v>
      </c>
      <c r="J115" s="64">
        <v>1215</v>
      </c>
      <c r="K115" s="64">
        <f>J115</f>
        <v>1215</v>
      </c>
      <c r="L115" t="s">
        <v>347</v>
      </c>
    </row>
    <row r="116" spans="1:12" x14ac:dyDescent="0.2">
      <c r="A116" s="180">
        <v>6.3750000000000001E-2</v>
      </c>
      <c r="B116" s="64">
        <v>800</v>
      </c>
      <c r="C116" s="64">
        <v>800</v>
      </c>
      <c r="D116" s="64">
        <v>800</v>
      </c>
      <c r="E116" s="64">
        <v>800</v>
      </c>
      <c r="F116" s="64">
        <v>800</v>
      </c>
      <c r="G116" s="64">
        <v>800</v>
      </c>
      <c r="H116" s="64">
        <v>800</v>
      </c>
      <c r="I116" s="64">
        <v>800</v>
      </c>
      <c r="J116" s="64">
        <v>800</v>
      </c>
      <c r="K116" s="64">
        <v>800</v>
      </c>
      <c r="L116" t="s">
        <v>348</v>
      </c>
    </row>
    <row r="117" spans="1:12" x14ac:dyDescent="0.2">
      <c r="A117" s="180">
        <v>3.875E-2</v>
      </c>
      <c r="B117" s="64">
        <v>1346</v>
      </c>
      <c r="C117" s="64">
        <v>1466</v>
      </c>
      <c r="D117" s="64">
        <v>1366</v>
      </c>
      <c r="E117" s="64">
        <v>1284</v>
      </c>
      <c r="F117" s="64">
        <v>1325</v>
      </c>
      <c r="G117" s="64">
        <v>1325</v>
      </c>
      <c r="H117" s="64">
        <v>1325</v>
      </c>
      <c r="I117" s="64">
        <v>1325</v>
      </c>
      <c r="J117" s="64">
        <v>1325</v>
      </c>
      <c r="K117" s="64">
        <v>1325</v>
      </c>
      <c r="L117" t="s">
        <v>349</v>
      </c>
    </row>
    <row r="118" spans="1:12" x14ac:dyDescent="0.2">
      <c r="A118" s="180">
        <v>5.3749999999999999E-2</v>
      </c>
      <c r="B118" s="64">
        <v>900</v>
      </c>
      <c r="C118" s="64">
        <v>900</v>
      </c>
      <c r="D118" s="64">
        <v>900</v>
      </c>
      <c r="E118" s="64">
        <v>900</v>
      </c>
      <c r="F118" s="64">
        <v>900</v>
      </c>
      <c r="G118" s="64">
        <v>900</v>
      </c>
      <c r="H118" s="64">
        <v>900</v>
      </c>
      <c r="I118" s="64">
        <v>900</v>
      </c>
      <c r="J118" s="64">
        <v>900</v>
      </c>
      <c r="K118" s="64">
        <v>900</v>
      </c>
      <c r="L118" t="s">
        <v>349</v>
      </c>
    </row>
    <row r="119" spans="1:12" x14ac:dyDescent="0.2">
      <c r="A119" s="180">
        <v>3.6249999999999998E-2</v>
      </c>
      <c r="B119" s="64">
        <v>1234</v>
      </c>
      <c r="C119" s="64">
        <v>1344</v>
      </c>
      <c r="D119" s="64">
        <v>1252</v>
      </c>
      <c r="E119" s="64">
        <v>1177</v>
      </c>
      <c r="F119" s="64">
        <v>1215</v>
      </c>
      <c r="G119" s="64">
        <v>1215</v>
      </c>
      <c r="H119" s="64">
        <v>1215</v>
      </c>
      <c r="I119" s="64">
        <v>1215</v>
      </c>
      <c r="J119" s="64">
        <v>1215</v>
      </c>
      <c r="K119" s="64">
        <v>1215</v>
      </c>
      <c r="L119" t="s">
        <v>350</v>
      </c>
    </row>
    <row r="120" spans="1:12" x14ac:dyDescent="0.2">
      <c r="A120" s="180">
        <v>4.8750000000000002E-2</v>
      </c>
      <c r="B120" s="64">
        <v>1000</v>
      </c>
      <c r="C120" s="64">
        <v>1000</v>
      </c>
      <c r="D120" s="64">
        <v>1000</v>
      </c>
      <c r="E120" s="64">
        <v>1000</v>
      </c>
      <c r="F120" s="64">
        <v>1000</v>
      </c>
      <c r="G120" s="64">
        <v>1000</v>
      </c>
      <c r="H120" s="64">
        <v>1000</v>
      </c>
      <c r="I120" s="64">
        <v>1000</v>
      </c>
      <c r="J120" s="64">
        <v>1000</v>
      </c>
      <c r="K120" s="64">
        <v>1000</v>
      </c>
      <c r="L120" t="s">
        <v>350</v>
      </c>
    </row>
    <row r="121" spans="1:12" s="95" customFormat="1" x14ac:dyDescent="0.2">
      <c r="A121" s="95" t="s">
        <v>149</v>
      </c>
      <c r="B121" s="95">
        <f>SUM(B105:B120)</f>
        <v>14873</v>
      </c>
      <c r="C121" s="95">
        <f>SUM(C105:C120)</f>
        <v>16416</v>
      </c>
      <c r="D121" s="95">
        <f>SUM(D105:D120)</f>
        <v>15485</v>
      </c>
      <c r="E121" s="174">
        <f>SUM(E107:E120)</f>
        <v>14432</v>
      </c>
      <c r="F121" s="174">
        <f>SUM(F107:F120)</f>
        <v>14608</v>
      </c>
      <c r="G121" s="95">
        <f>SUM(G107:G120)</f>
        <v>14208</v>
      </c>
      <c r="H121" s="95">
        <f t="shared" ref="H121:K121" si="54">SUM(H107:H120)</f>
        <v>12389</v>
      </c>
      <c r="I121" s="95">
        <f t="shared" si="54"/>
        <v>11389</v>
      </c>
      <c r="J121" s="95">
        <f t="shared" si="54"/>
        <v>9955</v>
      </c>
      <c r="K121" s="95">
        <f t="shared" si="54"/>
        <v>6455</v>
      </c>
    </row>
    <row r="122" spans="1:12" x14ac:dyDescent="0.2">
      <c r="A122" s="104" t="s">
        <v>334</v>
      </c>
      <c r="B122" s="64">
        <v>114</v>
      </c>
      <c r="C122" s="64">
        <v>107</v>
      </c>
      <c r="D122" s="64">
        <v>92</v>
      </c>
      <c r="E122" s="64">
        <v>79</v>
      </c>
      <c r="F122" s="64">
        <v>65</v>
      </c>
      <c r="G122" s="64">
        <v>0</v>
      </c>
      <c r="H122" s="64">
        <v>0</v>
      </c>
      <c r="I122" s="64">
        <v>0</v>
      </c>
      <c r="J122" s="64">
        <v>0</v>
      </c>
      <c r="K122" s="64">
        <v>0</v>
      </c>
    </row>
    <row r="123" spans="1:12" s="95" customFormat="1" x14ac:dyDescent="0.2">
      <c r="A123" s="95" t="s">
        <v>335</v>
      </c>
      <c r="B123" s="95">
        <f>B121-B122</f>
        <v>14759</v>
      </c>
      <c r="C123" s="95">
        <f>C121-C122</f>
        <v>16309</v>
      </c>
      <c r="D123" s="95">
        <f>D121-D122</f>
        <v>15393</v>
      </c>
      <c r="E123" s="95">
        <f>E121-E122</f>
        <v>14353</v>
      </c>
      <c r="F123" s="95">
        <f>F121-F122</f>
        <v>14543</v>
      </c>
      <c r="G123" s="95">
        <f>G121</f>
        <v>14208</v>
      </c>
      <c r="H123" s="95">
        <f t="shared" ref="H123:K123" si="55">H121</f>
        <v>12389</v>
      </c>
      <c r="I123" s="95">
        <f t="shared" si="55"/>
        <v>11389</v>
      </c>
      <c r="J123" s="95">
        <f t="shared" si="55"/>
        <v>9955</v>
      </c>
      <c r="K123" s="95">
        <f t="shared" si="55"/>
        <v>6455</v>
      </c>
    </row>
    <row r="124" spans="1:12" x14ac:dyDescent="0.2">
      <c r="A124" s="177" t="s">
        <v>336</v>
      </c>
      <c r="B124" s="177">
        <v>0</v>
      </c>
      <c r="C124" s="177">
        <f>C105</f>
        <v>500</v>
      </c>
      <c r="D124" s="177">
        <f>D106</f>
        <v>700</v>
      </c>
      <c r="E124" s="177">
        <f>0</f>
        <v>0</v>
      </c>
      <c r="F124" s="177">
        <f>F107</f>
        <v>400</v>
      </c>
      <c r="G124" s="177">
        <f>SUM(G108:G110)</f>
        <v>1819</v>
      </c>
      <c r="H124" s="177">
        <f>H111</f>
        <v>1000</v>
      </c>
      <c r="I124" s="177">
        <f>I112</f>
        <v>1434</v>
      </c>
      <c r="J124" s="177">
        <f>SUM(J113:J114)</f>
        <v>3500</v>
      </c>
      <c r="K124" s="177">
        <f>SUM(K113:K114)</f>
        <v>0</v>
      </c>
    </row>
    <row r="125" spans="1:12" x14ac:dyDescent="0.2">
      <c r="A125" s="177" t="s">
        <v>337</v>
      </c>
      <c r="B125" s="177">
        <f>SUM(B105:B120)-B122</f>
        <v>14759</v>
      </c>
      <c r="C125" s="177">
        <f>SUM(C106:C120)-C122</f>
        <v>15809</v>
      </c>
      <c r="D125" s="177">
        <f>SUM(D107:D120)-D122</f>
        <v>14693</v>
      </c>
      <c r="E125" s="177">
        <f>SUM(E107:E120)-E122</f>
        <v>14353</v>
      </c>
      <c r="F125" s="177">
        <f>SUM(F108:F120)-F122</f>
        <v>14143</v>
      </c>
      <c r="G125" s="177">
        <f>SUM(G111:G120)</f>
        <v>12389</v>
      </c>
      <c r="H125" s="177">
        <f>SUM(H112:H120)</f>
        <v>11389</v>
      </c>
      <c r="I125" s="177">
        <f>SUM(I113:I120)</f>
        <v>9955</v>
      </c>
      <c r="J125" s="177">
        <f>SUM(J115:J120)</f>
        <v>6455</v>
      </c>
      <c r="K125" s="177">
        <f>SUM(K115:K120)</f>
        <v>6455</v>
      </c>
    </row>
    <row r="126" spans="1:12" x14ac:dyDescent="0.2">
      <c r="A126" s="63" t="s">
        <v>356</v>
      </c>
      <c r="G126" s="104">
        <f t="shared" ref="G126:K126" si="56">G123-F123</f>
        <v>-335</v>
      </c>
      <c r="H126" s="104">
        <f t="shared" si="56"/>
        <v>-1819</v>
      </c>
      <c r="I126" s="104">
        <f t="shared" si="56"/>
        <v>-1000</v>
      </c>
      <c r="J126" s="104">
        <f t="shared" si="56"/>
        <v>-1434</v>
      </c>
      <c r="K126" s="104">
        <f t="shared" si="56"/>
        <v>-3500</v>
      </c>
    </row>
    <row r="127" spans="1:12" x14ac:dyDescent="0.2">
      <c r="A127" s="63"/>
    </row>
    <row r="128" spans="1:12" s="6" customFormat="1" ht="15" x14ac:dyDescent="0.2">
      <c r="A128" s="97" t="s">
        <v>352</v>
      </c>
      <c r="B128" s="4" t="s">
        <v>0</v>
      </c>
      <c r="C128" s="4" t="s">
        <v>1</v>
      </c>
      <c r="D128" s="4" t="s">
        <v>2</v>
      </c>
      <c r="E128" s="4" t="s">
        <v>3</v>
      </c>
      <c r="F128" s="4" t="s">
        <v>4</v>
      </c>
      <c r="G128" s="4" t="s">
        <v>5</v>
      </c>
      <c r="H128" s="4" t="s">
        <v>6</v>
      </c>
      <c r="I128" s="4" t="s">
        <v>7</v>
      </c>
      <c r="J128" s="4" t="s">
        <v>8</v>
      </c>
      <c r="K128" s="4" t="s">
        <v>9</v>
      </c>
    </row>
    <row r="130" spans="1:11" x14ac:dyDescent="0.2">
      <c r="A130" s="180">
        <v>5.3749999999999999E-2</v>
      </c>
      <c r="G130" s="104">
        <f t="shared" ref="G130:K130" si="57">$A130*G105</f>
        <v>0</v>
      </c>
      <c r="H130" s="104">
        <f t="shared" si="57"/>
        <v>0</v>
      </c>
      <c r="I130" s="104">
        <f t="shared" si="57"/>
        <v>0</v>
      </c>
      <c r="J130" s="104">
        <f t="shared" si="57"/>
        <v>0</v>
      </c>
      <c r="K130" s="104">
        <f t="shared" si="57"/>
        <v>0</v>
      </c>
    </row>
    <row r="131" spans="1:11" x14ac:dyDescent="0.2">
      <c r="A131" s="180">
        <v>5.5E-2</v>
      </c>
      <c r="G131" s="104">
        <f t="shared" ref="G131:K131" si="58">$A131*G106</f>
        <v>0</v>
      </c>
      <c r="H131" s="104">
        <f t="shared" si="58"/>
        <v>0</v>
      </c>
      <c r="I131" s="104">
        <f t="shared" si="58"/>
        <v>0</v>
      </c>
      <c r="J131" s="104">
        <f t="shared" si="58"/>
        <v>0</v>
      </c>
      <c r="K131" s="104">
        <f t="shared" si="58"/>
        <v>0</v>
      </c>
    </row>
    <row r="132" spans="1:11" x14ac:dyDescent="0.2">
      <c r="A132" s="180">
        <v>5.7500000000000002E-2</v>
      </c>
      <c r="G132" s="104">
        <f t="shared" ref="G132:K132" si="59">$A132*G107</f>
        <v>0</v>
      </c>
      <c r="H132" s="104">
        <f t="shared" si="59"/>
        <v>0</v>
      </c>
      <c r="I132" s="104">
        <f t="shared" si="59"/>
        <v>0</v>
      </c>
      <c r="J132" s="104">
        <f t="shared" si="59"/>
        <v>0</v>
      </c>
      <c r="K132" s="104">
        <f t="shared" si="59"/>
        <v>0</v>
      </c>
    </row>
    <row r="133" spans="1:11" x14ac:dyDescent="0.2">
      <c r="A133" s="180">
        <v>5.8749999999999997E-2</v>
      </c>
      <c r="G133" s="104">
        <f t="shared" ref="G133:G145" si="60">$A133*G108</f>
        <v>47</v>
      </c>
      <c r="H133" s="104">
        <f t="shared" ref="H133:K133" si="61">$A133*H108</f>
        <v>0</v>
      </c>
      <c r="I133" s="104">
        <f t="shared" si="61"/>
        <v>0</v>
      </c>
      <c r="J133" s="104">
        <f t="shared" si="61"/>
        <v>0</v>
      </c>
      <c r="K133" s="104">
        <f t="shared" si="61"/>
        <v>0</v>
      </c>
    </row>
    <row r="134" spans="1:11" x14ac:dyDescent="0.2">
      <c r="A134" s="180">
        <v>0.03</v>
      </c>
      <c r="G134" s="104">
        <f t="shared" si="60"/>
        <v>15.57</v>
      </c>
      <c r="H134" s="104">
        <f t="shared" ref="H134:K134" si="62">$A134*H109</f>
        <v>0</v>
      </c>
      <c r="I134" s="104">
        <f t="shared" si="62"/>
        <v>0</v>
      </c>
      <c r="J134" s="104">
        <f t="shared" si="62"/>
        <v>0</v>
      </c>
      <c r="K134" s="104">
        <f t="shared" si="62"/>
        <v>0</v>
      </c>
    </row>
    <row r="135" spans="1:11" x14ac:dyDescent="0.2">
      <c r="A135" s="180">
        <v>3.6249999999999998E-2</v>
      </c>
      <c r="G135" s="104">
        <f t="shared" si="60"/>
        <v>18.125</v>
      </c>
      <c r="H135" s="104">
        <f t="shared" ref="H135:K135" si="63">$A135*H110</f>
        <v>0</v>
      </c>
      <c r="I135" s="104">
        <f t="shared" si="63"/>
        <v>0</v>
      </c>
      <c r="J135" s="104">
        <f t="shared" si="63"/>
        <v>0</v>
      </c>
      <c r="K135" s="104">
        <f t="shared" si="63"/>
        <v>0</v>
      </c>
    </row>
    <row r="136" spans="1:11" x14ac:dyDescent="0.2">
      <c r="A136" s="180">
        <v>4.3749999999999997E-2</v>
      </c>
      <c r="G136" s="104">
        <f t="shared" si="60"/>
        <v>43.75</v>
      </c>
      <c r="H136" s="104">
        <f t="shared" ref="H136:K136" si="64">$A136*H111</f>
        <v>43.75</v>
      </c>
      <c r="I136" s="104">
        <f t="shared" si="64"/>
        <v>0</v>
      </c>
      <c r="J136" s="104">
        <f t="shared" si="64"/>
        <v>0</v>
      </c>
      <c r="K136" s="104">
        <f t="shared" si="64"/>
        <v>0</v>
      </c>
    </row>
    <row r="137" spans="1:11" x14ac:dyDescent="0.2">
      <c r="A137" s="180">
        <v>3.6249999999999998E-2</v>
      </c>
      <c r="G137" s="104">
        <f t="shared" si="60"/>
        <v>51.982499999999995</v>
      </c>
      <c r="H137" s="104">
        <f t="shared" ref="H137:K137" si="65">$A137*H112</f>
        <v>51.982499999999995</v>
      </c>
      <c r="I137" s="104">
        <f t="shared" si="65"/>
        <v>51.982499999999995</v>
      </c>
      <c r="J137" s="104">
        <f t="shared" si="65"/>
        <v>0</v>
      </c>
      <c r="K137" s="104">
        <f t="shared" si="65"/>
        <v>0</v>
      </c>
    </row>
    <row r="138" spans="1:11" x14ac:dyDescent="0.2">
      <c r="A138" s="180">
        <v>4.8750000000000002E-2</v>
      </c>
      <c r="G138" s="104">
        <f t="shared" si="60"/>
        <v>78</v>
      </c>
      <c r="H138" s="104">
        <f t="shared" ref="H138:K138" si="66">$A138*H113</f>
        <v>78</v>
      </c>
      <c r="I138" s="104">
        <f t="shared" si="66"/>
        <v>78</v>
      </c>
      <c r="J138" s="104">
        <f t="shared" si="66"/>
        <v>78</v>
      </c>
      <c r="K138" s="104">
        <f t="shared" si="66"/>
        <v>0</v>
      </c>
    </row>
    <row r="139" spans="1:11" x14ac:dyDescent="0.2">
      <c r="A139" s="180">
        <v>5.8749999999999997E-2</v>
      </c>
      <c r="G139" s="104">
        <f t="shared" si="60"/>
        <v>111.625</v>
      </c>
      <c r="H139" s="104">
        <f t="shared" ref="H139:K139" si="67">$A139*H114</f>
        <v>111.625</v>
      </c>
      <c r="I139" s="104">
        <f t="shared" si="67"/>
        <v>111.625</v>
      </c>
      <c r="J139" s="104">
        <f t="shared" si="67"/>
        <v>111.625</v>
      </c>
      <c r="K139" s="104">
        <f t="shared" si="67"/>
        <v>0</v>
      </c>
    </row>
    <row r="140" spans="1:11" x14ac:dyDescent="0.2">
      <c r="A140" s="180">
        <v>4.6249999999999999E-2</v>
      </c>
      <c r="G140" s="104">
        <f t="shared" si="60"/>
        <v>56.193750000000001</v>
      </c>
      <c r="H140" s="104">
        <f t="shared" ref="H140:K140" si="68">$A140*H115</f>
        <v>56.193750000000001</v>
      </c>
      <c r="I140" s="104">
        <f t="shared" si="68"/>
        <v>56.193750000000001</v>
      </c>
      <c r="J140" s="104">
        <f t="shared" si="68"/>
        <v>56.193750000000001</v>
      </c>
      <c r="K140" s="104">
        <f t="shared" si="68"/>
        <v>56.193750000000001</v>
      </c>
    </row>
    <row r="141" spans="1:11" x14ac:dyDescent="0.2">
      <c r="A141" s="180">
        <v>6.3750000000000001E-2</v>
      </c>
      <c r="G141" s="104">
        <f t="shared" si="60"/>
        <v>51</v>
      </c>
      <c r="H141" s="104">
        <f t="shared" ref="H141:K141" si="69">$A141*H116</f>
        <v>51</v>
      </c>
      <c r="I141" s="104">
        <f t="shared" si="69"/>
        <v>51</v>
      </c>
      <c r="J141" s="104">
        <f t="shared" si="69"/>
        <v>51</v>
      </c>
      <c r="K141" s="104">
        <f t="shared" si="69"/>
        <v>51</v>
      </c>
    </row>
    <row r="142" spans="1:11" x14ac:dyDescent="0.2">
      <c r="A142" s="180">
        <v>3.875E-2</v>
      </c>
      <c r="G142" s="104">
        <f t="shared" si="60"/>
        <v>51.34375</v>
      </c>
      <c r="H142" s="104">
        <f t="shared" ref="H142:K142" si="70">$A142*H117</f>
        <v>51.34375</v>
      </c>
      <c r="I142" s="104">
        <f t="shared" si="70"/>
        <v>51.34375</v>
      </c>
      <c r="J142" s="104">
        <f t="shared" si="70"/>
        <v>51.34375</v>
      </c>
      <c r="K142" s="104">
        <f t="shared" si="70"/>
        <v>51.34375</v>
      </c>
    </row>
    <row r="143" spans="1:11" x14ac:dyDescent="0.2">
      <c r="A143" s="180">
        <v>5.3749999999999999E-2</v>
      </c>
      <c r="G143" s="104">
        <f t="shared" si="60"/>
        <v>48.375</v>
      </c>
      <c r="H143" s="104">
        <f t="shared" ref="H143:K143" si="71">$A143*H118</f>
        <v>48.375</v>
      </c>
      <c r="I143" s="104">
        <f t="shared" si="71"/>
        <v>48.375</v>
      </c>
      <c r="J143" s="104">
        <f t="shared" si="71"/>
        <v>48.375</v>
      </c>
      <c r="K143" s="104">
        <f t="shared" si="71"/>
        <v>48.375</v>
      </c>
    </row>
    <row r="144" spans="1:11" x14ac:dyDescent="0.2">
      <c r="A144" s="180">
        <v>3.6249999999999998E-2</v>
      </c>
      <c r="G144" s="104">
        <f t="shared" si="60"/>
        <v>44.043749999999996</v>
      </c>
      <c r="H144" s="104">
        <f t="shared" ref="H144:K144" si="72">$A144*H119</f>
        <v>44.043749999999996</v>
      </c>
      <c r="I144" s="104">
        <f t="shared" si="72"/>
        <v>44.043749999999996</v>
      </c>
      <c r="J144" s="104">
        <f t="shared" si="72"/>
        <v>44.043749999999996</v>
      </c>
      <c r="K144" s="104">
        <f t="shared" si="72"/>
        <v>44.043749999999996</v>
      </c>
    </row>
    <row r="145" spans="1:11" x14ac:dyDescent="0.2">
      <c r="A145" s="180">
        <v>4.8750000000000002E-2</v>
      </c>
      <c r="G145" s="104">
        <f t="shared" si="60"/>
        <v>48.75</v>
      </c>
      <c r="H145" s="104">
        <f t="shared" ref="H145:K145" si="73">$A145*H120</f>
        <v>48.75</v>
      </c>
      <c r="I145" s="104">
        <f t="shared" si="73"/>
        <v>48.75</v>
      </c>
      <c r="J145" s="104">
        <f t="shared" si="73"/>
        <v>48.75</v>
      </c>
      <c r="K145" s="104">
        <f t="shared" si="73"/>
        <v>48.75</v>
      </c>
    </row>
    <row r="147" spans="1:11" x14ac:dyDescent="0.2">
      <c r="A147" s="220" t="s">
        <v>351</v>
      </c>
      <c r="B147" s="220"/>
      <c r="C147" s="220"/>
      <c r="D147" s="220"/>
      <c r="E147" s="220"/>
      <c r="F147" s="220"/>
      <c r="G147" s="220">
        <f>SUM(G130:G146)</f>
        <v>665.75875000000008</v>
      </c>
      <c r="H147" s="220">
        <f t="shared" ref="H147:K147" si="74">SUM(H130:H146)</f>
        <v>585.06375000000003</v>
      </c>
      <c r="I147" s="220">
        <f t="shared" si="74"/>
        <v>541.31375000000003</v>
      </c>
      <c r="J147" s="220">
        <f t="shared" si="74"/>
        <v>489.33125000000001</v>
      </c>
      <c r="K147" s="220">
        <f t="shared" si="74"/>
        <v>299.70624999999995</v>
      </c>
    </row>
    <row r="149" spans="1:11" x14ac:dyDescent="0.2">
      <c r="A149" s="63" t="s">
        <v>353</v>
      </c>
      <c r="B149" s="104">
        <f>'Financial Statements'!B15</f>
        <v>84000</v>
      </c>
      <c r="C149" s="104">
        <f>'Financial Statements'!C15</f>
        <v>-618441</v>
      </c>
      <c r="D149" s="104">
        <f>'Financial Statements'!D15</f>
        <v>411214</v>
      </c>
      <c r="E149" s="104">
        <f>'Financial Statements'!E15</f>
        <v>337310</v>
      </c>
      <c r="F149" s="104">
        <f>'Financial Statements'!F15</f>
        <v>-48772</v>
      </c>
      <c r="G149" s="104">
        <f>G150*G152</f>
        <v>18279.288586214851</v>
      </c>
      <c r="H149" s="104">
        <f t="shared" ref="H149:K149" si="75">H150*H152</f>
        <v>19741.547192167043</v>
      </c>
      <c r="I149" s="104">
        <f t="shared" si="75"/>
        <v>21218.300562259534</v>
      </c>
      <c r="J149" s="104">
        <f t="shared" si="75"/>
        <v>22712.030810892116</v>
      </c>
      <c r="K149" s="104">
        <f t="shared" si="75"/>
        <v>24225.155934919232</v>
      </c>
    </row>
    <row r="150" spans="1:11" x14ac:dyDescent="0.2">
      <c r="A150" s="63" t="s">
        <v>282</v>
      </c>
      <c r="B150" s="104">
        <f>'Financial Statements'!B4</f>
        <v>20156447</v>
      </c>
      <c r="C150" s="104">
        <f>'Financial Statements'!C4</f>
        <v>24996056</v>
      </c>
      <c r="D150" s="104">
        <f>'Financial Statements'!D4</f>
        <v>29697844</v>
      </c>
      <c r="E150" s="104">
        <f>'Financial Statements'!E4</f>
        <v>31615550</v>
      </c>
      <c r="F150" s="104">
        <f>'Financial Statements'!F4</f>
        <v>33723297</v>
      </c>
      <c r="G150" s="104">
        <f>'Financial Statements'!G4</f>
        <v>36627015.988800004</v>
      </c>
      <c r="H150" s="104">
        <f>'Financial Statements'!H4</f>
        <v>39557007.989712</v>
      </c>
      <c r="I150" s="104">
        <f>'Financial Statements'!I4</f>
        <v>42516043.788221285</v>
      </c>
      <c r="J150" s="104">
        <f>'Financial Statements'!J4</f>
        <v>45509096.906321265</v>
      </c>
      <c r="K150" s="104">
        <f>'Financial Statements'!K4</f>
        <v>48541012.390854485</v>
      </c>
    </row>
    <row r="152" spans="1:11" x14ac:dyDescent="0.2">
      <c r="A152" s="63" t="s">
        <v>433</v>
      </c>
      <c r="B152" s="96">
        <f>B149/B150</f>
        <v>4.1674011297725237E-3</v>
      </c>
      <c r="C152" s="96">
        <f>C149/C150</f>
        <v>-2.4741543225859312E-2</v>
      </c>
      <c r="D152" s="96">
        <f>D149/D150</f>
        <v>1.3846594385774267E-2</v>
      </c>
      <c r="E152" s="96">
        <f>E149/E150</f>
        <v>1.0669116937709449E-2</v>
      </c>
      <c r="F152" s="96">
        <f>F149/F150</f>
        <v>-1.4462405618288154E-3</v>
      </c>
      <c r="G152" s="61">
        <f>$F$153</f>
        <v>4.9906573311362258E-4</v>
      </c>
      <c r="H152" s="61">
        <f>$F$153</f>
        <v>4.9906573311362258E-4</v>
      </c>
      <c r="I152" s="61">
        <f>$F$153</f>
        <v>4.9906573311362258E-4</v>
      </c>
      <c r="J152" s="61">
        <f>$F$153</f>
        <v>4.9906573311362258E-4</v>
      </c>
      <c r="K152" s="61">
        <f>$F$153</f>
        <v>4.9906573311362258E-4</v>
      </c>
    </row>
    <row r="153" spans="1:11" x14ac:dyDescent="0.2">
      <c r="A153" s="63" t="s">
        <v>434</v>
      </c>
      <c r="B153" s="96"/>
      <c r="C153" s="96"/>
      <c r="D153" s="96"/>
      <c r="E153" s="96"/>
      <c r="F153" s="96">
        <f>AVERAGE(B152:F152)</f>
        <v>4.9906573311362258E-4</v>
      </c>
      <c r="G153" s="96"/>
      <c r="H153" s="96"/>
      <c r="I153" s="96"/>
      <c r="J153" s="96"/>
      <c r="K153" s="96"/>
    </row>
  </sheetData>
  <mergeCells count="1">
    <mergeCell ref="A1:A2"/>
  </mergeCells>
  <pageMargins left="0.7" right="0.7" top="0.75" bottom="0.75" header="0.3" footer="0.3"/>
  <pageSetup scale="44" orientation="portrait" horizontalDpi="0" verticalDpi="0"/>
  <rowBreaks count="1" manualBreakCount="1">
    <brk id="58" max="10" man="1"/>
  </row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3363-A6C8-3540-AA4A-EE77214DB1A2}">
  <dimension ref="B2:K45"/>
  <sheetViews>
    <sheetView showGridLines="0" view="pageBreakPreview" zoomScale="60" zoomScaleNormal="111" workbookViewId="0">
      <selection activeCell="I19" sqref="I19"/>
    </sheetView>
  </sheetViews>
  <sheetFormatPr baseColWidth="10" defaultRowHeight="16" x14ac:dyDescent="0.2"/>
  <cols>
    <col min="1" max="1" width="5.83203125" customWidth="1"/>
    <col min="2" max="2" width="12.6640625" customWidth="1"/>
    <col min="7" max="11" width="13" bestFit="1" customWidth="1"/>
    <col min="12" max="12" width="4.6640625" customWidth="1"/>
  </cols>
  <sheetData>
    <row r="2" spans="2:11" x14ac:dyDescent="0.2">
      <c r="D2" s="2"/>
      <c r="E2" s="2"/>
      <c r="F2" s="2"/>
      <c r="G2" s="2"/>
      <c r="H2" s="2"/>
      <c r="I2" s="2"/>
    </row>
    <row r="3" spans="2:11" x14ac:dyDescent="0.2">
      <c r="B3" s="198" t="s">
        <v>244</v>
      </c>
      <c r="D3" s="2"/>
      <c r="E3" s="2"/>
      <c r="F3" s="2"/>
      <c r="G3" s="2"/>
      <c r="H3" s="2"/>
      <c r="I3" s="2"/>
    </row>
    <row r="4" spans="2:11" x14ac:dyDescent="0.2">
      <c r="B4" s="2"/>
      <c r="C4" s="2"/>
      <c r="D4" s="2"/>
      <c r="E4" s="2"/>
      <c r="F4" s="2"/>
      <c r="G4" s="2"/>
      <c r="H4" s="2"/>
      <c r="I4" s="2"/>
      <c r="J4" s="2"/>
      <c r="K4" s="2"/>
    </row>
    <row r="5" spans="2:11" x14ac:dyDescent="0.2">
      <c r="B5" s="65"/>
      <c r="C5" s="65"/>
      <c r="D5" s="65"/>
      <c r="E5" s="65"/>
      <c r="F5" s="65"/>
      <c r="G5" s="65"/>
      <c r="H5" s="65"/>
      <c r="I5" s="65" t="s">
        <v>236</v>
      </c>
      <c r="J5" s="65" t="s">
        <v>244</v>
      </c>
      <c r="K5" s="65" t="s">
        <v>357</v>
      </c>
    </row>
    <row r="6" spans="2:11" x14ac:dyDescent="0.2">
      <c r="B6" s="196" t="s">
        <v>282</v>
      </c>
      <c r="C6" s="196"/>
      <c r="D6" s="196"/>
      <c r="E6" s="196"/>
      <c r="F6" s="196"/>
      <c r="G6" s="196"/>
      <c r="H6" s="196"/>
      <c r="I6" s="196"/>
      <c r="J6" s="196"/>
      <c r="K6" s="196"/>
    </row>
    <row r="7" spans="2:11" x14ac:dyDescent="0.2">
      <c r="B7" t="s">
        <v>358</v>
      </c>
    </row>
    <row r="8" spans="2:11" x14ac:dyDescent="0.2">
      <c r="C8" t="s">
        <v>221</v>
      </c>
      <c r="I8">
        <v>8000</v>
      </c>
      <c r="J8">
        <v>6000</v>
      </c>
      <c r="K8">
        <v>4000</v>
      </c>
    </row>
    <row r="9" spans="2:11" x14ac:dyDescent="0.2">
      <c r="C9" t="s">
        <v>226</v>
      </c>
      <c r="I9">
        <v>8000</v>
      </c>
      <c r="J9">
        <v>6000</v>
      </c>
      <c r="K9">
        <v>4000</v>
      </c>
    </row>
    <row r="10" spans="2:11" x14ac:dyDescent="0.2">
      <c r="C10" t="s">
        <v>232</v>
      </c>
      <c r="I10">
        <v>5000</v>
      </c>
      <c r="J10">
        <v>4000</v>
      </c>
      <c r="K10">
        <v>1000</v>
      </c>
    </row>
    <row r="11" spans="2:11" x14ac:dyDescent="0.2">
      <c r="C11" t="s">
        <v>233</v>
      </c>
      <c r="I11">
        <v>7000</v>
      </c>
      <c r="J11">
        <v>5000</v>
      </c>
      <c r="K11">
        <v>3000</v>
      </c>
    </row>
    <row r="13" spans="2:11" x14ac:dyDescent="0.2">
      <c r="B13" t="s">
        <v>359</v>
      </c>
    </row>
    <row r="14" spans="2:11" x14ac:dyDescent="0.2">
      <c r="C14" t="s">
        <v>221</v>
      </c>
      <c r="I14" s="40">
        <v>0.04</v>
      </c>
      <c r="J14" s="40">
        <v>0.02</v>
      </c>
      <c r="K14" s="40">
        <v>0.01</v>
      </c>
    </row>
    <row r="15" spans="2:11" x14ac:dyDescent="0.2">
      <c r="C15" t="s">
        <v>226</v>
      </c>
      <c r="I15" s="40">
        <v>0.02</v>
      </c>
      <c r="J15" s="40">
        <v>-0.01</v>
      </c>
      <c r="K15" s="40">
        <v>-0.02</v>
      </c>
    </row>
    <row r="16" spans="2:11" x14ac:dyDescent="0.2">
      <c r="C16" t="s">
        <v>232</v>
      </c>
      <c r="I16" s="40">
        <v>0.04</v>
      </c>
      <c r="J16" s="40">
        <v>0.02</v>
      </c>
      <c r="K16" s="40">
        <v>-0.02</v>
      </c>
    </row>
    <row r="17" spans="2:11" x14ac:dyDescent="0.2">
      <c r="C17" t="s">
        <v>233</v>
      </c>
      <c r="I17" s="40">
        <v>0.02</v>
      </c>
      <c r="J17" s="40">
        <v>-0.05</v>
      </c>
      <c r="K17" s="40">
        <v>-0.1</v>
      </c>
    </row>
    <row r="19" spans="2:11" ht="16" customHeight="1" x14ac:dyDescent="0.2">
      <c r="B19" t="s">
        <v>360</v>
      </c>
      <c r="D19" s="199"/>
      <c r="E19" s="199"/>
      <c r="F19" s="199"/>
      <c r="G19" s="199"/>
      <c r="H19" s="199"/>
      <c r="I19" s="199"/>
      <c r="J19" s="199"/>
      <c r="K19" s="199"/>
    </row>
    <row r="20" spans="2:11" ht="16" customHeight="1" x14ac:dyDescent="0.2">
      <c r="C20" s="228" t="s">
        <v>361</v>
      </c>
      <c r="D20" s="228"/>
      <c r="E20" s="228"/>
      <c r="F20" s="228"/>
      <c r="G20" s="228"/>
      <c r="H20" s="228"/>
      <c r="I20" s="228"/>
      <c r="J20" s="228"/>
      <c r="K20" s="228"/>
    </row>
    <row r="21" spans="2:11" x14ac:dyDescent="0.2">
      <c r="C21" s="228"/>
      <c r="D21" s="228"/>
      <c r="E21" s="228"/>
      <c r="F21" s="228"/>
      <c r="G21" s="228"/>
      <c r="H21" s="228"/>
      <c r="I21" s="228"/>
      <c r="J21" s="228"/>
      <c r="K21" s="228"/>
    </row>
    <row r="22" spans="2:11" x14ac:dyDescent="0.2">
      <c r="C22" s="228"/>
      <c r="D22" s="228"/>
      <c r="E22" s="228"/>
      <c r="F22" s="228"/>
      <c r="G22" s="228"/>
      <c r="H22" s="228"/>
      <c r="I22" s="228"/>
      <c r="J22" s="228"/>
      <c r="K22" s="228"/>
    </row>
    <row r="23" spans="2:11" x14ac:dyDescent="0.2">
      <c r="C23" s="228"/>
      <c r="D23" s="228"/>
      <c r="E23" s="228"/>
      <c r="F23" s="228"/>
      <c r="G23" s="228"/>
      <c r="H23" s="228"/>
      <c r="I23" s="228"/>
      <c r="J23" s="228"/>
      <c r="K23" s="228"/>
    </row>
    <row r="25" spans="2:11" x14ac:dyDescent="0.2">
      <c r="B25" s="196" t="s">
        <v>173</v>
      </c>
      <c r="C25" s="196"/>
      <c r="D25" s="196"/>
      <c r="E25" s="196"/>
      <c r="F25" s="196"/>
      <c r="G25" s="196"/>
      <c r="H25" s="196"/>
      <c r="I25" s="196"/>
      <c r="J25" s="196"/>
      <c r="K25" s="196"/>
    </row>
    <row r="26" spans="2:11" x14ac:dyDescent="0.2">
      <c r="B26" t="s">
        <v>239</v>
      </c>
      <c r="I26" s="38">
        <v>0.13500000000000001</v>
      </c>
      <c r="J26" s="38">
        <v>0.16</v>
      </c>
      <c r="K26" s="38">
        <v>0.185</v>
      </c>
    </row>
    <row r="27" spans="2:11" x14ac:dyDescent="0.2">
      <c r="B27" t="s">
        <v>240</v>
      </c>
      <c r="I27" s="38">
        <v>0.08</v>
      </c>
      <c r="J27" s="38">
        <v>0.09</v>
      </c>
      <c r="K27" s="38">
        <v>0.1</v>
      </c>
    </row>
    <row r="28" spans="2:11" x14ac:dyDescent="0.2">
      <c r="B28" t="s">
        <v>241</v>
      </c>
      <c r="I28" s="38">
        <v>7.0000000000000007E-2</v>
      </c>
      <c r="J28" s="38">
        <v>0.08</v>
      </c>
      <c r="K28" s="38">
        <v>0.09</v>
      </c>
    </row>
    <row r="29" spans="2:11" x14ac:dyDescent="0.2">
      <c r="B29" t="s">
        <v>242</v>
      </c>
      <c r="I29" s="38">
        <v>4.2500000000000003E-2</v>
      </c>
      <c r="J29" s="38">
        <v>0.05</v>
      </c>
      <c r="K29" s="38">
        <v>5.7499999999999996E-2</v>
      </c>
    </row>
    <row r="31" spans="2:11" x14ac:dyDescent="0.2">
      <c r="B31" s="143" t="s">
        <v>362</v>
      </c>
      <c r="C31" s="65"/>
      <c r="D31" s="65"/>
      <c r="E31" s="65"/>
      <c r="F31" s="65"/>
      <c r="G31" s="65">
        <f>'Financial Statements'!G2</f>
        <v>2024</v>
      </c>
      <c r="H31" s="65">
        <f>'Financial Statements'!H2</f>
        <v>2025</v>
      </c>
      <c r="I31" s="65">
        <f>'Financial Statements'!I2</f>
        <v>2026</v>
      </c>
      <c r="J31" s="65">
        <f>'Financial Statements'!J2</f>
        <v>2027</v>
      </c>
      <c r="K31" s="65">
        <f>'Financial Statements'!K2</f>
        <v>2028</v>
      </c>
    </row>
    <row r="33" spans="2:11" x14ac:dyDescent="0.2">
      <c r="B33" s="200" t="s">
        <v>366</v>
      </c>
      <c r="G33" s="63">
        <f>_xlfn.FORECAST.ETS(G$31,'Financial Statements'!$B$35:F35,'Financial Statements'!$B$2:F2)</f>
        <v>2649816.455185934</v>
      </c>
      <c r="H33" s="63">
        <f>_xlfn.FORECAST.ETS(H$31,'Financial Statements'!$B$35:G35,'Financial Statements'!$B$2:G2)</f>
        <v>2532653.2774769198</v>
      </c>
      <c r="I33" s="63">
        <f>_xlfn.FORECAST.ETS(I$31,'Financial Statements'!$B$35:H35,'Financial Statements'!$B$2:H2)</f>
        <v>3194203.4041385232</v>
      </c>
      <c r="J33" s="63">
        <f>_xlfn.FORECAST.ETS(J$31,'Financial Statements'!$B$35:I35,'Financial Statements'!$B$2:I2)</f>
        <v>3217474.3869633479</v>
      </c>
      <c r="K33" s="63">
        <f>_xlfn.FORECAST.ETS(K$31,'Financial Statements'!$B$35:J35,'Financial Statements'!$B$2:J2)</f>
        <v>3953169.3075752975</v>
      </c>
    </row>
    <row r="34" spans="2:11" x14ac:dyDescent="0.2">
      <c r="B34" s="200" t="s">
        <v>367</v>
      </c>
      <c r="G34" s="63">
        <f>_xlfn.FORECAST.ETS(G$31,'Financial Statements'!$B$39:F39,'Financial Statements'!$B$2:F2)</f>
        <v>6689489.4356474737</v>
      </c>
      <c r="H34" s="63">
        <f>_xlfn.FORECAST.ETS(H$31,'Financial Statements'!$B$39:G39,'Financial Statements'!$B$2:G2)</f>
        <v>7504468.8413555222</v>
      </c>
      <c r="I34" s="63">
        <f>_xlfn.FORECAST.ETS(I$31,'Financial Statements'!$B$39:H39,'Financial Statements'!$B$2:H2)</f>
        <v>8195011.0035227779</v>
      </c>
      <c r="J34" s="63">
        <f>_xlfn.FORECAST.ETS(J$31,'Financial Statements'!$B$39:I39,'Financial Statements'!$B$2:I2)</f>
        <v>9136124.67729057</v>
      </c>
      <c r="K34" s="63">
        <f>_xlfn.FORECAST.ETS(K$31,'Financial Statements'!$B$39:J39,'Financial Statements'!$B$2:J2)</f>
        <v>10043486.185125174</v>
      </c>
    </row>
    <row r="35" spans="2:11" x14ac:dyDescent="0.2">
      <c r="B35" s="200" t="s">
        <v>365</v>
      </c>
      <c r="G35" s="63">
        <f>_xlfn.FORECAST.ETS(G31,'Financial Statements'!$B$44:F44,'Financial Statements'!$B$2:F2)</f>
        <v>4543512.4453890575</v>
      </c>
      <c r="H35" s="63">
        <f>_xlfn.FORECAST.ETS(H31,'Financial Statements'!$B$44:G44,'Financial Statements'!$B$2:G2)</f>
        <v>4557736.8810434649</v>
      </c>
      <c r="I35" s="63">
        <f>_xlfn.FORECAST.ETS(I31,'Financial Statements'!$B$44:H44,'Financial Statements'!$B$2:H2)</f>
        <v>4582564.6638856968</v>
      </c>
      <c r="J35" s="63">
        <f>_xlfn.FORECAST.ETS(J31,'Financial Statements'!$B$44:I44,'Financial Statements'!$B$2:I2)</f>
        <v>4614739.4479943141</v>
      </c>
      <c r="K35" s="63">
        <f>_xlfn.FORECAST.ETS(K31,'Financial Statements'!$B$44:J44,'Financial Statements'!$B$2:J2)</f>
        <v>4646696.6558120716</v>
      </c>
    </row>
    <row r="36" spans="2:11" x14ac:dyDescent="0.2">
      <c r="B36" s="200" t="s">
        <v>363</v>
      </c>
      <c r="G36" s="63">
        <f>_xlfn.FORECAST.ETS(Assumptions!G31,'Financial Statements'!$B$46:F46,'Financial Statements'!$B$2:F2)</f>
        <v>1973739.6097854811</v>
      </c>
      <c r="H36" s="63">
        <f>_xlfn.FORECAST.ETS(Assumptions!H31,'Financial Statements'!$B$46:G46,'Financial Statements'!$B$2:G2)</f>
        <v>2204179.6863705143</v>
      </c>
      <c r="I36" s="63">
        <f>_xlfn.FORECAST.ETS(Assumptions!I31,'Financial Statements'!$B$46:H46,'Financial Statements'!$B$2:H2)</f>
        <v>2380957.791426762</v>
      </c>
      <c r="J36" s="63">
        <f>_xlfn.FORECAST.ETS(Assumptions!J31,'Financial Statements'!$B$46:I46,'Financial Statements'!$B$2:I2)</f>
        <v>2651545.4240710619</v>
      </c>
      <c r="K36" s="63">
        <f>_xlfn.FORECAST.ETS(Assumptions!K31,'Financial Statements'!$B$46:J46,'Financial Statements'!$B$2:J2)</f>
        <v>2850361.992034968</v>
      </c>
    </row>
    <row r="37" spans="2:11" x14ac:dyDescent="0.2">
      <c r="B37" s="200" t="s">
        <v>364</v>
      </c>
      <c r="G37" s="63">
        <f>_xlfn.FORECAST.ETS(Assumptions!G31,'Financial Statements'!$B$47:F47,'Financial Statements'!$B$2:F2)</f>
        <v>1517796.4287221006</v>
      </c>
      <c r="H37" s="63">
        <f>_xlfn.FORECAST.ETS(Assumptions!H31,'Financial Statements'!$B$47:G47,'Financial Statements'!$B$2:G2)</f>
        <v>1626325.0199353311</v>
      </c>
      <c r="I37" s="63">
        <f>_xlfn.FORECAST.ETS(Assumptions!I31,'Financial Statements'!$B$47:H47,'Financial Statements'!$B$2:H2)</f>
        <v>1742894.9037166354</v>
      </c>
      <c r="J37" s="63">
        <f>_xlfn.FORECAST.ETS(Assumptions!J31,'Financial Statements'!$B$47:I47,'Financial Statements'!$B$2:I2)</f>
        <v>1853925.9619824709</v>
      </c>
      <c r="K37" s="63">
        <f>_xlfn.FORECAST.ETS(Assumptions!K31,'Financial Statements'!$B$47:J47,'Financial Statements'!$B$2:J2)</f>
        <v>1920366.0019578924</v>
      </c>
    </row>
    <row r="38" spans="2:11" x14ac:dyDescent="0.2">
      <c r="B38" s="200" t="s">
        <v>44</v>
      </c>
      <c r="G38" s="63">
        <f>_xlfn.FORECAST.ETS(Assumptions!G$31,'Financial Statements'!$B$50:F50,'Financial Statements'!$B$2:F2)</f>
        <v>2735950.1314960998</v>
      </c>
      <c r="H38" s="63">
        <f>_xlfn.FORECAST.ETS(Assumptions!H31,'Financial Statements'!$B$50:G50,'Financial Statements'!$B$2:G2)</f>
        <v>2701496.2902207966</v>
      </c>
      <c r="I38" s="63">
        <f>_xlfn.FORECAST.ETS(Assumptions!I31,'Financial Statements'!$B$50:H50,'Financial Statements'!$B$2:H2)</f>
        <v>2421091.432640682</v>
      </c>
      <c r="J38" s="63">
        <f>_xlfn.FORECAST.ETS(Assumptions!J31,'Financial Statements'!$B$50:I50,'Financial Statements'!$B$2:I2)</f>
        <v>2554964.1192924026</v>
      </c>
      <c r="K38" s="63">
        <f>_xlfn.FORECAST.ETS(Assumptions!K31,'Financial Statements'!$B$50:J50,'Financial Statements'!$B$2:J2)</f>
        <v>2603203.9697245094</v>
      </c>
    </row>
    <row r="39" spans="2:11" x14ac:dyDescent="0.2">
      <c r="B39" s="200" t="s">
        <v>46</v>
      </c>
      <c r="G39" s="63">
        <f>_xlfn.FORECAST.ETS(Assumptions!G$31,'Financial Statements'!$B$52:F52,'Financial Statements'!$B$2:F2)</f>
        <v>2909725.4675451219</v>
      </c>
      <c r="H39" s="63">
        <f>_xlfn.FORECAST.ETS(Assumptions!H$31,'Financial Statements'!$B$52:G52,'Financial Statements'!$B$2:G2)</f>
        <v>3136615.5797759285</v>
      </c>
      <c r="I39" s="63">
        <f>_xlfn.FORECAST.ETS(Assumptions!I$31,'Financial Statements'!$B$52:H52,'Financial Statements'!$B$2:H2)</f>
        <v>3389703.3583939499</v>
      </c>
      <c r="J39" s="63">
        <f>_xlfn.FORECAST.ETS(Assumptions!J$31,'Financial Statements'!$B$52:I52,'Financial Statements'!$B$2:I2)</f>
        <v>3637831.4646215411</v>
      </c>
      <c r="K39" s="63">
        <f>_xlfn.FORECAST.ETS(Assumptions!K$31,'Financial Statements'!$B$52:J52,'Financial Statements'!$B$2:J2)</f>
        <v>3884741.4816900729</v>
      </c>
    </row>
    <row r="41" spans="2:11" x14ac:dyDescent="0.2">
      <c r="B41" s="210" t="s">
        <v>401</v>
      </c>
    </row>
    <row r="42" spans="2:11" ht="16" customHeight="1" x14ac:dyDescent="0.2">
      <c r="B42" s="229" t="s">
        <v>402</v>
      </c>
      <c r="C42" s="229"/>
      <c r="D42" s="229"/>
      <c r="E42" s="229"/>
      <c r="F42" s="229"/>
      <c r="G42" s="229"/>
      <c r="H42" s="229"/>
      <c r="I42" s="229"/>
      <c r="J42" s="229"/>
      <c r="K42" s="229"/>
    </row>
    <row r="43" spans="2:11" x14ac:dyDescent="0.2">
      <c r="B43" s="229"/>
      <c r="C43" s="229"/>
      <c r="D43" s="229"/>
      <c r="E43" s="229"/>
      <c r="F43" s="229"/>
      <c r="G43" s="229"/>
      <c r="H43" s="229"/>
      <c r="I43" s="229"/>
      <c r="J43" s="229"/>
      <c r="K43" s="229"/>
    </row>
    <row r="44" spans="2:11" x14ac:dyDescent="0.2">
      <c r="B44" s="229"/>
      <c r="C44" s="229"/>
      <c r="D44" s="229"/>
      <c r="E44" s="229"/>
      <c r="F44" s="229"/>
      <c r="G44" s="229"/>
      <c r="H44" s="229"/>
      <c r="I44" s="229"/>
      <c r="J44" s="229"/>
      <c r="K44" s="229"/>
    </row>
    <row r="45" spans="2:11" x14ac:dyDescent="0.2">
      <c r="B45" s="211"/>
      <c r="C45" s="211"/>
      <c r="D45" s="211"/>
      <c r="E45" s="211"/>
      <c r="F45" s="211"/>
      <c r="G45" s="211"/>
      <c r="H45" s="211"/>
      <c r="I45" s="211"/>
      <c r="J45" s="211"/>
      <c r="K45" s="211"/>
    </row>
  </sheetData>
  <mergeCells count="2">
    <mergeCell ref="C20:K23"/>
    <mergeCell ref="B42:K44"/>
  </mergeCells>
  <dataValidations count="1">
    <dataValidation type="list" allowBlank="1" showInputMessage="1" showErrorMessage="1" sqref="B3" xr:uid="{BD06ECAF-BDB2-0D43-8231-AF32E2DC4571}">
      <formula1>$I$5:$K$5</formula1>
    </dataValidation>
  </dataValidations>
  <pageMargins left="0.7" right="0.7" top="0.75" bottom="0.75" header="0.3" footer="0.3"/>
  <pageSetup scale="5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C2DCE-1AD3-7449-9D4C-51A26BE87A31}">
  <sheetPr>
    <pageSetUpPr fitToPage="1"/>
  </sheetPr>
  <dimension ref="B5:AA70"/>
  <sheetViews>
    <sheetView showGridLines="0" showRuler="0" view="pageBreakPreview" zoomScale="125" zoomScaleNormal="100" zoomScaleSheetLayoutView="125" zoomScalePageLayoutView="91" workbookViewId="0">
      <selection activeCell="S2" sqref="S2"/>
    </sheetView>
  </sheetViews>
  <sheetFormatPr baseColWidth="10" defaultRowHeight="16" x14ac:dyDescent="0.2"/>
  <cols>
    <col min="2" max="2" width="7.33203125" bestFit="1" customWidth="1"/>
    <col min="3" max="3" width="8.1640625" style="52" bestFit="1" customWidth="1"/>
    <col min="4" max="4" width="7.83203125" bestFit="1" customWidth="1"/>
    <col min="5" max="5" width="2.1640625" customWidth="1"/>
    <col min="6" max="6" width="7.33203125" bestFit="1" customWidth="1"/>
    <col min="7" max="7" width="10.83203125" style="52"/>
    <col min="8" max="8" width="7.83203125" bestFit="1" customWidth="1"/>
    <col min="9" max="9" width="2.6640625" customWidth="1"/>
    <col min="10" max="10" width="18" bestFit="1" customWidth="1"/>
    <col min="11" max="11" width="9.6640625" customWidth="1"/>
    <col min="12" max="12" width="3" customWidth="1"/>
    <col min="13" max="13" width="7.33203125" bestFit="1" customWidth="1"/>
    <col min="14" max="14" width="8.1640625" style="52" bestFit="1" customWidth="1"/>
    <col min="15" max="15" width="7.83203125" bestFit="1" customWidth="1"/>
    <col min="16" max="16" width="2.33203125" customWidth="1"/>
    <col min="17" max="17" width="8.6640625" customWidth="1"/>
    <col min="18" max="18" width="8" customWidth="1"/>
    <col min="19" max="19" width="9.1640625" customWidth="1"/>
    <col min="20" max="20" width="2.6640625" customWidth="1"/>
    <col min="21" max="21" width="8.5" customWidth="1"/>
    <col min="22" max="22" width="8.1640625" style="57" customWidth="1"/>
    <col min="23" max="23" width="10.1640625" customWidth="1"/>
    <col min="24" max="24" width="3" customWidth="1"/>
    <col min="25" max="25" width="7.33203125" bestFit="1" customWidth="1"/>
    <col min="26" max="26" width="5.83203125" bestFit="1" customWidth="1"/>
    <col min="27" max="27" width="7.83203125" bestFit="1" customWidth="1"/>
  </cols>
  <sheetData>
    <row r="5" spans="2:27" x14ac:dyDescent="0.2">
      <c r="B5" s="230" t="s">
        <v>137</v>
      </c>
      <c r="C5" s="230"/>
      <c r="D5" s="230"/>
      <c r="E5" s="230"/>
      <c r="F5" s="230"/>
      <c r="G5" s="230"/>
      <c r="H5" s="230"/>
      <c r="I5" s="230"/>
      <c r="J5" s="230"/>
      <c r="K5" s="230"/>
      <c r="L5" s="230"/>
      <c r="M5" s="230"/>
      <c r="N5" s="230"/>
      <c r="O5" s="230"/>
      <c r="P5" s="230"/>
      <c r="Q5" s="230"/>
      <c r="R5" s="230"/>
      <c r="S5" s="230"/>
      <c r="T5" s="230"/>
      <c r="U5" s="230"/>
      <c r="V5" s="230"/>
      <c r="W5" s="230"/>
      <c r="X5" s="230"/>
      <c r="Y5" s="230"/>
      <c r="Z5" s="230"/>
      <c r="AA5" s="230"/>
    </row>
    <row r="6" spans="2:27" ht="12" customHeight="1" x14ac:dyDescent="0.2">
      <c r="B6" s="230"/>
      <c r="C6" s="230"/>
      <c r="D6" s="230"/>
      <c r="E6" s="230"/>
      <c r="F6" s="230"/>
      <c r="G6" s="230"/>
      <c r="H6" s="230"/>
      <c r="I6" s="230"/>
      <c r="J6" s="230"/>
      <c r="K6" s="230"/>
      <c r="L6" s="230"/>
      <c r="M6" s="230"/>
      <c r="N6" s="230"/>
      <c r="O6" s="230"/>
      <c r="P6" s="230"/>
      <c r="Q6" s="230"/>
      <c r="R6" s="230"/>
      <c r="S6" s="230"/>
      <c r="T6" s="230"/>
      <c r="U6" s="230"/>
      <c r="V6" s="230"/>
      <c r="W6" s="230"/>
      <c r="X6" s="230"/>
      <c r="Y6" s="230"/>
      <c r="Z6" s="230"/>
      <c r="AA6" s="230"/>
    </row>
    <row r="7" spans="2:27" ht="9" customHeight="1" x14ac:dyDescent="0.2">
      <c r="B7" s="49"/>
      <c r="C7" s="50"/>
      <c r="D7" s="36"/>
      <c r="E7" s="36"/>
      <c r="F7" s="36"/>
      <c r="G7" s="50"/>
      <c r="H7" s="36"/>
      <c r="I7" s="36"/>
      <c r="J7" s="36"/>
      <c r="K7" s="36"/>
      <c r="L7" s="36"/>
      <c r="M7" s="36"/>
      <c r="N7" s="50"/>
      <c r="O7" s="36"/>
      <c r="P7" s="36"/>
      <c r="Q7" s="36"/>
      <c r="R7" s="36"/>
      <c r="S7" s="36"/>
      <c r="T7" s="36"/>
      <c r="V7" s="58"/>
    </row>
    <row r="8" spans="2:27" x14ac:dyDescent="0.2">
      <c r="B8" s="35" t="s">
        <v>128</v>
      </c>
      <c r="C8" s="51"/>
      <c r="D8" s="35"/>
      <c r="F8" s="35" t="s">
        <v>129</v>
      </c>
      <c r="G8" s="51"/>
      <c r="H8" s="35"/>
      <c r="J8" s="35" t="s">
        <v>130</v>
      </c>
      <c r="K8" s="35"/>
      <c r="M8" s="35" t="s">
        <v>140</v>
      </c>
      <c r="N8" s="51"/>
      <c r="O8" s="35"/>
      <c r="Q8" s="35" t="s">
        <v>142</v>
      </c>
      <c r="R8" s="35"/>
      <c r="S8" s="35"/>
      <c r="U8" s="35" t="s">
        <v>143</v>
      </c>
      <c r="V8" s="51"/>
      <c r="W8" s="35"/>
      <c r="Y8" s="35" t="s">
        <v>144</v>
      </c>
      <c r="Z8" s="35"/>
      <c r="AA8" s="35"/>
    </row>
    <row r="9" spans="2:27" x14ac:dyDescent="0.2">
      <c r="B9" s="55" t="s">
        <v>125</v>
      </c>
      <c r="C9" s="56" t="s">
        <v>126</v>
      </c>
      <c r="D9" s="55" t="s">
        <v>127</v>
      </c>
      <c r="F9" s="55" t="s">
        <v>125</v>
      </c>
      <c r="G9" s="56" t="s">
        <v>126</v>
      </c>
      <c r="H9" s="55" t="s">
        <v>127</v>
      </c>
      <c r="J9" s="53" t="s">
        <v>131</v>
      </c>
      <c r="K9" s="54"/>
      <c r="M9" s="55" t="s">
        <v>125</v>
      </c>
      <c r="N9" s="56" t="s">
        <v>126</v>
      </c>
      <c r="O9" s="55" t="s">
        <v>127</v>
      </c>
      <c r="Q9" s="55" t="s">
        <v>125</v>
      </c>
      <c r="R9" s="55" t="s">
        <v>126</v>
      </c>
      <c r="S9" s="55" t="s">
        <v>127</v>
      </c>
      <c r="U9" s="55" t="s">
        <v>125</v>
      </c>
      <c r="V9" s="59" t="s">
        <v>126</v>
      </c>
      <c r="W9" s="55" t="s">
        <v>127</v>
      </c>
      <c r="Y9" s="55" t="s">
        <v>125</v>
      </c>
      <c r="Z9" s="55" t="s">
        <v>126</v>
      </c>
      <c r="AA9" s="55" t="s">
        <v>127</v>
      </c>
    </row>
    <row r="10" spans="2:27" x14ac:dyDescent="0.2">
      <c r="B10" s="48">
        <v>43647</v>
      </c>
      <c r="C10" s="52">
        <v>322.98998999999998</v>
      </c>
      <c r="D10" s="38"/>
      <c r="F10" s="48">
        <v>43647</v>
      </c>
      <c r="G10" s="52">
        <v>2980.38</v>
      </c>
      <c r="H10" s="38"/>
      <c r="J10" t="s">
        <v>132</v>
      </c>
      <c r="K10" s="39">
        <f>SLOPE(D11:D69,H11:H69)</f>
        <v>1.2588446759088987</v>
      </c>
      <c r="L10" s="39"/>
      <c r="M10" s="48">
        <v>43647</v>
      </c>
      <c r="N10" s="52">
        <v>143.009995</v>
      </c>
      <c r="Q10" s="48">
        <v>43647</v>
      </c>
      <c r="R10" s="42">
        <v>30.309999000000001</v>
      </c>
      <c r="U10" s="48">
        <v>43647</v>
      </c>
      <c r="V10" s="57">
        <v>51.509998000000003</v>
      </c>
      <c r="Y10" s="48">
        <v>43647</v>
      </c>
      <c r="Z10" s="42">
        <v>37.32</v>
      </c>
    </row>
    <row r="11" spans="2:27" x14ac:dyDescent="0.2">
      <c r="B11" s="48">
        <v>43678</v>
      </c>
      <c r="C11" s="52">
        <v>293.75</v>
      </c>
      <c r="D11" s="38">
        <f>C11/C10-1</f>
        <v>-9.0529090390695899E-2</v>
      </c>
      <c r="E11" t="s">
        <v>138</v>
      </c>
      <c r="F11" s="48">
        <v>43678</v>
      </c>
      <c r="G11" s="52">
        <v>2926.46</v>
      </c>
      <c r="H11" s="38">
        <f t="shared" ref="H11:H15" si="0">G11/G10-1</f>
        <v>-1.8091652742267761E-2</v>
      </c>
      <c r="J11" t="s">
        <v>133</v>
      </c>
      <c r="K11" s="40">
        <f>2/3</f>
        <v>0.66666666666666663</v>
      </c>
      <c r="M11" s="48">
        <v>43678</v>
      </c>
      <c r="N11" s="52">
        <v>137.259995</v>
      </c>
      <c r="O11" s="38">
        <f>N11/N10-1</f>
        <v>-4.0206979938709919E-2</v>
      </c>
      <c r="Q11" s="48">
        <v>43678</v>
      </c>
      <c r="R11" s="42">
        <v>27.6</v>
      </c>
      <c r="S11" s="38">
        <f>R11/R10-1</f>
        <v>-8.9409405787179375E-2</v>
      </c>
      <c r="U11" s="48">
        <v>43678</v>
      </c>
      <c r="V11" s="57">
        <v>42.060001</v>
      </c>
      <c r="W11" s="38">
        <f>V11/V10-1</f>
        <v>-0.18345947130496887</v>
      </c>
      <c r="Y11" s="48">
        <v>43678</v>
      </c>
      <c r="Z11" s="42">
        <v>33.169998</v>
      </c>
      <c r="AA11" s="38">
        <f>Z11/Z10-1</f>
        <v>-0.11120048231511259</v>
      </c>
    </row>
    <row r="12" spans="2:27" x14ac:dyDescent="0.2">
      <c r="B12" s="48">
        <v>43709</v>
      </c>
      <c r="C12" s="52">
        <v>267.61999500000002</v>
      </c>
      <c r="D12" s="38">
        <f t="shared" ref="D12:D15" si="1">C12/C11-1</f>
        <v>-8.895320851063826E-2</v>
      </c>
      <c r="F12" s="48">
        <v>43709</v>
      </c>
      <c r="G12" s="52">
        <v>2976.74</v>
      </c>
      <c r="H12" s="38">
        <f t="shared" si="0"/>
        <v>1.7181167690656807E-2</v>
      </c>
      <c r="J12" t="s">
        <v>135</v>
      </c>
      <c r="K12">
        <v>1</v>
      </c>
      <c r="M12" s="48">
        <v>43709</v>
      </c>
      <c r="N12" s="52">
        <v>130.320007</v>
      </c>
      <c r="O12" s="38">
        <f t="shared" ref="O12:O70" si="2">N12/N11-1</f>
        <v>-5.056089358009952E-2</v>
      </c>
      <c r="Q12" s="48">
        <v>43709</v>
      </c>
      <c r="R12" s="42">
        <v>26.629999000000002</v>
      </c>
      <c r="S12" s="38">
        <f t="shared" ref="S12:S70" si="3">R12/R11-1</f>
        <v>-3.5144963768115933E-2</v>
      </c>
      <c r="U12" s="48">
        <v>43709</v>
      </c>
      <c r="V12" s="57">
        <v>40.369999</v>
      </c>
      <c r="W12" s="38">
        <f t="shared" ref="W12:W70" si="4">V12/V11-1</f>
        <v>-4.018074084211265E-2</v>
      </c>
      <c r="Y12" s="48">
        <v>43709</v>
      </c>
      <c r="Z12" s="42">
        <v>31.535</v>
      </c>
      <c r="AA12" s="38">
        <f t="shared" ref="AA12:AA70" si="5">Z12/Z11-1</f>
        <v>-4.9291471166202694E-2</v>
      </c>
    </row>
    <row r="13" spans="2:27" x14ac:dyDescent="0.2">
      <c r="B13" s="48">
        <v>43739</v>
      </c>
      <c r="C13" s="52">
        <v>287.41000400000001</v>
      </c>
      <c r="D13" s="38">
        <f t="shared" si="1"/>
        <v>7.3948170427250659E-2</v>
      </c>
      <c r="F13" s="48">
        <v>43739</v>
      </c>
      <c r="G13" s="52">
        <v>3037.56</v>
      </c>
      <c r="H13" s="38">
        <f t="shared" si="0"/>
        <v>2.0431747482144935E-2</v>
      </c>
      <c r="J13" t="s">
        <v>134</v>
      </c>
      <c r="K13" s="41">
        <f>K12-K11</f>
        <v>0.33333333333333337</v>
      </c>
      <c r="M13" s="48">
        <v>43739</v>
      </c>
      <c r="N13" s="52">
        <v>129.91999799999999</v>
      </c>
      <c r="O13" s="38">
        <f t="shared" si="2"/>
        <v>-3.0694366061537748E-3</v>
      </c>
      <c r="Q13" s="48">
        <v>43739</v>
      </c>
      <c r="R13" s="42">
        <v>26.959999</v>
      </c>
      <c r="S13" s="38">
        <f t="shared" si="3"/>
        <v>1.2392039519039999E-2</v>
      </c>
      <c r="U13" s="48">
        <v>43739</v>
      </c>
      <c r="V13" s="57">
        <v>36.040000999999997</v>
      </c>
      <c r="W13" s="38">
        <f t="shared" si="4"/>
        <v>-0.10725781786618338</v>
      </c>
      <c r="Y13" s="48">
        <v>43739</v>
      </c>
      <c r="Z13" s="42">
        <v>32.040000999999997</v>
      </c>
      <c r="AA13" s="38">
        <f t="shared" si="5"/>
        <v>1.6013984461709097E-2</v>
      </c>
    </row>
    <row r="14" spans="2:27" x14ac:dyDescent="0.2">
      <c r="B14" s="48">
        <v>43770</v>
      </c>
      <c r="C14" s="52">
        <v>314.66000400000001</v>
      </c>
      <c r="D14" s="38">
        <f t="shared" si="1"/>
        <v>9.4812287744862278E-2</v>
      </c>
      <c r="F14" s="48">
        <v>43770</v>
      </c>
      <c r="G14" s="52">
        <v>3140.98</v>
      </c>
      <c r="H14" s="38">
        <f t="shared" si="0"/>
        <v>3.404706409091518E-2</v>
      </c>
      <c r="J14" s="44"/>
      <c r="M14" s="48">
        <v>43770</v>
      </c>
      <c r="N14" s="52">
        <v>151.58000200000001</v>
      </c>
      <c r="O14" s="38">
        <f t="shared" si="2"/>
        <v>0.16671801365021577</v>
      </c>
      <c r="Q14" s="48">
        <v>43770</v>
      </c>
      <c r="R14" s="42">
        <v>32.939999</v>
      </c>
      <c r="S14" s="38">
        <f t="shared" si="3"/>
        <v>0.22181009724814893</v>
      </c>
      <c r="U14" s="48">
        <v>43770</v>
      </c>
      <c r="V14" s="57">
        <v>40.380001</v>
      </c>
      <c r="W14" s="38">
        <f t="shared" si="4"/>
        <v>0.1204217502657674</v>
      </c>
      <c r="Y14" s="48">
        <v>43770</v>
      </c>
      <c r="Z14" s="42">
        <v>35.759998000000003</v>
      </c>
      <c r="AA14" s="38">
        <f t="shared" si="5"/>
        <v>0.1161047716571546</v>
      </c>
    </row>
    <row r="15" spans="2:27" x14ac:dyDescent="0.2">
      <c r="B15" s="48">
        <v>43800</v>
      </c>
      <c r="C15" s="52">
        <v>323.57000699999998</v>
      </c>
      <c r="D15" s="38">
        <f t="shared" si="1"/>
        <v>2.8316287061383116E-2</v>
      </c>
      <c r="F15" s="48">
        <v>43800</v>
      </c>
      <c r="G15" s="52">
        <v>3230.78</v>
      </c>
      <c r="H15" s="38">
        <f t="shared" si="0"/>
        <v>2.8589803182446305E-2</v>
      </c>
      <c r="J15" s="43" t="s">
        <v>136</v>
      </c>
      <c r="K15" s="46">
        <f>(K10*K11)+(K12*K13)</f>
        <v>1.172563117272599</v>
      </c>
      <c r="M15" s="48">
        <v>43800</v>
      </c>
      <c r="N15" s="52">
        <v>144.63000500000001</v>
      </c>
      <c r="O15" s="38">
        <f t="shared" si="2"/>
        <v>-4.5850355642560237E-2</v>
      </c>
      <c r="Q15" s="48">
        <v>43800</v>
      </c>
      <c r="R15" s="42">
        <v>32.740001999999997</v>
      </c>
      <c r="S15" s="38">
        <f t="shared" si="3"/>
        <v>-6.0715545255481951E-3</v>
      </c>
      <c r="U15" s="48">
        <v>43800</v>
      </c>
      <c r="V15" s="57">
        <v>41.970001000000003</v>
      </c>
      <c r="W15" s="38">
        <f t="shared" si="4"/>
        <v>3.9375927702428815E-2</v>
      </c>
      <c r="Y15" s="48">
        <v>43800</v>
      </c>
      <c r="Z15" s="42">
        <v>37.07</v>
      </c>
      <c r="AA15" s="38">
        <f t="shared" si="5"/>
        <v>3.6633167596933136E-2</v>
      </c>
    </row>
    <row r="16" spans="2:27" x14ac:dyDescent="0.2">
      <c r="B16" s="48">
        <v>43831</v>
      </c>
      <c r="C16" s="52">
        <v>345.08999599999999</v>
      </c>
      <c r="D16" s="38">
        <f t="shared" ref="D16:D70" si="6">C16/C15-1</f>
        <v>6.6507984468412218E-2</v>
      </c>
      <c r="F16" s="48">
        <v>43831</v>
      </c>
      <c r="G16" s="52">
        <v>3225.52</v>
      </c>
      <c r="H16" s="38">
        <f t="shared" ref="H16:H70" si="7">G16/G15-1</f>
        <v>-1.6280898111292741E-3</v>
      </c>
      <c r="M16" s="48">
        <v>43831</v>
      </c>
      <c r="N16" s="52">
        <v>138.30999800000001</v>
      </c>
      <c r="O16" s="38">
        <f t="shared" si="2"/>
        <v>-4.3697758290197175E-2</v>
      </c>
      <c r="Q16" s="48">
        <v>43831</v>
      </c>
      <c r="R16" s="42">
        <v>29.26</v>
      </c>
      <c r="S16" s="38">
        <f t="shared" si="3"/>
        <v>-0.10629205215076032</v>
      </c>
      <c r="U16" s="48">
        <v>43831</v>
      </c>
      <c r="V16" s="57">
        <v>34.130001</v>
      </c>
      <c r="W16" s="38">
        <f t="shared" si="4"/>
        <v>-0.18680009085537075</v>
      </c>
      <c r="Y16" s="48">
        <v>43831</v>
      </c>
      <c r="Z16" s="42">
        <v>37.080002</v>
      </c>
      <c r="AA16" s="38">
        <f t="shared" si="5"/>
        <v>2.6981386565960719E-4</v>
      </c>
    </row>
    <row r="17" spans="2:27" x14ac:dyDescent="0.2">
      <c r="B17" s="48">
        <v>43862</v>
      </c>
      <c r="C17" s="52">
        <v>369.02999899999998</v>
      </c>
      <c r="D17" s="38">
        <f t="shared" si="6"/>
        <v>6.9373216486982692E-2</v>
      </c>
      <c r="F17" s="48">
        <v>43862</v>
      </c>
      <c r="G17" s="52">
        <v>2954.22</v>
      </c>
      <c r="H17" s="38">
        <f t="shared" si="7"/>
        <v>-8.4110469009648137E-2</v>
      </c>
      <c r="J17" s="53" t="s">
        <v>139</v>
      </c>
      <c r="K17" s="54"/>
      <c r="M17" s="48">
        <v>43862</v>
      </c>
      <c r="N17" s="52">
        <v>117.650002</v>
      </c>
      <c r="O17" s="38">
        <f t="shared" si="2"/>
        <v>-0.14937456654435066</v>
      </c>
      <c r="Q17" s="48">
        <v>43862</v>
      </c>
      <c r="R17" s="42">
        <v>25.700001</v>
      </c>
      <c r="S17" s="38">
        <f t="shared" si="3"/>
        <v>-0.12166777170198229</v>
      </c>
      <c r="U17" s="48">
        <v>43862</v>
      </c>
      <c r="V17" s="57">
        <v>24.610001</v>
      </c>
      <c r="W17" s="38">
        <f t="shared" si="4"/>
        <v>-0.27893348142591612</v>
      </c>
      <c r="Y17" s="48">
        <v>43862</v>
      </c>
      <c r="Z17" s="42">
        <v>30.74</v>
      </c>
      <c r="AA17" s="38">
        <f t="shared" si="5"/>
        <v>-0.17098170598804174</v>
      </c>
    </row>
    <row r="18" spans="2:27" x14ac:dyDescent="0.2">
      <c r="B18" s="48">
        <v>43891</v>
      </c>
      <c r="C18" s="52">
        <v>375.5</v>
      </c>
      <c r="D18" s="38">
        <f t="shared" si="6"/>
        <v>1.7532452693636014E-2</v>
      </c>
      <c r="F18" s="48">
        <v>43891</v>
      </c>
      <c r="G18" s="52">
        <v>2584.59</v>
      </c>
      <c r="H18" s="38">
        <f t="shared" si="7"/>
        <v>-0.12511932083595656</v>
      </c>
      <c r="J18" t="s">
        <v>132</v>
      </c>
      <c r="K18" s="39">
        <f>SLOPE(O11:O70,H11:H70)</f>
        <v>1.4050306741130505</v>
      </c>
      <c r="M18" s="48">
        <v>43891</v>
      </c>
      <c r="N18" s="52">
        <v>96.599997999999999</v>
      </c>
      <c r="O18" s="38">
        <f t="shared" si="2"/>
        <v>-0.17892055794440187</v>
      </c>
      <c r="Q18" s="48">
        <v>43891</v>
      </c>
      <c r="R18" s="42">
        <v>19.440000999999999</v>
      </c>
      <c r="S18" s="38">
        <f t="shared" si="3"/>
        <v>-0.24357975705915347</v>
      </c>
      <c r="U18" s="48">
        <v>43891</v>
      </c>
      <c r="V18" s="57">
        <v>14.01</v>
      </c>
      <c r="W18" s="38">
        <f t="shared" si="4"/>
        <v>-0.43071924296142861</v>
      </c>
      <c r="Y18" s="48">
        <v>43891</v>
      </c>
      <c r="Z18" s="42">
        <v>23.629999000000002</v>
      </c>
      <c r="AA18" s="38">
        <f t="shared" si="5"/>
        <v>-0.23129476252439807</v>
      </c>
    </row>
    <row r="19" spans="2:27" x14ac:dyDescent="0.2">
      <c r="B19" s="48">
        <v>43922</v>
      </c>
      <c r="C19" s="52">
        <v>419.85000600000001</v>
      </c>
      <c r="D19" s="38">
        <f t="shared" si="6"/>
        <v>0.1181092037283622</v>
      </c>
      <c r="F19" s="48">
        <v>43922</v>
      </c>
      <c r="G19" s="52">
        <v>2912.43</v>
      </c>
      <c r="H19" s="38">
        <f t="shared" si="7"/>
        <v>0.12684410293315374</v>
      </c>
      <c r="J19" t="s">
        <v>133</v>
      </c>
      <c r="K19" s="40">
        <f>2/3</f>
        <v>0.66666666666666663</v>
      </c>
      <c r="M19" s="48">
        <v>43922</v>
      </c>
      <c r="N19" s="52">
        <v>108.150002</v>
      </c>
      <c r="O19" s="38">
        <f t="shared" si="2"/>
        <v>0.11956526127464318</v>
      </c>
      <c r="Q19" s="48">
        <v>43922</v>
      </c>
      <c r="R19" s="42">
        <v>22.42</v>
      </c>
      <c r="S19" s="38">
        <f t="shared" si="3"/>
        <v>0.15329212174423268</v>
      </c>
      <c r="U19" s="48">
        <v>43922</v>
      </c>
      <c r="V19" s="57">
        <v>17.260000000000002</v>
      </c>
      <c r="W19" s="38">
        <f t="shared" si="4"/>
        <v>0.23197715917202011</v>
      </c>
      <c r="Y19" s="48">
        <v>43922</v>
      </c>
      <c r="Z19" s="42">
        <v>25.870000999999998</v>
      </c>
      <c r="AA19" s="38">
        <f t="shared" si="5"/>
        <v>9.4794841083150061E-2</v>
      </c>
    </row>
    <row r="20" spans="2:27" x14ac:dyDescent="0.2">
      <c r="B20" s="48">
        <v>43952</v>
      </c>
      <c r="C20" s="52">
        <v>419.73001099999999</v>
      </c>
      <c r="D20" s="38">
        <f t="shared" si="6"/>
        <v>-2.8580444988735021E-4</v>
      </c>
      <c r="F20" s="48">
        <v>43952</v>
      </c>
      <c r="G20" s="52">
        <v>3044.31</v>
      </c>
      <c r="H20" s="38">
        <f t="shared" si="7"/>
        <v>4.528177501261843E-2</v>
      </c>
      <c r="J20" t="s">
        <v>135</v>
      </c>
      <c r="K20">
        <v>1</v>
      </c>
      <c r="M20" s="48">
        <v>43952</v>
      </c>
      <c r="N20" s="52">
        <v>117.300003</v>
      </c>
      <c r="O20" s="38">
        <f t="shared" si="2"/>
        <v>8.4604723354512856E-2</v>
      </c>
      <c r="Q20" s="48">
        <v>43952</v>
      </c>
      <c r="R20" s="42">
        <v>21.75</v>
      </c>
      <c r="S20" s="38">
        <f t="shared" si="3"/>
        <v>-2.9884032114183889E-2</v>
      </c>
      <c r="U20" s="48">
        <v>43952</v>
      </c>
      <c r="V20" s="57">
        <v>20.74</v>
      </c>
      <c r="W20" s="38">
        <f t="shared" si="4"/>
        <v>0.20162224797218986</v>
      </c>
      <c r="Y20" s="48">
        <v>43952</v>
      </c>
      <c r="Z20" s="42">
        <v>29.17</v>
      </c>
      <c r="AA20" s="38">
        <f t="shared" si="5"/>
        <v>0.1275608377440729</v>
      </c>
    </row>
    <row r="21" spans="2:27" x14ac:dyDescent="0.2">
      <c r="B21" s="48">
        <v>43983</v>
      </c>
      <c r="C21" s="52">
        <v>455.040009</v>
      </c>
      <c r="D21" s="38">
        <f t="shared" si="6"/>
        <v>8.4125502286278131E-2</v>
      </c>
      <c r="F21" s="48">
        <v>43983</v>
      </c>
      <c r="G21" s="52">
        <v>3100.29</v>
      </c>
      <c r="H21" s="38">
        <f t="shared" si="7"/>
        <v>1.8388403283502663E-2</v>
      </c>
      <c r="J21" t="s">
        <v>134</v>
      </c>
      <c r="K21" s="41">
        <f>K20-K19</f>
        <v>0.33333333333333337</v>
      </c>
      <c r="M21" s="48">
        <v>43983</v>
      </c>
      <c r="N21" s="52">
        <v>111.510002</v>
      </c>
      <c r="O21" s="38">
        <f t="shared" si="2"/>
        <v>-4.9360621073470945E-2</v>
      </c>
      <c r="Q21" s="48">
        <v>43983</v>
      </c>
      <c r="R21" s="42">
        <v>21.1</v>
      </c>
      <c r="S21" s="38">
        <f t="shared" si="3"/>
        <v>-2.9885057471264354E-2</v>
      </c>
      <c r="U21" s="48">
        <v>43983</v>
      </c>
      <c r="V21" s="57">
        <v>23.32</v>
      </c>
      <c r="W21" s="38">
        <f t="shared" si="4"/>
        <v>0.12439729990356807</v>
      </c>
      <c r="Y21" s="48">
        <v>43983</v>
      </c>
      <c r="Z21" s="42">
        <v>26.82</v>
      </c>
      <c r="AA21" s="38">
        <f t="shared" si="5"/>
        <v>-8.0562221460404593E-2</v>
      </c>
    </row>
    <row r="22" spans="2:27" x14ac:dyDescent="0.2">
      <c r="B22" s="48">
        <v>44013</v>
      </c>
      <c r="C22" s="52">
        <v>488.88000499999998</v>
      </c>
      <c r="D22" s="38">
        <f t="shared" si="6"/>
        <v>7.4367078346291082E-2</v>
      </c>
      <c r="F22" s="48">
        <v>44013</v>
      </c>
      <c r="G22" s="52">
        <v>3271.12</v>
      </c>
      <c r="H22" s="38">
        <f t="shared" si="7"/>
        <v>5.5101296975444303E-2</v>
      </c>
      <c r="K22" s="44"/>
      <c r="M22" s="48">
        <v>44013</v>
      </c>
      <c r="N22" s="52">
        <v>116.94000200000001</v>
      </c>
      <c r="O22" s="38">
        <f t="shared" si="2"/>
        <v>4.8695183415026877E-2</v>
      </c>
      <c r="Q22" s="48">
        <v>44013</v>
      </c>
      <c r="R22" s="42">
        <v>21.1</v>
      </c>
      <c r="S22" s="38">
        <f t="shared" si="3"/>
        <v>0</v>
      </c>
      <c r="U22" s="48">
        <v>44013</v>
      </c>
      <c r="V22" s="57">
        <v>26.07</v>
      </c>
      <c r="W22" s="38">
        <f t="shared" si="4"/>
        <v>0.11792452830188682</v>
      </c>
      <c r="Y22" s="48">
        <v>44013</v>
      </c>
      <c r="Z22" s="42">
        <v>25.77</v>
      </c>
      <c r="AA22" s="38">
        <f t="shared" si="5"/>
        <v>-3.914988814317677E-2</v>
      </c>
    </row>
    <row r="23" spans="2:27" x14ac:dyDescent="0.2">
      <c r="B23" s="48">
        <v>44044</v>
      </c>
      <c r="C23" s="52">
        <v>529.55999799999995</v>
      </c>
      <c r="D23" s="38">
        <f t="shared" si="6"/>
        <v>8.3210588659685447E-2</v>
      </c>
      <c r="F23" s="48">
        <v>44044</v>
      </c>
      <c r="G23" s="52">
        <v>3500.31</v>
      </c>
      <c r="H23" s="38">
        <f t="shared" si="7"/>
        <v>7.0064687324219221E-2</v>
      </c>
      <c r="J23" s="45" t="s">
        <v>136</v>
      </c>
      <c r="K23" s="47">
        <f>(K18*K19)+(K20*K21)</f>
        <v>1.2700204494087002</v>
      </c>
      <c r="M23" s="48">
        <v>44044</v>
      </c>
      <c r="N23" s="52">
        <v>131.86999499999999</v>
      </c>
      <c r="O23" s="38">
        <f t="shared" si="2"/>
        <v>0.12767224854331705</v>
      </c>
      <c r="Q23" s="48">
        <v>44044</v>
      </c>
      <c r="R23" s="42">
        <v>22.07</v>
      </c>
      <c r="S23" s="38">
        <f t="shared" si="3"/>
        <v>4.5971563981042518E-2</v>
      </c>
      <c r="U23" s="48">
        <v>44044</v>
      </c>
      <c r="V23" s="57">
        <v>27.85</v>
      </c>
      <c r="W23" s="38">
        <f t="shared" si="4"/>
        <v>6.8277713847334054E-2</v>
      </c>
      <c r="Y23" s="48">
        <v>44044</v>
      </c>
      <c r="Z23" s="42">
        <v>27.860001</v>
      </c>
      <c r="AA23" s="38">
        <f t="shared" si="5"/>
        <v>8.1102095459837154E-2</v>
      </c>
    </row>
    <row r="24" spans="2:27" x14ac:dyDescent="0.2">
      <c r="B24" s="48">
        <v>44075</v>
      </c>
      <c r="C24" s="52">
        <v>500.02999899999998</v>
      </c>
      <c r="D24" s="38">
        <f t="shared" si="6"/>
        <v>-5.5763273494082832E-2</v>
      </c>
      <c r="F24" s="48">
        <v>44075</v>
      </c>
      <c r="G24" s="52">
        <v>3363</v>
      </c>
      <c r="H24" s="38">
        <f t="shared" si="7"/>
        <v>-3.9227954095494399E-2</v>
      </c>
      <c r="M24" s="48">
        <v>44075</v>
      </c>
      <c r="N24" s="52">
        <v>124.08000199999999</v>
      </c>
      <c r="O24" s="38">
        <f t="shared" si="2"/>
        <v>-5.9073278951743302E-2</v>
      </c>
      <c r="Q24" s="48">
        <v>44075</v>
      </c>
      <c r="R24" s="42">
        <v>21.77</v>
      </c>
      <c r="S24" s="38">
        <f t="shared" si="3"/>
        <v>-1.3593112822836484E-2</v>
      </c>
      <c r="U24" s="48">
        <v>44075</v>
      </c>
      <c r="V24" s="57">
        <v>28.01</v>
      </c>
      <c r="W24" s="38">
        <f t="shared" si="4"/>
        <v>5.7450628366246814E-3</v>
      </c>
      <c r="Y24" s="48">
        <v>44075</v>
      </c>
      <c r="Z24" s="42">
        <v>27.83</v>
      </c>
      <c r="AA24" s="38">
        <f t="shared" si="5"/>
        <v>-1.0768484897040187E-3</v>
      </c>
    </row>
    <row r="25" spans="2:27" x14ac:dyDescent="0.2">
      <c r="B25" s="48">
        <v>44105</v>
      </c>
      <c r="C25" s="52">
        <v>475.73998999999998</v>
      </c>
      <c r="D25" s="38">
        <f t="shared" si="6"/>
        <v>-4.8577103470945904E-2</v>
      </c>
      <c r="F25" s="48">
        <v>44105</v>
      </c>
      <c r="G25" s="52">
        <v>3269.96</v>
      </c>
      <c r="H25" s="38">
        <f t="shared" si="7"/>
        <v>-2.7665774606006499E-2</v>
      </c>
      <c r="J25" s="53" t="s">
        <v>141</v>
      </c>
      <c r="K25" s="54"/>
      <c r="M25" s="48">
        <v>44105</v>
      </c>
      <c r="N25" s="52">
        <v>121.25</v>
      </c>
      <c r="O25" s="38">
        <f t="shared" si="2"/>
        <v>-2.2807881643973515E-2</v>
      </c>
      <c r="Q25" s="48">
        <v>44105</v>
      </c>
      <c r="R25" s="42">
        <v>20.239999999999998</v>
      </c>
      <c r="S25" s="38">
        <f t="shared" si="3"/>
        <v>-7.0280202112999568E-2</v>
      </c>
      <c r="U25" s="48">
        <v>44105</v>
      </c>
      <c r="V25" s="57">
        <v>28.57</v>
      </c>
      <c r="W25" s="38">
        <f t="shared" si="4"/>
        <v>1.9992859692966825E-2</v>
      </c>
      <c r="Y25" s="48">
        <v>44105</v>
      </c>
      <c r="Z25" s="42">
        <v>26.52</v>
      </c>
      <c r="AA25" s="38">
        <f t="shared" si="5"/>
        <v>-4.7071505569529215E-2</v>
      </c>
    </row>
    <row r="26" spans="2:27" x14ac:dyDescent="0.2">
      <c r="B26" s="48">
        <v>44136</v>
      </c>
      <c r="C26" s="52">
        <v>490.70001200000002</v>
      </c>
      <c r="D26" s="38">
        <f t="shared" si="6"/>
        <v>3.1445794582036335E-2</v>
      </c>
      <c r="F26" s="48">
        <v>44136</v>
      </c>
      <c r="G26" s="52">
        <v>3621.63</v>
      </c>
      <c r="H26" s="38">
        <f t="shared" si="7"/>
        <v>0.10754565805086314</v>
      </c>
      <c r="J26" t="s">
        <v>132</v>
      </c>
      <c r="K26" s="39">
        <f>SLOPE(S11:S70,H11:H70)</f>
        <v>1.5496136449181581</v>
      </c>
      <c r="M26" s="48">
        <v>44136</v>
      </c>
      <c r="N26" s="52">
        <v>148.009995</v>
      </c>
      <c r="O26" s="38">
        <f t="shared" si="2"/>
        <v>0.22070098969072172</v>
      </c>
      <c r="Q26" s="48">
        <v>44136</v>
      </c>
      <c r="R26" s="42">
        <v>26.91</v>
      </c>
      <c r="S26" s="38">
        <f t="shared" si="3"/>
        <v>0.32954545454545459</v>
      </c>
      <c r="U26" s="48">
        <v>44136</v>
      </c>
      <c r="V26" s="57">
        <v>35.279998999999997</v>
      </c>
      <c r="W26" s="38">
        <f t="shared" si="4"/>
        <v>0.23486170808540408</v>
      </c>
      <c r="Y26" s="48">
        <v>44136</v>
      </c>
      <c r="Z26" s="42">
        <v>28.84</v>
      </c>
      <c r="AA26" s="38">
        <f t="shared" si="5"/>
        <v>8.7481146304675628E-2</v>
      </c>
    </row>
    <row r="27" spans="2:27" x14ac:dyDescent="0.2">
      <c r="B27" s="48">
        <v>44166</v>
      </c>
      <c r="C27" s="52">
        <v>540.72997999999995</v>
      </c>
      <c r="D27" s="38">
        <f t="shared" si="6"/>
        <v>0.10195632112599151</v>
      </c>
      <c r="F27" s="48">
        <v>44166</v>
      </c>
      <c r="G27" s="52">
        <v>3756.07</v>
      </c>
      <c r="H27" s="38">
        <f t="shared" si="7"/>
        <v>3.712140665943231E-2</v>
      </c>
      <c r="J27" t="s">
        <v>133</v>
      </c>
      <c r="K27" s="40">
        <f>2/3</f>
        <v>0.66666666666666663</v>
      </c>
      <c r="M27" s="48">
        <v>44166</v>
      </c>
      <c r="N27" s="52">
        <v>181.179993</v>
      </c>
      <c r="O27" s="38">
        <f t="shared" si="2"/>
        <v>0.22410647334999223</v>
      </c>
      <c r="Q27" s="48">
        <v>44166</v>
      </c>
      <c r="R27" s="42">
        <v>30.09</v>
      </c>
      <c r="S27" s="38">
        <f t="shared" si="3"/>
        <v>0.11817168338907469</v>
      </c>
      <c r="U27" s="48">
        <v>44166</v>
      </c>
      <c r="V27" s="57">
        <v>37.259998000000003</v>
      </c>
      <c r="W27" s="38">
        <f t="shared" si="4"/>
        <v>5.6122422225692414E-2</v>
      </c>
      <c r="Y27" s="48">
        <v>44166</v>
      </c>
      <c r="Z27" s="42">
        <v>29.120000999999998</v>
      </c>
      <c r="AA27" s="38">
        <f t="shared" si="5"/>
        <v>9.708772538141508E-3</v>
      </c>
    </row>
    <row r="28" spans="2:27" x14ac:dyDescent="0.2">
      <c r="B28" s="48">
        <v>44197</v>
      </c>
      <c r="C28" s="52">
        <v>532.39001499999995</v>
      </c>
      <c r="D28" s="38">
        <f t="shared" si="6"/>
        <v>-1.542352987344997E-2</v>
      </c>
      <c r="F28" s="48">
        <v>44197</v>
      </c>
      <c r="G28" s="52">
        <v>3714.24</v>
      </c>
      <c r="H28" s="38">
        <f t="shared" si="7"/>
        <v>-1.1136640158463607E-2</v>
      </c>
      <c r="J28" t="s">
        <v>135</v>
      </c>
      <c r="K28">
        <v>1</v>
      </c>
      <c r="M28" s="48">
        <v>44197</v>
      </c>
      <c r="N28" s="52">
        <v>168.16999799999999</v>
      </c>
      <c r="O28" s="38">
        <f t="shared" si="2"/>
        <v>-7.180701789739008E-2</v>
      </c>
      <c r="Q28" s="48">
        <v>44197</v>
      </c>
      <c r="R28" s="42">
        <v>41.419998</v>
      </c>
      <c r="S28" s="38">
        <f t="shared" si="3"/>
        <v>0.37653698903290134</v>
      </c>
      <c r="U28" s="48">
        <v>44197</v>
      </c>
      <c r="V28" s="57">
        <v>48.5</v>
      </c>
      <c r="W28" s="38">
        <f t="shared" si="4"/>
        <v>0.30166405269264907</v>
      </c>
      <c r="Y28" s="48">
        <v>44197</v>
      </c>
      <c r="Z28" s="42">
        <v>31.18</v>
      </c>
      <c r="AA28" s="38">
        <f t="shared" si="5"/>
        <v>7.0741721471781593E-2</v>
      </c>
    </row>
    <row r="29" spans="2:27" x14ac:dyDescent="0.2">
      <c r="B29" s="48">
        <v>44228</v>
      </c>
      <c r="C29" s="52">
        <v>538.84997599999997</v>
      </c>
      <c r="D29" s="38">
        <f t="shared" si="6"/>
        <v>1.2133888348751176E-2</v>
      </c>
      <c r="F29" s="48">
        <v>44228</v>
      </c>
      <c r="G29" s="52">
        <v>3811.15</v>
      </c>
      <c r="H29" s="38">
        <f t="shared" si="7"/>
        <v>2.6091474971999817E-2</v>
      </c>
      <c r="J29" t="s">
        <v>134</v>
      </c>
      <c r="K29" s="41">
        <f>K28-K27</f>
        <v>0.33333333333333337</v>
      </c>
      <c r="M29" s="48">
        <v>44228</v>
      </c>
      <c r="N29" s="52">
        <v>189.03999300000001</v>
      </c>
      <c r="O29" s="38">
        <f t="shared" si="2"/>
        <v>0.12410058421954684</v>
      </c>
      <c r="Q29" s="48">
        <v>44228</v>
      </c>
      <c r="R29" s="42">
        <v>53.029998999999997</v>
      </c>
      <c r="S29" s="38">
        <f t="shared" si="3"/>
        <v>0.28029940996134273</v>
      </c>
      <c r="U29" s="48">
        <v>44228</v>
      </c>
      <c r="V29" s="57">
        <v>64.489998</v>
      </c>
      <c r="W29" s="38">
        <f t="shared" si="4"/>
        <v>0.32969068041237115</v>
      </c>
      <c r="Y29" s="48">
        <v>44228</v>
      </c>
      <c r="Z29" s="42">
        <v>33.310001</v>
      </c>
      <c r="AA29" s="38">
        <f t="shared" si="5"/>
        <v>6.8313053239255961E-2</v>
      </c>
    </row>
    <row r="30" spans="2:27" x14ac:dyDescent="0.2">
      <c r="B30" s="48">
        <v>44256</v>
      </c>
      <c r="C30" s="52">
        <v>521.65997300000004</v>
      </c>
      <c r="D30" s="38">
        <f t="shared" si="6"/>
        <v>-3.1901278214030993E-2</v>
      </c>
      <c r="F30" s="48">
        <v>44256</v>
      </c>
      <c r="G30" s="52">
        <v>3972.89</v>
      </c>
      <c r="H30" s="38">
        <f t="shared" si="7"/>
        <v>4.2438634008107767E-2</v>
      </c>
      <c r="K30" s="44"/>
      <c r="M30" s="48">
        <v>44256</v>
      </c>
      <c r="N30" s="52">
        <v>184.520004</v>
      </c>
      <c r="O30" s="38">
        <f t="shared" si="2"/>
        <v>-2.3910226234509113E-2</v>
      </c>
      <c r="Q30" s="48">
        <v>44256</v>
      </c>
      <c r="R30" s="42">
        <v>43.459999000000003</v>
      </c>
      <c r="S30" s="38">
        <f t="shared" si="3"/>
        <v>-0.18046389176812905</v>
      </c>
      <c r="U30" s="48">
        <v>44256</v>
      </c>
      <c r="V30" s="57">
        <v>45.099997999999999</v>
      </c>
      <c r="W30" s="38">
        <f t="shared" si="4"/>
        <v>-0.30066677936631347</v>
      </c>
      <c r="Y30" s="48">
        <v>44256</v>
      </c>
      <c r="Z30" s="42">
        <v>36.110000999999997</v>
      </c>
      <c r="AA30" s="38">
        <f t="shared" si="5"/>
        <v>8.4058838665300506E-2</v>
      </c>
    </row>
    <row r="31" spans="2:27" x14ac:dyDescent="0.2">
      <c r="B31" s="48">
        <v>44287</v>
      </c>
      <c r="C31" s="52">
        <v>513.46997099999999</v>
      </c>
      <c r="D31" s="38">
        <f t="shared" si="6"/>
        <v>-1.5699885795148139E-2</v>
      </c>
      <c r="F31" s="48">
        <v>44287</v>
      </c>
      <c r="G31" s="52">
        <v>4181.17</v>
      </c>
      <c r="H31" s="38">
        <f t="shared" si="7"/>
        <v>5.242531255584737E-2</v>
      </c>
      <c r="J31" s="45" t="s">
        <v>136</v>
      </c>
      <c r="K31" s="47">
        <f>(K26*K27)+(K28*K29)</f>
        <v>1.3664090966121054</v>
      </c>
      <c r="M31" s="48">
        <v>44287</v>
      </c>
      <c r="N31" s="52">
        <v>186.020004</v>
      </c>
      <c r="O31" s="38">
        <f t="shared" si="2"/>
        <v>8.1291999104877721E-3</v>
      </c>
      <c r="Q31" s="48">
        <v>44287</v>
      </c>
      <c r="R31" s="42">
        <v>37.659999999999997</v>
      </c>
      <c r="S31" s="38">
        <f t="shared" si="3"/>
        <v>-0.13345603160276198</v>
      </c>
      <c r="U31" s="48">
        <v>44287</v>
      </c>
      <c r="V31" s="57">
        <v>41.02</v>
      </c>
      <c r="W31" s="38">
        <f t="shared" si="4"/>
        <v>-9.0465591594926398E-2</v>
      </c>
      <c r="Y31" s="48">
        <v>44287</v>
      </c>
      <c r="Z31" s="42">
        <v>37.419998</v>
      </c>
      <c r="AA31" s="38">
        <f t="shared" si="5"/>
        <v>3.6277955240156423E-2</v>
      </c>
    </row>
    <row r="32" spans="2:27" x14ac:dyDescent="0.2">
      <c r="B32" s="48">
        <v>44317</v>
      </c>
      <c r="C32" s="52">
        <v>502.80999800000001</v>
      </c>
      <c r="D32" s="38">
        <f t="shared" si="6"/>
        <v>-2.0760655154262175E-2</v>
      </c>
      <c r="F32" s="48">
        <v>44317</v>
      </c>
      <c r="G32" s="52">
        <v>4204.1099999999997</v>
      </c>
      <c r="H32" s="38">
        <f t="shared" si="7"/>
        <v>5.4865025818131574E-3</v>
      </c>
      <c r="M32" s="48">
        <v>44317</v>
      </c>
      <c r="N32" s="52">
        <v>178.64999399999999</v>
      </c>
      <c r="O32" s="38">
        <f t="shared" si="2"/>
        <v>-3.9619448669617308E-2</v>
      </c>
      <c r="Q32" s="48">
        <v>44317</v>
      </c>
      <c r="R32" s="42">
        <v>32.110000999999997</v>
      </c>
      <c r="S32" s="38">
        <f t="shared" si="3"/>
        <v>-0.14737118959107809</v>
      </c>
      <c r="U32" s="48">
        <v>44317</v>
      </c>
      <c r="V32" s="57">
        <v>42.419998</v>
      </c>
      <c r="W32" s="38">
        <f t="shared" si="4"/>
        <v>3.4129644076060339E-2</v>
      </c>
      <c r="Y32" s="48">
        <v>44317</v>
      </c>
      <c r="Z32" s="42">
        <v>37.349997999999999</v>
      </c>
      <c r="AA32" s="38">
        <f t="shared" si="5"/>
        <v>-1.8706575024403094E-3</v>
      </c>
    </row>
    <row r="33" spans="2:27" x14ac:dyDescent="0.2">
      <c r="B33" s="48">
        <v>44348</v>
      </c>
      <c r="C33" s="52">
        <v>528.21002199999998</v>
      </c>
      <c r="D33" s="38">
        <f t="shared" si="6"/>
        <v>5.0516147453376625E-2</v>
      </c>
      <c r="F33" s="48">
        <v>44348</v>
      </c>
      <c r="G33" s="52">
        <v>4297.5</v>
      </c>
      <c r="H33" s="38">
        <f t="shared" si="7"/>
        <v>2.221397632316946E-2</v>
      </c>
      <c r="J33" s="53" t="s">
        <v>146</v>
      </c>
      <c r="K33" s="54"/>
      <c r="M33" s="48">
        <v>44348</v>
      </c>
      <c r="N33" s="52">
        <v>175.770004</v>
      </c>
      <c r="O33" s="38">
        <f t="shared" si="2"/>
        <v>-1.6120851367059097E-2</v>
      </c>
      <c r="Q33" s="48">
        <v>44348</v>
      </c>
      <c r="R33" s="42">
        <v>30.68</v>
      </c>
      <c r="S33" s="38">
        <f t="shared" si="3"/>
        <v>-4.4534442711477884E-2</v>
      </c>
      <c r="U33" s="48">
        <v>44348</v>
      </c>
      <c r="V33" s="57">
        <v>45.200001</v>
      </c>
      <c r="W33" s="38">
        <f t="shared" si="4"/>
        <v>6.5535198752249002E-2</v>
      </c>
      <c r="Y33" s="48">
        <v>44348</v>
      </c>
      <c r="Z33" s="42">
        <v>37.130001</v>
      </c>
      <c r="AA33" s="38">
        <f t="shared" si="5"/>
        <v>-5.8901475710921858E-3</v>
      </c>
    </row>
    <row r="34" spans="2:27" x14ac:dyDescent="0.2">
      <c r="B34" s="48">
        <v>44378</v>
      </c>
      <c r="C34" s="52">
        <v>517.57000700000003</v>
      </c>
      <c r="D34" s="38">
        <f t="shared" si="6"/>
        <v>-2.0143531089608757E-2</v>
      </c>
      <c r="F34" s="48">
        <v>44378</v>
      </c>
      <c r="G34" s="52">
        <v>4395.26</v>
      </c>
      <c r="H34" s="38">
        <f t="shared" si="7"/>
        <v>2.274810936591054E-2</v>
      </c>
      <c r="J34" t="s">
        <v>132</v>
      </c>
      <c r="K34" s="39">
        <f>SLOPE(W11:W70,H11:H70)</f>
        <v>1.819576824180223</v>
      </c>
      <c r="M34" s="48">
        <v>44378</v>
      </c>
      <c r="N34" s="52">
        <v>176.020004</v>
      </c>
      <c r="O34" s="38">
        <f t="shared" si="2"/>
        <v>1.4223132179025377E-3</v>
      </c>
      <c r="Q34" s="48">
        <v>44378</v>
      </c>
      <c r="R34" s="42">
        <v>29.01</v>
      </c>
      <c r="S34" s="38">
        <f t="shared" si="3"/>
        <v>-5.4432855280312831E-2</v>
      </c>
      <c r="U34" s="48">
        <v>44378</v>
      </c>
      <c r="V34" s="57">
        <v>40.93</v>
      </c>
      <c r="W34" s="38">
        <f t="shared" si="4"/>
        <v>-9.4469046582543181E-2</v>
      </c>
      <c r="Y34" s="48">
        <v>44378</v>
      </c>
      <c r="Z34" s="42">
        <v>35.659999999999997</v>
      </c>
      <c r="AA34" s="38">
        <f t="shared" si="5"/>
        <v>-3.9590653391040953E-2</v>
      </c>
    </row>
    <row r="35" spans="2:27" x14ac:dyDescent="0.2">
      <c r="B35" s="48">
        <v>44409</v>
      </c>
      <c r="C35" s="52">
        <v>569.19000200000005</v>
      </c>
      <c r="D35" s="38">
        <f t="shared" si="6"/>
        <v>9.9735290495687412E-2</v>
      </c>
      <c r="F35" s="48">
        <v>44409</v>
      </c>
      <c r="G35" s="52">
        <v>4522.68</v>
      </c>
      <c r="H35" s="38">
        <f t="shared" si="7"/>
        <v>2.8990321391681118E-2</v>
      </c>
      <c r="J35" t="s">
        <v>133</v>
      </c>
      <c r="K35" s="40">
        <f>2/3</f>
        <v>0.66666666666666663</v>
      </c>
      <c r="M35" s="48">
        <v>44409</v>
      </c>
      <c r="N35" s="52">
        <v>181.300003</v>
      </c>
      <c r="O35" s="38">
        <f t="shared" si="2"/>
        <v>2.9996584933607906E-2</v>
      </c>
      <c r="Q35" s="48">
        <v>44409</v>
      </c>
      <c r="R35" s="42">
        <v>28.84</v>
      </c>
      <c r="S35" s="38">
        <f t="shared" si="3"/>
        <v>-5.8600482592210401E-3</v>
      </c>
      <c r="U35" s="48">
        <v>44409</v>
      </c>
      <c r="V35" s="57">
        <v>41.450001</v>
      </c>
      <c r="W35" s="38">
        <f t="shared" si="4"/>
        <v>1.2704642071829975E-2</v>
      </c>
      <c r="Y35" s="48">
        <v>44409</v>
      </c>
      <c r="Z35" s="42">
        <v>37.439999</v>
      </c>
      <c r="AA35" s="38">
        <f t="shared" si="5"/>
        <v>4.9915844083006311E-2</v>
      </c>
    </row>
    <row r="36" spans="2:27" x14ac:dyDescent="0.2">
      <c r="B36" s="48">
        <v>44440</v>
      </c>
      <c r="C36" s="52">
        <v>610.34002699999996</v>
      </c>
      <c r="D36" s="38">
        <f t="shared" si="6"/>
        <v>7.2295762145168307E-2</v>
      </c>
      <c r="F36" s="48">
        <v>44440</v>
      </c>
      <c r="G36" s="52">
        <v>4307.54</v>
      </c>
      <c r="H36" s="38">
        <f t="shared" si="7"/>
        <v>-4.7569140421166334E-2</v>
      </c>
      <c r="J36" t="s">
        <v>135</v>
      </c>
      <c r="K36">
        <v>1</v>
      </c>
      <c r="M36" s="48">
        <v>44440</v>
      </c>
      <c r="N36" s="52">
        <v>169.16999799999999</v>
      </c>
      <c r="O36" s="38">
        <f t="shared" si="2"/>
        <v>-6.6905707662895164E-2</v>
      </c>
      <c r="Q36" s="48">
        <v>44440</v>
      </c>
      <c r="R36" s="42">
        <v>25.379999000000002</v>
      </c>
      <c r="S36" s="38">
        <f t="shared" si="3"/>
        <v>-0.11997229542302357</v>
      </c>
      <c r="U36" s="48">
        <v>44440</v>
      </c>
      <c r="V36" s="57">
        <v>39.509998000000003</v>
      </c>
      <c r="W36" s="38">
        <f t="shared" si="4"/>
        <v>-4.6803448810531889E-2</v>
      </c>
      <c r="Y36" s="48">
        <v>44440</v>
      </c>
      <c r="Z36" s="42">
        <v>40.110000999999997</v>
      </c>
      <c r="AA36" s="38">
        <f t="shared" si="5"/>
        <v>7.1314157887664376E-2</v>
      </c>
    </row>
    <row r="37" spans="2:27" x14ac:dyDescent="0.2">
      <c r="B37" s="48">
        <v>44470</v>
      </c>
      <c r="C37" s="52">
        <v>690.30999799999995</v>
      </c>
      <c r="D37" s="38">
        <f t="shared" si="6"/>
        <v>0.13102527683310528</v>
      </c>
      <c r="F37" s="48">
        <v>44470</v>
      </c>
      <c r="G37" s="52">
        <v>4605.38</v>
      </c>
      <c r="H37" s="38">
        <f t="shared" si="7"/>
        <v>6.9143873301234615E-2</v>
      </c>
      <c r="J37" t="s">
        <v>134</v>
      </c>
      <c r="K37" s="41">
        <f>K36-K35</f>
        <v>0.33333333333333337</v>
      </c>
      <c r="M37" s="48">
        <v>44470</v>
      </c>
      <c r="N37" s="52">
        <v>169.070007</v>
      </c>
      <c r="O37" s="38">
        <f t="shared" si="2"/>
        <v>-5.9106816328025058E-4</v>
      </c>
      <c r="Q37" s="48">
        <v>44470</v>
      </c>
      <c r="R37" s="42">
        <v>23.440000999999999</v>
      </c>
      <c r="S37" s="38">
        <f t="shared" si="3"/>
        <v>-7.6438064477465262E-2</v>
      </c>
      <c r="U37" s="48">
        <v>44470</v>
      </c>
      <c r="V37" s="57">
        <v>36.220001000000003</v>
      </c>
      <c r="W37" s="38">
        <f t="shared" si="4"/>
        <v>-8.3269986498101023E-2</v>
      </c>
      <c r="Y37" s="48">
        <v>44470</v>
      </c>
      <c r="Z37" s="42">
        <v>39.740001999999997</v>
      </c>
      <c r="AA37" s="38">
        <f t="shared" si="5"/>
        <v>-9.2246070998601715E-3</v>
      </c>
    </row>
    <row r="38" spans="2:27" x14ac:dyDescent="0.2">
      <c r="B38" s="48">
        <v>44501</v>
      </c>
      <c r="C38" s="52">
        <v>641.90002400000003</v>
      </c>
      <c r="D38" s="38">
        <f t="shared" si="6"/>
        <v>-7.0127876085028018E-2</v>
      </c>
      <c r="F38" s="48">
        <v>44501</v>
      </c>
      <c r="G38" s="52">
        <v>4607</v>
      </c>
      <c r="H38" s="38">
        <f t="shared" si="7"/>
        <v>3.5176250385426933E-4</v>
      </c>
      <c r="K38" s="44"/>
      <c r="M38" s="48">
        <v>44501</v>
      </c>
      <c r="N38" s="52">
        <v>144.89999399999999</v>
      </c>
      <c r="O38" s="38">
        <f t="shared" si="2"/>
        <v>-0.14295860885603451</v>
      </c>
      <c r="Q38" s="48">
        <v>44501</v>
      </c>
      <c r="R38" s="42">
        <v>23.27</v>
      </c>
      <c r="S38" s="38">
        <f t="shared" si="3"/>
        <v>-7.2526020796671586E-3</v>
      </c>
      <c r="U38" s="48">
        <v>44501</v>
      </c>
      <c r="V38" s="57">
        <v>30.950001</v>
      </c>
      <c r="W38" s="38">
        <f t="shared" si="4"/>
        <v>-0.14549971989233246</v>
      </c>
      <c r="Y38" s="48">
        <v>44501</v>
      </c>
      <c r="Z38" s="42">
        <v>35.709999000000003</v>
      </c>
      <c r="AA38" s="38">
        <f t="shared" si="5"/>
        <v>-0.10140922992404466</v>
      </c>
    </row>
    <row r="39" spans="2:27" x14ac:dyDescent="0.2">
      <c r="B39" s="48">
        <v>44531</v>
      </c>
      <c r="C39" s="52">
        <v>602.44000200000005</v>
      </c>
      <c r="D39" s="38">
        <f t="shared" si="6"/>
        <v>-6.1473781780073566E-2</v>
      </c>
      <c r="F39" s="48">
        <v>44531</v>
      </c>
      <c r="G39" s="52">
        <v>4766.18</v>
      </c>
      <c r="H39" s="38">
        <f t="shared" si="7"/>
        <v>3.4551769047102221E-2</v>
      </c>
      <c r="J39" s="45" t="s">
        <v>136</v>
      </c>
      <c r="K39" s="47">
        <f>(K34*K35)+(K36*K37)</f>
        <v>1.546384549453482</v>
      </c>
      <c r="M39" s="48">
        <v>44531</v>
      </c>
      <c r="N39" s="52">
        <v>154.88999899999999</v>
      </c>
      <c r="O39" s="38">
        <f t="shared" si="2"/>
        <v>6.8944136740267892E-2</v>
      </c>
      <c r="Q39" s="48">
        <v>44531</v>
      </c>
      <c r="R39" s="42">
        <v>23.540001</v>
      </c>
      <c r="S39" s="38">
        <f t="shared" si="3"/>
        <v>1.1602965191233272E-2</v>
      </c>
      <c r="U39" s="48">
        <v>44531</v>
      </c>
      <c r="V39" s="57">
        <v>30.18</v>
      </c>
      <c r="W39" s="38">
        <f t="shared" si="4"/>
        <v>-2.4878868339939686E-2</v>
      </c>
      <c r="Y39" s="48">
        <v>44531</v>
      </c>
      <c r="Z39" s="42">
        <v>36.900002000000001</v>
      </c>
      <c r="AA39" s="38">
        <f t="shared" si="5"/>
        <v>3.3324083823133011E-2</v>
      </c>
    </row>
    <row r="40" spans="2:27" x14ac:dyDescent="0.2">
      <c r="B40" s="48">
        <v>44562</v>
      </c>
      <c r="C40" s="52">
        <v>427.14001500000001</v>
      </c>
      <c r="D40" s="38">
        <f t="shared" si="6"/>
        <v>-0.29098331189501592</v>
      </c>
      <c r="F40" s="48">
        <v>44562</v>
      </c>
      <c r="G40" s="52">
        <v>4515.55</v>
      </c>
      <c r="H40" s="38">
        <f t="shared" si="7"/>
        <v>-5.2585089106999772E-2</v>
      </c>
      <c r="M40" s="48">
        <v>44562</v>
      </c>
      <c r="N40" s="52">
        <v>142.970001</v>
      </c>
      <c r="O40" s="38">
        <f t="shared" si="2"/>
        <v>-7.6957828632951308E-2</v>
      </c>
      <c r="Q40" s="48">
        <v>44562</v>
      </c>
      <c r="R40" s="42">
        <v>27.91</v>
      </c>
      <c r="S40" s="38">
        <f t="shared" si="3"/>
        <v>0.18564141097530107</v>
      </c>
      <c r="U40" s="48">
        <v>44562</v>
      </c>
      <c r="V40" s="57">
        <v>33.450001</v>
      </c>
      <c r="W40" s="38">
        <f t="shared" si="4"/>
        <v>0.1083499337309477</v>
      </c>
      <c r="Y40" s="48">
        <v>44562</v>
      </c>
      <c r="Z40" s="42">
        <v>40.610000999999997</v>
      </c>
      <c r="AA40" s="38">
        <f t="shared" si="5"/>
        <v>0.1005419728703536</v>
      </c>
    </row>
    <row r="41" spans="2:27" x14ac:dyDescent="0.2">
      <c r="B41" s="48">
        <v>44593</v>
      </c>
      <c r="C41" s="52">
        <v>394.51998900000001</v>
      </c>
      <c r="D41" s="38">
        <f t="shared" si="6"/>
        <v>-7.6368461990150904E-2</v>
      </c>
      <c r="F41" s="48">
        <v>44593</v>
      </c>
      <c r="G41" s="52">
        <v>4373.9399999999996</v>
      </c>
      <c r="H41" s="38">
        <f t="shared" si="7"/>
        <v>-3.1360520866782648E-2</v>
      </c>
      <c r="J41" s="53" t="s">
        <v>145</v>
      </c>
      <c r="K41" s="54"/>
      <c r="M41" s="48">
        <v>44593</v>
      </c>
      <c r="N41" s="52">
        <v>148.46000699999999</v>
      </c>
      <c r="O41" s="38">
        <f t="shared" si="2"/>
        <v>3.8399705963490849E-2</v>
      </c>
      <c r="Q41" s="48">
        <v>44593</v>
      </c>
      <c r="R41" s="42">
        <v>28.049999</v>
      </c>
      <c r="S41" s="38">
        <f t="shared" si="3"/>
        <v>5.0160874238625031E-3</v>
      </c>
      <c r="U41" s="48">
        <v>44593</v>
      </c>
      <c r="V41" s="57">
        <v>30.610001</v>
      </c>
      <c r="W41" s="38">
        <f t="shared" si="4"/>
        <v>-8.4902837521589336E-2</v>
      </c>
      <c r="Y41" s="48">
        <v>44593</v>
      </c>
      <c r="Z41" s="42">
        <v>41.830002</v>
      </c>
      <c r="AA41" s="38">
        <f t="shared" si="5"/>
        <v>3.0041885495151854E-2</v>
      </c>
    </row>
    <row r="42" spans="2:27" x14ac:dyDescent="0.2">
      <c r="B42" s="48">
        <v>44621</v>
      </c>
      <c r="C42" s="52">
        <v>374.58999599999999</v>
      </c>
      <c r="D42" s="38">
        <f t="shared" si="6"/>
        <v>-5.0517067716941533E-2</v>
      </c>
      <c r="F42" s="48">
        <v>44621</v>
      </c>
      <c r="G42" s="52">
        <v>4530.41</v>
      </c>
      <c r="H42" s="38">
        <f t="shared" si="7"/>
        <v>3.5773238773280092E-2</v>
      </c>
      <c r="J42" t="s">
        <v>132</v>
      </c>
      <c r="K42" s="39">
        <f>SLOPE(AA11:AA70,H11:H70)</f>
        <v>0.79841923290226491</v>
      </c>
      <c r="M42" s="48">
        <v>44621</v>
      </c>
      <c r="N42" s="52">
        <v>137.16000399999999</v>
      </c>
      <c r="O42" s="38">
        <f t="shared" si="2"/>
        <v>-7.6114795010079783E-2</v>
      </c>
      <c r="Q42" s="48">
        <v>44621</v>
      </c>
      <c r="R42" s="42">
        <v>24.92</v>
      </c>
      <c r="S42" s="38">
        <f t="shared" si="3"/>
        <v>-0.11158642109042494</v>
      </c>
      <c r="U42" s="48">
        <v>44621</v>
      </c>
      <c r="V42" s="57">
        <v>37.810001</v>
      </c>
      <c r="W42" s="38">
        <f t="shared" si="4"/>
        <v>0.2352172415806193</v>
      </c>
      <c r="Y42" s="48">
        <v>44621</v>
      </c>
      <c r="Z42" s="42">
        <v>39.450001</v>
      </c>
      <c r="AA42" s="38">
        <f t="shared" si="5"/>
        <v>-5.6896985087402152E-2</v>
      </c>
    </row>
    <row r="43" spans="2:27" x14ac:dyDescent="0.2">
      <c r="B43" s="48">
        <v>44652</v>
      </c>
      <c r="C43" s="52">
        <v>190.36000100000001</v>
      </c>
      <c r="D43" s="38">
        <f t="shared" si="6"/>
        <v>-0.49181771261184448</v>
      </c>
      <c r="F43" s="48">
        <v>44652</v>
      </c>
      <c r="G43" s="52">
        <v>4131.93</v>
      </c>
      <c r="H43" s="38">
        <f t="shared" si="7"/>
        <v>-8.7956719149039353E-2</v>
      </c>
      <c r="J43" t="s">
        <v>133</v>
      </c>
      <c r="K43" s="40">
        <f>2/3</f>
        <v>0.66666666666666663</v>
      </c>
      <c r="M43" s="48">
        <v>44652</v>
      </c>
      <c r="N43" s="52">
        <v>111.629997</v>
      </c>
      <c r="O43" s="38">
        <f t="shared" si="2"/>
        <v>-0.18613302898416351</v>
      </c>
      <c r="Q43" s="48">
        <v>44652</v>
      </c>
      <c r="R43" s="42">
        <v>18.149999999999999</v>
      </c>
      <c r="S43" s="38">
        <f t="shared" si="3"/>
        <v>-0.27166934189406111</v>
      </c>
      <c r="U43" s="48">
        <v>44652</v>
      </c>
      <c r="V43" s="57">
        <v>29.120000999999998</v>
      </c>
      <c r="W43" s="38">
        <f t="shared" si="4"/>
        <v>-0.22983337133474291</v>
      </c>
      <c r="Y43" s="48">
        <v>44652</v>
      </c>
      <c r="Z43" s="42">
        <v>35.840000000000003</v>
      </c>
      <c r="AA43" s="38">
        <f t="shared" si="5"/>
        <v>-9.1508261305240479E-2</v>
      </c>
    </row>
    <row r="44" spans="2:27" x14ac:dyDescent="0.2">
      <c r="B44" s="48">
        <v>44682</v>
      </c>
      <c r="C44" s="52">
        <v>197.44000199999999</v>
      </c>
      <c r="D44" s="38">
        <f t="shared" si="6"/>
        <v>3.7192692597222576E-2</v>
      </c>
      <c r="F44" s="48">
        <v>44682</v>
      </c>
      <c r="G44" s="52">
        <v>4132.1499999999996</v>
      </c>
      <c r="H44" s="38">
        <f t="shared" si="7"/>
        <v>5.3243883608722342E-5</v>
      </c>
      <c r="J44" t="s">
        <v>135</v>
      </c>
      <c r="K44">
        <v>1</v>
      </c>
      <c r="M44" s="48">
        <v>44682</v>
      </c>
      <c r="N44" s="52">
        <v>110.44000200000001</v>
      </c>
      <c r="O44" s="38">
        <f t="shared" si="2"/>
        <v>-1.0660172283261771E-2</v>
      </c>
      <c r="Q44" s="48">
        <v>44682</v>
      </c>
      <c r="R44" s="42">
        <v>18.450001</v>
      </c>
      <c r="S44" s="38">
        <f t="shared" si="3"/>
        <v>1.6528980716253638E-2</v>
      </c>
      <c r="U44" s="48">
        <v>44682</v>
      </c>
      <c r="V44" s="57">
        <v>34.330002</v>
      </c>
      <c r="W44" s="38">
        <f t="shared" si="4"/>
        <v>0.17891486336144014</v>
      </c>
      <c r="Y44" s="48">
        <v>44682</v>
      </c>
      <c r="Z44" s="42">
        <v>35.509998000000003</v>
      </c>
      <c r="AA44" s="38">
        <f t="shared" si="5"/>
        <v>-9.207645089285732E-3</v>
      </c>
    </row>
    <row r="45" spans="2:27" x14ac:dyDescent="0.2">
      <c r="B45" s="48">
        <v>44713</v>
      </c>
      <c r="C45" s="52">
        <v>174.86999499999999</v>
      </c>
      <c r="D45" s="38">
        <f t="shared" si="6"/>
        <v>-0.11431324337202953</v>
      </c>
      <c r="F45" s="48">
        <v>44713</v>
      </c>
      <c r="G45" s="52">
        <v>3785.38</v>
      </c>
      <c r="H45" s="38">
        <f t="shared" si="7"/>
        <v>-8.3919993223866451E-2</v>
      </c>
      <c r="J45" t="s">
        <v>134</v>
      </c>
      <c r="K45" s="41">
        <f>K44-K43</f>
        <v>0.33333333333333337</v>
      </c>
      <c r="M45" s="48">
        <v>44713</v>
      </c>
      <c r="N45" s="52">
        <v>94.400002000000001</v>
      </c>
      <c r="O45" s="38">
        <f t="shared" si="2"/>
        <v>-0.14523723025647906</v>
      </c>
      <c r="Q45" s="48">
        <v>44713</v>
      </c>
      <c r="R45" s="42">
        <v>13.42</v>
      </c>
      <c r="S45" s="38">
        <f t="shared" si="3"/>
        <v>-0.272628765711178</v>
      </c>
      <c r="U45" s="48">
        <v>44713</v>
      </c>
      <c r="V45" s="57">
        <v>24.68</v>
      </c>
      <c r="W45" s="38">
        <f t="shared" si="4"/>
        <v>-0.28109529384822063</v>
      </c>
      <c r="Y45" s="48">
        <v>44713</v>
      </c>
      <c r="Z45" s="42">
        <v>32.159999999999997</v>
      </c>
      <c r="AA45" s="38">
        <f t="shared" si="5"/>
        <v>-9.4339571632755526E-2</v>
      </c>
    </row>
    <row r="46" spans="2:27" x14ac:dyDescent="0.2">
      <c r="B46" s="48">
        <v>44743</v>
      </c>
      <c r="C46" s="52">
        <v>224.89999399999999</v>
      </c>
      <c r="D46" s="38">
        <f t="shared" si="6"/>
        <v>0.28609824687191199</v>
      </c>
      <c r="F46" s="48">
        <v>44743</v>
      </c>
      <c r="G46" s="52">
        <v>4130.29</v>
      </c>
      <c r="H46" s="38">
        <f t="shared" si="7"/>
        <v>9.1116347632205885E-2</v>
      </c>
      <c r="K46" s="44"/>
      <c r="M46" s="48">
        <v>44743</v>
      </c>
      <c r="N46" s="52">
        <v>106.099998</v>
      </c>
      <c r="O46" s="38">
        <f t="shared" si="2"/>
        <v>0.12394063296735935</v>
      </c>
      <c r="Q46" s="48">
        <v>44743</v>
      </c>
      <c r="R46" s="42">
        <v>15</v>
      </c>
      <c r="S46" s="38">
        <f t="shared" si="3"/>
        <v>0.11773472429210141</v>
      </c>
      <c r="U46" s="48">
        <v>44743</v>
      </c>
      <c r="V46" s="57">
        <v>23.65</v>
      </c>
      <c r="W46" s="38">
        <f t="shared" si="4"/>
        <v>-4.1734197730956324E-2</v>
      </c>
      <c r="Y46" s="48">
        <v>44743</v>
      </c>
      <c r="Z46" s="42">
        <v>33.110000999999997</v>
      </c>
      <c r="AA46" s="38">
        <f t="shared" si="5"/>
        <v>2.9539832089552354E-2</v>
      </c>
    </row>
    <row r="47" spans="2:27" x14ac:dyDescent="0.2">
      <c r="B47" s="48">
        <v>44774</v>
      </c>
      <c r="C47" s="52">
        <v>223.55999800000001</v>
      </c>
      <c r="D47" s="38">
        <f t="shared" si="6"/>
        <v>-5.9581860193379521E-3</v>
      </c>
      <c r="F47" s="48">
        <v>44774</v>
      </c>
      <c r="G47" s="52">
        <v>3955</v>
      </c>
      <c r="H47" s="38">
        <f t="shared" si="7"/>
        <v>-4.2440119216810457E-2</v>
      </c>
      <c r="J47" s="45" t="s">
        <v>136</v>
      </c>
      <c r="K47" s="47">
        <f>(K42*K43)+(K44*K45)</f>
        <v>0.86561282193484324</v>
      </c>
      <c r="M47" s="48">
        <v>44774</v>
      </c>
      <c r="N47" s="52">
        <v>112.08000199999999</v>
      </c>
      <c r="O47" s="38">
        <f t="shared" si="2"/>
        <v>5.6361961477134015E-2</v>
      </c>
      <c r="Q47" s="48">
        <v>44774</v>
      </c>
      <c r="R47" s="42">
        <v>13.24</v>
      </c>
      <c r="S47" s="38">
        <f t="shared" si="3"/>
        <v>-0.11733333333333329</v>
      </c>
      <c r="U47" s="48">
        <v>44774</v>
      </c>
      <c r="V47" s="57">
        <v>23.389999</v>
      </c>
      <c r="W47" s="38">
        <f t="shared" si="4"/>
        <v>-1.0993699788583444E-2</v>
      </c>
      <c r="Y47" s="48">
        <v>44774</v>
      </c>
      <c r="Z47" s="42">
        <v>34.18</v>
      </c>
      <c r="AA47" s="38">
        <f t="shared" si="5"/>
        <v>3.2316489510223922E-2</v>
      </c>
    </row>
    <row r="48" spans="2:27" x14ac:dyDescent="0.2">
      <c r="B48" s="48">
        <v>44805</v>
      </c>
      <c r="C48" s="52">
        <v>235.44000199999999</v>
      </c>
      <c r="D48" s="38">
        <f t="shared" si="6"/>
        <v>5.3140114986044873E-2</v>
      </c>
      <c r="F48" s="48">
        <v>44805</v>
      </c>
      <c r="G48" s="52">
        <v>3585.62</v>
      </c>
      <c r="H48" s="38">
        <f t="shared" si="7"/>
        <v>-9.3395701643489315E-2</v>
      </c>
      <c r="M48" s="48">
        <v>44805</v>
      </c>
      <c r="N48" s="52">
        <v>94.330001999999993</v>
      </c>
      <c r="O48" s="38">
        <f t="shared" si="2"/>
        <v>-0.15836901930105252</v>
      </c>
      <c r="Q48" s="48">
        <v>44805</v>
      </c>
      <c r="R48" s="42">
        <v>11.5</v>
      </c>
      <c r="S48" s="38">
        <f t="shared" si="3"/>
        <v>-0.13141993957703924</v>
      </c>
      <c r="U48" s="48">
        <v>44805</v>
      </c>
      <c r="V48" s="57">
        <v>19.040001</v>
      </c>
      <c r="W48" s="38">
        <f t="shared" si="4"/>
        <v>-0.18597683565527301</v>
      </c>
      <c r="Y48" s="48">
        <v>44805</v>
      </c>
      <c r="Z48" s="42">
        <v>30.68</v>
      </c>
      <c r="AA48" s="38">
        <f t="shared" si="5"/>
        <v>-0.10239906377998831</v>
      </c>
    </row>
    <row r="49" spans="2:27" x14ac:dyDescent="0.2">
      <c r="B49" s="48">
        <v>44835</v>
      </c>
      <c r="C49" s="52">
        <v>291.88000499999998</v>
      </c>
      <c r="D49" s="38">
        <f t="shared" si="6"/>
        <v>0.23972138345462635</v>
      </c>
      <c r="F49" s="48">
        <v>44835</v>
      </c>
      <c r="G49" s="52">
        <v>3871.98</v>
      </c>
      <c r="H49" s="38">
        <f t="shared" si="7"/>
        <v>7.9863454576893256E-2</v>
      </c>
      <c r="M49" s="48">
        <v>44835</v>
      </c>
      <c r="N49" s="52">
        <v>106.540001</v>
      </c>
      <c r="O49" s="38">
        <f t="shared" si="2"/>
        <v>0.12943918945321342</v>
      </c>
      <c r="Q49" s="48">
        <v>44835</v>
      </c>
      <c r="R49" s="42">
        <v>13</v>
      </c>
      <c r="S49" s="38">
        <f t="shared" si="3"/>
        <v>0.13043478260869557</v>
      </c>
      <c r="U49" s="48">
        <v>44835</v>
      </c>
      <c r="V49" s="57">
        <v>18.32</v>
      </c>
      <c r="W49" s="38">
        <f t="shared" si="4"/>
        <v>-3.7815176585337396E-2</v>
      </c>
      <c r="Y49" s="48">
        <v>44835</v>
      </c>
      <c r="Z49" s="42">
        <v>28.870000999999998</v>
      </c>
      <c r="AA49" s="38">
        <f t="shared" si="5"/>
        <v>-5.8996056062581514E-2</v>
      </c>
    </row>
    <row r="50" spans="2:27" x14ac:dyDescent="0.2">
      <c r="B50" s="48">
        <v>44866</v>
      </c>
      <c r="C50" s="52">
        <v>305.52999899999998</v>
      </c>
      <c r="D50" s="38">
        <f t="shared" si="6"/>
        <v>4.6765772804478356E-2</v>
      </c>
      <c r="F50" s="48">
        <v>44866</v>
      </c>
      <c r="G50" s="52">
        <v>4080.11</v>
      </c>
      <c r="H50" s="38">
        <f t="shared" si="7"/>
        <v>5.3752860293699856E-2</v>
      </c>
      <c r="M50" s="48">
        <v>44866</v>
      </c>
      <c r="N50" s="52">
        <v>97.870002999999997</v>
      </c>
      <c r="O50" s="38">
        <f t="shared" si="2"/>
        <v>-8.1377866703793322E-2</v>
      </c>
      <c r="Q50" s="48">
        <v>44866</v>
      </c>
      <c r="R50" s="42">
        <v>11.4</v>
      </c>
      <c r="S50" s="38">
        <f t="shared" si="3"/>
        <v>-0.12307692307692308</v>
      </c>
      <c r="U50" s="48">
        <v>44866</v>
      </c>
      <c r="V50" s="57">
        <v>20.079999999999998</v>
      </c>
      <c r="W50" s="38">
        <f t="shared" si="4"/>
        <v>9.6069868995632968E-2</v>
      </c>
      <c r="Y50" s="48">
        <v>44866</v>
      </c>
      <c r="Z50" s="42">
        <v>32.450001</v>
      </c>
      <c r="AA50" s="38">
        <f t="shared" si="5"/>
        <v>0.12400415226864747</v>
      </c>
    </row>
    <row r="51" spans="2:27" x14ac:dyDescent="0.2">
      <c r="B51" s="48">
        <v>44896</v>
      </c>
      <c r="C51" s="52">
        <v>294.88000499999998</v>
      </c>
      <c r="D51" s="38">
        <f t="shared" si="6"/>
        <v>-3.4857441281895163E-2</v>
      </c>
      <c r="F51" s="48">
        <v>44896</v>
      </c>
      <c r="G51" s="52">
        <v>3839.5</v>
      </c>
      <c r="H51" s="38">
        <f t="shared" si="7"/>
        <v>-5.8971449299161094E-2</v>
      </c>
      <c r="M51" s="48">
        <v>44896</v>
      </c>
      <c r="N51" s="52">
        <v>86.879997000000003</v>
      </c>
      <c r="O51" s="38">
        <f t="shared" si="2"/>
        <v>-0.11229187353759451</v>
      </c>
      <c r="Q51" s="48">
        <v>44896</v>
      </c>
      <c r="R51" s="42">
        <v>9.48</v>
      </c>
      <c r="S51" s="38">
        <f t="shared" si="3"/>
        <v>-0.16842105263157892</v>
      </c>
      <c r="U51" s="48">
        <v>44896</v>
      </c>
      <c r="V51" s="57">
        <v>16.879999000000002</v>
      </c>
      <c r="W51" s="38">
        <f t="shared" si="4"/>
        <v>-0.15936259960159349</v>
      </c>
      <c r="Y51" s="48">
        <v>44896</v>
      </c>
      <c r="Z51" s="42">
        <v>30.370000999999998</v>
      </c>
      <c r="AA51" s="38">
        <f t="shared" si="5"/>
        <v>-6.4098611275851813E-2</v>
      </c>
    </row>
    <row r="52" spans="2:27" x14ac:dyDescent="0.2">
      <c r="B52" s="48">
        <v>44927</v>
      </c>
      <c r="C52" s="52">
        <v>353.85998499999999</v>
      </c>
      <c r="D52" s="38">
        <f t="shared" si="6"/>
        <v>0.20001349362429655</v>
      </c>
      <c r="F52" s="48">
        <v>44927</v>
      </c>
      <c r="G52" s="52">
        <v>4076.6</v>
      </c>
      <c r="H52" s="38">
        <f t="shared" si="7"/>
        <v>6.1752832400052027E-2</v>
      </c>
      <c r="M52" s="48">
        <v>44927</v>
      </c>
      <c r="N52" s="52">
        <v>108.489998</v>
      </c>
      <c r="O52" s="38">
        <f t="shared" si="2"/>
        <v>0.24873390591852806</v>
      </c>
      <c r="Q52" s="48">
        <v>44927</v>
      </c>
      <c r="R52" s="42">
        <v>14.82</v>
      </c>
      <c r="S52" s="38">
        <f t="shared" si="3"/>
        <v>0.56329113924050622</v>
      </c>
      <c r="U52" s="48">
        <v>44927</v>
      </c>
      <c r="V52" s="57">
        <v>23.16</v>
      </c>
      <c r="W52" s="38">
        <f t="shared" si="4"/>
        <v>0.37203799597381471</v>
      </c>
      <c r="Y52" s="48">
        <v>44927</v>
      </c>
      <c r="Z52" s="42">
        <v>33.939999</v>
      </c>
      <c r="AA52" s="38">
        <f t="shared" si="5"/>
        <v>0.117550144301938</v>
      </c>
    </row>
    <row r="53" spans="2:27" x14ac:dyDescent="0.2">
      <c r="B53" s="48">
        <v>44958</v>
      </c>
      <c r="C53" s="52">
        <v>322.13000499999998</v>
      </c>
      <c r="D53" s="38">
        <f t="shared" si="6"/>
        <v>-8.9668177655068848E-2</v>
      </c>
      <c r="F53" s="48">
        <v>44958</v>
      </c>
      <c r="G53" s="52">
        <v>4076.6</v>
      </c>
      <c r="H53" s="38">
        <f t="shared" si="7"/>
        <v>0</v>
      </c>
      <c r="M53" s="48">
        <v>44958</v>
      </c>
      <c r="N53" s="52">
        <v>99.610000999999997</v>
      </c>
      <c r="O53" s="38">
        <f t="shared" si="2"/>
        <v>-8.1850835687175549E-2</v>
      </c>
      <c r="Q53" s="48">
        <v>44958</v>
      </c>
      <c r="R53" s="42">
        <v>15.62</v>
      </c>
      <c r="S53" s="38">
        <f t="shared" si="3"/>
        <v>5.3981106612685403E-2</v>
      </c>
      <c r="U53" s="48">
        <v>44958</v>
      </c>
      <c r="V53" s="57">
        <v>21.42</v>
      </c>
      <c r="W53" s="38">
        <f t="shared" si="4"/>
        <v>-7.5129533678756411E-2</v>
      </c>
      <c r="Y53" s="48">
        <v>44958</v>
      </c>
      <c r="Z53" s="42">
        <v>35.020000000000003</v>
      </c>
      <c r="AA53" s="38">
        <f t="shared" si="5"/>
        <v>3.1820890743102348E-2</v>
      </c>
    </row>
    <row r="54" spans="2:27" x14ac:dyDescent="0.2">
      <c r="B54" s="48">
        <v>44986</v>
      </c>
      <c r="C54" s="52">
        <v>345.48001099999999</v>
      </c>
      <c r="D54" s="38">
        <f t="shared" si="6"/>
        <v>7.2486280810755366E-2</v>
      </c>
      <c r="F54" s="48">
        <v>44986</v>
      </c>
      <c r="G54" s="52">
        <v>4109.3100000000004</v>
      </c>
      <c r="H54" s="38">
        <f t="shared" si="7"/>
        <v>8.0238433989110458E-3</v>
      </c>
      <c r="M54" s="48">
        <v>44986</v>
      </c>
      <c r="N54" s="52">
        <v>100.129997</v>
      </c>
      <c r="O54" s="38">
        <f t="shared" si="2"/>
        <v>5.220319192648093E-3</v>
      </c>
      <c r="Q54" s="48">
        <v>44986</v>
      </c>
      <c r="R54" s="42">
        <v>15.1</v>
      </c>
      <c r="S54" s="38">
        <f t="shared" si="3"/>
        <v>-3.3290653008962834E-2</v>
      </c>
      <c r="U54" s="48">
        <v>44986</v>
      </c>
      <c r="V54" s="57">
        <v>22.309999000000001</v>
      </c>
      <c r="W54" s="38">
        <f t="shared" si="4"/>
        <v>4.1549906629318345E-2</v>
      </c>
      <c r="Y54" s="48">
        <v>44986</v>
      </c>
      <c r="Z54" s="42">
        <v>34.049999</v>
      </c>
      <c r="AA54" s="38">
        <f t="shared" si="5"/>
        <v>-2.7698486579097792E-2</v>
      </c>
    </row>
    <row r="55" spans="2:27" x14ac:dyDescent="0.2">
      <c r="B55" s="48">
        <v>45017</v>
      </c>
      <c r="C55" s="52">
        <v>329.92999300000002</v>
      </c>
      <c r="D55" s="38">
        <f t="shared" si="6"/>
        <v>-4.5009892048428757E-2</v>
      </c>
      <c r="F55" s="48">
        <v>45017</v>
      </c>
      <c r="G55" s="52">
        <v>4169.4799999999996</v>
      </c>
      <c r="H55" s="38">
        <f t="shared" si="7"/>
        <v>1.464236088297044E-2</v>
      </c>
      <c r="M55" s="48">
        <v>45017</v>
      </c>
      <c r="N55" s="52">
        <v>102.5</v>
      </c>
      <c r="O55" s="38">
        <f t="shared" si="2"/>
        <v>2.3669260671205228E-2</v>
      </c>
      <c r="Q55" s="48">
        <v>45017</v>
      </c>
      <c r="R55" s="42">
        <v>13.61</v>
      </c>
      <c r="S55" s="38">
        <f t="shared" si="3"/>
        <v>-9.8675496688741759E-2</v>
      </c>
      <c r="U55" s="48">
        <v>45017</v>
      </c>
      <c r="V55" s="57">
        <v>23.33</v>
      </c>
      <c r="W55" s="38">
        <f t="shared" si="4"/>
        <v>4.5719455209298543E-2</v>
      </c>
      <c r="Y55" s="48">
        <v>45017</v>
      </c>
      <c r="Z55" s="42">
        <v>33.259998000000003</v>
      </c>
      <c r="AA55" s="38">
        <f t="shared" si="5"/>
        <v>-2.3201204792986818E-2</v>
      </c>
    </row>
    <row r="56" spans="2:27" x14ac:dyDescent="0.2">
      <c r="B56" s="48">
        <v>45047</v>
      </c>
      <c r="C56" s="52">
        <v>395.23001099999999</v>
      </c>
      <c r="D56" s="38">
        <f t="shared" si="6"/>
        <v>0.19792082982889037</v>
      </c>
      <c r="F56" s="48">
        <v>45047</v>
      </c>
      <c r="G56" s="52">
        <v>4179.83</v>
      </c>
      <c r="H56" s="38">
        <f t="shared" si="7"/>
        <v>2.4823239348792381E-3</v>
      </c>
      <c r="M56" s="48">
        <v>45047</v>
      </c>
      <c r="N56" s="52">
        <v>87.959998999999996</v>
      </c>
      <c r="O56" s="38">
        <f t="shared" si="2"/>
        <v>-0.14185366829268298</v>
      </c>
      <c r="Q56" s="48">
        <v>45047</v>
      </c>
      <c r="R56" s="42">
        <v>11.28</v>
      </c>
      <c r="S56" s="38">
        <f t="shared" si="3"/>
        <v>-0.1711976487876562</v>
      </c>
      <c r="U56" s="48">
        <v>45047</v>
      </c>
      <c r="V56" s="57">
        <v>15.21</v>
      </c>
      <c r="W56" s="38">
        <f t="shared" si="4"/>
        <v>-0.34804972138876977</v>
      </c>
      <c r="Y56" s="48">
        <v>45047</v>
      </c>
      <c r="Z56" s="42">
        <v>31.200001</v>
      </c>
      <c r="AA56" s="38">
        <f t="shared" si="5"/>
        <v>-6.1936173297424846E-2</v>
      </c>
    </row>
    <row r="57" spans="2:27" x14ac:dyDescent="0.2">
      <c r="B57" s="48">
        <v>45078</v>
      </c>
      <c r="C57" s="52">
        <v>440.48998999999998</v>
      </c>
      <c r="D57" s="38">
        <f t="shared" si="6"/>
        <v>0.11451554219145565</v>
      </c>
      <c r="F57" s="48">
        <v>45078</v>
      </c>
      <c r="G57" s="52">
        <v>4450.4799999999996</v>
      </c>
      <c r="H57" s="38">
        <f t="shared" si="7"/>
        <v>6.4751437259410016E-2</v>
      </c>
      <c r="M57" s="48">
        <v>45078</v>
      </c>
      <c r="N57" s="52">
        <v>89.279999000000004</v>
      </c>
      <c r="O57" s="38">
        <f t="shared" si="2"/>
        <v>1.5006821453010799E-2</v>
      </c>
      <c r="Q57" s="48">
        <v>45078</v>
      </c>
      <c r="R57" s="42">
        <v>12.54</v>
      </c>
      <c r="S57" s="38">
        <f t="shared" si="3"/>
        <v>0.11170212765957444</v>
      </c>
      <c r="U57" s="48">
        <v>45078</v>
      </c>
      <c r="V57" s="57">
        <v>15.91</v>
      </c>
      <c r="W57" s="38">
        <f t="shared" si="4"/>
        <v>4.6022353714661346E-2</v>
      </c>
      <c r="Y57" s="48">
        <v>45078</v>
      </c>
      <c r="Z57" s="42">
        <v>34</v>
      </c>
      <c r="AA57" s="38">
        <f t="shared" si="5"/>
        <v>8.9743554815911786E-2</v>
      </c>
    </row>
    <row r="58" spans="2:27" x14ac:dyDescent="0.2">
      <c r="B58" s="48">
        <v>45108</v>
      </c>
      <c r="C58" s="52">
        <v>438.97000100000002</v>
      </c>
      <c r="D58" s="38">
        <f t="shared" si="6"/>
        <v>-3.4506777327674154E-3</v>
      </c>
      <c r="F58" s="48">
        <v>45108</v>
      </c>
      <c r="G58" s="52">
        <v>4588.96</v>
      </c>
      <c r="H58" s="38">
        <f t="shared" si="7"/>
        <v>3.1115744818536628E-2</v>
      </c>
      <c r="M58" s="48">
        <v>45108</v>
      </c>
      <c r="N58" s="52">
        <v>88.889999000000003</v>
      </c>
      <c r="O58" s="38">
        <f t="shared" si="2"/>
        <v>-4.3682796188203588E-3</v>
      </c>
      <c r="Q58" s="48">
        <v>45108</v>
      </c>
      <c r="R58" s="42">
        <v>13.07</v>
      </c>
      <c r="S58" s="38">
        <f t="shared" si="3"/>
        <v>4.2264752791068672E-2</v>
      </c>
      <c r="U58" s="48">
        <v>45108</v>
      </c>
      <c r="V58" s="57">
        <v>16.030000999999999</v>
      </c>
      <c r="W58" s="38">
        <f t="shared" si="4"/>
        <v>7.5424890006283718E-3</v>
      </c>
      <c r="Y58" s="48">
        <v>45108</v>
      </c>
      <c r="Z58" s="42">
        <v>33.450001</v>
      </c>
      <c r="AA58" s="38">
        <f t="shared" si="5"/>
        <v>-1.6176441176470546E-2</v>
      </c>
    </row>
    <row r="59" spans="2:27" x14ac:dyDescent="0.2">
      <c r="B59" s="48">
        <v>45139</v>
      </c>
      <c r="C59" s="52">
        <v>433.67999300000002</v>
      </c>
      <c r="D59" s="38">
        <f t="shared" si="6"/>
        <v>-1.2050955618718939E-2</v>
      </c>
      <c r="F59" s="48">
        <v>45139</v>
      </c>
      <c r="G59" s="52">
        <v>4507.66</v>
      </c>
      <c r="H59" s="38">
        <f t="shared" si="7"/>
        <v>-1.771643248143373E-2</v>
      </c>
      <c r="M59" s="48">
        <v>45139</v>
      </c>
      <c r="N59" s="52">
        <v>83.68</v>
      </c>
      <c r="O59" s="38">
        <f t="shared" si="2"/>
        <v>-5.8611756762422695E-2</v>
      </c>
      <c r="Q59" s="48">
        <v>45139</v>
      </c>
      <c r="R59" s="42">
        <v>13.14</v>
      </c>
      <c r="S59" s="38">
        <f t="shared" si="3"/>
        <v>5.355776587605332E-3</v>
      </c>
      <c r="U59" s="48">
        <v>45139</v>
      </c>
      <c r="V59" s="57">
        <v>15.09</v>
      </c>
      <c r="W59" s="38">
        <f t="shared" si="4"/>
        <v>-5.8640108631309418E-2</v>
      </c>
      <c r="Y59" s="48">
        <v>45139</v>
      </c>
      <c r="Z59" s="42">
        <v>33.060001</v>
      </c>
      <c r="AA59" s="38">
        <f t="shared" si="5"/>
        <v>-1.1659192476556335E-2</v>
      </c>
    </row>
    <row r="60" spans="2:27" x14ac:dyDescent="0.2">
      <c r="B60" s="48">
        <v>45170</v>
      </c>
      <c r="C60" s="52">
        <v>377.60000600000001</v>
      </c>
      <c r="D60" s="38">
        <f t="shared" si="6"/>
        <v>-0.12931190717852648</v>
      </c>
      <c r="F60" s="48">
        <v>45170</v>
      </c>
      <c r="G60" s="52">
        <v>4288.05</v>
      </c>
      <c r="H60" s="38">
        <f t="shared" si="7"/>
        <v>-4.871929116215501E-2</v>
      </c>
      <c r="M60" s="48">
        <v>45170</v>
      </c>
      <c r="N60" s="52">
        <v>81.050003000000004</v>
      </c>
      <c r="O60" s="38">
        <f t="shared" si="2"/>
        <v>-3.1429218451242913E-2</v>
      </c>
      <c r="Q60" s="48">
        <v>45170</v>
      </c>
      <c r="R60" s="42">
        <v>10.86</v>
      </c>
      <c r="S60" s="38">
        <f t="shared" si="3"/>
        <v>-0.17351598173515992</v>
      </c>
      <c r="U60" s="48">
        <v>45170</v>
      </c>
      <c r="V60" s="57">
        <v>12.9</v>
      </c>
      <c r="W60" s="38">
        <f t="shared" si="4"/>
        <v>-0.14512922465208744</v>
      </c>
      <c r="Y60" s="48">
        <v>45170</v>
      </c>
      <c r="Z60" s="42">
        <v>31.200001</v>
      </c>
      <c r="AA60" s="38">
        <f t="shared" si="5"/>
        <v>-5.6261341310909208E-2</v>
      </c>
    </row>
    <row r="61" spans="2:27" x14ac:dyDescent="0.2">
      <c r="B61" s="48">
        <v>45200</v>
      </c>
      <c r="C61" s="52">
        <v>411.69000199999999</v>
      </c>
      <c r="D61" s="38">
        <f t="shared" si="6"/>
        <v>9.0280708311217595E-2</v>
      </c>
      <c r="F61" s="48">
        <v>45200</v>
      </c>
      <c r="G61" s="52">
        <v>4193.8</v>
      </c>
      <c r="H61" s="38">
        <f t="shared" si="7"/>
        <v>-2.1979687736850106E-2</v>
      </c>
      <c r="M61" s="48">
        <v>45200</v>
      </c>
      <c r="N61" s="52">
        <v>81.589995999999999</v>
      </c>
      <c r="O61" s="38">
        <f t="shared" si="2"/>
        <v>6.6624673659789746E-3</v>
      </c>
      <c r="Q61" s="48">
        <v>45200</v>
      </c>
      <c r="R61" s="42">
        <v>9.94</v>
      </c>
      <c r="S61" s="38">
        <f t="shared" si="3"/>
        <v>-8.4714548802946599E-2</v>
      </c>
      <c r="U61" s="48">
        <v>45200</v>
      </c>
      <c r="V61" s="57">
        <v>10.88</v>
      </c>
      <c r="W61" s="38">
        <f t="shared" si="4"/>
        <v>-0.15658914728682172</v>
      </c>
      <c r="Y61" s="48">
        <v>45200</v>
      </c>
      <c r="Z61" s="42">
        <v>30.389999</v>
      </c>
      <c r="AA61" s="38">
        <f t="shared" si="5"/>
        <v>-2.5961601732000017E-2</v>
      </c>
    </row>
    <row r="62" spans="2:27" x14ac:dyDescent="0.2">
      <c r="B62" s="48">
        <v>45231</v>
      </c>
      <c r="C62" s="52">
        <v>473.97000100000002</v>
      </c>
      <c r="D62" s="38">
        <f t="shared" si="6"/>
        <v>0.15127887171765719</v>
      </c>
      <c r="F62" s="48">
        <v>45231</v>
      </c>
      <c r="G62" s="52">
        <v>4567.6000000000004</v>
      </c>
      <c r="H62" s="38">
        <f t="shared" si="7"/>
        <v>8.9131575182412215E-2</v>
      </c>
      <c r="M62" s="48">
        <v>45231</v>
      </c>
      <c r="N62" s="52">
        <v>92.690002000000007</v>
      </c>
      <c r="O62" s="38">
        <f t="shared" si="2"/>
        <v>0.13604616428710226</v>
      </c>
      <c r="Q62" s="48">
        <v>45231</v>
      </c>
      <c r="R62" s="42">
        <v>10.45</v>
      </c>
      <c r="S62" s="38">
        <f t="shared" si="3"/>
        <v>5.1307847082495028E-2</v>
      </c>
      <c r="U62" s="48">
        <v>45231</v>
      </c>
      <c r="V62" s="57">
        <v>14.37</v>
      </c>
      <c r="W62" s="38">
        <f t="shared" si="4"/>
        <v>0.32077205882352922</v>
      </c>
      <c r="Y62" s="48">
        <v>45231</v>
      </c>
      <c r="Z62" s="42">
        <v>29.540001</v>
      </c>
      <c r="AA62" s="38">
        <f t="shared" si="5"/>
        <v>-2.7969661993078709E-2</v>
      </c>
    </row>
    <row r="63" spans="2:27" x14ac:dyDescent="0.2">
      <c r="B63" s="48">
        <v>45261</v>
      </c>
      <c r="C63" s="52">
        <v>486.88000499999998</v>
      </c>
      <c r="D63" s="38">
        <f t="shared" si="6"/>
        <v>2.723801922645297E-2</v>
      </c>
      <c r="F63" s="48">
        <v>45261</v>
      </c>
      <c r="G63" s="52">
        <v>4769.83</v>
      </c>
      <c r="H63" s="38">
        <f t="shared" si="7"/>
        <v>4.4274892722655057E-2</v>
      </c>
      <c r="M63" s="48">
        <v>45261</v>
      </c>
      <c r="N63" s="52">
        <v>90.290001000000004</v>
      </c>
      <c r="O63" s="38">
        <f t="shared" si="2"/>
        <v>-2.5892771045576191E-2</v>
      </c>
      <c r="Q63" s="48">
        <v>45261</v>
      </c>
      <c r="R63" s="42">
        <v>11.38</v>
      </c>
      <c r="S63" s="38">
        <f t="shared" si="3"/>
        <v>8.899521531100496E-2</v>
      </c>
      <c r="U63" s="48">
        <v>45261</v>
      </c>
      <c r="V63" s="57">
        <v>14.79</v>
      </c>
      <c r="W63" s="38">
        <f t="shared" si="4"/>
        <v>2.9227557411273475E-2</v>
      </c>
      <c r="Y63" s="48">
        <v>45261</v>
      </c>
      <c r="Z63" s="42">
        <v>29.67</v>
      </c>
      <c r="AA63" s="38">
        <f t="shared" si="5"/>
        <v>4.4007784563040442E-3</v>
      </c>
    </row>
    <row r="64" spans="2:27" x14ac:dyDescent="0.2">
      <c r="B64" s="48">
        <v>45292</v>
      </c>
      <c r="C64" s="52">
        <v>564.10998500000005</v>
      </c>
      <c r="D64" s="38">
        <f t="shared" si="6"/>
        <v>0.15862220507494462</v>
      </c>
      <c r="F64" s="48">
        <v>45292</v>
      </c>
      <c r="G64" s="52">
        <v>4845.6499999999996</v>
      </c>
      <c r="H64" s="38">
        <f t="shared" si="7"/>
        <v>1.5895744712075555E-2</v>
      </c>
      <c r="M64" s="48">
        <v>45292</v>
      </c>
      <c r="N64" s="52">
        <v>96.050003000000004</v>
      </c>
      <c r="O64" s="38">
        <f t="shared" si="2"/>
        <v>6.3794461581631934E-2</v>
      </c>
      <c r="Q64" s="48">
        <v>45292</v>
      </c>
      <c r="R64" s="42">
        <v>10.02</v>
      </c>
      <c r="S64" s="38">
        <f t="shared" si="3"/>
        <v>-0.11950790861159943</v>
      </c>
      <c r="U64" s="48">
        <v>45292</v>
      </c>
      <c r="V64" s="57">
        <v>14.59</v>
      </c>
      <c r="W64" s="38">
        <f t="shared" si="4"/>
        <v>-1.3522650439486084E-2</v>
      </c>
      <c r="Y64" s="48">
        <v>45292</v>
      </c>
      <c r="Z64" s="42">
        <v>32.299999</v>
      </c>
      <c r="AA64" s="38">
        <f t="shared" si="5"/>
        <v>8.8641691944725265E-2</v>
      </c>
    </row>
    <row r="65" spans="2:27" x14ac:dyDescent="0.2">
      <c r="B65" s="48">
        <v>45323</v>
      </c>
      <c r="C65" s="52">
        <v>602.919983</v>
      </c>
      <c r="D65" s="38">
        <f t="shared" si="6"/>
        <v>6.8798636847386963E-2</v>
      </c>
      <c r="F65" s="48">
        <v>45323</v>
      </c>
      <c r="G65" s="52">
        <v>5096.2700000000004</v>
      </c>
      <c r="H65" s="38">
        <f t="shared" si="7"/>
        <v>5.1720615397315317E-2</v>
      </c>
      <c r="M65" s="48">
        <v>45323</v>
      </c>
      <c r="N65" s="52">
        <v>111.58000199999999</v>
      </c>
      <c r="O65" s="38">
        <f t="shared" si="2"/>
        <v>0.16168660608995489</v>
      </c>
      <c r="Q65" s="48">
        <v>45323</v>
      </c>
      <c r="R65" s="42">
        <v>8.7899999999999991</v>
      </c>
      <c r="S65" s="38">
        <f t="shared" si="3"/>
        <v>-0.1227544910179641</v>
      </c>
      <c r="U65" s="48">
        <v>45323</v>
      </c>
      <c r="V65" s="57">
        <v>11.04</v>
      </c>
      <c r="W65" s="38">
        <f t="shared" si="4"/>
        <v>-0.2433173406442769</v>
      </c>
      <c r="Y65" s="48">
        <v>45323</v>
      </c>
      <c r="Z65" s="42">
        <v>29.790001</v>
      </c>
      <c r="AA65" s="38">
        <f t="shared" si="5"/>
        <v>-7.770891881451758E-2</v>
      </c>
    </row>
    <row r="66" spans="2:27" x14ac:dyDescent="0.2">
      <c r="B66" s="48">
        <v>45352</v>
      </c>
      <c r="C66" s="52">
        <v>607.330017</v>
      </c>
      <c r="D66" s="38">
        <f t="shared" si="6"/>
        <v>7.3144598360410651E-3</v>
      </c>
      <c r="F66" s="48">
        <v>45352</v>
      </c>
      <c r="G66" s="52">
        <v>5254.35</v>
      </c>
      <c r="H66" s="38">
        <f t="shared" si="7"/>
        <v>3.1018764704381807E-2</v>
      </c>
      <c r="M66" s="48">
        <v>45352</v>
      </c>
      <c r="N66" s="52">
        <v>122.360001</v>
      </c>
      <c r="O66" s="38">
        <f t="shared" si="2"/>
        <v>9.6612285416521226E-2</v>
      </c>
      <c r="Q66" s="48">
        <v>45352</v>
      </c>
      <c r="R66" s="42">
        <v>8.73</v>
      </c>
      <c r="S66" s="38">
        <f t="shared" si="3"/>
        <v>-6.8259385665527805E-3</v>
      </c>
      <c r="U66" s="48">
        <v>45352</v>
      </c>
      <c r="V66" s="57">
        <v>11.77</v>
      </c>
      <c r="W66" s="38">
        <f t="shared" si="4"/>
        <v>6.6123188405797118E-2</v>
      </c>
      <c r="Y66" s="48">
        <v>45352</v>
      </c>
      <c r="Z66" s="42">
        <v>31.27</v>
      </c>
      <c r="AA66" s="38">
        <f t="shared" si="5"/>
        <v>4.9681065804596525E-2</v>
      </c>
    </row>
    <row r="67" spans="2:27" x14ac:dyDescent="0.2">
      <c r="B67" s="48">
        <v>45383</v>
      </c>
      <c r="C67" s="52">
        <v>550.64001499999995</v>
      </c>
      <c r="D67" s="38">
        <f t="shared" si="6"/>
        <v>-9.3342993781254324E-2</v>
      </c>
      <c r="F67" s="48">
        <v>45383</v>
      </c>
      <c r="G67" s="52">
        <v>5035.6899999999996</v>
      </c>
      <c r="H67" s="38">
        <f t="shared" si="7"/>
        <v>-4.1615042774082567E-2</v>
      </c>
      <c r="M67" s="48">
        <v>45383</v>
      </c>
      <c r="N67" s="52">
        <v>111.099998</v>
      </c>
      <c r="O67" s="38">
        <f t="shared" si="2"/>
        <v>-9.2023560869372689E-2</v>
      </c>
      <c r="Q67" s="48">
        <v>45383</v>
      </c>
      <c r="R67" s="42">
        <v>7.36</v>
      </c>
      <c r="S67" s="38">
        <f t="shared" si="3"/>
        <v>-0.15693012600229095</v>
      </c>
      <c r="U67" s="48">
        <v>45383</v>
      </c>
      <c r="V67" s="57">
        <v>11.39</v>
      </c>
      <c r="W67" s="38">
        <f t="shared" si="4"/>
        <v>-3.2285471537807919E-2</v>
      </c>
      <c r="Y67" s="48">
        <v>45383</v>
      </c>
      <c r="Z67" s="42">
        <v>31.01</v>
      </c>
      <c r="AA67" s="38">
        <f t="shared" si="5"/>
        <v>-8.3146786056922384E-3</v>
      </c>
    </row>
    <row r="68" spans="2:27" x14ac:dyDescent="0.2">
      <c r="B68" s="48">
        <v>45413</v>
      </c>
      <c r="C68" s="52">
        <v>641.61999500000002</v>
      </c>
      <c r="D68" s="38">
        <f t="shared" si="6"/>
        <v>0.16522587810840461</v>
      </c>
      <c r="F68" s="48">
        <v>45413</v>
      </c>
      <c r="G68" s="52">
        <v>5277.51</v>
      </c>
      <c r="H68" s="38">
        <f t="shared" si="7"/>
        <v>4.8021224499522619E-2</v>
      </c>
      <c r="M68" s="48">
        <v>45413</v>
      </c>
      <c r="N68" s="52">
        <v>103.910004</v>
      </c>
      <c r="O68" s="38">
        <f t="shared" si="2"/>
        <v>-6.4716418806776255E-2</v>
      </c>
      <c r="Q68" s="48">
        <v>45413</v>
      </c>
      <c r="R68" s="42">
        <v>8.24</v>
      </c>
      <c r="S68" s="38">
        <f t="shared" si="3"/>
        <v>0.11956521739130443</v>
      </c>
      <c r="U68" s="48">
        <v>45413</v>
      </c>
      <c r="V68" s="57">
        <v>11.91</v>
      </c>
      <c r="W68" s="38">
        <f t="shared" si="4"/>
        <v>4.5654082528533868E-2</v>
      </c>
      <c r="Y68" s="48">
        <v>45413</v>
      </c>
      <c r="Z68" s="42">
        <v>34.43</v>
      </c>
      <c r="AA68" s="38">
        <f t="shared" si="5"/>
        <v>0.11028700419219595</v>
      </c>
    </row>
    <row r="69" spans="2:27" x14ac:dyDescent="0.2">
      <c r="B69" s="48">
        <v>45444</v>
      </c>
      <c r="C69" s="52">
        <v>644.5</v>
      </c>
      <c r="D69" s="38">
        <f t="shared" si="6"/>
        <v>4.4886459624751129E-3</v>
      </c>
      <c r="F69" s="48">
        <v>45444</v>
      </c>
      <c r="G69" s="52">
        <v>5360.79</v>
      </c>
      <c r="H69" s="38">
        <f t="shared" si="7"/>
        <v>1.5780169056998528E-2</v>
      </c>
      <c r="M69" s="48">
        <v>45444</v>
      </c>
      <c r="N69" s="52">
        <v>102.739998</v>
      </c>
      <c r="O69" s="38">
        <f t="shared" si="2"/>
        <v>-1.1259801318071361E-2</v>
      </c>
      <c r="Q69" s="48">
        <v>45444</v>
      </c>
      <c r="R69" s="42">
        <v>8.1199999999999992</v>
      </c>
      <c r="S69" s="38">
        <f t="shared" si="3"/>
        <v>-1.4563106796116609E-2</v>
      </c>
      <c r="U69" s="48">
        <v>45444</v>
      </c>
      <c r="V69" s="57">
        <v>11.98</v>
      </c>
      <c r="W69" s="38">
        <f t="shared" si="4"/>
        <v>5.8774139378674484E-3</v>
      </c>
      <c r="Y69" s="48">
        <v>45444</v>
      </c>
      <c r="Z69" s="42">
        <v>33.689999</v>
      </c>
      <c r="AA69" s="38">
        <f t="shared" si="5"/>
        <v>-2.1492913157130422E-2</v>
      </c>
    </row>
    <row r="70" spans="2:27" x14ac:dyDescent="0.2">
      <c r="B70" s="48">
        <v>45454</v>
      </c>
      <c r="C70" s="52">
        <v>642.419983</v>
      </c>
      <c r="D70" s="38">
        <f t="shared" si="6"/>
        <v>-3.2273343677269306E-3</v>
      </c>
      <c r="F70" s="48">
        <v>45454</v>
      </c>
      <c r="G70" s="52">
        <v>5344.55</v>
      </c>
      <c r="H70" s="38">
        <f t="shared" si="7"/>
        <v>-3.0294042482543748E-3</v>
      </c>
      <c r="M70" s="48">
        <v>45454</v>
      </c>
      <c r="N70" s="52">
        <v>101.894997</v>
      </c>
      <c r="O70" s="38">
        <f t="shared" si="2"/>
        <v>-8.2246546276942833E-3</v>
      </c>
      <c r="Q70" s="48">
        <v>45454</v>
      </c>
      <c r="R70" s="42">
        <v>8.1750000000000007</v>
      </c>
      <c r="S70" s="38">
        <f t="shared" si="3"/>
        <v>6.7733990147784695E-3</v>
      </c>
      <c r="U70" s="48">
        <v>45454</v>
      </c>
      <c r="V70" s="57">
        <v>12.26</v>
      </c>
      <c r="W70" s="38">
        <f t="shared" si="4"/>
        <v>2.3372287145241977E-2</v>
      </c>
      <c r="Y70" s="48">
        <v>45454</v>
      </c>
      <c r="Z70" s="42">
        <v>33.509998000000003</v>
      </c>
      <c r="AA70" s="38">
        <f t="shared" si="5"/>
        <v>-5.342861541788646E-3</v>
      </c>
    </row>
  </sheetData>
  <mergeCells count="1">
    <mergeCell ref="B5:AA6"/>
  </mergeCells>
  <pageMargins left="0.7" right="0.7" top="0.75" bottom="0.75" header="0.3" footer="0.3"/>
  <pageSetup scale="40" orientation="portrait" horizontalDpi="0" verticalDpi="0"/>
  <headerFooter>
    <oddHeader xml:space="preserve">&amp;C&amp;"-,Bold"
</oddHead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1616F-1B04-9049-A313-B67F2080C347}">
  <dimension ref="B5:AB38"/>
  <sheetViews>
    <sheetView showGridLines="0" view="pageBreakPreview" zoomScale="136" zoomScaleNormal="134" zoomScaleSheetLayoutView="136" workbookViewId="0">
      <selection activeCell="E32" sqref="E32"/>
    </sheetView>
  </sheetViews>
  <sheetFormatPr baseColWidth="10" defaultRowHeight="16" x14ac:dyDescent="0.2"/>
  <cols>
    <col min="1" max="1" width="4" style="2" customWidth="1"/>
    <col min="2" max="2" width="38.83203125" style="2" bestFit="1" customWidth="1"/>
    <col min="3" max="3" width="13" style="2" bestFit="1" customWidth="1"/>
    <col min="4" max="4" width="15" style="2" bestFit="1" customWidth="1"/>
    <col min="5" max="5" width="12.1640625" style="2" customWidth="1"/>
    <col min="6" max="6" width="12.1640625" style="2" bestFit="1" customWidth="1"/>
    <col min="7" max="7" width="11.1640625" style="2" bestFit="1" customWidth="1"/>
    <col min="8" max="8" width="11.6640625" style="2" bestFit="1" customWidth="1"/>
    <col min="9" max="9" width="12.1640625" style="2" bestFit="1" customWidth="1"/>
    <col min="10" max="10" width="14" style="2" customWidth="1"/>
    <col min="11" max="11" width="17" style="2" customWidth="1"/>
    <col min="12" max="12" width="12.1640625" style="2" bestFit="1" customWidth="1"/>
    <col min="13" max="13" width="10.83203125" style="2"/>
    <col min="17" max="16384" width="10.83203125" style="2"/>
  </cols>
  <sheetData>
    <row r="5" spans="2:28" ht="15" x14ac:dyDescent="0.2">
      <c r="B5" s="65" t="s">
        <v>147</v>
      </c>
      <c r="C5" s="65"/>
      <c r="D5" s="65"/>
      <c r="E5" s="65"/>
      <c r="F5" s="65"/>
      <c r="G5" s="65"/>
      <c r="H5" s="65"/>
      <c r="I5" s="65"/>
      <c r="J5" s="65"/>
      <c r="K5" s="65"/>
      <c r="L5" s="66"/>
      <c r="M5" s="66"/>
      <c r="N5" s="2"/>
      <c r="O5" s="2"/>
      <c r="P5" s="2"/>
      <c r="Q5" s="66"/>
      <c r="R5" s="66"/>
      <c r="S5" s="66"/>
      <c r="T5" s="66"/>
      <c r="U5" s="66"/>
      <c r="V5" s="66"/>
      <c r="W5" s="66"/>
      <c r="X5" s="66"/>
      <c r="Y5" s="66"/>
      <c r="Z5" s="66"/>
      <c r="AA5" s="66"/>
      <c r="AB5" s="66"/>
    </row>
    <row r="6" spans="2:28" ht="12" customHeight="1" x14ac:dyDescent="0.2">
      <c r="B6" s="67" t="s">
        <v>157</v>
      </c>
      <c r="C6" s="68"/>
      <c r="D6" s="68"/>
      <c r="E6" s="68"/>
      <c r="F6" s="68"/>
      <c r="G6" s="68"/>
      <c r="H6" s="68"/>
      <c r="I6" s="68"/>
      <c r="J6" s="68"/>
      <c r="K6" s="68"/>
      <c r="L6" s="66"/>
      <c r="M6" s="66"/>
      <c r="N6" s="2"/>
      <c r="O6" s="2"/>
      <c r="P6" s="2"/>
      <c r="Q6" s="66"/>
      <c r="R6" s="66"/>
      <c r="S6" s="66"/>
      <c r="T6" s="66"/>
      <c r="U6" s="66"/>
      <c r="V6" s="66"/>
      <c r="W6" s="66"/>
      <c r="X6" s="66"/>
      <c r="Y6" s="66"/>
      <c r="Z6" s="66"/>
      <c r="AA6" s="66"/>
      <c r="AB6" s="66"/>
    </row>
    <row r="8" spans="2:28" x14ac:dyDescent="0.2">
      <c r="B8" s="65" t="s">
        <v>155</v>
      </c>
      <c r="C8" s="65" t="s">
        <v>148</v>
      </c>
      <c r="D8" s="65" t="s">
        <v>149</v>
      </c>
      <c r="E8" s="65" t="s">
        <v>150</v>
      </c>
      <c r="F8" s="65" t="s">
        <v>158</v>
      </c>
      <c r="G8" s="65" t="s">
        <v>182</v>
      </c>
      <c r="H8" s="65" t="s">
        <v>152</v>
      </c>
      <c r="I8" s="65" t="s">
        <v>153</v>
      </c>
      <c r="J8" s="65" t="s">
        <v>178</v>
      </c>
      <c r="K8" s="65" t="s">
        <v>179</v>
      </c>
    </row>
    <row r="9" spans="2:28" x14ac:dyDescent="0.2">
      <c r="B9" s="2" t="e" vm="1">
        <v>#VALUE!</v>
      </c>
      <c r="C9" s="2" t="s">
        <v>156</v>
      </c>
      <c r="D9" s="5">
        <v>14543261</v>
      </c>
      <c r="E9" s="5" cm="1">
        <f t="array" ref="E9">_FV(B9,"Market cap",TRUE)/1000</f>
        <v>291677022.27999997</v>
      </c>
      <c r="F9" s="6">
        <f>SUM(D9:E9)</f>
        <v>306220283.27999997</v>
      </c>
      <c r="G9" s="69">
        <v>0.25</v>
      </c>
      <c r="H9" s="12">
        <f>D9/E9</f>
        <v>4.9860838835768716E-2</v>
      </c>
      <c r="I9" s="12">
        <f>D9/F9</f>
        <v>4.7492807609684086E-2</v>
      </c>
      <c r="J9" s="70">
        <f>'Regression Analysis'!K10</f>
        <v>1.2588446759088987</v>
      </c>
      <c r="K9" s="71">
        <f>J9/(1+(1-G9)*H9)</f>
        <v>1.2134663387472198</v>
      </c>
    </row>
    <row r="10" spans="2:28" x14ac:dyDescent="0.2">
      <c r="B10" s="2" t="e" vm="2">
        <v>#VALUE!</v>
      </c>
      <c r="C10" s="2" t="s">
        <v>156</v>
      </c>
      <c r="D10" s="5">
        <f>6087000+41603000</f>
        <v>47690000</v>
      </c>
      <c r="E10" s="5" cm="1">
        <f t="array" ref="E10">_FV(B10,"Market cap",TRUE)/1000</f>
        <v>185038900</v>
      </c>
      <c r="F10" s="6">
        <f t="shared" ref="F10:F13" si="0">SUM(D10:E10)</f>
        <v>232728900</v>
      </c>
      <c r="G10" s="69">
        <v>0.25</v>
      </c>
      <c r="H10" s="12">
        <f t="shared" ref="H10:H13" si="1">D10/E10</f>
        <v>0.25772959091304587</v>
      </c>
      <c r="I10" s="12">
        <f t="shared" ref="I10:I13" si="2">D10/F10</f>
        <v>0.20491653593515888</v>
      </c>
      <c r="J10" s="70">
        <f>'Regression Analysis'!K18</f>
        <v>1.4050306741130505</v>
      </c>
      <c r="K10" s="71">
        <f t="shared" ref="K10:K13" si="3">J10/(1+(1-G10)*H10)</f>
        <v>1.1774356649270008</v>
      </c>
      <c r="V10" s="2">
        <v>400</v>
      </c>
      <c r="W10" s="9">
        <v>5.7500000000000002E-2</v>
      </c>
      <c r="X10" s="2">
        <f>V10*W10</f>
        <v>23</v>
      </c>
    </row>
    <row r="11" spans="2:28" x14ac:dyDescent="0.2">
      <c r="B11" s="2" t="e" vm="3">
        <v>#VALUE!</v>
      </c>
      <c r="C11" s="2" t="s">
        <v>156</v>
      </c>
      <c r="D11" s="5">
        <v>43669000</v>
      </c>
      <c r="E11" s="5" cm="1">
        <f t="array" ref="E11">_FV(B11,"Market cap",TRUE)/1000</f>
        <v>17250203.52</v>
      </c>
      <c r="F11" s="6">
        <f t="shared" si="0"/>
        <v>60919203.519999996</v>
      </c>
      <c r="G11" s="69">
        <v>0.25</v>
      </c>
      <c r="H11" s="12">
        <f t="shared" si="1"/>
        <v>2.5315063645115767</v>
      </c>
      <c r="I11" s="12">
        <f t="shared" si="2"/>
        <v>0.71683471675172683</v>
      </c>
      <c r="J11" s="70">
        <f>'Regression Analysis'!K26</f>
        <v>1.5496136449181581</v>
      </c>
      <c r="K11" s="71">
        <f t="shared" si="3"/>
        <v>0.53460212792516593</v>
      </c>
      <c r="V11" s="2">
        <v>800</v>
      </c>
      <c r="W11" s="9">
        <v>5.8749999999999997E-2</v>
      </c>
      <c r="X11" s="2">
        <f t="shared" ref="X11:X23" si="4">V11*W11</f>
        <v>47</v>
      </c>
    </row>
    <row r="12" spans="2:28" x14ac:dyDescent="0.2">
      <c r="B12" s="2" t="e" vm="4">
        <v>#VALUE!</v>
      </c>
      <c r="C12" s="2" t="s">
        <v>156</v>
      </c>
      <c r="D12" s="5">
        <f>1000+14601000</f>
        <v>14602000</v>
      </c>
      <c r="E12" s="5" cm="1">
        <f t="array" ref="E12">_FV(B12,"Market cap",TRUE)/1000</f>
        <v>6706468</v>
      </c>
      <c r="F12" s="6">
        <f t="shared" si="0"/>
        <v>21308468</v>
      </c>
      <c r="G12" s="69">
        <v>0.25</v>
      </c>
      <c r="H12" s="12">
        <f t="shared" si="1"/>
        <v>2.1773010771094414</v>
      </c>
      <c r="I12" s="12">
        <f t="shared" si="2"/>
        <v>0.68526747206791216</v>
      </c>
      <c r="J12" s="70">
        <f>'Regression Analysis'!K34</f>
        <v>1.819576824180223</v>
      </c>
      <c r="K12" s="71">
        <f t="shared" si="3"/>
        <v>0.69107236715494613</v>
      </c>
      <c r="V12" s="2">
        <v>519</v>
      </c>
      <c r="W12" s="9">
        <v>0.03</v>
      </c>
      <c r="X12" s="2">
        <f t="shared" si="4"/>
        <v>15.57</v>
      </c>
    </row>
    <row r="13" spans="2:28" x14ac:dyDescent="0.2">
      <c r="B13" s="2" t="e" vm="5">
        <v>#VALUE!</v>
      </c>
      <c r="C13" s="2" t="s">
        <v>156</v>
      </c>
      <c r="D13" s="5">
        <f>1250000+7195000</f>
        <v>8445000</v>
      </c>
      <c r="E13" s="5" cm="1">
        <f t="array" ref="E13">_FV(B13,"Market cap",TRUE)/1000</f>
        <v>15109880</v>
      </c>
      <c r="F13" s="6">
        <f t="shared" si="0"/>
        <v>23554880</v>
      </c>
      <c r="G13" s="69">
        <v>0.25</v>
      </c>
      <c r="H13" s="12">
        <f t="shared" si="1"/>
        <v>0.5589058285042634</v>
      </c>
      <c r="I13" s="12">
        <f t="shared" si="2"/>
        <v>0.35852443315355459</v>
      </c>
      <c r="J13" s="70">
        <f>'Regression Analysis'!K42</f>
        <v>0.79841923290226491</v>
      </c>
      <c r="K13" s="71">
        <f t="shared" si="3"/>
        <v>0.56259219165996033</v>
      </c>
      <c r="V13" s="2">
        <v>500</v>
      </c>
      <c r="W13" s="9">
        <v>3.6249999999999998E-2</v>
      </c>
      <c r="X13" s="2">
        <f t="shared" si="4"/>
        <v>18.125</v>
      </c>
    </row>
    <row r="14" spans="2:28" x14ac:dyDescent="0.2">
      <c r="E14" s="6"/>
      <c r="V14" s="2">
        <v>1000</v>
      </c>
      <c r="W14" s="9">
        <v>4.3749999999999997E-2</v>
      </c>
      <c r="X14" s="2">
        <f t="shared" si="4"/>
        <v>43.75</v>
      </c>
    </row>
    <row r="15" spans="2:28" x14ac:dyDescent="0.2">
      <c r="B15" s="93" t="s">
        <v>167</v>
      </c>
      <c r="C15" s="93"/>
      <c r="D15" s="94"/>
      <c r="F15" s="73" t="s">
        <v>159</v>
      </c>
      <c r="G15" s="74">
        <f>AVERAGE(G9:G13)</f>
        <v>0.25</v>
      </c>
      <c r="H15" s="75">
        <f>AVERAGE(H9:H13)</f>
        <v>1.1150607399748194</v>
      </c>
      <c r="I15" s="75">
        <f>AVERAGE(I9:I13)</f>
        <v>0.40260719310360732</v>
      </c>
      <c r="J15" s="75">
        <f>AVERAGE(J9:J13)</f>
        <v>1.3662970104045189</v>
      </c>
      <c r="K15" s="75">
        <f>AVERAGE(K9:K13)</f>
        <v>0.83583373808285866</v>
      </c>
      <c r="V15" s="2">
        <v>1434</v>
      </c>
      <c r="W15" s="9">
        <v>3.6249999999999998E-2</v>
      </c>
      <c r="X15" s="2">
        <f t="shared" si="4"/>
        <v>51.982499999999995</v>
      </c>
    </row>
    <row r="16" spans="2:28" x14ac:dyDescent="0.2">
      <c r="B16" s="2" t="s">
        <v>168</v>
      </c>
      <c r="D16" s="72">
        <f>W26</f>
        <v>4.7149421549835709E-2</v>
      </c>
      <c r="F16" s="2" t="s">
        <v>160</v>
      </c>
      <c r="G16" s="72">
        <f>MEDIAN(G9:G13)</f>
        <v>0.25</v>
      </c>
      <c r="H16" s="12">
        <f>MEDIAN(H9:H13)</f>
        <v>0.5589058285042634</v>
      </c>
      <c r="I16" s="12">
        <f>MEDIAN(I9:I13)</f>
        <v>0.35852443315355459</v>
      </c>
      <c r="J16" s="12">
        <f>MEDIAN(J9:J13)</f>
        <v>1.4050306741130505</v>
      </c>
      <c r="K16" s="12">
        <f>MEDIAN(K9:K13)</f>
        <v>0.69107236715494613</v>
      </c>
      <c r="V16" s="2">
        <v>1600</v>
      </c>
      <c r="W16" s="9">
        <v>4.8750000000000002E-2</v>
      </c>
      <c r="X16" s="2">
        <f t="shared" si="4"/>
        <v>78</v>
      </c>
    </row>
    <row r="17" spans="2:24" x14ac:dyDescent="0.2">
      <c r="B17" s="2" t="s">
        <v>151</v>
      </c>
      <c r="D17" s="72">
        <f>G9</f>
        <v>0.25</v>
      </c>
      <c r="V17" s="2">
        <v>1900</v>
      </c>
      <c r="W17" s="9">
        <v>5.8749999999999997E-2</v>
      </c>
      <c r="X17" s="2">
        <f t="shared" si="4"/>
        <v>111.625</v>
      </c>
    </row>
    <row r="18" spans="2:24" x14ac:dyDescent="0.2">
      <c r="B18" s="81" t="s">
        <v>169</v>
      </c>
      <c r="C18" s="81"/>
      <c r="D18" s="86">
        <f>D16*(1-D17)</f>
        <v>3.5362066162376783E-2</v>
      </c>
      <c r="F18" s="93" t="s">
        <v>161</v>
      </c>
      <c r="G18" s="94"/>
      <c r="H18" s="94"/>
      <c r="I18" s="94"/>
      <c r="J18" s="94"/>
      <c r="K18" s="94"/>
      <c r="V18" s="2">
        <v>1215</v>
      </c>
      <c r="W18" s="9">
        <v>4.6249999999999999E-2</v>
      </c>
      <c r="X18" s="2">
        <f t="shared" si="4"/>
        <v>56.193750000000001</v>
      </c>
    </row>
    <row r="19" spans="2:24" x14ac:dyDescent="0.2">
      <c r="B19" s="16"/>
      <c r="C19" s="16"/>
      <c r="D19" s="92"/>
      <c r="J19" s="89" t="s">
        <v>162</v>
      </c>
      <c r="K19" s="89" t="s">
        <v>163</v>
      </c>
      <c r="V19" s="2">
        <v>800</v>
      </c>
      <c r="W19" s="9">
        <v>6.3750000000000001E-2</v>
      </c>
      <c r="X19" s="2">
        <f t="shared" si="4"/>
        <v>51</v>
      </c>
    </row>
    <row r="20" spans="2:24" x14ac:dyDescent="0.2">
      <c r="B20" s="93" t="s">
        <v>170</v>
      </c>
      <c r="C20" s="93"/>
      <c r="D20" s="94"/>
      <c r="F20" s="2" t="s">
        <v>149</v>
      </c>
      <c r="I20" s="76">
        <f>D9</f>
        <v>14543261</v>
      </c>
      <c r="J20" s="79">
        <f>I20/I22</f>
        <v>4.7492807609684086E-2</v>
      </c>
      <c r="K20" s="79">
        <v>5.0940536648825994E-2</v>
      </c>
      <c r="V20" s="2">
        <v>1325</v>
      </c>
      <c r="W20" s="9">
        <v>3.875E-2</v>
      </c>
      <c r="X20" s="2">
        <f t="shared" si="4"/>
        <v>51.34375</v>
      </c>
    </row>
    <row r="21" spans="2:24" x14ac:dyDescent="0.2">
      <c r="B21" s="2" t="s">
        <v>184</v>
      </c>
      <c r="D21" s="87">
        <v>4.41E-2</v>
      </c>
      <c r="F21" s="2" t="s">
        <v>164</v>
      </c>
      <c r="I21" s="76">
        <f>E9</f>
        <v>291677022.27999997</v>
      </c>
      <c r="J21" s="79">
        <f>I21/I22</f>
        <v>0.95250719239031589</v>
      </c>
      <c r="K21" s="79">
        <v>0.94905946335117397</v>
      </c>
      <c r="L21" s="76"/>
      <c r="V21" s="2">
        <v>900</v>
      </c>
      <c r="W21" s="9">
        <v>5.3749999999999999E-2</v>
      </c>
      <c r="X21" s="2">
        <f t="shared" si="4"/>
        <v>48.375</v>
      </c>
    </row>
    <row r="22" spans="2:24" x14ac:dyDescent="0.2">
      <c r="B22" s="2" t="s">
        <v>185</v>
      </c>
      <c r="D22" s="87">
        <f>4.6%</f>
        <v>4.5999999999999999E-2</v>
      </c>
      <c r="F22" s="81" t="s">
        <v>158</v>
      </c>
      <c r="G22" s="81"/>
      <c r="H22" s="81"/>
      <c r="I22" s="82">
        <f>SUM(I20:I21)</f>
        <v>306220283.27999997</v>
      </c>
      <c r="J22" s="83">
        <v>1</v>
      </c>
      <c r="K22" s="83">
        <v>1</v>
      </c>
      <c r="V22" s="2">
        <v>1215</v>
      </c>
      <c r="W22" s="9">
        <v>3.6249999999999998E-2</v>
      </c>
      <c r="X22" s="2">
        <f t="shared" si="4"/>
        <v>44.043749999999996</v>
      </c>
    </row>
    <row r="23" spans="2:24" x14ac:dyDescent="0.2">
      <c r="B23" s="2" t="s">
        <v>176</v>
      </c>
      <c r="D23" s="13">
        <f>K30</f>
        <v>0.71889222350125603</v>
      </c>
      <c r="V23" s="2">
        <v>1000</v>
      </c>
      <c r="W23" s="9">
        <v>4.8750000000000002E-2</v>
      </c>
      <c r="X23" s="2">
        <f t="shared" si="4"/>
        <v>48.75</v>
      </c>
    </row>
    <row r="24" spans="2:24" x14ac:dyDescent="0.2">
      <c r="B24" s="81" t="s">
        <v>170</v>
      </c>
      <c r="C24" s="81"/>
      <c r="D24" s="88">
        <f>D21+D23*D22</f>
        <v>7.7169042281057781E-2</v>
      </c>
      <c r="F24" s="16" t="s">
        <v>152</v>
      </c>
      <c r="J24" s="77">
        <f>J20/J21</f>
        <v>4.9860838835768716E-2</v>
      </c>
      <c r="K24" s="77">
        <f>K20/K21</f>
        <v>5.3674757605759016E-2</v>
      </c>
      <c r="V24" s="2">
        <f>SUM(V10:V23)</f>
        <v>14608</v>
      </c>
      <c r="X24" s="2">
        <f>SUM(X10:X23)</f>
        <v>688.75875000000008</v>
      </c>
    </row>
    <row r="25" spans="2:24" x14ac:dyDescent="0.2">
      <c r="F25" s="16"/>
      <c r="J25" s="77"/>
      <c r="K25" s="77"/>
    </row>
    <row r="26" spans="2:24" x14ac:dyDescent="0.2">
      <c r="B26" s="93" t="s">
        <v>147</v>
      </c>
      <c r="C26" s="94"/>
      <c r="D26" s="94"/>
      <c r="F26" s="93" t="s">
        <v>154</v>
      </c>
      <c r="G26" s="94"/>
      <c r="H26" s="94"/>
      <c r="I26" s="94"/>
      <c r="J26" s="94"/>
      <c r="K26" s="94"/>
      <c r="W26" s="9">
        <f>X24/V24</f>
        <v>4.7149421549835709E-2</v>
      </c>
    </row>
    <row r="27" spans="2:24" x14ac:dyDescent="0.2">
      <c r="C27" s="89" t="s">
        <v>173</v>
      </c>
      <c r="D27" s="89" t="s">
        <v>174</v>
      </c>
      <c r="F27" s="2" t="s">
        <v>165</v>
      </c>
      <c r="K27" s="13">
        <f>K16</f>
        <v>0.69107236715494613</v>
      </c>
    </row>
    <row r="28" spans="2:24" x14ac:dyDescent="0.2">
      <c r="B28" s="2" t="s">
        <v>171</v>
      </c>
      <c r="C28" s="72">
        <f>D18</f>
        <v>3.5362066162376783E-2</v>
      </c>
      <c r="D28" s="78">
        <f>K20</f>
        <v>5.0940536648825994E-2</v>
      </c>
      <c r="F28" s="2" t="s">
        <v>166</v>
      </c>
      <c r="K28" s="77">
        <f>K24</f>
        <v>5.3674757605759016E-2</v>
      </c>
    </row>
    <row r="29" spans="2:24" x14ac:dyDescent="0.2">
      <c r="B29" s="2" t="s">
        <v>172</v>
      </c>
      <c r="C29" s="72">
        <f>D24</f>
        <v>7.7169042281057781E-2</v>
      </c>
      <c r="D29" s="78">
        <f>K21</f>
        <v>0.94905946335117397</v>
      </c>
      <c r="F29" s="2" t="s">
        <v>151</v>
      </c>
      <c r="K29" s="72">
        <f>G9</f>
        <v>0.25</v>
      </c>
    </row>
    <row r="30" spans="2:24" x14ac:dyDescent="0.2">
      <c r="B30" s="84" t="s">
        <v>147</v>
      </c>
      <c r="C30" s="84"/>
      <c r="D30" s="136">
        <f>C28*D28+C29*D29</f>
        <v>7.5039372481907521E-2</v>
      </c>
      <c r="F30" s="16" t="s">
        <v>154</v>
      </c>
      <c r="K30" s="13">
        <f>K27*(1+(1-K29)*K28)</f>
        <v>0.71889222350125603</v>
      </c>
    </row>
    <row r="32" spans="2:24" x14ac:dyDescent="0.2">
      <c r="B32" s="221" t="s">
        <v>175</v>
      </c>
    </row>
    <row r="33" spans="2:2" x14ac:dyDescent="0.2">
      <c r="B33" s="222" t="s">
        <v>183</v>
      </c>
    </row>
    <row r="34" spans="2:2" x14ac:dyDescent="0.2">
      <c r="B34" s="222" t="s">
        <v>180</v>
      </c>
    </row>
    <row r="35" spans="2:2" x14ac:dyDescent="0.2">
      <c r="B35" s="222" t="s">
        <v>181</v>
      </c>
    </row>
    <row r="36" spans="2:2" x14ac:dyDescent="0.2">
      <c r="B36" s="222" t="s">
        <v>177</v>
      </c>
    </row>
    <row r="37" spans="2:2" x14ac:dyDescent="0.2">
      <c r="B37" s="222" t="s">
        <v>186</v>
      </c>
    </row>
    <row r="38" spans="2:2" x14ac:dyDescent="0.2">
      <c r="B38" s="222" t="s">
        <v>296</v>
      </c>
    </row>
  </sheetData>
  <pageMargins left="0.7" right="0.7" top="0.75" bottom="0.75" header="0.3" footer="0.3"/>
  <pageSetup scale="54" orientation="portrait" horizontalDpi="0" verticalDpi="0"/>
  <colBreaks count="1" manualBreakCount="1">
    <brk id="11" max="1048575" man="1"/>
  </colBreaks>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845B8-5348-1747-A4AD-F509BD750B12}">
  <dimension ref="B5:M70"/>
  <sheetViews>
    <sheetView showGridLines="0" view="pageBreakPreview" zoomScale="60" zoomScaleNormal="137" workbookViewId="0">
      <selection activeCell="I3" sqref="I3"/>
    </sheetView>
  </sheetViews>
  <sheetFormatPr baseColWidth="10" defaultRowHeight="15" x14ac:dyDescent="0.2"/>
  <cols>
    <col min="1" max="1" width="4" style="2" customWidth="1"/>
    <col min="2" max="3" width="10.83203125" style="2"/>
    <col min="4" max="4" width="14.83203125" style="2" bestFit="1" customWidth="1"/>
    <col min="5" max="5" width="13.33203125" style="2" bestFit="1" customWidth="1"/>
    <col min="6" max="6" width="12" style="2" customWidth="1"/>
    <col min="7" max="7" width="12.1640625" style="2" bestFit="1" customWidth="1"/>
    <col min="8" max="8" width="12.33203125" style="2" bestFit="1" customWidth="1"/>
    <col min="9" max="9" width="14" style="2" bestFit="1" customWidth="1"/>
    <col min="10" max="11" width="13.33203125" style="2" bestFit="1" customWidth="1"/>
    <col min="12" max="16384" width="10.83203125" style="2"/>
  </cols>
  <sheetData>
    <row r="5" spans="2:11" x14ac:dyDescent="0.2">
      <c r="B5" s="65" t="s">
        <v>187</v>
      </c>
      <c r="C5" s="65"/>
      <c r="D5" s="65"/>
      <c r="E5" s="65"/>
      <c r="F5" s="65"/>
      <c r="G5" s="65"/>
      <c r="H5" s="65"/>
      <c r="I5" s="65"/>
      <c r="J5" s="65"/>
      <c r="K5" s="65"/>
    </row>
    <row r="6" spans="2:11" x14ac:dyDescent="0.2">
      <c r="G6" s="89">
        <f>'Financial Statements'!B$2</f>
        <v>2019</v>
      </c>
      <c r="H6" s="89">
        <f>'Financial Statements'!C$2</f>
        <v>2020</v>
      </c>
      <c r="I6" s="89">
        <f>'Financial Statements'!D$2</f>
        <v>2021</v>
      </c>
      <c r="J6" s="89">
        <f>'Financial Statements'!E$2</f>
        <v>2022</v>
      </c>
      <c r="K6" s="89">
        <f>'Financial Statements'!F$2</f>
        <v>2023</v>
      </c>
    </row>
    <row r="7" spans="2:11" x14ac:dyDescent="0.2">
      <c r="B7" s="2" t="s">
        <v>188</v>
      </c>
      <c r="G7" s="116">
        <f>'Financial Statements'!B40</f>
        <v>33975712</v>
      </c>
      <c r="H7" s="116">
        <f>'Financial Statements'!C40</f>
        <v>39280359</v>
      </c>
      <c r="I7" s="116">
        <f>'Financial Statements'!D40</f>
        <v>44584663</v>
      </c>
      <c r="J7" s="116">
        <f>'Financial Statements'!E40</f>
        <v>48594768</v>
      </c>
      <c r="K7" s="116">
        <f>'Financial Statements'!F40</f>
        <v>48731992</v>
      </c>
    </row>
    <row r="8" spans="2:11" x14ac:dyDescent="0.2">
      <c r="B8" s="2" t="s">
        <v>189</v>
      </c>
      <c r="G8" s="116">
        <f>-'Financial Statements'!B32</f>
        <v>-5018437</v>
      </c>
      <c r="H8" s="116">
        <f>-'Financial Statements'!C32</f>
        <v>-8205550</v>
      </c>
      <c r="I8" s="116">
        <f>-'Financial Statements'!D32</f>
        <v>-6027804</v>
      </c>
      <c r="J8" s="116">
        <f>-'Financial Statements'!E32</f>
        <v>-5147176</v>
      </c>
      <c r="K8" s="116">
        <f>-'Financial Statements'!F32</f>
        <v>-7116913</v>
      </c>
    </row>
    <row r="9" spans="2:11" x14ac:dyDescent="0.2">
      <c r="B9" s="2" t="s">
        <v>190</v>
      </c>
      <c r="G9" s="116">
        <f>-SUM('Financial Statements'!B44:B47)</f>
        <v>-6855696</v>
      </c>
      <c r="H9" s="116">
        <f>-SUM('Financial Statements'!C44:C47)</f>
        <v>-7305907</v>
      </c>
      <c r="I9" s="116">
        <f>-SUM('Financial Statements'!D44:D47)</f>
        <v>-7789143</v>
      </c>
      <c r="J9" s="116">
        <f>-SUM('Financial Statements'!E44:E47)</f>
        <v>-7930974</v>
      </c>
      <c r="K9" s="116">
        <f>-SUM('Financial Statements'!F44:F47)</f>
        <v>-8460811</v>
      </c>
    </row>
    <row r="10" spans="2:11" x14ac:dyDescent="0.2">
      <c r="G10" s="117"/>
      <c r="H10" s="117"/>
      <c r="I10" s="117"/>
      <c r="J10" s="117"/>
      <c r="K10" s="117"/>
    </row>
    <row r="11" spans="2:11" x14ac:dyDescent="0.2">
      <c r="B11" s="81" t="s">
        <v>191</v>
      </c>
      <c r="C11" s="81"/>
      <c r="D11" s="81"/>
      <c r="E11" s="81"/>
      <c r="F11" s="81"/>
      <c r="G11" s="118">
        <f>SUM(G7:G9)</f>
        <v>22101579</v>
      </c>
      <c r="H11" s="118">
        <f t="shared" ref="H11:K11" si="0">SUM(H7:H9)</f>
        <v>23768902</v>
      </c>
      <c r="I11" s="118">
        <f t="shared" si="0"/>
        <v>30767716</v>
      </c>
      <c r="J11" s="118">
        <f t="shared" si="0"/>
        <v>35516618</v>
      </c>
      <c r="K11" s="118">
        <f t="shared" si="0"/>
        <v>33154268</v>
      </c>
    </row>
    <row r="12" spans="2:11" x14ac:dyDescent="0.2">
      <c r="G12" s="117"/>
      <c r="H12" s="117"/>
      <c r="I12" s="117"/>
      <c r="J12" s="117"/>
      <c r="K12" s="117"/>
    </row>
    <row r="13" spans="2:11" x14ac:dyDescent="0.2">
      <c r="B13" s="2" t="s">
        <v>193</v>
      </c>
      <c r="G13" s="116">
        <f>'Financial Statements'!B12</f>
        <v>2604254</v>
      </c>
      <c r="H13" s="116">
        <f>'Financial Statements'!C12</f>
        <v>4585289</v>
      </c>
      <c r="I13" s="116">
        <f>'Financial Statements'!D12</f>
        <v>6194509</v>
      </c>
      <c r="J13" s="116">
        <f>'Financial Statements'!E12</f>
        <v>5632831</v>
      </c>
      <c r="K13" s="116">
        <f>'Financial Statements'!F12</f>
        <v>6954003</v>
      </c>
    </row>
    <row r="14" spans="2:11" x14ac:dyDescent="0.2">
      <c r="B14" s="2" t="s">
        <v>208</v>
      </c>
      <c r="G14" s="119">
        <v>0.25</v>
      </c>
      <c r="H14" s="119">
        <v>0.25</v>
      </c>
      <c r="I14" s="119">
        <v>0.25</v>
      </c>
      <c r="J14" s="119">
        <v>0.25</v>
      </c>
      <c r="K14" s="119">
        <v>0.25</v>
      </c>
    </row>
    <row r="15" spans="2:11" x14ac:dyDescent="0.2">
      <c r="B15" s="81" t="s">
        <v>192</v>
      </c>
      <c r="C15" s="81"/>
      <c r="D15" s="81"/>
      <c r="E15" s="81"/>
      <c r="F15" s="81"/>
      <c r="G15" s="120">
        <f>G13*(1-G14/100)</f>
        <v>2597743.3650000002</v>
      </c>
      <c r="H15" s="120">
        <f t="shared" ref="H15:K15" si="1">H13*(1-H14/100)</f>
        <v>4573825.7774999999</v>
      </c>
      <c r="I15" s="120">
        <f t="shared" si="1"/>
        <v>6179022.7275</v>
      </c>
      <c r="J15" s="120">
        <f t="shared" si="1"/>
        <v>5618748.9225000003</v>
      </c>
      <c r="K15" s="120">
        <f t="shared" si="1"/>
        <v>6936617.9925000006</v>
      </c>
    </row>
    <row r="16" spans="2:11" x14ac:dyDescent="0.2">
      <c r="G16" s="117"/>
      <c r="H16" s="117"/>
      <c r="I16" s="117"/>
      <c r="J16" s="117"/>
      <c r="K16" s="117"/>
    </row>
    <row r="17" spans="2:11" x14ac:dyDescent="0.2">
      <c r="B17" s="84" t="s">
        <v>195</v>
      </c>
      <c r="C17" s="85"/>
      <c r="D17" s="85"/>
      <c r="E17" s="85"/>
      <c r="F17" s="85"/>
      <c r="G17" s="121">
        <f>G15/G11</f>
        <v>0.1175365508953003</v>
      </c>
      <c r="H17" s="121">
        <f t="shared" ref="H17:K17" si="2">H15/H11</f>
        <v>0.19242898883170959</v>
      </c>
      <c r="I17" s="121">
        <f t="shared" si="2"/>
        <v>0.20082812541236406</v>
      </c>
      <c r="J17" s="121">
        <f t="shared" si="2"/>
        <v>0.15820056184685152</v>
      </c>
      <c r="K17" s="121">
        <f t="shared" si="2"/>
        <v>0.2092224745393263</v>
      </c>
    </row>
    <row r="20" spans="2:11" x14ac:dyDescent="0.2">
      <c r="B20" s="65" t="s">
        <v>196</v>
      </c>
      <c r="C20" s="65"/>
      <c r="D20" s="65"/>
      <c r="E20" s="65"/>
      <c r="F20" s="65"/>
      <c r="G20" s="65"/>
      <c r="H20" s="65"/>
      <c r="I20" s="65"/>
      <c r="J20" s="65"/>
      <c r="K20" s="65"/>
    </row>
    <row r="21" spans="2:11" x14ac:dyDescent="0.2">
      <c r="G21" s="89">
        <f>'Financial Statements'!B$2</f>
        <v>2019</v>
      </c>
      <c r="H21" s="89">
        <f>'Financial Statements'!C$2</f>
        <v>2020</v>
      </c>
      <c r="I21" s="89">
        <f>'Financial Statements'!D$2</f>
        <v>2021</v>
      </c>
      <c r="J21" s="89">
        <f>'Financial Statements'!E$2</f>
        <v>2022</v>
      </c>
      <c r="K21" s="89">
        <f>'Financial Statements'!F$2</f>
        <v>2023</v>
      </c>
    </row>
    <row r="22" spans="2:11" x14ac:dyDescent="0.2">
      <c r="B22" s="2" t="s">
        <v>197</v>
      </c>
      <c r="G22" s="116">
        <f>-'Financial Statements'!B90</f>
        <v>387064</v>
      </c>
      <c r="H22" s="116">
        <f>-'Financial Statements'!C90</f>
        <v>505354</v>
      </c>
      <c r="I22" s="116">
        <f>-'Financial Statements'!D90</f>
        <v>1339853</v>
      </c>
      <c r="J22" s="116">
        <f>-'Financial Statements'!E90</f>
        <v>2076392</v>
      </c>
      <c r="K22" s="116">
        <f>-'Financial Statements'!F90</f>
        <v>-541751</v>
      </c>
    </row>
    <row r="23" spans="2:11" x14ac:dyDescent="0.2">
      <c r="B23" s="2" t="s">
        <v>198</v>
      </c>
      <c r="G23" s="116">
        <f>'Financial Statements'!B36-'Financial Statements'!B32-'Financial Statements'!B49</f>
        <v>-5695629</v>
      </c>
      <c r="H23" s="116">
        <f>'Financial Statements'!C36-'Financial Statements'!C32-'Financial Statements'!C49</f>
        <v>-6249755</v>
      </c>
      <c r="I23" s="116">
        <f>'Financial Statements'!D36-'Financial Statements'!D32-'Financial Statements'!D49</f>
        <v>-6446945</v>
      </c>
      <c r="J23" s="116">
        <f>'Financial Statements'!E36-'Financial Statements'!E32-'Financial Statements'!E49</f>
        <v>-3811677</v>
      </c>
      <c r="K23" s="116">
        <f>'Financial Statements'!F36-'Financial Statements'!F32-'Financial Statements'!F49</f>
        <v>-6059435</v>
      </c>
    </row>
    <row r="24" spans="2:11" x14ac:dyDescent="0.2">
      <c r="B24" s="2" t="s">
        <v>199</v>
      </c>
      <c r="G24" s="116"/>
      <c r="H24" s="116">
        <f>G23-H23</f>
        <v>554126</v>
      </c>
      <c r="I24" s="116">
        <f>H23-I23</f>
        <v>197190</v>
      </c>
      <c r="J24" s="116">
        <f>I23-J23</f>
        <v>-2635268</v>
      </c>
      <c r="K24" s="116">
        <f>J23-K23</f>
        <v>2247758</v>
      </c>
    </row>
    <row r="25" spans="2:11" x14ac:dyDescent="0.2">
      <c r="B25" s="2" t="s">
        <v>201</v>
      </c>
      <c r="G25" s="116"/>
      <c r="H25" s="116">
        <f>H22+H24</f>
        <v>1059480</v>
      </c>
      <c r="I25" s="116">
        <f>I22+I24</f>
        <v>1537043</v>
      </c>
      <c r="J25" s="116">
        <f>J22+J24</f>
        <v>-558876</v>
      </c>
      <c r="K25" s="116">
        <f>K22+K24</f>
        <v>1706007</v>
      </c>
    </row>
    <row r="26" spans="2:11" x14ac:dyDescent="0.2">
      <c r="B26" s="84" t="s">
        <v>200</v>
      </c>
      <c r="C26" s="84"/>
      <c r="D26" s="84"/>
      <c r="E26" s="84"/>
      <c r="F26" s="84"/>
      <c r="G26" s="122"/>
      <c r="H26" s="121">
        <f>H25/H15</f>
        <v>0.2316397806868585</v>
      </c>
      <c r="I26" s="121">
        <f t="shared" ref="I26:K26" si="3">I25/I15</f>
        <v>0.24875179583970869</v>
      </c>
      <c r="J26" s="121">
        <f t="shared" si="3"/>
        <v>-9.9466270464944412E-2</v>
      </c>
      <c r="K26" s="121">
        <f t="shared" si="3"/>
        <v>0.24594218707799193</v>
      </c>
    </row>
    <row r="28" spans="2:11" x14ac:dyDescent="0.2">
      <c r="I28" s="2" t="s">
        <v>202</v>
      </c>
      <c r="K28" s="72">
        <f>AVERAGE(H26:K26)</f>
        <v>0.15671687328490369</v>
      </c>
    </row>
    <row r="29" spans="2:11" x14ac:dyDescent="0.2">
      <c r="I29" s="2" t="s">
        <v>203</v>
      </c>
      <c r="K29" s="72">
        <f>MEDIAN(H26:K26)</f>
        <v>0.2387909838824252</v>
      </c>
    </row>
    <row r="30" spans="2:11" x14ac:dyDescent="0.2">
      <c r="K30" s="72"/>
    </row>
    <row r="31" spans="2:11" x14ac:dyDescent="0.2">
      <c r="B31" s="65" t="s">
        <v>204</v>
      </c>
      <c r="C31" s="65"/>
      <c r="D31" s="65"/>
      <c r="E31" s="65"/>
      <c r="F31" s="65"/>
      <c r="G31" s="65"/>
      <c r="H31" s="65"/>
      <c r="I31" s="65"/>
      <c r="J31" s="65"/>
      <c r="K31" s="65"/>
    </row>
    <row r="32" spans="2:11" x14ac:dyDescent="0.2">
      <c r="G32" s="89">
        <f>'Financial Statements'!B$2</f>
        <v>2019</v>
      </c>
      <c r="H32" s="89">
        <f>'Financial Statements'!C$2</f>
        <v>2020</v>
      </c>
      <c r="I32" s="89">
        <f>'Financial Statements'!D$2</f>
        <v>2021</v>
      </c>
      <c r="J32" s="89">
        <f>'Financial Statements'!E$2</f>
        <v>2022</v>
      </c>
      <c r="K32" s="89">
        <f>'Financial Statements'!F$2</f>
        <v>2023</v>
      </c>
    </row>
    <row r="33" spans="2:11" x14ac:dyDescent="0.2">
      <c r="B33" s="2" t="s">
        <v>200</v>
      </c>
      <c r="G33" s="117"/>
      <c r="H33" s="119">
        <f>H26</f>
        <v>0.2316397806868585</v>
      </c>
      <c r="I33" s="119">
        <f t="shared" ref="I33:K33" si="4">I26</f>
        <v>0.24875179583970869</v>
      </c>
      <c r="J33" s="119">
        <f t="shared" si="4"/>
        <v>-9.9466270464944412E-2</v>
      </c>
      <c r="K33" s="119">
        <f t="shared" si="4"/>
        <v>0.24594218707799193</v>
      </c>
    </row>
    <row r="34" spans="2:11" x14ac:dyDescent="0.2">
      <c r="B34" s="2" t="s">
        <v>205</v>
      </c>
      <c r="G34" s="117"/>
      <c r="H34" s="119">
        <f>H17</f>
        <v>0.19242898883170959</v>
      </c>
      <c r="I34" s="119">
        <f t="shared" ref="I34:K34" si="5">I17</f>
        <v>0.20082812541236406</v>
      </c>
      <c r="J34" s="119">
        <f t="shared" si="5"/>
        <v>0.15820056184685152</v>
      </c>
      <c r="K34" s="119">
        <f t="shared" si="5"/>
        <v>0.2092224745393263</v>
      </c>
    </row>
    <row r="35" spans="2:11" x14ac:dyDescent="0.2">
      <c r="B35" s="84" t="s">
        <v>206</v>
      </c>
      <c r="C35" s="85"/>
      <c r="D35" s="85"/>
      <c r="E35" s="85"/>
      <c r="F35" s="85"/>
      <c r="G35" s="123"/>
      <c r="H35" s="124">
        <f>H33*H34</f>
        <v>4.4574208770771152E-2</v>
      </c>
      <c r="I35" s="124">
        <f t="shared" ref="I35:K35" si="6">I33*I34</f>
        <v>4.9956356851447795E-2</v>
      </c>
      <c r="J35" s="124">
        <f t="shared" si="6"/>
        <v>-1.57356198723651E-2</v>
      </c>
      <c r="K35" s="124">
        <f t="shared" si="6"/>
        <v>5.1456632974071388E-2</v>
      </c>
    </row>
    <row r="37" spans="2:11" x14ac:dyDescent="0.2">
      <c r="I37" s="2" t="s">
        <v>202</v>
      </c>
      <c r="K37" s="72">
        <f>AVERAGE(H35:K35)</f>
        <v>3.2562894680981308E-2</v>
      </c>
    </row>
    <row r="38" spans="2:11" x14ac:dyDescent="0.2">
      <c r="I38" s="2" t="s">
        <v>203</v>
      </c>
      <c r="K38" s="72">
        <f>MEDIAN(H35:K35)</f>
        <v>4.7265282811109477E-2</v>
      </c>
    </row>
    <row r="39" spans="2:11" x14ac:dyDescent="0.2">
      <c r="K39" s="72"/>
    </row>
    <row r="40" spans="2:11" x14ac:dyDescent="0.2">
      <c r="B40" s="65" t="s">
        <v>216</v>
      </c>
      <c r="C40" s="65"/>
      <c r="D40" s="65"/>
      <c r="E40" s="65"/>
      <c r="F40" s="65"/>
      <c r="G40" s="65"/>
      <c r="H40" s="65"/>
      <c r="I40" s="65"/>
      <c r="J40" s="65"/>
      <c r="K40" s="65"/>
    </row>
    <row r="41" spans="2:11" x14ac:dyDescent="0.2">
      <c r="F41" s="89">
        <f>'Financial Statements'!F$2</f>
        <v>2023</v>
      </c>
      <c r="G41" s="89">
        <f>'Financial Statements'!G$2</f>
        <v>2024</v>
      </c>
      <c r="H41" s="89">
        <f>'Financial Statements'!H$2</f>
        <v>2025</v>
      </c>
      <c r="I41" s="89">
        <f>'Financial Statements'!I$2</f>
        <v>2026</v>
      </c>
      <c r="J41" s="89">
        <f>'Financial Statements'!J$2</f>
        <v>2027</v>
      </c>
      <c r="K41" s="89">
        <f>'Financial Statements'!K$2</f>
        <v>2028</v>
      </c>
    </row>
    <row r="42" spans="2:11" x14ac:dyDescent="0.2">
      <c r="B42" s="2" t="s">
        <v>207</v>
      </c>
      <c r="F42" s="116">
        <f>'Financial Statements'!F12</f>
        <v>6954003</v>
      </c>
      <c r="G42" s="116">
        <f>'Financial Statements'!G12</f>
        <v>7673481.0067696013</v>
      </c>
      <c r="H42" s="116">
        <f>'Financial Statements'!H12</f>
        <v>8029188.0048712231</v>
      </c>
      <c r="I42" s="116">
        <f>'Financial Statements'!I12</f>
        <v>8390147.933586549</v>
      </c>
      <c r="J42" s="116">
        <f>'Financial Statements'!J12</f>
        <v>8757660.5448417924</v>
      </c>
      <c r="K42" s="116">
        <f>'Financial Statements'!K12</f>
        <v>9132766.3500213474</v>
      </c>
    </row>
    <row r="43" spans="2:11" x14ac:dyDescent="0.2">
      <c r="B43" s="2" t="s">
        <v>208</v>
      </c>
      <c r="F43" s="125">
        <v>0.25</v>
      </c>
      <c r="G43" s="125">
        <v>0.25</v>
      </c>
      <c r="H43" s="125">
        <v>0.25</v>
      </c>
      <c r="I43" s="125">
        <v>0.25</v>
      </c>
      <c r="J43" s="125">
        <v>0.25</v>
      </c>
      <c r="K43" s="125">
        <v>0.25</v>
      </c>
    </row>
    <row r="44" spans="2:11" x14ac:dyDescent="0.2">
      <c r="B44" s="2" t="s">
        <v>209</v>
      </c>
      <c r="F44" s="119">
        <f>K29</f>
        <v>0.2387909838824252</v>
      </c>
      <c r="G44" s="119">
        <f>F44</f>
        <v>0.2387909838824252</v>
      </c>
      <c r="H44" s="119">
        <f t="shared" ref="H44:J44" si="7">G44</f>
        <v>0.2387909838824252</v>
      </c>
      <c r="I44" s="119">
        <f t="shared" si="7"/>
        <v>0.2387909838824252</v>
      </c>
      <c r="J44" s="119">
        <f t="shared" si="7"/>
        <v>0.2387909838824252</v>
      </c>
      <c r="K44" s="119">
        <f t="shared" ref="K44" si="8">J44</f>
        <v>0.2387909838824252</v>
      </c>
    </row>
    <row r="45" spans="2:11" x14ac:dyDescent="0.2">
      <c r="B45" s="2" t="s">
        <v>210</v>
      </c>
      <c r="F45" s="116">
        <f>F42*(1-F43)*(1-F44)</f>
        <v>3970087.336281498</v>
      </c>
      <c r="G45" s="116">
        <f t="shared" ref="G45:K45" si="9">G42*(1-G43)*(1-G44)</f>
        <v>4380842.1955199894</v>
      </c>
      <c r="H45" s="116">
        <f t="shared" si="9"/>
        <v>4583917.7260582931</v>
      </c>
      <c r="I45" s="116">
        <f t="shared" si="9"/>
        <v>4789992.1902047405</v>
      </c>
      <c r="J45" s="116">
        <f t="shared" si="9"/>
        <v>4999807.6251230445</v>
      </c>
      <c r="K45" s="116">
        <f t="shared" si="9"/>
        <v>5213958.0657985834</v>
      </c>
    </row>
    <row r="46" spans="2:11" x14ac:dyDescent="0.2">
      <c r="B46" s="2" t="s">
        <v>211</v>
      </c>
      <c r="F46" s="117"/>
      <c r="G46" s="126">
        <v>0.5</v>
      </c>
      <c r="H46" s="117">
        <f>G46+1</f>
        <v>1.5</v>
      </c>
      <c r="I46" s="117">
        <f>H46+1</f>
        <v>2.5</v>
      </c>
      <c r="J46" s="117">
        <f>I46+1</f>
        <v>3.5</v>
      </c>
      <c r="K46" s="117">
        <f>J46+1</f>
        <v>4.5</v>
      </c>
    </row>
    <row r="47" spans="2:11" x14ac:dyDescent="0.2">
      <c r="B47" s="2" t="s">
        <v>212</v>
      </c>
      <c r="F47" s="117"/>
      <c r="G47" s="127">
        <f>1/(1+$D$51)^G46</f>
        <v>0.9644679824103618</v>
      </c>
      <c r="H47" s="127">
        <f>1/(1+$D$51)^H46</f>
        <v>0.89714666001834587</v>
      </c>
      <c r="I47" s="127">
        <f>1/(1+$D$51)^I46</f>
        <v>0.83452446764543453</v>
      </c>
      <c r="J47" s="127">
        <f>1/(1+$D$51)^J46</f>
        <v>0.77627339891635372</v>
      </c>
      <c r="K47" s="127">
        <f>1/(1+$D$51)^K46</f>
        <v>0.72208834279641054</v>
      </c>
    </row>
    <row r="48" spans="2:11" x14ac:dyDescent="0.2">
      <c r="B48" s="84" t="s">
        <v>213</v>
      </c>
      <c r="C48" s="84"/>
      <c r="D48" s="84"/>
      <c r="E48" s="84"/>
      <c r="F48" s="84"/>
      <c r="G48" s="128">
        <f>G45*G47</f>
        <v>4225182.0335713439</v>
      </c>
      <c r="H48" s="128">
        <f t="shared" ref="H48:K48" si="10">H45*H47</f>
        <v>4112446.4777320884</v>
      </c>
      <c r="I48" s="128">
        <f t="shared" si="10"/>
        <v>3997365.6825564001</v>
      </c>
      <c r="J48" s="128">
        <f t="shared" si="10"/>
        <v>3881217.6590821682</v>
      </c>
      <c r="K48" s="128">
        <f t="shared" si="10"/>
        <v>3764938.3391424771</v>
      </c>
    </row>
    <row r="49" spans="2:13" x14ac:dyDescent="0.2">
      <c r="G49" s="12"/>
    </row>
    <row r="50" spans="2:13" x14ac:dyDescent="0.2">
      <c r="B50" s="2" t="s">
        <v>298</v>
      </c>
      <c r="D50" s="134">
        <v>3.04E-2</v>
      </c>
      <c r="F50" s="232" t="s">
        <v>297</v>
      </c>
      <c r="G50" s="232"/>
      <c r="H50" s="232"/>
      <c r="I50" s="232"/>
      <c r="J50" s="232"/>
      <c r="K50" s="232"/>
    </row>
    <row r="51" spans="2:13" x14ac:dyDescent="0.2">
      <c r="B51" s="2" t="s">
        <v>215</v>
      </c>
      <c r="D51" s="72">
        <f>'Weighted Average Cost of Capita'!D30</f>
        <v>7.5039372481907521E-2</v>
      </c>
      <c r="F51" s="30" t="s">
        <v>299</v>
      </c>
      <c r="G51" s="146"/>
      <c r="H51" s="91"/>
      <c r="I51" s="91"/>
      <c r="J51" s="91"/>
      <c r="K51" s="91"/>
    </row>
    <row r="53" spans="2:13" ht="16" customHeight="1" x14ac:dyDescent="0.2">
      <c r="B53" s="65" t="s">
        <v>264</v>
      </c>
      <c r="C53" s="65"/>
      <c r="D53" s="65"/>
      <c r="F53" s="65" t="s">
        <v>278</v>
      </c>
      <c r="G53" s="65"/>
      <c r="H53" s="65"/>
      <c r="I53" s="65"/>
      <c r="J53" s="65"/>
      <c r="K53" s="65"/>
      <c r="M53" s="163"/>
    </row>
    <row r="54" spans="2:13" ht="18" x14ac:dyDescent="0.2">
      <c r="B54" s="2" t="s">
        <v>265</v>
      </c>
      <c r="D54" s="6">
        <f>K45*(1+D56)</f>
        <v>5372462.3909988599</v>
      </c>
      <c r="F54" s="144"/>
      <c r="G54" s="142" t="s">
        <v>147</v>
      </c>
      <c r="H54" s="140"/>
      <c r="I54" s="140"/>
      <c r="J54" s="140"/>
      <c r="K54" s="141"/>
      <c r="M54" s="163"/>
    </row>
    <row r="55" spans="2:13" x14ac:dyDescent="0.2">
      <c r="B55" s="2" t="s">
        <v>215</v>
      </c>
      <c r="D55" s="72">
        <f>D51</f>
        <v>7.5039372481907521E-2</v>
      </c>
      <c r="F55" s="231" t="s">
        <v>277</v>
      </c>
      <c r="G55" s="137">
        <f>D62</f>
        <v>186654041.46166372</v>
      </c>
      <c r="H55" s="139">
        <v>0.06</v>
      </c>
      <c r="I55" s="139">
        <v>8.2197540200033253E-2</v>
      </c>
      <c r="J55" s="139">
        <v>0.1</v>
      </c>
      <c r="K55" s="139">
        <v>0.12</v>
      </c>
      <c r="M55" s="62"/>
    </row>
    <row r="56" spans="2:13" x14ac:dyDescent="0.2">
      <c r="B56" s="2" t="s">
        <v>214</v>
      </c>
      <c r="D56" s="72">
        <f>D50</f>
        <v>3.04E-2</v>
      </c>
      <c r="F56" s="231"/>
      <c r="G56" s="139">
        <v>0.01</v>
      </c>
      <c r="H56" s="135">
        <f t="dataTable" ref="H56:K60" dt2D="1" dtr="1" r1="D51" r2="D50"/>
        <v>157582174.17109498</v>
      </c>
      <c r="I56" s="135">
        <v>123735645.49601537</v>
      </c>
      <c r="J56" s="135">
        <v>108750819.0262073</v>
      </c>
      <c r="K56" s="135">
        <v>97830599.193652913</v>
      </c>
    </row>
    <row r="57" spans="2:13" x14ac:dyDescent="0.2">
      <c r="B57" s="73" t="s">
        <v>266</v>
      </c>
      <c r="C57" s="73"/>
      <c r="D57" s="80">
        <f>D54/(D55-D56)</f>
        <v>120352551.84593681</v>
      </c>
      <c r="F57" s="231"/>
      <c r="G57" s="139">
        <v>0.02</v>
      </c>
      <c r="H57" s="135">
        <v>193500806.95779875</v>
      </c>
      <c r="I57" s="135">
        <v>141664721.43906197</v>
      </c>
      <c r="J57" s="135">
        <v>120982743.92356911</v>
      </c>
      <c r="K57" s="135">
        <v>106671041.0773769</v>
      </c>
    </row>
    <row r="58" spans="2:13" x14ac:dyDescent="0.2">
      <c r="F58" s="231"/>
      <c r="G58" s="139">
        <v>3.0700000000000002E-2</v>
      </c>
      <c r="H58" s="135">
        <v>259086023.82089257</v>
      </c>
      <c r="I58" s="138">
        <v>168560096.21711758</v>
      </c>
      <c r="J58" s="135">
        <v>137980353.84587708</v>
      </c>
      <c r="K58" s="135">
        <v>118323000.87260994</v>
      </c>
    </row>
    <row r="59" spans="2:13" x14ac:dyDescent="0.2">
      <c r="B59" s="65" t="s">
        <v>267</v>
      </c>
      <c r="C59" s="65"/>
      <c r="D59" s="65"/>
      <c r="F59" s="231"/>
      <c r="G59" s="139">
        <v>0.04</v>
      </c>
      <c r="H59" s="135">
        <v>373093970.89131755</v>
      </c>
      <c r="I59" s="135">
        <v>203015936.46303782</v>
      </c>
      <c r="J59" s="135">
        <v>157678518.61565459</v>
      </c>
      <c r="K59" s="135">
        <v>130982256.25761788</v>
      </c>
    </row>
    <row r="60" spans="2:13" x14ac:dyDescent="0.2">
      <c r="B60" s="2" t="s">
        <v>213</v>
      </c>
      <c r="D60" s="6">
        <f>SUM(G48:K48)</f>
        <v>19981150.192084476</v>
      </c>
      <c r="F60" s="231"/>
      <c r="G60" s="139">
        <v>0.05</v>
      </c>
      <c r="H60" s="135">
        <v>732280298.75835526</v>
      </c>
      <c r="I60" s="135">
        <v>262273485.93836516</v>
      </c>
      <c r="J60" s="135">
        <v>187035138.3693229</v>
      </c>
      <c r="K60" s="135">
        <v>148347409.95778996</v>
      </c>
    </row>
    <row r="61" spans="2:13" x14ac:dyDescent="0.2">
      <c r="B61" s="2" t="s">
        <v>268</v>
      </c>
      <c r="D61" s="6">
        <f>D57/K47</f>
        <v>166672891.26957926</v>
      </c>
      <c r="F61" s="145"/>
      <c r="G61" s="139"/>
      <c r="H61" s="135"/>
      <c r="I61" s="135"/>
      <c r="J61" s="135"/>
      <c r="K61" s="135"/>
    </row>
    <row r="62" spans="2:13" x14ac:dyDescent="0.2">
      <c r="B62" s="73" t="s">
        <v>269</v>
      </c>
      <c r="C62" s="73"/>
      <c r="D62" s="130">
        <f>SUM(D60:D61)</f>
        <v>186654041.46166372</v>
      </c>
    </row>
    <row r="63" spans="2:13" x14ac:dyDescent="0.2">
      <c r="B63" s="2" t="s">
        <v>270</v>
      </c>
      <c r="D63" s="6">
        <f>'Financial Statements'!F32</f>
        <v>7116913</v>
      </c>
      <c r="F63" s="65" t="s">
        <v>279</v>
      </c>
      <c r="G63" s="65"/>
      <c r="H63" s="65"/>
      <c r="I63" s="65"/>
      <c r="J63" s="65"/>
      <c r="K63" s="65"/>
    </row>
    <row r="64" spans="2:13" x14ac:dyDescent="0.2">
      <c r="B64" s="2" t="s">
        <v>271</v>
      </c>
      <c r="D64" s="6">
        <f>-(SUM('Financial Statements'!F48,'Financial Statements'!F51))</f>
        <v>-14543261</v>
      </c>
      <c r="F64" s="144"/>
      <c r="G64" s="142" t="s">
        <v>147</v>
      </c>
      <c r="H64" s="140"/>
      <c r="I64" s="140"/>
      <c r="J64" s="140"/>
      <c r="K64" s="141"/>
    </row>
    <row r="65" spans="2:11" x14ac:dyDescent="0.2">
      <c r="B65" s="81" t="s">
        <v>272</v>
      </c>
      <c r="C65" s="81"/>
      <c r="D65" s="132">
        <f>SUM(D62:D64)</f>
        <v>179227693.46166372</v>
      </c>
      <c r="F65" s="231" t="s">
        <v>277</v>
      </c>
      <c r="G65" s="137">
        <f>D67</f>
        <v>405.8864677745226</v>
      </c>
      <c r="H65" s="139">
        <v>0.06</v>
      </c>
      <c r="I65" s="139">
        <f>'Weighted Average Cost of Capita'!D30</f>
        <v>7.5039372481907521E-2</v>
      </c>
      <c r="J65" s="139">
        <v>0.12</v>
      </c>
      <c r="K65" s="139">
        <v>0.14000000000000001</v>
      </c>
    </row>
    <row r="66" spans="2:11" x14ac:dyDescent="0.2">
      <c r="B66" s="2" t="s">
        <v>273</v>
      </c>
      <c r="D66" s="6">
        <f>'Financial Statements'!F26</f>
        <v>441571</v>
      </c>
      <c r="F66" s="231"/>
      <c r="G66" s="139">
        <v>0.01</v>
      </c>
      <c r="H66" s="135">
        <f t="dataTable" ref="H66:K70" dt2D="1" dtr="1" r1="D51" r2="D50" ca="1"/>
        <v>340.04911140245844</v>
      </c>
      <c r="I66" s="135">
        <v>282.36661342761084</v>
      </c>
      <c r="J66" s="135">
        <v>204.73321661443552</v>
      </c>
      <c r="K66" s="135">
        <v>187.95676646169636</v>
      </c>
    </row>
    <row r="67" spans="2:11" x14ac:dyDescent="0.2">
      <c r="B67" s="84" t="s">
        <v>274</v>
      </c>
      <c r="C67" s="84"/>
      <c r="D67" s="133">
        <f>D65/D66</f>
        <v>405.8864677745226</v>
      </c>
      <c r="F67" s="231"/>
      <c r="G67" s="139">
        <v>0.02</v>
      </c>
      <c r="H67" s="135">
        <v>421.39193687492781</v>
      </c>
      <c r="I67" s="135">
        <v>331.4744962144257</v>
      </c>
      <c r="J67" s="135">
        <v>224.75364794648402</v>
      </c>
      <c r="K67" s="135">
        <v>203.51710617990906</v>
      </c>
    </row>
    <row r="68" spans="2:11" x14ac:dyDescent="0.2">
      <c r="F68" s="231"/>
      <c r="G68" s="139">
        <v>3.04E-2</v>
      </c>
      <c r="H68" s="135">
        <v>564.29149513737377</v>
      </c>
      <c r="I68" s="138">
        <v>405.8864677745226</v>
      </c>
      <c r="J68" s="135">
        <v>250.31544866508162</v>
      </c>
      <c r="K68" s="135">
        <v>222.71197780310575</v>
      </c>
    </row>
    <row r="69" spans="2:11" x14ac:dyDescent="0.2">
      <c r="B69" s="90" t="s">
        <v>275</v>
      </c>
      <c r="C69" s="90"/>
      <c r="D69" s="90">
        <f>'One Page Profile'!C8</f>
        <v>676.9</v>
      </c>
      <c r="F69" s="231"/>
      <c r="G69" s="139">
        <v>4.0399999999999998E-2</v>
      </c>
      <c r="H69" s="135">
        <v>844.70664086430884</v>
      </c>
      <c r="I69" s="135">
        <v>519.57402369163287</v>
      </c>
      <c r="J69" s="135">
        <v>281.19315536999761</v>
      </c>
      <c r="K69" s="135">
        <v>244.94885410430672</v>
      </c>
    </row>
    <row r="70" spans="2:11" x14ac:dyDescent="0.2">
      <c r="B70" s="90" t="s">
        <v>276</v>
      </c>
      <c r="C70" s="90"/>
      <c r="D70" s="131">
        <f>D69/D67</f>
        <v>1.6677077304681918</v>
      </c>
      <c r="F70" s="231"/>
      <c r="G70" s="139">
        <v>0.05</v>
      </c>
      <c r="H70" s="135">
        <v>1641.5343189619682</v>
      </c>
      <c r="I70" s="135">
        <v>714.14533383353819</v>
      </c>
      <c r="J70" s="135">
        <v>319.13568136899835</v>
      </c>
      <c r="K70" s="135">
        <v>270.94524495883087</v>
      </c>
    </row>
  </sheetData>
  <mergeCells count="3">
    <mergeCell ref="F55:F60"/>
    <mergeCell ref="F65:F70"/>
    <mergeCell ref="F50:K50"/>
  </mergeCells>
  <pageMargins left="0.7" right="0.7" top="0.75" bottom="0.75" header="0.3" footer="0.3"/>
  <pageSetup scale="65"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EE50-3DE9-804F-A869-22E87AE082E4}">
  <dimension ref="B3:M29"/>
  <sheetViews>
    <sheetView showGridLines="0" view="pageBreakPreview" zoomScale="60" zoomScaleNormal="125" workbookViewId="0">
      <selection activeCell="L3" sqref="L3"/>
    </sheetView>
  </sheetViews>
  <sheetFormatPr baseColWidth="10" defaultRowHeight="15" x14ac:dyDescent="0.2"/>
  <cols>
    <col min="1" max="1" width="4.6640625" style="2" customWidth="1"/>
    <col min="2" max="2" width="37.83203125" style="2" customWidth="1"/>
    <col min="3" max="3" width="11" style="2" bestFit="1" customWidth="1"/>
    <col min="4" max="4" width="10.83203125" style="2" customWidth="1"/>
    <col min="5" max="5" width="17.33203125" style="2" bestFit="1" customWidth="1"/>
    <col min="6" max="6" width="16.1640625" style="2" bestFit="1" customWidth="1"/>
    <col min="7" max="7" width="17.33203125" style="2" bestFit="1" customWidth="1"/>
    <col min="8" max="9" width="11.33203125" style="2" bestFit="1" customWidth="1"/>
    <col min="10" max="10" width="11" style="2" bestFit="1" customWidth="1"/>
    <col min="11" max="11" width="15.1640625" style="2" bestFit="1" customWidth="1"/>
    <col min="12" max="13" width="16.33203125" style="2" bestFit="1" customWidth="1"/>
    <col min="14" max="14" width="5" style="2" customWidth="1"/>
    <col min="15" max="16384" width="10.83203125" style="2"/>
  </cols>
  <sheetData>
    <row r="3" spans="2:13" x14ac:dyDescent="0.2">
      <c r="B3" s="135"/>
    </row>
    <row r="5" spans="2:13" s="117" customFormat="1" x14ac:dyDescent="0.2">
      <c r="B5" s="143" t="s">
        <v>155</v>
      </c>
      <c r="C5" s="158" t="s">
        <v>275</v>
      </c>
      <c r="D5" s="158" t="s">
        <v>290</v>
      </c>
      <c r="E5" s="158" t="s">
        <v>272</v>
      </c>
      <c r="F5" s="158" t="s">
        <v>281</v>
      </c>
      <c r="G5" s="158" t="s">
        <v>269</v>
      </c>
      <c r="H5" s="158" t="s">
        <v>282</v>
      </c>
      <c r="I5" s="158" t="s">
        <v>100</v>
      </c>
      <c r="J5" s="158" t="s">
        <v>20</v>
      </c>
      <c r="K5" s="158" t="s">
        <v>295</v>
      </c>
      <c r="L5" s="158" t="s">
        <v>284</v>
      </c>
      <c r="M5" s="158" t="s">
        <v>285</v>
      </c>
    </row>
    <row r="6" spans="2:13" x14ac:dyDescent="0.2">
      <c r="B6" s="16" t="e" vm="1">
        <v>#VALUE!</v>
      </c>
      <c r="C6" s="148" cm="1">
        <f t="array" ref="C6">_FV(B6,"Price")</f>
        <v>676.9</v>
      </c>
      <c r="D6" s="149" cm="1">
        <f t="array" ref="D6">_FV(B6,"Shares outstanding",TRUE)/1000</f>
        <v>430901.2</v>
      </c>
      <c r="E6" s="150" cm="1">
        <f t="array" ref="E6">_FV(B6,"Market cap",TRUE)/1000</f>
        <v>291677022.27999997</v>
      </c>
      <c r="F6" s="151">
        <v>7426348</v>
      </c>
      <c r="G6" s="148">
        <f>SUM(E6:F6)</f>
        <v>299103370.27999997</v>
      </c>
      <c r="H6" s="149">
        <v>33723297</v>
      </c>
      <c r="I6" s="149">
        <v>22789683</v>
      </c>
      <c r="J6" s="149">
        <v>6435079</v>
      </c>
      <c r="K6" s="152">
        <f>G6/H6</f>
        <v>8.8693395037857652</v>
      </c>
      <c r="L6" s="152">
        <f t="shared" ref="L6:L14" si="0">G6/I6</f>
        <v>13.124507711669354</v>
      </c>
      <c r="M6" s="152">
        <f t="shared" ref="M6:M14" si="1">C6/(J6/D6)</f>
        <v>45.326098138033736</v>
      </c>
    </row>
    <row r="7" spans="2:13" x14ac:dyDescent="0.2">
      <c r="B7" s="2" t="e" vm="2">
        <v>#VALUE!</v>
      </c>
      <c r="C7" s="153" cm="1">
        <f t="array" ref="C7">_FV(B7,"Price")</f>
        <v>94.3</v>
      </c>
      <c r="D7" s="129" cm="1">
        <f t="array" ref="D7">_FV(B7,"Shares outstanding",TRUE)/1000</f>
        <v>1823043</v>
      </c>
      <c r="E7" s="154" cm="1">
        <f t="array" ref="E7">_FV(B7,"Market cap",TRUE)/1000</f>
        <v>185038900</v>
      </c>
      <c r="F7" s="155">
        <v>40498000</v>
      </c>
      <c r="G7" s="153">
        <f t="shared" ref="G7:G14" si="2">SUM(E7:F7)</f>
        <v>225536900</v>
      </c>
      <c r="H7" s="129">
        <v>88898000</v>
      </c>
      <c r="I7" s="129">
        <v>12111000</v>
      </c>
      <c r="J7" s="129">
        <v>2354000</v>
      </c>
      <c r="K7" s="12">
        <f t="shared" ref="K7:K14" si="3">G7/H7</f>
        <v>2.5370300794168599</v>
      </c>
      <c r="L7" s="12">
        <f t="shared" si="0"/>
        <v>18.62248369251094</v>
      </c>
      <c r="M7" s="12">
        <f t="shared" si="1"/>
        <v>73.030142268479182</v>
      </c>
    </row>
    <row r="8" spans="2:13" x14ac:dyDescent="0.2">
      <c r="B8" s="2" t="e" vm="3">
        <v>#VALUE!</v>
      </c>
      <c r="C8" s="153" cm="1">
        <f t="array" ref="C8">_FV(B8,"Price")</f>
        <v>7.04</v>
      </c>
      <c r="D8" s="129" cm="1">
        <f t="array" ref="D8">_FV(B8,"Shares outstanding",TRUE)/1000</f>
        <v>2450313</v>
      </c>
      <c r="E8" s="154" cm="1">
        <f t="array" ref="E8">_FV(B8,"Market cap",TRUE)/1000</f>
        <v>17250203.52</v>
      </c>
      <c r="F8" s="155">
        <v>39889000</v>
      </c>
      <c r="G8" s="153">
        <f t="shared" si="2"/>
        <v>57139203.519999996</v>
      </c>
      <c r="H8" s="129">
        <v>41321000</v>
      </c>
      <c r="I8" s="129">
        <v>22367000</v>
      </c>
      <c r="J8" s="129">
        <v>-3126000</v>
      </c>
      <c r="K8" s="12">
        <f t="shared" si="3"/>
        <v>1.3828126986278162</v>
      </c>
      <c r="L8" s="12">
        <f t="shared" si="0"/>
        <v>2.5546208038628335</v>
      </c>
      <c r="M8" s="12">
        <f t="shared" si="1"/>
        <v>-5.5182992706333973</v>
      </c>
    </row>
    <row r="9" spans="2:13" x14ac:dyDescent="0.2">
      <c r="B9" s="2" t="e" vm="4">
        <v>#VALUE!</v>
      </c>
      <c r="C9" s="153" cm="1">
        <f t="array" ref="C9">_FV(B9,"Price")</f>
        <v>9.9749999999999996</v>
      </c>
      <c r="D9" s="129" cm="1">
        <f t="array" ref="D9">_FV(B9,"Shares outstanding",TRUE)/1000</f>
        <v>666478.69999999995</v>
      </c>
      <c r="E9" s="154" cm="1">
        <f t="array" ref="E9">_FV(B9,"Market cap",TRUE)/1000</f>
        <v>6706468</v>
      </c>
      <c r="F9" s="155">
        <v>12142000</v>
      </c>
      <c r="G9" s="153">
        <f t="shared" ref="G9:G13" si="4">SUM(E9:F9)</f>
        <v>18848468</v>
      </c>
      <c r="H9" s="129">
        <v>29652000</v>
      </c>
      <c r="I9" s="129">
        <v>85000</v>
      </c>
      <c r="J9" s="129">
        <v>1340248</v>
      </c>
      <c r="K9" s="12">
        <f t="shared" si="3"/>
        <v>0.63565587481451502</v>
      </c>
      <c r="L9" s="12">
        <f t="shared" si="0"/>
        <v>221.74668235294118</v>
      </c>
      <c r="M9" s="12">
        <f t="shared" si="1"/>
        <v>4.9603692991894031</v>
      </c>
    </row>
    <row r="10" spans="2:13" x14ac:dyDescent="0.2">
      <c r="B10" s="2" t="e" vm="6">
        <v>#VALUE!</v>
      </c>
      <c r="C10" s="153" cm="1">
        <f t="array" ref="C10">_FV(B10,"Price")</f>
        <v>1.1397999999999999</v>
      </c>
      <c r="D10" s="129" cm="1">
        <f t="array" ref="D10">_FV(B10,"Shares outstanding",TRUE)/1000</f>
        <v>299879.7</v>
      </c>
      <c r="E10" s="154" cm="1">
        <f t="array" ref="E10">_FV(B10,"Market cap",TRUE)/1000</f>
        <v>341802.88199999998</v>
      </c>
      <c r="F10" s="155">
        <v>154405</v>
      </c>
      <c r="G10" s="153">
        <f t="shared" si="4"/>
        <v>496207.88199999998</v>
      </c>
      <c r="H10" s="129">
        <v>1368225</v>
      </c>
      <c r="I10" s="129">
        <v>-239680</v>
      </c>
      <c r="J10" s="129">
        <v>-294241.179</v>
      </c>
      <c r="K10" s="12">
        <f t="shared" si="3"/>
        <v>0.36266541102523342</v>
      </c>
      <c r="L10" s="12">
        <f t="shared" si="0"/>
        <v>-2.0702932326435248</v>
      </c>
      <c r="M10" s="12">
        <f t="shared" si="1"/>
        <v>-1.1616418994161248</v>
      </c>
    </row>
    <row r="11" spans="2:13" x14ac:dyDescent="0.2">
      <c r="B11" s="2" t="e" vm="7">
        <v>#VALUE!</v>
      </c>
      <c r="C11" s="153" cm="1">
        <f t="array" ref="C11">_FV(B11,"Price")</f>
        <v>92.08</v>
      </c>
      <c r="D11" s="129" cm="1">
        <f t="array" ref="D11">_FV(B11,"Shares outstanding",TRUE)/1000</f>
        <v>231442.6</v>
      </c>
      <c r="E11" s="154" cm="1">
        <f t="array" ref="E11">_FV(B11,"Market cap",TRUE)/1000</f>
        <v>21311234.607999999</v>
      </c>
      <c r="F11" s="155">
        <v>361546</v>
      </c>
      <c r="G11" s="153">
        <f t="shared" si="4"/>
        <v>21672780.607999999</v>
      </c>
      <c r="H11" s="129">
        <v>22749073</v>
      </c>
      <c r="I11" s="129">
        <v>1766803</v>
      </c>
      <c r="J11" s="129">
        <v>567563.37</v>
      </c>
      <c r="K11" s="12">
        <f t="shared" si="3"/>
        <v>0.95268851649471598</v>
      </c>
      <c r="L11" s="12">
        <f t="shared" si="0"/>
        <v>12.266665048678318</v>
      </c>
      <c r="M11" s="12">
        <f t="shared" si="1"/>
        <v>37.548643436943436</v>
      </c>
    </row>
    <row r="12" spans="2:13" x14ac:dyDescent="0.2">
      <c r="B12" s="2" t="e" vm="8">
        <v>#VALUE!</v>
      </c>
      <c r="C12" s="153" cm="1">
        <f t="array" ref="C12">_FV(B12,"Price")</f>
        <v>65.099999999999994</v>
      </c>
      <c r="D12" s="129" cm="1">
        <f t="array" ref="D12">_FV(B12,"Shares outstanding",TRUE)/1000</f>
        <v>653445</v>
      </c>
      <c r="E12" s="154" cm="1">
        <f t="array" ref="E12">_FV(B12,"Market cap",TRUE)/1000</f>
        <v>27144270</v>
      </c>
      <c r="F12" s="155">
        <v>1498000</v>
      </c>
      <c r="G12" s="153">
        <f t="shared" si="4"/>
        <v>28642270</v>
      </c>
      <c r="H12" s="129">
        <v>3222000</v>
      </c>
      <c r="I12" s="129">
        <v>752000</v>
      </c>
      <c r="J12" s="129">
        <v>148374.41</v>
      </c>
      <c r="K12" s="12">
        <f t="shared" si="3"/>
        <v>8.8895934202358777</v>
      </c>
      <c r="L12" s="12">
        <f t="shared" si="0"/>
        <v>38.088124999999998</v>
      </c>
      <c r="M12" s="12">
        <f t="shared" si="1"/>
        <v>286.70219817554789</v>
      </c>
    </row>
    <row r="13" spans="2:13" x14ac:dyDescent="0.2">
      <c r="B13" s="2" t="e" vm="9">
        <v>#VALUE!</v>
      </c>
      <c r="C13" s="153" cm="1">
        <f t="array" ref="C13">_FV(B13,"Price")</f>
        <v>26.89</v>
      </c>
      <c r="D13" s="129" cm="1">
        <f t="array" ref="D13">_FV(B13,"Shares outstanding",TRUE)/1000</f>
        <v>569888.9</v>
      </c>
      <c r="E13" s="154" cm="1">
        <f t="array" ref="E13">_FV(B13,"Market cap",TRUE)/1000</f>
        <v>15514740</v>
      </c>
      <c r="F13" s="155">
        <v>1092000</v>
      </c>
      <c r="G13" s="153">
        <f t="shared" si="4"/>
        <v>16606740</v>
      </c>
      <c r="H13" s="129">
        <v>9941000</v>
      </c>
      <c r="I13" s="129">
        <v>1395000</v>
      </c>
      <c r="J13" s="129">
        <v>308200</v>
      </c>
      <c r="K13" s="12">
        <f t="shared" si="3"/>
        <v>1.6705301277537472</v>
      </c>
      <c r="L13" s="12">
        <f t="shared" si="0"/>
        <v>11.90447311827957</v>
      </c>
      <c r="M13" s="12">
        <f t="shared" si="1"/>
        <v>49.721974435431541</v>
      </c>
    </row>
    <row r="14" spans="2:13" x14ac:dyDescent="0.2">
      <c r="B14" s="2" t="e" vm="5">
        <v>#VALUE!</v>
      </c>
      <c r="C14" s="153" cm="1">
        <f t="array" ref="C14">_FV(B14,"Price")</f>
        <v>34.32</v>
      </c>
      <c r="D14" s="129" cm="1">
        <f t="array" ref="D14">_FV(B14,"Shares outstanding",TRUE)/1000</f>
        <v>466731.2</v>
      </c>
      <c r="E14" s="154" cm="1">
        <f t="array" ref="E14">_FV(B14,"Market cap",TRUE)/1000</f>
        <v>15109880</v>
      </c>
      <c r="F14" s="155">
        <v>2938000</v>
      </c>
      <c r="G14" s="153">
        <f t="shared" si="2"/>
        <v>18047880</v>
      </c>
      <c r="H14" s="129">
        <f>14913000</f>
        <v>14913000</v>
      </c>
      <c r="I14" s="129">
        <v>2496000</v>
      </c>
      <c r="J14" s="129">
        <v>1239000</v>
      </c>
      <c r="K14" s="12">
        <f t="shared" si="3"/>
        <v>1.2102112251056125</v>
      </c>
      <c r="L14" s="12">
        <f t="shared" si="0"/>
        <v>7.2307211538461535</v>
      </c>
      <c r="M14" s="12">
        <f t="shared" si="1"/>
        <v>12.928341230024213</v>
      </c>
    </row>
    <row r="15" spans="2:13" x14ac:dyDescent="0.2">
      <c r="C15" s="153"/>
      <c r="D15" s="129"/>
      <c r="E15" s="154"/>
      <c r="F15" s="155"/>
      <c r="G15" s="153"/>
      <c r="H15" s="129"/>
      <c r="I15" s="129"/>
      <c r="J15" s="129"/>
      <c r="K15" s="12"/>
      <c r="L15" s="12"/>
      <c r="M15" s="12"/>
    </row>
    <row r="16" spans="2:13" x14ac:dyDescent="0.2">
      <c r="B16" s="2" t="s">
        <v>286</v>
      </c>
      <c r="K16" s="12">
        <f>MAX(K6:K14)</f>
        <v>8.8895934202358777</v>
      </c>
      <c r="L16" s="12">
        <f>MAX(L6:L14)</f>
        <v>221.74668235294118</v>
      </c>
      <c r="M16" s="12">
        <f>MAX(M6:M14)</f>
        <v>286.70219817554789</v>
      </c>
    </row>
    <row r="17" spans="2:13" x14ac:dyDescent="0.2">
      <c r="B17" s="2" t="s">
        <v>287</v>
      </c>
      <c r="K17" s="12">
        <f>_xlfn.PERCENTILE.INC(K6:K14,0.75)</f>
        <v>2.5370300794168599</v>
      </c>
      <c r="L17" s="12">
        <f>_xlfn.PERCENTILE.EXC(L6:L14,0.75)</f>
        <v>28.355304346255469</v>
      </c>
      <c r="M17" s="12">
        <f>_xlfn.PERCENTILE.EXC(M6:M14,0.75)</f>
        <v>61.376058351955365</v>
      </c>
    </row>
    <row r="18" spans="2:13" x14ac:dyDescent="0.2">
      <c r="B18" s="16" t="s">
        <v>159</v>
      </c>
      <c r="C18" s="16"/>
      <c r="D18" s="16"/>
      <c r="E18" s="16"/>
      <c r="F18" s="16"/>
      <c r="G18" s="16"/>
      <c r="H18" s="16"/>
      <c r="I18" s="16"/>
      <c r="J18" s="16"/>
      <c r="K18" s="156">
        <f>AVERAGE(K6:K14)</f>
        <v>2.9456140952511274</v>
      </c>
      <c r="L18" s="156">
        <f>AVERAGE(L6:L14)</f>
        <v>35.940887294349423</v>
      </c>
      <c r="M18" s="156">
        <f>AVERAGE(M6:M14)</f>
        <v>55.948647312622214</v>
      </c>
    </row>
    <row r="19" spans="2:13" x14ac:dyDescent="0.2">
      <c r="B19" s="16" t="s">
        <v>160</v>
      </c>
      <c r="C19" s="16"/>
      <c r="D19" s="16"/>
      <c r="E19" s="16"/>
      <c r="F19" s="159"/>
      <c r="G19" s="16"/>
      <c r="H19" s="162"/>
      <c r="I19" s="16"/>
      <c r="J19" s="16"/>
      <c r="K19" s="156">
        <f>MEDIAN(K6:K14)</f>
        <v>1.3828126986278162</v>
      </c>
      <c r="L19" s="156">
        <f>MEDIAN(L6:L14)</f>
        <v>12.266665048678318</v>
      </c>
      <c r="M19" s="156">
        <f>MEDIAN(M6:M14)</f>
        <v>37.548643436943436</v>
      </c>
    </row>
    <row r="20" spans="2:13" x14ac:dyDescent="0.2">
      <c r="B20" s="2" t="s">
        <v>288</v>
      </c>
      <c r="F20" s="160"/>
      <c r="K20" s="13">
        <f>_xlfn.PERCENTILE.INC(K6:K14,0.25)</f>
        <v>0.95268851649471598</v>
      </c>
      <c r="L20" s="13">
        <f>_xlfn.PERCENTILE.INC(L6:L14,0.25)</f>
        <v>7.2307211538461535</v>
      </c>
      <c r="M20" s="13">
        <f>_xlfn.PERCENTILE.INC(M6:M14,0.25)</f>
        <v>4.9603692991894031</v>
      </c>
    </row>
    <row r="21" spans="2:13" x14ac:dyDescent="0.2">
      <c r="B21" s="2" t="s">
        <v>289</v>
      </c>
      <c r="F21" s="157"/>
      <c r="K21" s="13">
        <f>MIN(K6:K14)</f>
        <v>0.36266541102523342</v>
      </c>
      <c r="L21" s="13">
        <f>MIN(L6:L14)</f>
        <v>-2.0702932326435248</v>
      </c>
      <c r="M21" s="13">
        <f>MIN(M6:M14)</f>
        <v>-5.5182992706333973</v>
      </c>
    </row>
    <row r="22" spans="2:13" x14ac:dyDescent="0.2">
      <c r="F22" s="157"/>
    </row>
    <row r="23" spans="2:13" s="117" customFormat="1" x14ac:dyDescent="0.2">
      <c r="B23" s="143" t="s">
        <v>291</v>
      </c>
      <c r="C23" s="158"/>
      <c r="D23" s="158"/>
      <c r="E23" s="158"/>
      <c r="F23" s="158"/>
      <c r="G23" s="158"/>
      <c r="H23" s="158"/>
      <c r="I23" s="158"/>
      <c r="J23" s="158"/>
      <c r="K23" s="158" t="s">
        <v>283</v>
      </c>
      <c r="L23" s="158" t="s">
        <v>284</v>
      </c>
      <c r="M23" s="158" t="s">
        <v>285</v>
      </c>
    </row>
    <row r="25" spans="2:13" x14ac:dyDescent="0.2">
      <c r="B25" s="2" t="s">
        <v>292</v>
      </c>
      <c r="K25" s="13">
        <f>H6*K19</f>
        <v>46633003.331197336</v>
      </c>
      <c r="L25" s="13">
        <f>I6*L19</f>
        <v>279553407.92655843</v>
      </c>
      <c r="M25" s="13">
        <f>M27-M26</f>
        <v>234202138.85956255</v>
      </c>
    </row>
    <row r="26" spans="2:13" x14ac:dyDescent="0.2">
      <c r="B26" s="2" t="s">
        <v>281</v>
      </c>
      <c r="K26" s="160">
        <f>F6</f>
        <v>7426348</v>
      </c>
      <c r="L26" s="160">
        <f>F6</f>
        <v>7426348</v>
      </c>
      <c r="M26" s="160">
        <f>L26</f>
        <v>7426348</v>
      </c>
    </row>
    <row r="27" spans="2:13" x14ac:dyDescent="0.2">
      <c r="B27" s="2" t="s">
        <v>293</v>
      </c>
      <c r="K27" s="13">
        <f>SUM(K25:K26)</f>
        <v>54059351.331197336</v>
      </c>
      <c r="L27" s="13">
        <f>SUM(L25:L26)</f>
        <v>286979755.92655843</v>
      </c>
      <c r="M27" s="13">
        <f>J6*M19</f>
        <v>241628486.85956255</v>
      </c>
    </row>
    <row r="28" spans="2:13" x14ac:dyDescent="0.2">
      <c r="B28" s="2" t="s">
        <v>280</v>
      </c>
      <c r="K28" s="129">
        <f>D6</f>
        <v>430901.2</v>
      </c>
      <c r="L28" s="129">
        <f>D6</f>
        <v>430901.2</v>
      </c>
      <c r="M28" s="129">
        <f>L28</f>
        <v>430901.2</v>
      </c>
    </row>
    <row r="29" spans="2:13" x14ac:dyDescent="0.2">
      <c r="B29" s="84" t="s">
        <v>294</v>
      </c>
      <c r="C29" s="84"/>
      <c r="D29" s="84"/>
      <c r="E29" s="84"/>
      <c r="F29" s="84"/>
      <c r="G29" s="84"/>
      <c r="H29" s="84"/>
      <c r="I29" s="84"/>
      <c r="J29" s="84"/>
      <c r="K29" s="161">
        <f>K27/K28</f>
        <v>125.456488241846</v>
      </c>
      <c r="L29" s="161">
        <f>L27/L28</f>
        <v>665.99897128752116</v>
      </c>
      <c r="M29" s="161">
        <f>M27/M28</f>
        <v>560.75148284470436</v>
      </c>
    </row>
  </sheetData>
  <pageMargins left="0.7" right="0.7" top="0.75" bottom="0.75" header="0.3" footer="0.3"/>
  <pageSetup scale="42"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8F4C-20EF-FF49-8AFD-5DB59E9BA81A}">
  <dimension ref="B5:M273"/>
  <sheetViews>
    <sheetView showGridLines="0" view="pageBreakPreview" zoomScale="60" zoomScaleNormal="100" workbookViewId="0">
      <selection activeCell="I65" sqref="I65"/>
    </sheetView>
  </sheetViews>
  <sheetFormatPr baseColWidth="10" defaultRowHeight="16" x14ac:dyDescent="0.2"/>
  <cols>
    <col min="2" max="2" width="7.83203125" bestFit="1" customWidth="1"/>
    <col min="5" max="5" width="16.1640625" bestFit="1" customWidth="1"/>
    <col min="6" max="6" width="13.5" bestFit="1" customWidth="1"/>
    <col min="7" max="7" width="19" bestFit="1" customWidth="1"/>
    <col min="8" max="8" width="8.5" customWidth="1"/>
  </cols>
  <sheetData>
    <row r="5" spans="2:13" x14ac:dyDescent="0.2">
      <c r="B5" s="65" t="s">
        <v>316</v>
      </c>
      <c r="C5" s="65"/>
      <c r="D5" s="65"/>
      <c r="E5" s="65"/>
      <c r="F5" s="65"/>
      <c r="G5" s="65"/>
      <c r="H5" s="65"/>
      <c r="I5" s="65"/>
      <c r="J5" s="65"/>
      <c r="K5" s="65"/>
      <c r="L5" s="65"/>
      <c r="M5" s="65"/>
    </row>
    <row r="7" spans="2:13" x14ac:dyDescent="0.2">
      <c r="B7" s="143" t="s">
        <v>125</v>
      </c>
      <c r="C7" s="143" t="s">
        <v>300</v>
      </c>
      <c r="D7" s="143" t="s">
        <v>127</v>
      </c>
      <c r="E7" s="143" t="s">
        <v>301</v>
      </c>
      <c r="F7" s="143" t="s">
        <v>315</v>
      </c>
      <c r="G7" s="143" t="s">
        <v>314</v>
      </c>
    </row>
    <row r="8" spans="2:13" x14ac:dyDescent="0.2">
      <c r="B8" s="48">
        <v>41275</v>
      </c>
      <c r="C8" s="42">
        <v>23.605715</v>
      </c>
      <c r="D8" s="37">
        <f t="shared" ref="D8:D71" si="0">C8/C9-1</f>
        <v>0.37470882592240873</v>
      </c>
      <c r="E8" s="38">
        <v>0.78464200470199796</v>
      </c>
      <c r="F8" s="57">
        <v>2</v>
      </c>
      <c r="G8" s="38">
        <f t="shared" ref="G8:G71" ca="1" si="1">_xlfn.NORM.INV(RAND(),$M$9,$M$10)</f>
        <v>-2.6867692505552487E-2</v>
      </c>
      <c r="I8" s="65" t="s">
        <v>302</v>
      </c>
      <c r="J8" s="65"/>
      <c r="K8" s="65"/>
      <c r="L8" s="65"/>
      <c r="M8" s="65"/>
    </row>
    <row r="9" spans="2:13" x14ac:dyDescent="0.2">
      <c r="B9" s="48">
        <v>40909</v>
      </c>
      <c r="C9" s="42">
        <v>17.171429</v>
      </c>
      <c r="D9" s="37">
        <f t="shared" si="0"/>
        <v>3.1954627293355227</v>
      </c>
      <c r="E9" s="38">
        <v>0.73473817584376566</v>
      </c>
      <c r="F9" s="164">
        <f t="shared" ref="F9:F72" si="2">F8+1</f>
        <v>3</v>
      </c>
      <c r="G9" s="38">
        <f t="shared" ca="1" si="1"/>
        <v>3.9728899773346475E-2</v>
      </c>
      <c r="I9" t="s">
        <v>303</v>
      </c>
      <c r="M9" s="60">
        <f>AVERAGE(E8:E272)</f>
        <v>3.756749014011819E-2</v>
      </c>
    </row>
    <row r="10" spans="2:13" x14ac:dyDescent="0.2">
      <c r="B10" s="48">
        <v>37895</v>
      </c>
      <c r="C10" s="42">
        <v>4.0928570000000004</v>
      </c>
      <c r="D10" s="37">
        <f t="shared" si="0"/>
        <v>-0.63844019434628974</v>
      </c>
      <c r="E10" s="38">
        <v>0.70738958835580545</v>
      </c>
      <c r="F10" s="164">
        <f t="shared" si="2"/>
        <v>4</v>
      </c>
      <c r="G10" s="38">
        <f t="shared" ca="1" si="1"/>
        <v>0.15570860045170831</v>
      </c>
      <c r="I10" t="s">
        <v>304</v>
      </c>
      <c r="M10" s="38">
        <f>_xlfn.STDEV.S(E8:E272)</f>
        <v>0.16153116792103966</v>
      </c>
    </row>
    <row r="11" spans="2:13" x14ac:dyDescent="0.2">
      <c r="B11" s="48">
        <v>41183</v>
      </c>
      <c r="C11" s="42">
        <v>11.32</v>
      </c>
      <c r="D11" s="37">
        <f t="shared" si="0"/>
        <v>-0.95812060487401873</v>
      </c>
      <c r="E11" s="38">
        <v>0.45554736488708003</v>
      </c>
      <c r="F11" s="164">
        <f t="shared" si="2"/>
        <v>5</v>
      </c>
      <c r="G11" s="38">
        <f t="shared" ca="1" si="1"/>
        <v>9.6922421098134481E-2</v>
      </c>
      <c r="I11" t="s">
        <v>305</v>
      </c>
      <c r="M11" s="60">
        <f>MIN(E8:E272)</f>
        <v>-0.51802049494923819</v>
      </c>
    </row>
    <row r="12" spans="2:13" x14ac:dyDescent="0.2">
      <c r="B12" s="48">
        <v>43101</v>
      </c>
      <c r="C12" s="42">
        <v>270.29998799999998</v>
      </c>
      <c r="D12" s="37">
        <f t="shared" si="0"/>
        <v>50.548837233251916</v>
      </c>
      <c r="E12" s="38">
        <v>0.40810574152562928</v>
      </c>
      <c r="F12" s="164">
        <f t="shared" si="2"/>
        <v>6</v>
      </c>
      <c r="G12" s="38">
        <f t="shared" ca="1" si="1"/>
        <v>-4.2327685660285969E-2</v>
      </c>
      <c r="I12" t="s">
        <v>306</v>
      </c>
      <c r="M12" s="60">
        <f>MAX(E8:E272)</f>
        <v>0.78464200470199796</v>
      </c>
    </row>
    <row r="13" spans="2:13" x14ac:dyDescent="0.2">
      <c r="B13" s="48">
        <v>37987</v>
      </c>
      <c r="C13" s="42">
        <v>5.2435710000000002</v>
      </c>
      <c r="D13" s="37">
        <f t="shared" si="0"/>
        <v>-0.62886756204856109</v>
      </c>
      <c r="E13" s="38">
        <v>0.34229266678083747</v>
      </c>
      <c r="F13" s="164">
        <f t="shared" si="2"/>
        <v>7</v>
      </c>
      <c r="G13" s="38">
        <f t="shared" ca="1" si="1"/>
        <v>-0.17068608303348426</v>
      </c>
      <c r="I13" t="s">
        <v>307</v>
      </c>
      <c r="M13" s="147">
        <v>669.38</v>
      </c>
    </row>
    <row r="14" spans="2:13" x14ac:dyDescent="0.2">
      <c r="B14" s="48">
        <v>40269</v>
      </c>
      <c r="C14" s="42">
        <v>14.128571000000001</v>
      </c>
      <c r="D14" s="37">
        <f t="shared" si="0"/>
        <v>-0.82228212578616344</v>
      </c>
      <c r="E14" s="38">
        <v>0.34119872955794062</v>
      </c>
      <c r="F14" s="164">
        <f t="shared" si="2"/>
        <v>8</v>
      </c>
      <c r="G14" s="38">
        <f t="shared" ca="1" si="1"/>
        <v>-3.9924274254951639E-2</v>
      </c>
    </row>
    <row r="15" spans="2:13" x14ac:dyDescent="0.2">
      <c r="B15" s="48">
        <v>42095</v>
      </c>
      <c r="C15" s="42">
        <v>79.5</v>
      </c>
      <c r="D15" s="37">
        <f t="shared" si="0"/>
        <v>17.618266978922719</v>
      </c>
      <c r="E15" s="38">
        <v>0.33552522981869348</v>
      </c>
      <c r="F15" s="164">
        <f t="shared" si="2"/>
        <v>9</v>
      </c>
      <c r="G15" s="38">
        <f t="shared" ca="1" si="1"/>
        <v>6.7876568056916109E-2</v>
      </c>
      <c r="I15" s="65" t="s">
        <v>308</v>
      </c>
      <c r="J15" s="65" t="s">
        <v>309</v>
      </c>
      <c r="K15" s="65" t="s">
        <v>310</v>
      </c>
      <c r="L15" s="65" t="s">
        <v>311</v>
      </c>
      <c r="M15" s="65" t="s">
        <v>312</v>
      </c>
    </row>
    <row r="16" spans="2:13" x14ac:dyDescent="0.2">
      <c r="B16" s="48">
        <v>39783</v>
      </c>
      <c r="C16" s="42">
        <v>4.2699999999999996</v>
      </c>
      <c r="D16" s="37">
        <f t="shared" si="0"/>
        <v>-9.2041284691412151E-2</v>
      </c>
      <c r="E16" s="38">
        <v>0.30069631421654974</v>
      </c>
      <c r="F16" s="164">
        <f t="shared" si="2"/>
        <v>10</v>
      </c>
      <c r="G16" s="38">
        <f t="shared" ca="1" si="1"/>
        <v>0.3184502444090524</v>
      </c>
      <c r="I16" s="60">
        <v>0.05</v>
      </c>
      <c r="J16" s="60">
        <f>1-I16</f>
        <v>0.95</v>
      </c>
      <c r="K16" s="38">
        <f>_xlfn.PERCENTILE.INC($E$8:$E$272,0.05)</f>
        <v>-0.20634556162169929</v>
      </c>
      <c r="L16" s="147">
        <f>$M$13+M16</f>
        <v>531.25640796166692</v>
      </c>
      <c r="M16" s="147">
        <f>K16*$M$13</f>
        <v>-138.12359203833307</v>
      </c>
    </row>
    <row r="17" spans="2:13" x14ac:dyDescent="0.2">
      <c r="B17" s="48">
        <v>38108</v>
      </c>
      <c r="C17" s="42">
        <v>4.7028569999999998</v>
      </c>
      <c r="D17" s="37">
        <f t="shared" si="0"/>
        <v>-0.92121197723591852</v>
      </c>
      <c r="E17" s="38">
        <v>0.29810726727552295</v>
      </c>
      <c r="F17" s="164">
        <f t="shared" si="2"/>
        <v>11</v>
      </c>
      <c r="G17" s="38">
        <f t="shared" ca="1" si="1"/>
        <v>6.6785397254448889E-3</v>
      </c>
      <c r="I17" s="60">
        <v>0.01</v>
      </c>
      <c r="J17" s="60">
        <f>1-I17</f>
        <v>0.99</v>
      </c>
      <c r="K17" s="38">
        <f>_xlfn.PERCENTILE.INC($E$8:$E$272,0.01)</f>
        <v>-0.40195205069673823</v>
      </c>
      <c r="L17" s="147">
        <f>$M$13+M17</f>
        <v>400.32133630461738</v>
      </c>
      <c r="M17" s="147">
        <f>K17*$M$13</f>
        <v>-269.05866369538262</v>
      </c>
    </row>
    <row r="18" spans="2:13" x14ac:dyDescent="0.2">
      <c r="B18" s="48">
        <v>41760</v>
      </c>
      <c r="C18" s="42">
        <v>59.689999</v>
      </c>
      <c r="D18" s="37">
        <f t="shared" si="0"/>
        <v>47.84043765745907</v>
      </c>
      <c r="E18" s="38">
        <v>0.29744750836819978</v>
      </c>
      <c r="F18" s="164">
        <f t="shared" si="2"/>
        <v>12</v>
      </c>
      <c r="G18" s="38">
        <f t="shared" ca="1" si="1"/>
        <v>0.1517175787625839</v>
      </c>
      <c r="I18" s="60">
        <v>5.0000000000000001E-3</v>
      </c>
      <c r="J18" s="60">
        <f>1-I18</f>
        <v>0.995</v>
      </c>
      <c r="K18" s="38">
        <f>_xlfn.PERCENTILE.INC($E$8:$E$272,0.005)</f>
        <v>-0.47221384395877092</v>
      </c>
      <c r="L18" s="147">
        <f>$M$13+M18</f>
        <v>353.28949713087792</v>
      </c>
      <c r="M18" s="147">
        <f>K18*$M$13</f>
        <v>-316.09050286912208</v>
      </c>
    </row>
    <row r="19" spans="2:13" x14ac:dyDescent="0.2">
      <c r="B19" s="48">
        <v>37653</v>
      </c>
      <c r="C19" s="42">
        <v>1.222143</v>
      </c>
      <c r="D19" s="37">
        <f t="shared" si="0"/>
        <v>-0.98063603192209181</v>
      </c>
      <c r="E19" s="38">
        <v>0.2962124691231014</v>
      </c>
      <c r="F19" s="164">
        <f t="shared" si="2"/>
        <v>13</v>
      </c>
      <c r="G19" s="38">
        <f t="shared" ca="1" si="1"/>
        <v>-5.2361440697595754E-2</v>
      </c>
      <c r="I19" s="60">
        <v>0.1</v>
      </c>
      <c r="J19" s="60">
        <f>1-I19</f>
        <v>0.9</v>
      </c>
      <c r="K19" s="38">
        <f>_xlfn.PERCENTILE.INC($E$8:$E$272,0.1)</f>
        <v>-0.12182898577376304</v>
      </c>
      <c r="L19" s="147">
        <f>$M$13+M19</f>
        <v>587.83011350275854</v>
      </c>
      <c r="M19" s="147">
        <f>K19*$M$13</f>
        <v>-81.549886497241502</v>
      </c>
    </row>
    <row r="20" spans="2:13" x14ac:dyDescent="0.2">
      <c r="B20" s="48">
        <v>42005</v>
      </c>
      <c r="C20" s="42">
        <v>63.114285000000002</v>
      </c>
      <c r="D20" s="37">
        <f t="shared" si="0"/>
        <v>1.7244696623639575</v>
      </c>
      <c r="E20" s="38">
        <v>0.29328761472768305</v>
      </c>
      <c r="F20" s="164">
        <f t="shared" si="2"/>
        <v>14</v>
      </c>
      <c r="G20" s="38">
        <f t="shared" ca="1" si="1"/>
        <v>-6.2104032233340378E-2</v>
      </c>
    </row>
    <row r="21" spans="2:13" x14ac:dyDescent="0.2">
      <c r="B21" s="48">
        <v>40422</v>
      </c>
      <c r="C21" s="42">
        <v>23.165714000000001</v>
      </c>
      <c r="D21" s="37">
        <f t="shared" si="0"/>
        <v>-0.89699548858147149</v>
      </c>
      <c r="E21" s="38">
        <v>0.29190562559180311</v>
      </c>
      <c r="F21" s="164">
        <f t="shared" si="2"/>
        <v>15</v>
      </c>
      <c r="G21" s="38">
        <f t="shared" ca="1" si="1"/>
        <v>0.13436842790964243</v>
      </c>
      <c r="I21" s="65" t="s">
        <v>313</v>
      </c>
      <c r="J21" s="65"/>
      <c r="K21" s="65"/>
      <c r="L21" s="65"/>
      <c r="M21" s="65"/>
    </row>
    <row r="22" spans="2:13" x14ac:dyDescent="0.2">
      <c r="B22" s="48">
        <v>44743</v>
      </c>
      <c r="C22" s="42">
        <v>224.89999399999999</v>
      </c>
      <c r="D22" s="37">
        <f t="shared" si="0"/>
        <v>58.474868892156906</v>
      </c>
      <c r="E22" s="38">
        <v>0.28609824687191199</v>
      </c>
      <c r="F22" s="164">
        <f t="shared" si="2"/>
        <v>16</v>
      </c>
      <c r="G22" s="38">
        <f t="shared" ca="1" si="1"/>
        <v>0.137373884114464</v>
      </c>
      <c r="I22" t="s">
        <v>303</v>
      </c>
      <c r="M22" s="60">
        <f ca="1">AVERAGE(G8:G272)</f>
        <v>4.7960873946722701E-2</v>
      </c>
    </row>
    <row r="23" spans="2:13" x14ac:dyDescent="0.2">
      <c r="B23" s="48">
        <v>39356</v>
      </c>
      <c r="C23" s="42">
        <v>3.7814290000000002</v>
      </c>
      <c r="D23" s="37">
        <f t="shared" si="0"/>
        <v>0.58835920652375706</v>
      </c>
      <c r="E23" s="38">
        <v>0.27566267222528462</v>
      </c>
      <c r="F23" s="164">
        <f t="shared" si="2"/>
        <v>17</v>
      </c>
      <c r="G23" s="38">
        <f t="shared" ca="1" si="1"/>
        <v>9.664400725346993E-2</v>
      </c>
      <c r="I23" t="s">
        <v>304</v>
      </c>
      <c r="M23" s="38">
        <f ca="1">STDEV(G8:G272)</f>
        <v>0.15007866132851883</v>
      </c>
    </row>
    <row r="24" spans="2:13" x14ac:dyDescent="0.2">
      <c r="B24" s="48">
        <v>37834</v>
      </c>
      <c r="C24" s="42">
        <v>2.3807140000000002</v>
      </c>
      <c r="D24" s="37">
        <f t="shared" si="0"/>
        <v>-0.99298758762886596</v>
      </c>
      <c r="E24" s="38">
        <v>0.27213696057932202</v>
      </c>
      <c r="F24" s="164">
        <f t="shared" si="2"/>
        <v>18</v>
      </c>
      <c r="G24" s="38">
        <f t="shared" ca="1" si="1"/>
        <v>0.14972670546654995</v>
      </c>
      <c r="I24" t="s">
        <v>305</v>
      </c>
      <c r="M24" s="38">
        <f ca="1">MIN(G8:G272)</f>
        <v>-0.46189333107668473</v>
      </c>
    </row>
    <row r="25" spans="2:13" x14ac:dyDescent="0.2">
      <c r="B25" s="48">
        <v>43466</v>
      </c>
      <c r="C25" s="42">
        <v>339.5</v>
      </c>
      <c r="D25" s="37">
        <f t="shared" si="0"/>
        <v>1.7188275153641186</v>
      </c>
      <c r="E25" s="38">
        <v>0.26840019026525908</v>
      </c>
      <c r="F25" s="164">
        <f t="shared" si="2"/>
        <v>19</v>
      </c>
      <c r="G25" s="38">
        <f t="shared" ca="1" si="1"/>
        <v>0.21524473002169175</v>
      </c>
      <c r="I25" t="s">
        <v>306</v>
      </c>
      <c r="M25" s="38">
        <f ca="1">MAX(G9:G273)</f>
        <v>0.46924192599442249</v>
      </c>
    </row>
    <row r="26" spans="2:13" x14ac:dyDescent="0.2">
      <c r="B26" s="48">
        <v>42644</v>
      </c>
      <c r="C26" s="42">
        <v>124.870003</v>
      </c>
      <c r="D26" s="37">
        <f t="shared" si="0"/>
        <v>26.678592082464338</v>
      </c>
      <c r="E26" s="38">
        <v>0.26707254387399648</v>
      </c>
      <c r="F26" s="164">
        <f t="shared" si="2"/>
        <v>20</v>
      </c>
      <c r="G26" s="38">
        <f t="shared" ca="1" si="1"/>
        <v>0.33728056490578678</v>
      </c>
      <c r="I26" t="s">
        <v>307</v>
      </c>
      <c r="M26" s="147">
        <v>669.38</v>
      </c>
    </row>
    <row r="27" spans="2:13" x14ac:dyDescent="0.2">
      <c r="B27" s="48">
        <v>39479</v>
      </c>
      <c r="C27" s="42">
        <v>4.5114289999999997</v>
      </c>
      <c r="D27" s="37">
        <f t="shared" si="0"/>
        <v>-0.98454354898342555</v>
      </c>
      <c r="E27" s="38">
        <v>0.25566617318752183</v>
      </c>
      <c r="F27" s="164">
        <f t="shared" si="2"/>
        <v>21</v>
      </c>
      <c r="G27" s="38">
        <f t="shared" ca="1" si="1"/>
        <v>0.15126762851894321</v>
      </c>
    </row>
    <row r="28" spans="2:13" x14ac:dyDescent="0.2">
      <c r="B28" s="48">
        <v>44835</v>
      </c>
      <c r="C28" s="42">
        <v>291.88000499999998</v>
      </c>
      <c r="D28" s="37">
        <f t="shared" si="0"/>
        <v>141.97827894087916</v>
      </c>
      <c r="E28" s="38">
        <v>0.23972138345462635</v>
      </c>
      <c r="F28" s="164">
        <f t="shared" si="2"/>
        <v>22</v>
      </c>
      <c r="G28" s="38">
        <f t="shared" ca="1" si="1"/>
        <v>0.2480745198222854</v>
      </c>
      <c r="I28" s="65" t="s">
        <v>308</v>
      </c>
      <c r="J28" s="65" t="s">
        <v>309</v>
      </c>
      <c r="K28" s="65" t="s">
        <v>310</v>
      </c>
      <c r="L28" s="65" t="s">
        <v>311</v>
      </c>
      <c r="M28" s="65" t="s">
        <v>312</v>
      </c>
    </row>
    <row r="29" spans="2:13" x14ac:dyDescent="0.2">
      <c r="B29" s="48">
        <v>38473</v>
      </c>
      <c r="C29" s="42">
        <v>2.0414289999999999</v>
      </c>
      <c r="D29" s="37">
        <f t="shared" si="0"/>
        <v>-0.88615357984017895</v>
      </c>
      <c r="E29" s="38">
        <v>0.23722969696969698</v>
      </c>
      <c r="F29" s="164">
        <f t="shared" si="2"/>
        <v>23</v>
      </c>
      <c r="G29" s="38">
        <f t="shared" ca="1" si="1"/>
        <v>0.17635233290551344</v>
      </c>
      <c r="I29" s="60">
        <v>0.05</v>
      </c>
      <c r="J29" s="60">
        <f>1-I29</f>
        <v>0.95</v>
      </c>
      <c r="K29" s="38">
        <f ca="1">_xlfn.PERCENTILE.INC($G$8:$G$272,0.05)</f>
        <v>-0.19845994875605238</v>
      </c>
      <c r="L29" s="147">
        <f ca="1">$M$13+M29</f>
        <v>536.53487950167369</v>
      </c>
      <c r="M29" s="147">
        <f ca="1">K29*$M$13</f>
        <v>-132.84512049832634</v>
      </c>
    </row>
    <row r="30" spans="2:13" x14ac:dyDescent="0.2">
      <c r="B30" s="48">
        <v>40391</v>
      </c>
      <c r="C30" s="42">
        <v>17.931429000000001</v>
      </c>
      <c r="D30" s="37">
        <f t="shared" si="0"/>
        <v>-0.41367711329258738</v>
      </c>
      <c r="E30" s="38">
        <v>0.22398832764505117</v>
      </c>
      <c r="F30" s="164">
        <f t="shared" si="2"/>
        <v>24</v>
      </c>
      <c r="G30" s="38">
        <f t="shared" ca="1" si="1"/>
        <v>-2.8849225321670072E-2</v>
      </c>
      <c r="I30" s="60">
        <v>0.01</v>
      </c>
      <c r="J30" s="60">
        <f>1-I30</f>
        <v>0.99</v>
      </c>
      <c r="K30" s="38">
        <f ca="1">_xlfn.PERCENTILE.INC($G$8:$G$272,0.01)</f>
        <v>-0.29719523407763193</v>
      </c>
      <c r="L30" s="147">
        <f ca="1">$M$13+M30</f>
        <v>470.44345421311471</v>
      </c>
      <c r="M30" s="147">
        <f ca="1">K30*$M$13</f>
        <v>-198.93654578688526</v>
      </c>
    </row>
    <row r="31" spans="2:13" x14ac:dyDescent="0.2">
      <c r="B31" s="48">
        <v>40544</v>
      </c>
      <c r="C31" s="42">
        <v>30.582857000000001</v>
      </c>
      <c r="D31" s="37">
        <f t="shared" si="0"/>
        <v>-0.7324568494874788</v>
      </c>
      <c r="E31" s="38">
        <v>0.21844051792828689</v>
      </c>
      <c r="F31" s="164">
        <f t="shared" si="2"/>
        <v>25</v>
      </c>
      <c r="G31" s="38">
        <f t="shared" ca="1" si="1"/>
        <v>0.11961576576650892</v>
      </c>
      <c r="I31" s="60">
        <v>5.0000000000000001E-3</v>
      </c>
      <c r="J31" s="60">
        <f>1-I31</f>
        <v>0.995</v>
      </c>
      <c r="K31" s="38">
        <f ca="1">_xlfn.PERCENTILE.INC($G$8:$G$272,0.005)</f>
        <v>-0.35576615736901124</v>
      </c>
      <c r="L31" s="147">
        <f ca="1">$M$13+M31</f>
        <v>431.23724958033125</v>
      </c>
      <c r="M31" s="147">
        <f ca="1">K31*$M$13</f>
        <v>-238.14275041966874</v>
      </c>
    </row>
    <row r="32" spans="2:13" x14ac:dyDescent="0.2">
      <c r="B32" s="48">
        <v>42186</v>
      </c>
      <c r="C32" s="42">
        <v>114.30999799999999</v>
      </c>
      <c r="D32" s="37">
        <f t="shared" si="0"/>
        <v>-0.37074757523400692</v>
      </c>
      <c r="E32" s="38">
        <v>0.21802597060294104</v>
      </c>
      <c r="F32" s="164">
        <f t="shared" si="2"/>
        <v>26</v>
      </c>
      <c r="G32" s="38">
        <f t="shared" ca="1" si="1"/>
        <v>2.0763740882277379E-2</v>
      </c>
      <c r="I32" s="60">
        <v>0.1</v>
      </c>
      <c r="J32" s="60">
        <f>1-I32</f>
        <v>0.9</v>
      </c>
      <c r="K32" s="38">
        <f ca="1">_xlfn.PERCENTILE.INC($G$8:$G$272,0.1)</f>
        <v>-0.11585285454555337</v>
      </c>
      <c r="L32" s="147">
        <f ca="1">$M$13+M32</f>
        <v>591.83041622429744</v>
      </c>
      <c r="M32" s="147">
        <f ca="1">K32*$M$13</f>
        <v>-77.549583775702516</v>
      </c>
    </row>
    <row r="33" spans="2:7" x14ac:dyDescent="0.2">
      <c r="B33" s="48">
        <v>42917</v>
      </c>
      <c r="C33" s="42">
        <v>181.66000399999999</v>
      </c>
      <c r="D33" s="37">
        <f t="shared" si="0"/>
        <v>44.973242591477664</v>
      </c>
      <c r="E33" s="38">
        <v>0.21584900031192022</v>
      </c>
      <c r="F33" s="164">
        <f t="shared" si="2"/>
        <v>27</v>
      </c>
      <c r="G33" s="38">
        <f t="shared" ca="1" si="1"/>
        <v>6.2894637025856459E-2</v>
      </c>
    </row>
    <row r="34" spans="2:7" x14ac:dyDescent="0.2">
      <c r="B34" s="48">
        <v>38991</v>
      </c>
      <c r="C34" s="42">
        <v>3.9514290000000001</v>
      </c>
      <c r="D34" s="37">
        <f t="shared" si="0"/>
        <v>4.0986180645161294</v>
      </c>
      <c r="E34" s="38">
        <v>0.21422302772405377</v>
      </c>
      <c r="F34" s="164">
        <f t="shared" si="2"/>
        <v>28</v>
      </c>
      <c r="G34" s="38">
        <f t="shared" ca="1" si="1"/>
        <v>1.1454169800463664E-2</v>
      </c>
    </row>
    <row r="35" spans="2:7" x14ac:dyDescent="0.2">
      <c r="B35" s="48">
        <v>37561</v>
      </c>
      <c r="C35" s="42">
        <v>0.77500000000000002</v>
      </c>
      <c r="D35" s="37">
        <f t="shared" si="0"/>
        <v>-0.84988931516019139</v>
      </c>
      <c r="E35" s="38">
        <v>0.2095880533280059</v>
      </c>
      <c r="F35" s="164">
        <f t="shared" si="2"/>
        <v>29</v>
      </c>
      <c r="G35" s="38">
        <f t="shared" ca="1" si="1"/>
        <v>-2.9237665806936999E-2</v>
      </c>
    </row>
    <row r="36" spans="2:7" x14ac:dyDescent="0.2">
      <c r="B36" s="48">
        <v>39814</v>
      </c>
      <c r="C36" s="42">
        <v>5.1628569999999998</v>
      </c>
      <c r="D36" s="37">
        <f t="shared" si="0"/>
        <v>0.39053483611138251</v>
      </c>
      <c r="E36" s="38">
        <v>0.20910000000000006</v>
      </c>
      <c r="F36" s="164">
        <f t="shared" si="2"/>
        <v>30</v>
      </c>
      <c r="G36" s="38">
        <f t="shared" ca="1" si="1"/>
        <v>-0.25432485141682049</v>
      </c>
    </row>
    <row r="37" spans="2:7" x14ac:dyDescent="0.2">
      <c r="B37" s="48">
        <v>38596</v>
      </c>
      <c r="C37" s="42">
        <v>3.7128570000000001</v>
      </c>
      <c r="D37" s="37">
        <f t="shared" si="0"/>
        <v>1.2838315964554652</v>
      </c>
      <c r="E37" s="38">
        <v>0.20547305194805188</v>
      </c>
      <c r="F37" s="164">
        <f t="shared" si="2"/>
        <v>31</v>
      </c>
      <c r="G37" s="38">
        <f t="shared" ca="1" si="1"/>
        <v>0.1076301384170677</v>
      </c>
    </row>
    <row r="38" spans="2:7" x14ac:dyDescent="0.2">
      <c r="B38" s="48">
        <v>38292</v>
      </c>
      <c r="C38" s="42">
        <v>1.6257140000000001</v>
      </c>
      <c r="D38" s="37">
        <f t="shared" si="0"/>
        <v>-0.99540577044900969</v>
      </c>
      <c r="E38" s="38">
        <v>0.20168946163563484</v>
      </c>
      <c r="F38" s="164">
        <f t="shared" si="2"/>
        <v>32</v>
      </c>
      <c r="G38" s="38">
        <f t="shared" ca="1" si="1"/>
        <v>0.16472291648117765</v>
      </c>
    </row>
    <row r="39" spans="2:7" x14ac:dyDescent="0.2">
      <c r="B39" s="48">
        <v>44927</v>
      </c>
      <c r="C39" s="42">
        <v>353.85998499999999</v>
      </c>
      <c r="D39" s="37">
        <f t="shared" si="0"/>
        <v>374.30610156153057</v>
      </c>
      <c r="E39" s="38">
        <v>0.20001349362429655</v>
      </c>
      <c r="F39" s="164">
        <f t="shared" si="2"/>
        <v>33</v>
      </c>
      <c r="G39" s="38">
        <f t="shared" ca="1" si="1"/>
        <v>5.442023111642115E-2</v>
      </c>
    </row>
    <row r="40" spans="2:7" x14ac:dyDescent="0.2">
      <c r="B40" s="48">
        <v>37622</v>
      </c>
      <c r="C40" s="42">
        <v>0.94285699999999995</v>
      </c>
      <c r="D40" s="37">
        <f t="shared" si="0"/>
        <v>-0.99761440939767099</v>
      </c>
      <c r="E40" s="38">
        <v>0.19890924673428856</v>
      </c>
      <c r="F40" s="164">
        <f t="shared" si="2"/>
        <v>34</v>
      </c>
      <c r="G40" s="38">
        <f t="shared" ca="1" si="1"/>
        <v>2.0072157536636933E-2</v>
      </c>
    </row>
    <row r="41" spans="2:7" x14ac:dyDescent="0.2">
      <c r="B41" s="48">
        <v>45047</v>
      </c>
      <c r="C41" s="42">
        <v>395.23001099999999</v>
      </c>
      <c r="D41" s="37">
        <f t="shared" si="0"/>
        <v>270.90279043816918</v>
      </c>
      <c r="E41" s="38">
        <v>0.19792082982889037</v>
      </c>
      <c r="F41" s="164">
        <f t="shared" si="2"/>
        <v>35</v>
      </c>
      <c r="G41" s="38">
        <f t="shared" ca="1" si="1"/>
        <v>-5.9043025440875266E-2</v>
      </c>
    </row>
    <row r="42" spans="2:7" x14ac:dyDescent="0.2">
      <c r="B42" s="48">
        <v>37681</v>
      </c>
      <c r="C42" s="42">
        <v>1.4535709999999999</v>
      </c>
      <c r="D42" s="37">
        <f t="shared" si="0"/>
        <v>-0.9505828222381465</v>
      </c>
      <c r="E42" s="38">
        <v>0.18936245594828094</v>
      </c>
      <c r="F42" s="164">
        <f t="shared" si="2"/>
        <v>36</v>
      </c>
      <c r="G42" s="38">
        <f t="shared" ca="1" si="1"/>
        <v>-0.15877355630806755</v>
      </c>
    </row>
    <row r="43" spans="2:7" x14ac:dyDescent="0.2">
      <c r="B43" s="48">
        <v>40483</v>
      </c>
      <c r="C43" s="42">
        <v>29.414286000000001</v>
      </c>
      <c r="D43" s="37">
        <f t="shared" si="0"/>
        <v>5.6655878493230123</v>
      </c>
      <c r="E43" s="38">
        <v>0.18626498056337404</v>
      </c>
      <c r="F43" s="164">
        <f t="shared" si="2"/>
        <v>37</v>
      </c>
      <c r="G43" s="38">
        <f t="shared" ca="1" si="1"/>
        <v>-9.5139079024716786E-2</v>
      </c>
    </row>
    <row r="44" spans="2:7" x14ac:dyDescent="0.2">
      <c r="B44" s="48">
        <v>39630</v>
      </c>
      <c r="C44" s="42">
        <v>4.4128569999999998</v>
      </c>
      <c r="D44" s="37">
        <f t="shared" si="0"/>
        <v>0.48867450711571014</v>
      </c>
      <c r="E44" s="38">
        <v>0.18488671385602484</v>
      </c>
      <c r="F44" s="164">
        <f t="shared" si="2"/>
        <v>38</v>
      </c>
      <c r="G44" s="38">
        <f t="shared" ca="1" si="1"/>
        <v>-7.8837152856085294E-3</v>
      </c>
    </row>
    <row r="45" spans="2:7" x14ac:dyDescent="0.2">
      <c r="B45" s="48">
        <v>39326</v>
      </c>
      <c r="C45" s="42">
        <v>2.964286</v>
      </c>
      <c r="D45" s="37">
        <f t="shared" si="0"/>
        <v>-0.51654239166758675</v>
      </c>
      <c r="E45" s="38">
        <v>0.18436091234936702</v>
      </c>
      <c r="F45" s="164">
        <f t="shared" si="2"/>
        <v>39</v>
      </c>
      <c r="G45" s="38">
        <f t="shared" ca="1" si="1"/>
        <v>-4.1602022999360444E-2</v>
      </c>
    </row>
    <row r="46" spans="2:7" x14ac:dyDescent="0.2">
      <c r="B46" s="48">
        <v>39873</v>
      </c>
      <c r="C46" s="42">
        <v>6.1314289999999998</v>
      </c>
      <c r="D46" s="37">
        <f t="shared" si="0"/>
        <v>-0.99044383116520551</v>
      </c>
      <c r="E46" s="38">
        <v>0.1843267609181356</v>
      </c>
      <c r="F46" s="164">
        <f t="shared" si="2"/>
        <v>40</v>
      </c>
      <c r="G46" s="38">
        <f t="shared" ca="1" si="1"/>
        <v>4.4846126367548936E-2</v>
      </c>
    </row>
    <row r="47" spans="2:7" x14ac:dyDescent="0.2">
      <c r="B47" s="48">
        <v>45413</v>
      </c>
      <c r="C47" s="42">
        <v>641.61999500000002</v>
      </c>
      <c r="D47" s="37">
        <f t="shared" si="0"/>
        <v>15.585450081509414</v>
      </c>
      <c r="E47" s="38">
        <v>0.16522587810840461</v>
      </c>
      <c r="F47" s="164">
        <f t="shared" si="2"/>
        <v>41</v>
      </c>
      <c r="G47" s="38">
        <f t="shared" ca="1" si="1"/>
        <v>-2.2180778284019952E-2</v>
      </c>
    </row>
    <row r="48" spans="2:7" x14ac:dyDescent="0.2">
      <c r="B48" s="48">
        <v>40664</v>
      </c>
      <c r="C48" s="42">
        <v>38.685715000000002</v>
      </c>
      <c r="D48" s="37">
        <f t="shared" si="0"/>
        <v>11.560297077922078</v>
      </c>
      <c r="E48" s="38">
        <v>0.16388021013298082</v>
      </c>
      <c r="F48" s="164">
        <f t="shared" si="2"/>
        <v>42</v>
      </c>
      <c r="G48" s="38">
        <f t="shared" ca="1" si="1"/>
        <v>4.3219180761315992E-2</v>
      </c>
    </row>
    <row r="49" spans="2:7" x14ac:dyDescent="0.2">
      <c r="B49" s="48">
        <v>38565</v>
      </c>
      <c r="C49" s="42">
        <v>3.08</v>
      </c>
      <c r="D49" s="37">
        <f t="shared" si="0"/>
        <v>-0.92406044088683503</v>
      </c>
      <c r="E49" s="38">
        <v>0.16163774326976132</v>
      </c>
      <c r="F49" s="164">
        <f t="shared" si="2"/>
        <v>43</v>
      </c>
      <c r="G49" s="38">
        <f t="shared" ca="1" si="1"/>
        <v>-2.5047548621702206E-2</v>
      </c>
    </row>
    <row r="50" spans="2:7" x14ac:dyDescent="0.2">
      <c r="B50" s="48">
        <v>41487</v>
      </c>
      <c r="C50" s="42">
        <v>40.558571000000001</v>
      </c>
      <c r="D50" s="37">
        <f t="shared" si="0"/>
        <v>-0.92810166088444612</v>
      </c>
      <c r="E50" s="38">
        <v>0.16128111686653313</v>
      </c>
      <c r="F50" s="164">
        <f t="shared" si="2"/>
        <v>44</v>
      </c>
      <c r="G50" s="38">
        <f t="shared" ca="1" si="1"/>
        <v>0.12459752612528982</v>
      </c>
    </row>
    <row r="51" spans="2:7" x14ac:dyDescent="0.2">
      <c r="B51" s="48">
        <v>45292</v>
      </c>
      <c r="C51" s="42">
        <v>564.10998500000005</v>
      </c>
      <c r="D51" s="37">
        <f t="shared" si="0"/>
        <v>15.151709916416024</v>
      </c>
      <c r="E51" s="38">
        <v>0.15862220507494462</v>
      </c>
      <c r="F51" s="164">
        <f t="shared" si="2"/>
        <v>45</v>
      </c>
      <c r="G51" s="38">
        <f t="shared" ca="1" si="1"/>
        <v>-0.2225271192011643</v>
      </c>
    </row>
    <row r="52" spans="2:7" x14ac:dyDescent="0.2">
      <c r="B52" s="48">
        <v>41456</v>
      </c>
      <c r="C52" s="42">
        <v>34.925713000000002</v>
      </c>
      <c r="D52" s="37">
        <f t="shared" si="0"/>
        <v>3.5739943900465629</v>
      </c>
      <c r="E52" s="38">
        <v>0.1581789441297925</v>
      </c>
      <c r="F52" s="164">
        <f t="shared" si="2"/>
        <v>46</v>
      </c>
      <c r="G52" s="38">
        <f t="shared" ca="1" si="1"/>
        <v>0.10978127606864936</v>
      </c>
    </row>
    <row r="53" spans="2:7" x14ac:dyDescent="0.2">
      <c r="B53" s="48">
        <v>40087</v>
      </c>
      <c r="C53" s="42">
        <v>7.6357140000000001</v>
      </c>
      <c r="D53" s="37">
        <f t="shared" si="0"/>
        <v>1.0078888057058153</v>
      </c>
      <c r="E53" s="38">
        <v>0.15767815281256881</v>
      </c>
      <c r="F53" s="164">
        <f t="shared" si="2"/>
        <v>47</v>
      </c>
      <c r="G53" s="38">
        <f t="shared" ca="1" si="1"/>
        <v>4.8464975572246258E-2</v>
      </c>
    </row>
    <row r="54" spans="2:7" x14ac:dyDescent="0.2">
      <c r="B54" s="48">
        <v>39417</v>
      </c>
      <c r="C54" s="42">
        <v>3.8028569999999999</v>
      </c>
      <c r="D54" s="37">
        <f t="shared" si="0"/>
        <v>-0.99197658714269554</v>
      </c>
      <c r="E54" s="38">
        <v>0.15238090909090918</v>
      </c>
      <c r="F54" s="164">
        <f t="shared" si="2"/>
        <v>48</v>
      </c>
      <c r="G54" s="38">
        <f t="shared" ca="1" si="1"/>
        <v>1.5500332875333134E-2</v>
      </c>
    </row>
    <row r="55" spans="2:7" x14ac:dyDescent="0.2">
      <c r="B55" s="48">
        <v>45231</v>
      </c>
      <c r="C55" s="42">
        <v>473.97000100000002</v>
      </c>
      <c r="D55" s="37">
        <f t="shared" si="0"/>
        <v>12.953192231725028</v>
      </c>
      <c r="E55" s="38">
        <v>0.15127887171765719</v>
      </c>
      <c r="F55" s="164">
        <f t="shared" si="2"/>
        <v>49</v>
      </c>
      <c r="G55" s="38">
        <f t="shared" ca="1" si="1"/>
        <v>5.8963827043979331E-2</v>
      </c>
    </row>
    <row r="56" spans="2:7" x14ac:dyDescent="0.2">
      <c r="B56" s="48">
        <v>40603</v>
      </c>
      <c r="C56" s="42">
        <v>33.968570999999997</v>
      </c>
      <c r="D56" s="37">
        <f t="shared" si="0"/>
        <v>13.489943206588274</v>
      </c>
      <c r="E56" s="38">
        <v>0.15052980451415476</v>
      </c>
      <c r="F56" s="164">
        <f t="shared" si="2"/>
        <v>50</v>
      </c>
      <c r="G56" s="38">
        <f t="shared" ca="1" si="1"/>
        <v>0.12724401359113002</v>
      </c>
    </row>
    <row r="57" spans="2:7" x14ac:dyDescent="0.2">
      <c r="B57" s="48">
        <v>38504</v>
      </c>
      <c r="C57" s="42">
        <v>2.3442859999999999</v>
      </c>
      <c r="D57" s="37">
        <f t="shared" si="0"/>
        <v>-0.92405238398473144</v>
      </c>
      <c r="E57" s="38">
        <v>0.14835539222769922</v>
      </c>
      <c r="F57" s="164">
        <f t="shared" si="2"/>
        <v>51</v>
      </c>
      <c r="G57" s="38">
        <f t="shared" ca="1" si="1"/>
        <v>2.2304153233016648E-2</v>
      </c>
    </row>
    <row r="58" spans="2:7" x14ac:dyDescent="0.2">
      <c r="B58" s="48">
        <v>41365</v>
      </c>
      <c r="C58" s="42">
        <v>30.867144</v>
      </c>
      <c r="D58" s="37">
        <f t="shared" si="0"/>
        <v>-0.69906264989763089</v>
      </c>
      <c r="E58" s="38">
        <v>0.14153634831596351</v>
      </c>
      <c r="F58" s="164">
        <f t="shared" si="2"/>
        <v>52</v>
      </c>
      <c r="G58" s="38">
        <f t="shared" ca="1" si="1"/>
        <v>0.15119543826966109</v>
      </c>
    </row>
    <row r="59" spans="2:7" x14ac:dyDescent="0.2">
      <c r="B59" s="48">
        <v>42491</v>
      </c>
      <c r="C59" s="42">
        <v>102.57</v>
      </c>
      <c r="D59" s="37">
        <f t="shared" si="0"/>
        <v>2.8174714917838948</v>
      </c>
      <c r="E59" s="38">
        <v>0.13928691701973683</v>
      </c>
      <c r="F59" s="164">
        <f t="shared" si="2"/>
        <v>53</v>
      </c>
      <c r="G59" s="38">
        <f t="shared" ca="1" si="1"/>
        <v>0.14719176178417367</v>
      </c>
    </row>
    <row r="60" spans="2:7" x14ac:dyDescent="0.2">
      <c r="B60" s="48">
        <v>41306</v>
      </c>
      <c r="C60" s="42">
        <v>26.868569999999998</v>
      </c>
      <c r="D60" s="37">
        <f t="shared" si="0"/>
        <v>-0.78214084517731541</v>
      </c>
      <c r="E60" s="38">
        <v>0.13822309555122558</v>
      </c>
      <c r="F60" s="164">
        <f t="shared" si="2"/>
        <v>54</v>
      </c>
      <c r="G60" s="38">
        <f t="shared" ca="1" si="1"/>
        <v>-8.2144091070802422E-2</v>
      </c>
    </row>
    <row r="61" spans="2:7" x14ac:dyDescent="0.2">
      <c r="B61" s="48">
        <v>42309</v>
      </c>
      <c r="C61" s="42">
        <v>123.33000199999999</v>
      </c>
      <c r="D61" s="37">
        <f t="shared" si="0"/>
        <v>36.897714583168167</v>
      </c>
      <c r="E61" s="38">
        <v>0.13794062939492413</v>
      </c>
      <c r="F61" s="164">
        <f t="shared" si="2"/>
        <v>55</v>
      </c>
      <c r="G61" s="38">
        <f t="shared" ca="1" si="1"/>
        <v>0.14213580268436049</v>
      </c>
    </row>
    <row r="62" spans="2:7" x14ac:dyDescent="0.2">
      <c r="B62" s="48">
        <v>38961</v>
      </c>
      <c r="C62" s="42">
        <v>3.254286</v>
      </c>
      <c r="D62" s="37">
        <f t="shared" si="0"/>
        <v>-0.97687239117257663</v>
      </c>
      <c r="E62" s="38">
        <v>0.13786223776223783</v>
      </c>
      <c r="F62" s="164">
        <f t="shared" si="2"/>
        <v>56</v>
      </c>
      <c r="G62" s="38">
        <f t="shared" ca="1" si="1"/>
        <v>0.19476450460917955</v>
      </c>
    </row>
    <row r="63" spans="2:7" x14ac:dyDescent="0.2">
      <c r="B63" s="48">
        <v>42736</v>
      </c>
      <c r="C63" s="42">
        <v>140.71000699999999</v>
      </c>
      <c r="D63" s="37">
        <f t="shared" si="0"/>
        <v>76.101373698630127</v>
      </c>
      <c r="E63" s="38">
        <v>0.13659130525223007</v>
      </c>
      <c r="F63" s="164">
        <f t="shared" si="2"/>
        <v>57</v>
      </c>
      <c r="G63" s="38">
        <f t="shared" ca="1" si="1"/>
        <v>8.0190965777815169E-3</v>
      </c>
    </row>
    <row r="64" spans="2:7" x14ac:dyDescent="0.2">
      <c r="B64" s="48">
        <v>37773</v>
      </c>
      <c r="C64" s="42">
        <v>1.825</v>
      </c>
      <c r="D64" s="37">
        <f t="shared" si="0"/>
        <v>-0.96507654331873993</v>
      </c>
      <c r="E64" s="38">
        <v>0.13555545461729301</v>
      </c>
      <c r="F64" s="164">
        <f t="shared" si="2"/>
        <v>58</v>
      </c>
      <c r="G64" s="38">
        <f t="shared" ca="1" si="1"/>
        <v>-3.5170062276213318E-2</v>
      </c>
    </row>
    <row r="65" spans="2:7" x14ac:dyDescent="0.2">
      <c r="B65" s="48">
        <v>41579</v>
      </c>
      <c r="C65" s="42">
        <v>52.257140999999997</v>
      </c>
      <c r="D65" s="37">
        <f t="shared" si="0"/>
        <v>2.9507504379441576</v>
      </c>
      <c r="E65" s="38">
        <v>0.1343339316660781</v>
      </c>
      <c r="F65" s="164">
        <f t="shared" si="2"/>
        <v>59</v>
      </c>
      <c r="G65" s="38">
        <f t="shared" ca="1" si="1"/>
        <v>-0.16955857471118641</v>
      </c>
    </row>
    <row r="66" spans="2:7" x14ac:dyDescent="0.2">
      <c r="B66" s="48">
        <v>41244</v>
      </c>
      <c r="C66" s="42">
        <v>13.227143</v>
      </c>
      <c r="D66" s="37">
        <f t="shared" si="0"/>
        <v>-0.98083883611953715</v>
      </c>
      <c r="E66" s="38">
        <v>0.13315386284608799</v>
      </c>
      <c r="F66" s="164">
        <f t="shared" si="2"/>
        <v>60</v>
      </c>
      <c r="G66" s="38">
        <f t="shared" ca="1" si="1"/>
        <v>0.12228223544325315</v>
      </c>
    </row>
    <row r="67" spans="2:7" x14ac:dyDescent="0.2">
      <c r="B67" s="48">
        <v>44470</v>
      </c>
      <c r="C67" s="42">
        <v>690.30999799999995</v>
      </c>
      <c r="D67" s="37">
        <f t="shared" si="0"/>
        <v>259.35394423158232</v>
      </c>
      <c r="E67" s="38">
        <v>0.13102527683310528</v>
      </c>
      <c r="F67" s="164">
        <f t="shared" si="2"/>
        <v>61</v>
      </c>
      <c r="G67" s="38">
        <f t="shared" ca="1" si="1"/>
        <v>6.7030905533917981E-2</v>
      </c>
    </row>
    <row r="68" spans="2:7" x14ac:dyDescent="0.2">
      <c r="B68" s="48">
        <v>38534</v>
      </c>
      <c r="C68" s="42">
        <v>2.6514289999999998</v>
      </c>
      <c r="D68" s="37">
        <f t="shared" si="0"/>
        <v>-0.70184733657586085</v>
      </c>
      <c r="E68" s="38">
        <v>0.13101771712154564</v>
      </c>
      <c r="F68" s="164">
        <f t="shared" si="2"/>
        <v>62</v>
      </c>
      <c r="G68" s="38">
        <f t="shared" ca="1" si="1"/>
        <v>0.15596330162735478</v>
      </c>
    </row>
    <row r="69" spans="2:7" x14ac:dyDescent="0.2">
      <c r="B69" s="48">
        <v>40179</v>
      </c>
      <c r="C69" s="42">
        <v>8.8928569999999993</v>
      </c>
      <c r="D69" s="37">
        <f t="shared" si="0"/>
        <v>-0.86967171619580141</v>
      </c>
      <c r="E69" s="38">
        <v>0.12996912325285881</v>
      </c>
      <c r="F69" s="164">
        <f t="shared" si="2"/>
        <v>63</v>
      </c>
      <c r="G69" s="38">
        <f t="shared" ca="1" si="1"/>
        <v>2.2300465284142167E-2</v>
      </c>
    </row>
    <row r="70" spans="2:7" x14ac:dyDescent="0.2">
      <c r="B70" s="48">
        <v>41852</v>
      </c>
      <c r="C70" s="42">
        <v>68.234283000000005</v>
      </c>
      <c r="D70" s="37">
        <f t="shared" si="0"/>
        <v>-0.80593207669057887</v>
      </c>
      <c r="E70" s="38">
        <v>0.12992044041179773</v>
      </c>
      <c r="F70" s="164">
        <f t="shared" si="2"/>
        <v>64</v>
      </c>
      <c r="G70" s="38">
        <f t="shared" ca="1" si="1"/>
        <v>-7.393567345854464E-2</v>
      </c>
    </row>
    <row r="71" spans="2:7" x14ac:dyDescent="0.2">
      <c r="B71" s="48">
        <v>43221</v>
      </c>
      <c r="C71" s="42">
        <v>351.60000600000001</v>
      </c>
      <c r="D71" s="37">
        <f t="shared" si="0"/>
        <v>21.143050908044557</v>
      </c>
      <c r="E71" s="38">
        <v>0.12526408541053824</v>
      </c>
      <c r="F71" s="164">
        <f t="shared" si="2"/>
        <v>65</v>
      </c>
      <c r="G71" s="38">
        <f t="shared" ca="1" si="1"/>
        <v>0.17810420609186445</v>
      </c>
    </row>
    <row r="72" spans="2:7" x14ac:dyDescent="0.2">
      <c r="B72" s="48">
        <v>40299</v>
      </c>
      <c r="C72" s="42">
        <v>15.878571000000001</v>
      </c>
      <c r="D72" s="37">
        <f t="shared" ref="D72:D135" si="3">C72/C73-1</f>
        <v>-0.82189212942276146</v>
      </c>
      <c r="E72" s="38">
        <v>0.12386249111817471</v>
      </c>
      <c r="F72" s="164">
        <f t="shared" si="2"/>
        <v>66</v>
      </c>
      <c r="G72" s="38">
        <f t="shared" ref="G72:G135" ca="1" si="4">_xlfn.NORM.INV(RAND(),$M$9,$M$10)</f>
        <v>-7.6570084069628688E-2</v>
      </c>
    </row>
    <row r="73" spans="2:7" x14ac:dyDescent="0.2">
      <c r="B73" s="48">
        <v>42125</v>
      </c>
      <c r="C73" s="42">
        <v>89.151427999999996</v>
      </c>
      <c r="D73" s="37">
        <f t="shared" si="3"/>
        <v>53.742119318101572</v>
      </c>
      <c r="E73" s="38">
        <v>0.12140161006289296</v>
      </c>
      <c r="F73" s="164">
        <f t="shared" ref="F73:F136" si="5">F72+1</f>
        <v>67</v>
      </c>
      <c r="G73" s="38">
        <f t="shared" ca="1" si="4"/>
        <v>2.1135585310915792E-2</v>
      </c>
    </row>
    <row r="74" spans="2:7" x14ac:dyDescent="0.2">
      <c r="B74" s="48">
        <v>37712</v>
      </c>
      <c r="C74" s="42">
        <v>1.628571</v>
      </c>
      <c r="D74" s="37">
        <f t="shared" si="3"/>
        <v>-0.99612106472138529</v>
      </c>
      <c r="E74" s="38">
        <v>0.12039315588987409</v>
      </c>
      <c r="F74" s="164">
        <f t="shared" si="5"/>
        <v>68</v>
      </c>
      <c r="G74" s="38">
        <f t="shared" ca="1" si="4"/>
        <v>7.8098191863555197E-2</v>
      </c>
    </row>
    <row r="75" spans="2:7" x14ac:dyDescent="0.2">
      <c r="B75" s="48">
        <v>43922</v>
      </c>
      <c r="C75" s="42">
        <v>419.85000600000001</v>
      </c>
      <c r="D75" s="37">
        <f t="shared" si="3"/>
        <v>38.855573125696417</v>
      </c>
      <c r="E75" s="38">
        <v>0.1181092037283622</v>
      </c>
      <c r="F75" s="164">
        <f t="shared" si="5"/>
        <v>69</v>
      </c>
      <c r="G75" s="38">
        <f t="shared" ca="1" si="4"/>
        <v>0.21363068723689782</v>
      </c>
    </row>
    <row r="76" spans="2:7" x14ac:dyDescent="0.2">
      <c r="B76" s="48">
        <v>40238</v>
      </c>
      <c r="C76" s="42">
        <v>10.534286</v>
      </c>
      <c r="D76" s="37">
        <f t="shared" si="3"/>
        <v>1.6966536445433924</v>
      </c>
      <c r="E76" s="38">
        <v>0.11642701336645001</v>
      </c>
      <c r="F76" s="164">
        <f t="shared" si="5"/>
        <v>70</v>
      </c>
      <c r="G76" s="38">
        <f t="shared" ca="1" si="4"/>
        <v>-4.1755683292775611E-2</v>
      </c>
    </row>
    <row r="77" spans="2:7" x14ac:dyDescent="0.2">
      <c r="B77" s="48">
        <v>37956</v>
      </c>
      <c r="C77" s="42">
        <v>3.9064290000000002</v>
      </c>
      <c r="D77" s="37">
        <f t="shared" si="3"/>
        <v>-0.99113162821248224</v>
      </c>
      <c r="E77" s="38">
        <v>0.11612257142857141</v>
      </c>
      <c r="F77" s="164">
        <f t="shared" si="5"/>
        <v>71</v>
      </c>
      <c r="G77" s="38">
        <f t="shared" ca="1" si="4"/>
        <v>-0.10089315613688089</v>
      </c>
    </row>
    <row r="78" spans="2:7" x14ac:dyDescent="0.2">
      <c r="B78" s="48">
        <v>45078</v>
      </c>
      <c r="C78" s="42">
        <v>440.48998999999998</v>
      </c>
      <c r="D78" s="37">
        <f t="shared" si="3"/>
        <v>0.12533530357240652</v>
      </c>
      <c r="E78" s="38">
        <v>0.11451554219145565</v>
      </c>
      <c r="F78" s="164">
        <f t="shared" si="5"/>
        <v>72</v>
      </c>
      <c r="G78" s="38">
        <f t="shared" ca="1" si="4"/>
        <v>0.12454180278708017</v>
      </c>
    </row>
    <row r="79" spans="2:7" x14ac:dyDescent="0.2">
      <c r="B79" s="48">
        <v>43252</v>
      </c>
      <c r="C79" s="42">
        <v>391.42999300000002</v>
      </c>
      <c r="D79" s="37">
        <f t="shared" si="3"/>
        <v>5.6938896994437833</v>
      </c>
      <c r="E79" s="38">
        <v>0.11328209988710869</v>
      </c>
      <c r="F79" s="164">
        <f t="shared" si="5"/>
        <v>73</v>
      </c>
      <c r="G79" s="38">
        <f t="shared" ca="1" si="4"/>
        <v>0.16188224208736268</v>
      </c>
    </row>
    <row r="80" spans="2:7" x14ac:dyDescent="0.2">
      <c r="B80" s="48">
        <v>41640</v>
      </c>
      <c r="C80" s="42">
        <v>58.475715999999998</v>
      </c>
      <c r="D80" s="37">
        <f t="shared" si="3"/>
        <v>25.545398089844234</v>
      </c>
      <c r="E80" s="38">
        <v>0.11179619860667356</v>
      </c>
      <c r="F80" s="164">
        <f t="shared" si="5"/>
        <v>74</v>
      </c>
      <c r="G80" s="38">
        <f t="shared" ca="1" si="4"/>
        <v>-9.1158723175759751E-2</v>
      </c>
    </row>
    <row r="81" spans="2:7" x14ac:dyDescent="0.2">
      <c r="B81" s="48">
        <v>38231</v>
      </c>
      <c r="C81" s="42">
        <v>2.2028569999999998</v>
      </c>
      <c r="D81" s="37">
        <f t="shared" si="3"/>
        <v>-0.99592614228639587</v>
      </c>
      <c r="E81" s="38">
        <v>0.10537635163988179</v>
      </c>
      <c r="F81" s="164">
        <f t="shared" si="5"/>
        <v>75</v>
      </c>
      <c r="G81" s="38">
        <f t="shared" ca="1" si="4"/>
        <v>0.10870731361139904</v>
      </c>
    </row>
    <row r="82" spans="2:7" x14ac:dyDescent="0.2">
      <c r="B82" s="48">
        <v>44166</v>
      </c>
      <c r="C82" s="42">
        <v>540.72997999999995</v>
      </c>
      <c r="D82" s="37">
        <f t="shared" si="3"/>
        <v>-5.0000916917019356E-2</v>
      </c>
      <c r="E82" s="38">
        <v>0.10195632112599151</v>
      </c>
      <c r="F82" s="164">
        <f t="shared" si="5"/>
        <v>76</v>
      </c>
      <c r="G82" s="38">
        <f t="shared" ca="1" si="4"/>
        <v>-3.963740705576807E-2</v>
      </c>
    </row>
    <row r="83" spans="2:7" x14ac:dyDescent="0.2">
      <c r="B83" s="48">
        <v>44409</v>
      </c>
      <c r="C83" s="42">
        <v>569.19000200000005</v>
      </c>
      <c r="D83" s="37">
        <f t="shared" si="3"/>
        <v>113.98787919191919</v>
      </c>
      <c r="E83" s="38">
        <v>9.9735290495687412E-2</v>
      </c>
      <c r="F83" s="164">
        <f t="shared" si="5"/>
        <v>77</v>
      </c>
      <c r="G83" s="38">
        <f t="shared" ca="1" si="4"/>
        <v>-0.19956264924961653</v>
      </c>
    </row>
    <row r="84" spans="2:7" x14ac:dyDescent="0.2">
      <c r="B84" s="48">
        <v>39508</v>
      </c>
      <c r="C84" s="42">
        <v>4.95</v>
      </c>
      <c r="D84" s="37">
        <f t="shared" si="3"/>
        <v>-0.40900560835768751</v>
      </c>
      <c r="E84" s="38">
        <v>9.7213321987335011E-2</v>
      </c>
      <c r="F84" s="164">
        <f t="shared" si="5"/>
        <v>78</v>
      </c>
      <c r="G84" s="38">
        <f t="shared" ca="1" si="4"/>
        <v>-9.4616831528063369E-2</v>
      </c>
    </row>
    <row r="85" spans="2:7" x14ac:dyDescent="0.2">
      <c r="B85" s="48">
        <v>40118</v>
      </c>
      <c r="C85" s="42">
        <v>8.3757140000000003</v>
      </c>
      <c r="D85" s="37">
        <f t="shared" si="3"/>
        <v>-0.97338170122186862</v>
      </c>
      <c r="E85" s="38">
        <v>9.6913006432666204E-2</v>
      </c>
      <c r="F85" s="164">
        <f t="shared" si="5"/>
        <v>79</v>
      </c>
      <c r="G85" s="38">
        <f t="shared" ca="1" si="4"/>
        <v>1.17197683693064E-2</v>
      </c>
    </row>
    <row r="86" spans="2:7" x14ac:dyDescent="0.2">
      <c r="B86" s="48">
        <v>43770</v>
      </c>
      <c r="C86" s="42">
        <v>314.66000400000001</v>
      </c>
      <c r="D86" s="37">
        <f t="shared" si="3"/>
        <v>2.0779614082570261</v>
      </c>
      <c r="E86" s="38">
        <v>9.4812287744862278E-2</v>
      </c>
      <c r="F86" s="164">
        <f t="shared" si="5"/>
        <v>80</v>
      </c>
      <c r="G86" s="38">
        <f t="shared" ca="1" si="4"/>
        <v>3.2044732921825927E-2</v>
      </c>
    </row>
    <row r="87" spans="2:7" x14ac:dyDescent="0.2">
      <c r="B87" s="48">
        <v>42430</v>
      </c>
      <c r="C87" s="42">
        <v>102.230003</v>
      </c>
      <c r="D87" s="37">
        <f t="shared" si="3"/>
        <v>18.878056691057129</v>
      </c>
      <c r="E87" s="38">
        <v>9.4422423962212898E-2</v>
      </c>
      <c r="F87" s="164">
        <f t="shared" si="5"/>
        <v>81</v>
      </c>
      <c r="G87" s="38">
        <f t="shared" ca="1" si="4"/>
        <v>-0.13896231517281232</v>
      </c>
    </row>
    <row r="88" spans="2:7" x14ac:dyDescent="0.2">
      <c r="B88" s="48">
        <v>38139</v>
      </c>
      <c r="C88" s="42">
        <v>5.1428570000000002</v>
      </c>
      <c r="D88" s="37">
        <f t="shared" si="3"/>
        <v>-0.98750793807229742</v>
      </c>
      <c r="E88" s="38">
        <v>9.3560148650065456E-2</v>
      </c>
      <c r="F88" s="164">
        <f t="shared" si="5"/>
        <v>82</v>
      </c>
      <c r="G88" s="38">
        <f t="shared" ca="1" si="4"/>
        <v>3.9700429264563172E-2</v>
      </c>
    </row>
    <row r="89" spans="2:7" x14ac:dyDescent="0.2">
      <c r="B89" s="48">
        <v>45200</v>
      </c>
      <c r="C89" s="42">
        <v>411.69000199999999</v>
      </c>
      <c r="D89" s="37">
        <f t="shared" si="3"/>
        <v>0.1196965019524463</v>
      </c>
      <c r="E89" s="38">
        <v>9.0280708311217595E-2</v>
      </c>
      <c r="F89" s="164">
        <f t="shared" si="5"/>
        <v>83</v>
      </c>
      <c r="G89" s="38">
        <f t="shared" ca="1" si="4"/>
        <v>-8.570525065526248E-2</v>
      </c>
    </row>
    <row r="90" spans="2:7" x14ac:dyDescent="0.2">
      <c r="B90" s="48">
        <v>43313</v>
      </c>
      <c r="C90" s="42">
        <v>367.67999300000002</v>
      </c>
      <c r="D90" s="37">
        <f t="shared" si="3"/>
        <v>7.3236637749586269</v>
      </c>
      <c r="E90" s="38">
        <v>8.9583582530736505E-2</v>
      </c>
      <c r="F90" s="164">
        <f t="shared" si="5"/>
        <v>84</v>
      </c>
      <c r="G90" s="38">
        <f t="shared" ca="1" si="4"/>
        <v>0.10995525409833777</v>
      </c>
    </row>
    <row r="91" spans="2:7" x14ac:dyDescent="0.2">
      <c r="B91" s="48">
        <v>41518</v>
      </c>
      <c r="C91" s="42">
        <v>44.172854999999998</v>
      </c>
      <c r="D91" s="37">
        <f t="shared" si="3"/>
        <v>-0.30612845171715442</v>
      </c>
      <c r="E91" s="38">
        <v>8.9112705672002024E-2</v>
      </c>
      <c r="F91" s="164">
        <f t="shared" si="5"/>
        <v>85</v>
      </c>
      <c r="G91" s="38">
        <f t="shared" ca="1" si="4"/>
        <v>0.27992255731043802</v>
      </c>
    </row>
    <row r="92" spans="2:7" x14ac:dyDescent="0.2">
      <c r="B92" s="48">
        <v>41671</v>
      </c>
      <c r="C92" s="42">
        <v>63.661430000000003</v>
      </c>
      <c r="D92" s="37">
        <f t="shared" si="3"/>
        <v>-0.86009707115665957</v>
      </c>
      <c r="E92" s="38">
        <v>8.8681496435204066E-2</v>
      </c>
      <c r="F92" s="164">
        <f t="shared" si="5"/>
        <v>86</v>
      </c>
      <c r="G92" s="38">
        <f t="shared" ca="1" si="4"/>
        <v>0.21671821046729223</v>
      </c>
    </row>
    <row r="93" spans="2:7" x14ac:dyDescent="0.2">
      <c r="B93" s="48">
        <v>43983</v>
      </c>
      <c r="C93" s="42">
        <v>455.040009</v>
      </c>
      <c r="D93" s="37">
        <f t="shared" si="3"/>
        <v>257.33570867744317</v>
      </c>
      <c r="E93" s="38">
        <v>8.4125502286278131E-2</v>
      </c>
      <c r="F93" s="164">
        <f t="shared" si="5"/>
        <v>87</v>
      </c>
      <c r="G93" s="38">
        <f t="shared" ca="1" si="4"/>
        <v>-0.27905112448558772</v>
      </c>
    </row>
    <row r="94" spans="2:7" x14ac:dyDescent="0.2">
      <c r="B94" s="48">
        <v>38322</v>
      </c>
      <c r="C94" s="42">
        <v>1.7614289999999999</v>
      </c>
      <c r="D94" s="37">
        <f t="shared" si="3"/>
        <v>-0.99667378766022274</v>
      </c>
      <c r="E94" s="38">
        <v>8.3480243142397548E-2</v>
      </c>
      <c r="F94" s="164">
        <f t="shared" si="5"/>
        <v>88</v>
      </c>
      <c r="G94" s="38">
        <f t="shared" ca="1" si="4"/>
        <v>6.9390607649709557E-2</v>
      </c>
    </row>
    <row r="95" spans="2:7" x14ac:dyDescent="0.2">
      <c r="B95" s="48">
        <v>44044</v>
      </c>
      <c r="C95" s="42">
        <v>529.55999799999995</v>
      </c>
      <c r="D95" s="37">
        <f t="shared" si="3"/>
        <v>1.6959222973652501</v>
      </c>
      <c r="E95" s="38">
        <v>8.3210588659685447E-2</v>
      </c>
      <c r="F95" s="164">
        <f t="shared" si="5"/>
        <v>89</v>
      </c>
      <c r="G95" s="38">
        <f t="shared" ca="1" si="4"/>
        <v>0.15248551687899664</v>
      </c>
    </row>
    <row r="96" spans="2:7" x14ac:dyDescent="0.2">
      <c r="B96" s="48">
        <v>43009</v>
      </c>
      <c r="C96" s="42">
        <v>196.429993</v>
      </c>
      <c r="D96" s="37">
        <f t="shared" si="3"/>
        <v>46.430486675010009</v>
      </c>
      <c r="E96" s="38">
        <v>8.3154047428043665E-2</v>
      </c>
      <c r="F96" s="164">
        <f t="shared" si="5"/>
        <v>90</v>
      </c>
      <c r="G96" s="38">
        <f t="shared" ca="1" si="4"/>
        <v>-0.10182007625527524</v>
      </c>
    </row>
    <row r="97" spans="2:7" x14ac:dyDescent="0.2">
      <c r="B97" s="48">
        <v>38777</v>
      </c>
      <c r="C97" s="42">
        <v>4.1414289999999996</v>
      </c>
      <c r="D97" s="37">
        <f t="shared" si="3"/>
        <v>-0.57672649797849329</v>
      </c>
      <c r="E97" s="38">
        <v>8.1313054830287168E-2</v>
      </c>
      <c r="F97" s="164">
        <f t="shared" si="5"/>
        <v>91</v>
      </c>
      <c r="G97" s="38">
        <f t="shared" ca="1" si="4"/>
        <v>0.19094218041065381</v>
      </c>
    </row>
    <row r="98" spans="2:7" x14ac:dyDescent="0.2">
      <c r="B98" s="48">
        <v>41061</v>
      </c>
      <c r="C98" s="42">
        <v>9.7842859999999998</v>
      </c>
      <c r="D98" s="37">
        <f t="shared" si="3"/>
        <v>-0.96642087366289942</v>
      </c>
      <c r="E98" s="38">
        <v>7.9602822818455765E-2</v>
      </c>
      <c r="F98" s="164">
        <f t="shared" si="5"/>
        <v>92</v>
      </c>
      <c r="G98" s="38">
        <f t="shared" ca="1" si="4"/>
        <v>0.23698847743744894</v>
      </c>
    </row>
    <row r="99" spans="2:7" x14ac:dyDescent="0.2">
      <c r="B99" s="48">
        <v>43132</v>
      </c>
      <c r="C99" s="42">
        <v>291.38000499999998</v>
      </c>
      <c r="D99" s="37">
        <f t="shared" si="3"/>
        <v>3.2948349930260887</v>
      </c>
      <c r="E99" s="38">
        <v>7.7987487738993222E-2</v>
      </c>
      <c r="F99" s="164">
        <f t="shared" si="5"/>
        <v>93</v>
      </c>
      <c r="G99" s="38">
        <f t="shared" ca="1" si="4"/>
        <v>0.14077782204779549</v>
      </c>
    </row>
    <row r="100" spans="2:7" x14ac:dyDescent="0.2">
      <c r="B100" s="48">
        <v>42036</v>
      </c>
      <c r="C100" s="42">
        <v>67.844284000000002</v>
      </c>
      <c r="D100" s="37">
        <f t="shared" si="3"/>
        <v>-0.86122507914800073</v>
      </c>
      <c r="E100" s="38">
        <v>7.4943398313076059E-2</v>
      </c>
      <c r="F100" s="164">
        <f t="shared" si="5"/>
        <v>94</v>
      </c>
      <c r="G100" s="38">
        <f t="shared" ca="1" si="4"/>
        <v>0.21275774425695043</v>
      </c>
    </row>
    <row r="101" spans="2:7" x14ac:dyDescent="0.2">
      <c r="B101" s="48">
        <v>44013</v>
      </c>
      <c r="C101" s="42">
        <v>488.88000499999998</v>
      </c>
      <c r="D101" s="37">
        <f t="shared" si="3"/>
        <v>0.70098464978971275</v>
      </c>
      <c r="E101" s="38">
        <v>7.4367078346291082E-2</v>
      </c>
      <c r="F101" s="164">
        <f t="shared" si="5"/>
        <v>95</v>
      </c>
      <c r="G101" s="38">
        <f t="shared" ca="1" si="4"/>
        <v>0.2598262351121044</v>
      </c>
    </row>
    <row r="102" spans="2:7" x14ac:dyDescent="0.2">
      <c r="B102" s="48">
        <v>43739</v>
      </c>
      <c r="C102" s="42">
        <v>287.41000400000001</v>
      </c>
      <c r="D102" s="37">
        <f t="shared" si="3"/>
        <v>28.035504619808254</v>
      </c>
      <c r="E102" s="38">
        <v>7.3948170427250659E-2</v>
      </c>
      <c r="F102" s="164">
        <f t="shared" si="5"/>
        <v>96</v>
      </c>
      <c r="G102" s="38">
        <f t="shared" ca="1" si="4"/>
        <v>-5.0290696405732943E-2</v>
      </c>
    </row>
    <row r="103" spans="2:7" x14ac:dyDescent="0.2">
      <c r="B103" s="48">
        <v>40878</v>
      </c>
      <c r="C103" s="42">
        <v>9.8985710000000005</v>
      </c>
      <c r="D103" s="37">
        <f t="shared" si="3"/>
        <v>-0.97134835392835506</v>
      </c>
      <c r="E103" s="38">
        <v>7.3764144139042864E-2</v>
      </c>
      <c r="F103" s="164">
        <f t="shared" si="5"/>
        <v>97</v>
      </c>
      <c r="G103" s="38">
        <f t="shared" ca="1" si="4"/>
        <v>0.35149135801654041</v>
      </c>
    </row>
    <row r="104" spans="2:7" x14ac:dyDescent="0.2">
      <c r="B104" s="48">
        <v>44986</v>
      </c>
      <c r="C104" s="42">
        <v>345.48001099999999</v>
      </c>
      <c r="D104" s="37">
        <f t="shared" si="3"/>
        <v>-0.4339548518583396</v>
      </c>
      <c r="E104" s="38">
        <v>7.2486280810755366E-2</v>
      </c>
      <c r="F104" s="164">
        <f t="shared" si="5"/>
        <v>98</v>
      </c>
      <c r="G104" s="38">
        <f t="shared" ca="1" si="4"/>
        <v>5.3808899863769882E-2</v>
      </c>
    </row>
    <row r="105" spans="2:7" x14ac:dyDescent="0.2">
      <c r="B105" s="48">
        <v>44440</v>
      </c>
      <c r="C105" s="42">
        <v>610.34002699999996</v>
      </c>
      <c r="D105" s="37">
        <f t="shared" si="3"/>
        <v>2.742809841174533</v>
      </c>
      <c r="E105" s="38">
        <v>7.2295762145168307E-2</v>
      </c>
      <c r="F105" s="164">
        <f t="shared" si="5"/>
        <v>99</v>
      </c>
      <c r="G105" s="38">
        <f t="shared" ca="1" si="4"/>
        <v>5.7274169144104492E-3</v>
      </c>
    </row>
    <row r="106" spans="2:7" x14ac:dyDescent="0.2">
      <c r="B106" s="48">
        <v>42856</v>
      </c>
      <c r="C106" s="42">
        <v>163.070007</v>
      </c>
      <c r="D106" s="37">
        <f t="shared" si="3"/>
        <v>5.57654034792224</v>
      </c>
      <c r="E106" s="38">
        <v>7.1419252393283505E-2</v>
      </c>
      <c r="F106" s="164">
        <f t="shared" si="5"/>
        <v>100</v>
      </c>
      <c r="G106" s="38">
        <f t="shared" ca="1" si="4"/>
        <v>-7.9877685160533313E-2</v>
      </c>
    </row>
    <row r="107" spans="2:7" x14ac:dyDescent="0.2">
      <c r="B107" s="48">
        <v>40452</v>
      </c>
      <c r="C107" s="42">
        <v>24.795712999999999</v>
      </c>
      <c r="D107" s="37">
        <f t="shared" si="3"/>
        <v>-0.93249561001995729</v>
      </c>
      <c r="E107" s="38">
        <v>7.0362562535305262E-2</v>
      </c>
      <c r="F107" s="164">
        <f t="shared" si="5"/>
        <v>101</v>
      </c>
      <c r="G107" s="38">
        <f t="shared" ca="1" si="4"/>
        <v>2.6425831346863944E-2</v>
      </c>
    </row>
    <row r="108" spans="2:7" x14ac:dyDescent="0.2">
      <c r="B108" s="48">
        <v>43617</v>
      </c>
      <c r="C108" s="42">
        <v>367.32000699999998</v>
      </c>
      <c r="D108" s="37">
        <f t="shared" si="3"/>
        <v>-4.63374794632887E-3</v>
      </c>
      <c r="E108" s="38">
        <v>7.0030319476900305E-2</v>
      </c>
      <c r="F108" s="164">
        <f t="shared" si="5"/>
        <v>102</v>
      </c>
      <c r="G108" s="38">
        <f t="shared" ca="1" si="4"/>
        <v>0.10241420720419783</v>
      </c>
    </row>
    <row r="109" spans="2:7" x14ac:dyDescent="0.2">
      <c r="B109" s="48">
        <v>43862</v>
      </c>
      <c r="C109" s="42">
        <v>369.02999899999998</v>
      </c>
      <c r="D109" s="37">
        <f t="shared" si="3"/>
        <v>-0.38792873116630477</v>
      </c>
      <c r="E109" s="38">
        <v>6.9373216486982692E-2</v>
      </c>
      <c r="F109" s="164">
        <f t="shared" si="5"/>
        <v>103</v>
      </c>
      <c r="G109" s="38">
        <f t="shared" ca="1" si="4"/>
        <v>2.4151975743359727E-2</v>
      </c>
    </row>
    <row r="110" spans="2:7" x14ac:dyDescent="0.2">
      <c r="B110" s="48">
        <v>45323</v>
      </c>
      <c r="C110" s="42">
        <v>602.919983</v>
      </c>
      <c r="D110" s="37">
        <f t="shared" si="3"/>
        <v>5.1869676917486212</v>
      </c>
      <c r="E110" s="38">
        <v>6.8798636847386963E-2</v>
      </c>
      <c r="F110" s="164">
        <f t="shared" si="5"/>
        <v>104</v>
      </c>
      <c r="G110" s="38">
        <f t="shared" ca="1" si="4"/>
        <v>0.29296691252421653</v>
      </c>
    </row>
    <row r="111" spans="2:7" x14ac:dyDescent="0.2">
      <c r="B111" s="48">
        <v>42583</v>
      </c>
      <c r="C111" s="42">
        <v>97.449996999999996</v>
      </c>
      <c r="D111" s="37">
        <f t="shared" si="3"/>
        <v>-0.71760990428711247</v>
      </c>
      <c r="E111" s="38">
        <v>6.7945172602739579E-2</v>
      </c>
      <c r="F111" s="164">
        <f t="shared" si="5"/>
        <v>105</v>
      </c>
      <c r="G111" s="38">
        <f t="shared" ca="1" si="4"/>
        <v>9.8468073473602855E-2</v>
      </c>
    </row>
    <row r="112" spans="2:7" x14ac:dyDescent="0.2">
      <c r="B112" s="48">
        <v>43831</v>
      </c>
      <c r="C112" s="42">
        <v>345.08999599999999</v>
      </c>
      <c r="D112" s="37">
        <f t="shared" si="3"/>
        <v>208.14545212121212</v>
      </c>
      <c r="E112" s="38">
        <v>6.6507984468412218E-2</v>
      </c>
      <c r="F112" s="164">
        <f t="shared" si="5"/>
        <v>106</v>
      </c>
      <c r="G112" s="38">
        <f t="shared" ca="1" si="4"/>
        <v>8.7766682517491729E-2</v>
      </c>
    </row>
    <row r="113" spans="2:7" x14ac:dyDescent="0.2">
      <c r="B113" s="48">
        <v>38443</v>
      </c>
      <c r="C113" s="42">
        <v>1.65</v>
      </c>
      <c r="D113" s="37">
        <f t="shared" si="3"/>
        <v>-0.73714156265039676</v>
      </c>
      <c r="E113" s="38">
        <v>6.4516129032258007E-2</v>
      </c>
      <c r="F113" s="164">
        <f t="shared" si="5"/>
        <v>107</v>
      </c>
      <c r="G113" s="38">
        <f t="shared" ca="1" si="4"/>
        <v>0.18064341472249945</v>
      </c>
    </row>
    <row r="114" spans="2:7" x14ac:dyDescent="0.2">
      <c r="B114" s="48">
        <v>39995</v>
      </c>
      <c r="C114" s="42">
        <v>6.2771429999999997</v>
      </c>
      <c r="D114" s="37">
        <f t="shared" si="3"/>
        <v>-0.33474636895522702</v>
      </c>
      <c r="E114" s="38">
        <v>6.2893157372673425E-2</v>
      </c>
      <c r="F114" s="164">
        <f t="shared" si="5"/>
        <v>108</v>
      </c>
      <c r="G114" s="38">
        <f t="shared" ca="1" si="4"/>
        <v>3.2196634529490037E-2</v>
      </c>
    </row>
    <row r="115" spans="2:7" x14ac:dyDescent="0.2">
      <c r="B115" s="48">
        <v>40210</v>
      </c>
      <c r="C115" s="42">
        <v>9.4357140000000008</v>
      </c>
      <c r="D115" s="37">
        <f t="shared" si="3"/>
        <v>1.2558060196655063</v>
      </c>
      <c r="E115" s="38">
        <v>6.1044161623199589E-2</v>
      </c>
      <c r="F115" s="164">
        <f t="shared" si="5"/>
        <v>109</v>
      </c>
      <c r="G115" s="38">
        <f t="shared" ca="1" si="4"/>
        <v>0.13268632708772204</v>
      </c>
    </row>
    <row r="116" spans="2:7" x14ac:dyDescent="0.2">
      <c r="B116" s="48">
        <v>39022</v>
      </c>
      <c r="C116" s="42">
        <v>4.1828570000000003</v>
      </c>
      <c r="D116" s="37">
        <f t="shared" si="3"/>
        <v>-0.36582195650084282</v>
      </c>
      <c r="E116" s="38">
        <v>5.8568178752547606E-2</v>
      </c>
      <c r="F116" s="164">
        <f t="shared" si="5"/>
        <v>110</v>
      </c>
      <c r="G116" s="38">
        <f t="shared" ca="1" si="4"/>
        <v>-0.16783813703982919</v>
      </c>
    </row>
    <row r="117" spans="2:7" x14ac:dyDescent="0.2">
      <c r="B117" s="48">
        <v>40057</v>
      </c>
      <c r="C117" s="42">
        <v>6.5957140000000001</v>
      </c>
      <c r="D117" s="37">
        <f t="shared" si="3"/>
        <v>-0.94672282843159539</v>
      </c>
      <c r="E117" s="38">
        <v>5.8216801701049814E-2</v>
      </c>
      <c r="F117" s="164">
        <f t="shared" si="5"/>
        <v>111</v>
      </c>
      <c r="G117" s="38">
        <f t="shared" ca="1" si="4"/>
        <v>4.1917244145521587E-2</v>
      </c>
    </row>
    <row r="118" spans="2:7" x14ac:dyDescent="0.2">
      <c r="B118" s="48">
        <v>42705</v>
      </c>
      <c r="C118" s="42">
        <v>123.800003</v>
      </c>
      <c r="D118" s="37">
        <f t="shared" si="3"/>
        <v>-0.60378926401492472</v>
      </c>
      <c r="E118" s="38">
        <v>5.8119683760683882E-2</v>
      </c>
      <c r="F118" s="164">
        <f t="shared" si="5"/>
        <v>112</v>
      </c>
      <c r="G118" s="38">
        <f t="shared" ca="1" si="4"/>
        <v>7.7089255457889541E-3</v>
      </c>
    </row>
    <row r="119" spans="2:7" x14ac:dyDescent="0.2">
      <c r="B119" s="48">
        <v>43191</v>
      </c>
      <c r="C119" s="42">
        <v>312.459991</v>
      </c>
      <c r="D119" s="37">
        <f t="shared" si="3"/>
        <v>47.272345735430271</v>
      </c>
      <c r="E119" s="38">
        <v>5.7931216023066501E-2</v>
      </c>
      <c r="F119" s="164">
        <f t="shared" si="5"/>
        <v>113</v>
      </c>
      <c r="G119" s="38">
        <f t="shared" ca="1" si="4"/>
        <v>-0.21084122147580647</v>
      </c>
    </row>
    <row r="120" spans="2:7" x14ac:dyDescent="0.2">
      <c r="B120" s="48">
        <v>39904</v>
      </c>
      <c r="C120" s="42">
        <v>6.4728570000000003</v>
      </c>
      <c r="D120" s="37">
        <f t="shared" si="3"/>
        <v>-0.98192444319590433</v>
      </c>
      <c r="E120" s="38">
        <v>5.568489825128875E-2</v>
      </c>
      <c r="F120" s="164">
        <f t="shared" si="5"/>
        <v>114</v>
      </c>
      <c r="G120" s="38">
        <f t="shared" ca="1" si="4"/>
        <v>9.8368968002869067E-2</v>
      </c>
    </row>
    <row r="121" spans="2:7" x14ac:dyDescent="0.2">
      <c r="B121" s="48">
        <v>43497</v>
      </c>
      <c r="C121" s="42">
        <v>358.10000600000001</v>
      </c>
      <c r="D121" s="37">
        <f t="shared" si="3"/>
        <v>4.6892875340769411</v>
      </c>
      <c r="E121" s="38">
        <v>5.478646833578793E-2</v>
      </c>
      <c r="F121" s="164">
        <f t="shared" si="5"/>
        <v>115</v>
      </c>
      <c r="G121" s="38">
        <f t="shared" ca="1" si="4"/>
        <v>0.24403417621545559</v>
      </c>
    </row>
    <row r="122" spans="2:7" x14ac:dyDescent="0.2">
      <c r="B122" s="48">
        <v>41791</v>
      </c>
      <c r="C122" s="42">
        <v>62.942855999999999</v>
      </c>
      <c r="D122" s="37">
        <f t="shared" si="3"/>
        <v>-0.73265861593052484</v>
      </c>
      <c r="E122" s="38">
        <v>5.4495846113182145E-2</v>
      </c>
      <c r="F122" s="164">
        <f t="shared" si="5"/>
        <v>116</v>
      </c>
      <c r="G122" s="38">
        <f t="shared" ca="1" si="4"/>
        <v>-0.22970258367465168</v>
      </c>
    </row>
    <row r="123" spans="2:7" x14ac:dyDescent="0.2">
      <c r="B123" s="48">
        <v>44805</v>
      </c>
      <c r="C123" s="42">
        <v>235.44000199999999</v>
      </c>
      <c r="D123" s="37">
        <f t="shared" si="3"/>
        <v>1.5087222637761606</v>
      </c>
      <c r="E123" s="38">
        <v>5.3140114986044873E-2</v>
      </c>
      <c r="F123" s="164">
        <f t="shared" si="5"/>
        <v>117</v>
      </c>
      <c r="G123" s="38">
        <f t="shared" ca="1" si="4"/>
        <v>-9.9383127832125398E-2</v>
      </c>
    </row>
    <row r="124" spans="2:7" x14ac:dyDescent="0.2">
      <c r="B124" s="48">
        <v>42156</v>
      </c>
      <c r="C124" s="42">
        <v>93.848572000000004</v>
      </c>
      <c r="D124" s="37">
        <f t="shared" si="3"/>
        <v>-0.82232716515931614</v>
      </c>
      <c r="E124" s="38">
        <v>5.2687254768370106E-2</v>
      </c>
      <c r="F124" s="164">
        <f t="shared" si="5"/>
        <v>118</v>
      </c>
      <c r="G124" s="38">
        <f t="shared" ca="1" si="4"/>
        <v>0.20901732591397598</v>
      </c>
    </row>
    <row r="125" spans="2:7" x14ac:dyDescent="0.2">
      <c r="B125" s="48">
        <v>44348</v>
      </c>
      <c r="C125" s="42">
        <v>528.21002199999998</v>
      </c>
      <c r="D125" s="37">
        <f t="shared" si="3"/>
        <v>60.913428805420523</v>
      </c>
      <c r="E125" s="38">
        <v>5.0516147453376625E-2</v>
      </c>
      <c r="F125" s="164">
        <f t="shared" si="5"/>
        <v>119</v>
      </c>
      <c r="G125" s="38">
        <f t="shared" ca="1" si="4"/>
        <v>7.0650882862067221E-2</v>
      </c>
    </row>
    <row r="126" spans="2:7" x14ac:dyDescent="0.2">
      <c r="B126" s="48">
        <v>41122</v>
      </c>
      <c r="C126" s="42">
        <v>8.5314289999999993</v>
      </c>
      <c r="D126" s="37">
        <f t="shared" si="3"/>
        <v>-0.92128225469502456</v>
      </c>
      <c r="E126" s="38">
        <v>5.0483726447648536E-2</v>
      </c>
      <c r="F126" s="164">
        <f t="shared" si="5"/>
        <v>120</v>
      </c>
      <c r="G126" s="38">
        <f t="shared" ca="1" si="4"/>
        <v>6.737407383249655E-2</v>
      </c>
    </row>
    <row r="127" spans="2:7" x14ac:dyDescent="0.2">
      <c r="B127" s="48">
        <v>42278</v>
      </c>
      <c r="C127" s="42">
        <v>108.379997</v>
      </c>
      <c r="D127" s="37">
        <f t="shared" si="3"/>
        <v>17.351717844785576</v>
      </c>
      <c r="E127" s="38">
        <v>4.9583526058812222E-2</v>
      </c>
      <c r="F127" s="164">
        <f t="shared" si="5"/>
        <v>121</v>
      </c>
      <c r="G127" s="38">
        <f t="shared" ca="1" si="4"/>
        <v>-0.14839492974261481</v>
      </c>
    </row>
    <row r="128" spans="2:7" x14ac:dyDescent="0.2">
      <c r="B128" s="48">
        <v>39965</v>
      </c>
      <c r="C128" s="42">
        <v>5.9057139999999997</v>
      </c>
      <c r="D128" s="37">
        <f t="shared" si="3"/>
        <v>-0.81728178487152336</v>
      </c>
      <c r="E128" s="38">
        <v>4.8706109941188958E-2</v>
      </c>
      <c r="F128" s="164">
        <f t="shared" si="5"/>
        <v>122</v>
      </c>
      <c r="G128" s="38">
        <f t="shared" ca="1" si="4"/>
        <v>0.26898455211020411</v>
      </c>
    </row>
    <row r="129" spans="2:7" x14ac:dyDescent="0.2">
      <c r="B129" s="48">
        <v>41395</v>
      </c>
      <c r="C129" s="42">
        <v>32.321429999999999</v>
      </c>
      <c r="D129" s="37">
        <f t="shared" si="3"/>
        <v>-0.8942119264694528</v>
      </c>
      <c r="E129" s="38">
        <v>4.711436859853313E-2</v>
      </c>
      <c r="F129" s="164">
        <f t="shared" si="5"/>
        <v>123</v>
      </c>
      <c r="G129" s="38">
        <f t="shared" ca="1" si="4"/>
        <v>2.7947436242340726E-2</v>
      </c>
    </row>
    <row r="130" spans="2:7" x14ac:dyDescent="0.2">
      <c r="B130" s="48">
        <v>44866</v>
      </c>
      <c r="C130" s="42">
        <v>305.52999899999998</v>
      </c>
      <c r="D130" s="37">
        <f t="shared" si="3"/>
        <v>-0.54356270471508927</v>
      </c>
      <c r="E130" s="38">
        <v>4.6765772804478356E-2</v>
      </c>
      <c r="F130" s="164">
        <f t="shared" si="5"/>
        <v>124</v>
      </c>
      <c r="G130" s="38">
        <f t="shared" ca="1" si="4"/>
        <v>0.20344783780701925</v>
      </c>
    </row>
    <row r="131" spans="2:7" x14ac:dyDescent="0.2">
      <c r="B131" s="48">
        <v>45444</v>
      </c>
      <c r="C131" s="42">
        <v>669.38000499999998</v>
      </c>
      <c r="D131" s="37">
        <f t="shared" si="3"/>
        <v>13.530080259276124</v>
      </c>
      <c r="E131" s="38">
        <v>4.3265500165717174E-2</v>
      </c>
      <c r="F131" s="164">
        <f t="shared" si="5"/>
        <v>125</v>
      </c>
      <c r="G131" s="38">
        <f t="shared" ca="1" si="4"/>
        <v>0.35676117187074807</v>
      </c>
    </row>
    <row r="132" spans="2:7" x14ac:dyDescent="0.2">
      <c r="B132" s="48">
        <v>41548</v>
      </c>
      <c r="C132" s="42">
        <v>46.068568999999997</v>
      </c>
      <c r="D132" s="37">
        <f t="shared" si="3"/>
        <v>10.709511967355702</v>
      </c>
      <c r="E132" s="38">
        <v>4.2915813342832232E-2</v>
      </c>
      <c r="F132" s="164">
        <f t="shared" si="5"/>
        <v>126</v>
      </c>
      <c r="G132" s="38">
        <f t="shared" ca="1" si="4"/>
        <v>-0.10961908769529617</v>
      </c>
    </row>
    <row r="133" spans="2:7" x14ac:dyDescent="0.2">
      <c r="B133" s="48">
        <v>38657</v>
      </c>
      <c r="C133" s="42">
        <v>3.9342860000000002</v>
      </c>
      <c r="D133" s="37">
        <f t="shared" si="3"/>
        <v>-0.97338281541685701</v>
      </c>
      <c r="E133" s="38">
        <v>4.2786938386480067E-2</v>
      </c>
      <c r="F133" s="164">
        <f t="shared" si="5"/>
        <v>127</v>
      </c>
      <c r="G133" s="38">
        <f t="shared" ca="1" si="4"/>
        <v>3.2806904045944205E-2</v>
      </c>
    </row>
    <row r="134" spans="2:7" x14ac:dyDescent="0.2">
      <c r="B134" s="48">
        <v>42795</v>
      </c>
      <c r="C134" s="42">
        <v>147.80999800000001</v>
      </c>
      <c r="D134" s="37">
        <f t="shared" si="3"/>
        <v>-0.60109571325670252</v>
      </c>
      <c r="E134" s="38">
        <v>3.9963363119560835E-2</v>
      </c>
      <c r="F134" s="164">
        <f t="shared" si="5"/>
        <v>128</v>
      </c>
      <c r="G134" s="38">
        <f t="shared" ca="1" si="4"/>
        <v>0.251919771860035</v>
      </c>
    </row>
    <row r="135" spans="2:7" x14ac:dyDescent="0.2">
      <c r="B135" s="48">
        <v>43556</v>
      </c>
      <c r="C135" s="42">
        <v>370.540009</v>
      </c>
      <c r="D135" s="37">
        <f t="shared" si="3"/>
        <v>21.546766497796131</v>
      </c>
      <c r="E135" s="38">
        <v>3.9208018505766384E-2</v>
      </c>
      <c r="F135" s="164">
        <f t="shared" si="5"/>
        <v>129</v>
      </c>
      <c r="G135" s="38">
        <f t="shared" ca="1" si="4"/>
        <v>0.38891813075217962</v>
      </c>
    </row>
    <row r="136" spans="2:7" x14ac:dyDescent="0.2">
      <c r="B136" s="48">
        <v>40969</v>
      </c>
      <c r="C136" s="42">
        <v>16.434286</v>
      </c>
      <c r="D136" s="37">
        <f t="shared" ref="D136:D199" si="6">C136/C137-1</f>
        <v>-0.90937807854277108</v>
      </c>
      <c r="E136" s="38">
        <v>3.8923553840609193E-2</v>
      </c>
      <c r="F136" s="164">
        <f t="shared" si="5"/>
        <v>130</v>
      </c>
      <c r="G136" s="38">
        <f t="shared" ref="G136:G199" ca="1" si="7">_xlfn.NORM.INV(RAND(),$M$9,$M$10)</f>
        <v>7.0116385544380273E-3</v>
      </c>
    </row>
    <row r="137" spans="2:7" x14ac:dyDescent="0.2">
      <c r="B137" s="48">
        <v>42979</v>
      </c>
      <c r="C137" s="42">
        <v>181.35000600000001</v>
      </c>
      <c r="D137" s="37">
        <f t="shared" si="6"/>
        <v>-8.1493090746625807E-2</v>
      </c>
      <c r="E137" s="38">
        <v>3.8005830999709334E-2</v>
      </c>
      <c r="F137" s="164">
        <f t="shared" ref="F137:F200" si="8">F136+1</f>
        <v>131</v>
      </c>
      <c r="G137" s="38">
        <f t="shared" ca="1" si="7"/>
        <v>0.13948880445668466</v>
      </c>
    </row>
    <row r="138" spans="2:7" x14ac:dyDescent="0.2">
      <c r="B138" s="48">
        <v>44682</v>
      </c>
      <c r="C138" s="42">
        <v>197.44000199999999</v>
      </c>
      <c r="D138" s="37">
        <f t="shared" si="6"/>
        <v>-0.59763603592493908</v>
      </c>
      <c r="E138" s="38">
        <v>3.7192692597222576E-2</v>
      </c>
      <c r="F138" s="164">
        <f t="shared" si="8"/>
        <v>132</v>
      </c>
      <c r="G138" s="38">
        <f t="shared" ca="1" si="7"/>
        <v>0.34796901343924608</v>
      </c>
    </row>
    <row r="139" spans="2:7" x14ac:dyDescent="0.2">
      <c r="B139" s="48">
        <v>44136</v>
      </c>
      <c r="C139" s="42">
        <v>490.70001200000002</v>
      </c>
      <c r="D139" s="37">
        <f t="shared" si="6"/>
        <v>41.037695827165535</v>
      </c>
      <c r="E139" s="38">
        <v>3.1445794582036335E-2</v>
      </c>
      <c r="F139" s="164">
        <f t="shared" si="8"/>
        <v>133</v>
      </c>
      <c r="G139" s="38">
        <f t="shared" ca="1" si="7"/>
        <v>0.24233848137631936</v>
      </c>
    </row>
    <row r="140" spans="2:7" x14ac:dyDescent="0.2">
      <c r="B140" s="48">
        <v>41214</v>
      </c>
      <c r="C140" s="42">
        <v>11.672857</v>
      </c>
      <c r="D140" s="37">
        <f t="shared" si="6"/>
        <v>-0.92330580006516028</v>
      </c>
      <c r="E140" s="38">
        <v>3.1171113074204948E-2</v>
      </c>
      <c r="F140" s="164">
        <f t="shared" si="8"/>
        <v>134</v>
      </c>
      <c r="G140" s="38">
        <f t="shared" ca="1" si="7"/>
        <v>0.18010092441551168</v>
      </c>
    </row>
    <row r="141" spans="2:7" x14ac:dyDescent="0.2">
      <c r="B141" s="48">
        <v>42826</v>
      </c>
      <c r="C141" s="42">
        <v>152.199997</v>
      </c>
      <c r="D141" s="37">
        <f t="shared" si="6"/>
        <v>44.942217548176693</v>
      </c>
      <c r="E141" s="38">
        <v>2.9700284550440159E-2</v>
      </c>
      <c r="F141" s="164">
        <f t="shared" si="8"/>
        <v>135</v>
      </c>
      <c r="G141" s="38">
        <f t="shared" ca="1" si="7"/>
        <v>-2.5815918535147808E-2</v>
      </c>
    </row>
    <row r="142" spans="2:7" x14ac:dyDescent="0.2">
      <c r="B142" s="48">
        <v>39142</v>
      </c>
      <c r="C142" s="42">
        <v>3.3128570000000002</v>
      </c>
      <c r="D142" s="37">
        <f t="shared" si="6"/>
        <v>-0.9897615448640763</v>
      </c>
      <c r="E142" s="38">
        <v>2.9294366972175023E-2</v>
      </c>
      <c r="F142" s="164">
        <f t="shared" si="8"/>
        <v>136</v>
      </c>
      <c r="G142" s="38">
        <f t="shared" ca="1" si="7"/>
        <v>-3.9813330059256746E-2</v>
      </c>
    </row>
    <row r="143" spans="2:7" x14ac:dyDescent="0.2">
      <c r="B143" s="48">
        <v>43800</v>
      </c>
      <c r="C143" s="42">
        <v>323.57000699999998</v>
      </c>
      <c r="D143" s="37">
        <f t="shared" si="6"/>
        <v>-0.33542145153403868</v>
      </c>
      <c r="E143" s="38">
        <v>2.8316287061383116E-2</v>
      </c>
      <c r="F143" s="164">
        <f t="shared" si="8"/>
        <v>137</v>
      </c>
      <c r="G143" s="38">
        <f t="shared" ca="1" si="7"/>
        <v>-6.1140505204829595E-2</v>
      </c>
    </row>
    <row r="144" spans="2:7" x14ac:dyDescent="0.2">
      <c r="B144" s="48">
        <v>45261</v>
      </c>
      <c r="C144" s="42">
        <v>486.88000499999998</v>
      </c>
      <c r="D144" s="37">
        <f t="shared" si="6"/>
        <v>259.16482858820717</v>
      </c>
      <c r="E144" s="38">
        <v>2.723801922645297E-2</v>
      </c>
      <c r="F144" s="164">
        <f t="shared" si="8"/>
        <v>138</v>
      </c>
      <c r="G144" s="38">
        <f t="shared" ca="1" si="7"/>
        <v>-9.6687024039099442E-2</v>
      </c>
    </row>
    <row r="145" spans="2:7" x14ac:dyDescent="0.2">
      <c r="B145" s="48">
        <v>37803</v>
      </c>
      <c r="C145" s="42">
        <v>1.871429</v>
      </c>
      <c r="D145" s="37">
        <f t="shared" si="6"/>
        <v>-0.99025094326028029</v>
      </c>
      <c r="E145" s="38">
        <v>2.5440547945205561E-2</v>
      </c>
      <c r="F145" s="164">
        <f t="shared" si="8"/>
        <v>139</v>
      </c>
      <c r="G145" s="38">
        <f t="shared" ca="1" si="7"/>
        <v>-0.21668741802758645</v>
      </c>
    </row>
    <row r="146" spans="2:7" x14ac:dyDescent="0.2">
      <c r="B146" s="48">
        <v>43070</v>
      </c>
      <c r="C146" s="42">
        <v>191.96000699999999</v>
      </c>
      <c r="D146" s="37">
        <f t="shared" si="6"/>
        <v>44.334681455149699</v>
      </c>
      <c r="E146" s="38">
        <v>2.3350063723743819E-2</v>
      </c>
      <c r="F146" s="164">
        <f t="shared" si="8"/>
        <v>140</v>
      </c>
      <c r="G146" s="38">
        <f t="shared" ca="1" si="7"/>
        <v>0.17820712354041723</v>
      </c>
    </row>
    <row r="147" spans="2:7" x14ac:dyDescent="0.2">
      <c r="B147" s="48">
        <v>38808</v>
      </c>
      <c r="C147" s="42">
        <v>4.234286</v>
      </c>
      <c r="D147" s="37">
        <f t="shared" si="6"/>
        <v>7.5862219663318964E-2</v>
      </c>
      <c r="E147" s="38">
        <v>2.2421487848759636E-2</v>
      </c>
      <c r="F147" s="164">
        <f t="shared" si="8"/>
        <v>141</v>
      </c>
      <c r="G147" s="38">
        <f t="shared" ca="1" si="7"/>
        <v>0.11769840467440912</v>
      </c>
    </row>
    <row r="148" spans="2:7" x14ac:dyDescent="0.2">
      <c r="B148" s="48">
        <v>38718</v>
      </c>
      <c r="C148" s="42">
        <v>3.9357139999999999</v>
      </c>
      <c r="D148" s="37">
        <f t="shared" si="6"/>
        <v>-0.98948035723571548</v>
      </c>
      <c r="E148" s="38">
        <v>1.8107909690163293E-2</v>
      </c>
      <c r="F148" s="164">
        <f t="shared" si="8"/>
        <v>142</v>
      </c>
      <c r="G148" s="38">
        <f t="shared" ca="1" si="7"/>
        <v>0.25579444564038306</v>
      </c>
    </row>
    <row r="149" spans="2:7" x14ac:dyDescent="0.2">
      <c r="B149" s="48">
        <v>43344</v>
      </c>
      <c r="C149" s="42">
        <v>374.13000499999998</v>
      </c>
      <c r="D149" s="37">
        <f t="shared" si="6"/>
        <v>-3.6484553928096686E-3</v>
      </c>
      <c r="E149" s="38">
        <v>1.7542461169487655E-2</v>
      </c>
      <c r="F149" s="164">
        <f t="shared" si="8"/>
        <v>143</v>
      </c>
      <c r="G149" s="38">
        <f t="shared" ca="1" si="7"/>
        <v>-0.30897030521013963</v>
      </c>
    </row>
    <row r="150" spans="2:7" x14ac:dyDescent="0.2">
      <c r="B150" s="48">
        <v>43891</v>
      </c>
      <c r="C150" s="42">
        <v>375.5</v>
      </c>
      <c r="D150" s="37">
        <f t="shared" si="6"/>
        <v>3.0199120428257338</v>
      </c>
      <c r="E150" s="38">
        <v>1.7532452693636014E-2</v>
      </c>
      <c r="F150" s="164">
        <f t="shared" si="8"/>
        <v>144</v>
      </c>
      <c r="G150" s="38">
        <f t="shared" ca="1" si="7"/>
        <v>-0.19404914678179586</v>
      </c>
    </row>
    <row r="151" spans="2:7" x14ac:dyDescent="0.2">
      <c r="B151" s="48">
        <v>42401</v>
      </c>
      <c r="C151" s="42">
        <v>93.410004000000001</v>
      </c>
      <c r="D151" s="37">
        <f t="shared" si="6"/>
        <v>36.321350760351066</v>
      </c>
      <c r="E151" s="38">
        <v>1.7095035587762819E-2</v>
      </c>
      <c r="F151" s="164">
        <f t="shared" si="8"/>
        <v>145</v>
      </c>
      <c r="G151" s="38">
        <f t="shared" ca="1" si="7"/>
        <v>9.4914363045907162E-3</v>
      </c>
    </row>
    <row r="152" spans="2:7" x14ac:dyDescent="0.2">
      <c r="B152" s="48">
        <v>39295</v>
      </c>
      <c r="C152" s="42">
        <v>2.5028570000000001</v>
      </c>
      <c r="D152" s="37">
        <f t="shared" si="6"/>
        <v>-0.33661493133718023</v>
      </c>
      <c r="E152" s="38">
        <v>1.6830873447903683E-2</v>
      </c>
      <c r="F152" s="164">
        <f t="shared" si="8"/>
        <v>146</v>
      </c>
      <c r="G152" s="38">
        <f t="shared" ca="1" si="7"/>
        <v>0.12186378769124034</v>
      </c>
    </row>
    <row r="153" spans="2:7" x14ac:dyDescent="0.2">
      <c r="B153" s="48">
        <v>38626</v>
      </c>
      <c r="C153" s="42">
        <v>3.7728570000000001</v>
      </c>
      <c r="D153" s="37">
        <f t="shared" si="6"/>
        <v>3.7974540613329362</v>
      </c>
      <c r="E153" s="38">
        <v>1.6160062183919299E-2</v>
      </c>
      <c r="F153" s="164">
        <f t="shared" si="8"/>
        <v>147</v>
      </c>
      <c r="G153" s="38">
        <f t="shared" ca="1" si="7"/>
        <v>-0.25679663452053336</v>
      </c>
    </row>
    <row r="154" spans="2:7" x14ac:dyDescent="0.2">
      <c r="B154" s="48">
        <v>37591</v>
      </c>
      <c r="C154" s="42">
        <v>0.78642900000000004</v>
      </c>
      <c r="D154" s="37">
        <f t="shared" si="6"/>
        <v>-0.49262645161290319</v>
      </c>
      <c r="E154" s="38">
        <v>1.4747096774193613E-2</v>
      </c>
      <c r="F154" s="164">
        <f t="shared" si="8"/>
        <v>148</v>
      </c>
      <c r="G154" s="38">
        <f t="shared" ca="1" si="7"/>
        <v>0.2533544503578507</v>
      </c>
    </row>
    <row r="155" spans="2:7" x14ac:dyDescent="0.2">
      <c r="B155" s="48">
        <v>38412</v>
      </c>
      <c r="C155" s="42">
        <v>1.55</v>
      </c>
      <c r="D155" s="37">
        <f t="shared" si="6"/>
        <v>-0.9947519892720097</v>
      </c>
      <c r="E155" s="38">
        <v>1.4018975893170804E-2</v>
      </c>
      <c r="F155" s="164">
        <f t="shared" si="8"/>
        <v>149</v>
      </c>
      <c r="G155" s="38">
        <f t="shared" ca="1" si="7"/>
        <v>2.4295450566743308E-2</v>
      </c>
    </row>
    <row r="156" spans="2:7" x14ac:dyDescent="0.2">
      <c r="B156" s="48">
        <v>43160</v>
      </c>
      <c r="C156" s="42">
        <v>295.35000600000001</v>
      </c>
      <c r="D156" s="37">
        <f t="shared" si="6"/>
        <v>6.7726612810077134</v>
      </c>
      <c r="E156" s="38">
        <v>1.3624823021058052E-2</v>
      </c>
      <c r="F156" s="164">
        <f t="shared" si="8"/>
        <v>150</v>
      </c>
      <c r="G156" s="38">
        <f t="shared" ca="1" si="7"/>
        <v>7.4765387976849312E-2</v>
      </c>
    </row>
    <row r="157" spans="2:7" x14ac:dyDescent="0.2">
      <c r="B157" s="48">
        <v>40725</v>
      </c>
      <c r="C157" s="42">
        <v>37.998569000000003</v>
      </c>
      <c r="D157" s="37">
        <f t="shared" si="6"/>
        <v>-0.92948209948514504</v>
      </c>
      <c r="E157" s="38">
        <v>1.256229424558919E-2</v>
      </c>
      <c r="F157" s="164">
        <f t="shared" si="8"/>
        <v>151</v>
      </c>
      <c r="G157" s="38">
        <f t="shared" ca="1" si="7"/>
        <v>-2.0713914695838775E-3</v>
      </c>
    </row>
    <row r="158" spans="2:7" x14ac:dyDescent="0.2">
      <c r="B158" s="48">
        <v>44228</v>
      </c>
      <c r="C158" s="42">
        <v>538.84997599999997</v>
      </c>
      <c r="D158" s="37">
        <f t="shared" si="6"/>
        <v>4.4677824413663378</v>
      </c>
      <c r="E158" s="38">
        <v>1.2133888348751176E-2</v>
      </c>
      <c r="F158" s="164">
        <f t="shared" si="8"/>
        <v>152</v>
      </c>
      <c r="G158" s="38">
        <f t="shared" ca="1" si="7"/>
        <v>-0.11709210344701464</v>
      </c>
    </row>
    <row r="159" spans="2:7" x14ac:dyDescent="0.2">
      <c r="B159" s="48">
        <v>42614</v>
      </c>
      <c r="C159" s="42">
        <v>98.550003000000004</v>
      </c>
      <c r="D159" s="37">
        <f t="shared" si="6"/>
        <v>-0.30662070264473718</v>
      </c>
      <c r="E159" s="38">
        <v>1.1287901835440817E-2</v>
      </c>
      <c r="F159" s="164">
        <f t="shared" si="8"/>
        <v>153</v>
      </c>
      <c r="G159" s="38">
        <f t="shared" ca="1" si="7"/>
        <v>-4.1697428439684339E-3</v>
      </c>
    </row>
    <row r="160" spans="2:7" x14ac:dyDescent="0.2">
      <c r="B160" s="48">
        <v>42767</v>
      </c>
      <c r="C160" s="42">
        <v>142.13000500000001</v>
      </c>
      <c r="D160" s="37">
        <f t="shared" si="6"/>
        <v>-0.76597566228971681</v>
      </c>
      <c r="E160" s="38">
        <v>1.0091663203456669E-2</v>
      </c>
      <c r="F160" s="164">
        <f t="shared" si="8"/>
        <v>154</v>
      </c>
      <c r="G160" s="38">
        <f t="shared" ca="1" si="7"/>
        <v>4.512964415059071E-2</v>
      </c>
    </row>
    <row r="161" spans="2:7" x14ac:dyDescent="0.2">
      <c r="B161" s="48">
        <v>45352</v>
      </c>
      <c r="C161" s="42">
        <v>607.330017</v>
      </c>
      <c r="D161" s="37">
        <f t="shared" si="6"/>
        <v>252.35577268439974</v>
      </c>
      <c r="E161" s="38">
        <v>7.3144598360410651E-3</v>
      </c>
      <c r="F161" s="164">
        <f t="shared" si="8"/>
        <v>155</v>
      </c>
      <c r="G161" s="38">
        <f t="shared" ca="1" si="7"/>
        <v>-0.25624015489719748</v>
      </c>
    </row>
    <row r="162" spans="2:7" x14ac:dyDescent="0.2">
      <c r="B162" s="48">
        <v>37865</v>
      </c>
      <c r="C162" s="42">
        <v>2.3971429999999998</v>
      </c>
      <c r="D162" s="37">
        <f t="shared" si="6"/>
        <v>-0.95442322630275112</v>
      </c>
      <c r="E162" s="38">
        <v>6.9008709151958669E-3</v>
      </c>
      <c r="F162" s="164">
        <f t="shared" si="8"/>
        <v>156</v>
      </c>
      <c r="G162" s="38">
        <f t="shared" ca="1" si="7"/>
        <v>-0.37778773485553907</v>
      </c>
    </row>
    <row r="163" spans="2:7" x14ac:dyDescent="0.2">
      <c r="B163" s="48">
        <v>41609</v>
      </c>
      <c r="C163" s="42">
        <v>52.595714999999998</v>
      </c>
      <c r="D163" s="37">
        <f t="shared" si="6"/>
        <v>0.94510773131998027</v>
      </c>
      <c r="E163" s="38">
        <v>6.4789996835072916E-3</v>
      </c>
      <c r="F163" s="164">
        <f t="shared" si="8"/>
        <v>157</v>
      </c>
      <c r="G163" s="38">
        <f t="shared" ca="1" si="7"/>
        <v>0.15139158162547128</v>
      </c>
    </row>
    <row r="164" spans="2:7" x14ac:dyDescent="0.2">
      <c r="B164" s="48">
        <v>41334</v>
      </c>
      <c r="C164" s="42">
        <v>27.040001</v>
      </c>
      <c r="D164" s="37">
        <f t="shared" si="6"/>
        <v>-0.76493087685760996</v>
      </c>
      <c r="E164" s="38">
        <v>6.3803544438725268E-3</v>
      </c>
      <c r="F164" s="164">
        <f t="shared" si="8"/>
        <v>158</v>
      </c>
      <c r="G164" s="38">
        <f t="shared" ca="1" si="7"/>
        <v>-3.9690141555702926E-3</v>
      </c>
    </row>
    <row r="165" spans="2:7" x14ac:dyDescent="0.2">
      <c r="B165" s="48">
        <v>42217</v>
      </c>
      <c r="C165" s="42">
        <v>115.029999</v>
      </c>
      <c r="D165" s="37">
        <f t="shared" si="6"/>
        <v>21.218818178288682</v>
      </c>
      <c r="E165" s="38">
        <v>6.2986703927683241E-3</v>
      </c>
      <c r="F165" s="164">
        <f t="shared" si="8"/>
        <v>159</v>
      </c>
      <c r="G165" s="38">
        <f t="shared" ca="1" si="7"/>
        <v>-4.7563882276364433E-2</v>
      </c>
    </row>
    <row r="166" spans="2:7" x14ac:dyDescent="0.2">
      <c r="B166" s="48">
        <v>39845</v>
      </c>
      <c r="C166" s="42">
        <v>5.1771430000000001</v>
      </c>
      <c r="D166" s="37">
        <f t="shared" si="6"/>
        <v>0.1735750479039786</v>
      </c>
      <c r="E166" s="38">
        <v>2.7670725724149303E-3</v>
      </c>
      <c r="F166" s="164">
        <f t="shared" si="8"/>
        <v>160</v>
      </c>
      <c r="G166" s="38">
        <f t="shared" ca="1" si="7"/>
        <v>-0.29057175656559636</v>
      </c>
    </row>
    <row r="167" spans="2:7" x14ac:dyDescent="0.2">
      <c r="B167" s="48">
        <v>39692</v>
      </c>
      <c r="C167" s="42">
        <v>4.411429</v>
      </c>
      <c r="D167" s="37">
        <f t="shared" si="6"/>
        <v>-0.99340967915526546</v>
      </c>
      <c r="E167" s="38">
        <v>1.2971790724500831E-3</v>
      </c>
      <c r="F167" s="164">
        <f t="shared" si="8"/>
        <v>161</v>
      </c>
      <c r="G167" s="38">
        <f t="shared" ca="1" si="7"/>
        <v>-0.46189333107668473</v>
      </c>
    </row>
    <row r="168" spans="2:7" x14ac:dyDescent="0.2">
      <c r="B168" s="48">
        <v>45457</v>
      </c>
      <c r="C168" s="42">
        <v>669.38000499999998</v>
      </c>
      <c r="D168" s="37">
        <f t="shared" si="6"/>
        <v>0.59478709517390205</v>
      </c>
      <c r="E168" s="38">
        <v>0</v>
      </c>
      <c r="F168" s="164">
        <f t="shared" si="8"/>
        <v>162</v>
      </c>
      <c r="G168" s="38">
        <f t="shared" ca="1" si="7"/>
        <v>7.4099736490074564E-2</v>
      </c>
    </row>
    <row r="169" spans="2:7" x14ac:dyDescent="0.2">
      <c r="B169" s="48">
        <v>43952</v>
      </c>
      <c r="C169" s="42">
        <v>419.73001099999999</v>
      </c>
      <c r="D169" s="37">
        <f t="shared" si="6"/>
        <v>94.269463927980809</v>
      </c>
      <c r="E169" s="38">
        <v>-2.8580444988735021E-4</v>
      </c>
      <c r="F169" s="164">
        <f t="shared" si="8"/>
        <v>163</v>
      </c>
      <c r="G169" s="38">
        <f t="shared" ca="1" si="7"/>
        <v>9.9613020854525003E-2</v>
      </c>
    </row>
    <row r="170" spans="2:7" x14ac:dyDescent="0.2">
      <c r="B170" s="48">
        <v>39661</v>
      </c>
      <c r="C170" s="42">
        <v>4.4057139999999997</v>
      </c>
      <c r="D170" s="37">
        <f t="shared" si="6"/>
        <v>-0.95171820273972607</v>
      </c>
      <c r="E170" s="38">
        <v>-1.6186792366034153E-3</v>
      </c>
      <c r="F170" s="164">
        <f t="shared" si="8"/>
        <v>164</v>
      </c>
      <c r="G170" s="38">
        <f t="shared" ca="1" si="7"/>
        <v>0.28279928920089559</v>
      </c>
    </row>
    <row r="171" spans="2:7" x14ac:dyDescent="0.2">
      <c r="B171" s="48">
        <v>42552</v>
      </c>
      <c r="C171" s="42">
        <v>91.25</v>
      </c>
      <c r="D171" s="37">
        <f t="shared" si="6"/>
        <v>-0.79212702509937571</v>
      </c>
      <c r="E171" s="38">
        <v>-2.5142434680505144E-3</v>
      </c>
      <c r="F171" s="164">
        <f t="shared" si="8"/>
        <v>165</v>
      </c>
      <c r="G171" s="38">
        <f t="shared" ca="1" si="7"/>
        <v>0.14568442083763877</v>
      </c>
    </row>
    <row r="172" spans="2:7" x14ac:dyDescent="0.2">
      <c r="B172" s="48">
        <v>45108</v>
      </c>
      <c r="C172" s="42">
        <v>438.97000100000002</v>
      </c>
      <c r="D172" s="37">
        <f t="shared" si="6"/>
        <v>0.2311252060305431</v>
      </c>
      <c r="E172" s="38">
        <v>-3.4506777327674154E-3</v>
      </c>
      <c r="F172" s="164">
        <f t="shared" si="8"/>
        <v>166</v>
      </c>
      <c r="G172" s="38">
        <f t="shared" ca="1" si="7"/>
        <v>-0.22832858146201535</v>
      </c>
    </row>
    <row r="173" spans="2:7" x14ac:dyDescent="0.2">
      <c r="B173" s="48">
        <v>43525</v>
      </c>
      <c r="C173" s="42">
        <v>356.55999800000001</v>
      </c>
      <c r="D173" s="37">
        <f t="shared" si="6"/>
        <v>0.59491859540989966</v>
      </c>
      <c r="E173" s="38">
        <v>-4.3004969958029271E-3</v>
      </c>
      <c r="F173" s="164">
        <f t="shared" si="8"/>
        <v>167</v>
      </c>
      <c r="G173" s="38">
        <f t="shared" ca="1" si="7"/>
        <v>0.25076131137137325</v>
      </c>
    </row>
    <row r="174" spans="2:7" x14ac:dyDescent="0.2">
      <c r="B174" s="48">
        <v>44774</v>
      </c>
      <c r="C174" s="42">
        <v>223.55999800000001</v>
      </c>
      <c r="D174" s="37">
        <f t="shared" si="6"/>
        <v>34.867981248406629</v>
      </c>
      <c r="E174" s="38">
        <v>-5.9581860193379521E-3</v>
      </c>
      <c r="F174" s="164">
        <f t="shared" si="8"/>
        <v>168</v>
      </c>
      <c r="G174" s="38">
        <f t="shared" ca="1" si="7"/>
        <v>-2.9223526875577568E-3</v>
      </c>
    </row>
    <row r="175" spans="2:7" x14ac:dyDescent="0.2">
      <c r="B175" s="48">
        <v>40026</v>
      </c>
      <c r="C175" s="42">
        <v>6.2328570000000001</v>
      </c>
      <c r="D175" s="37">
        <f t="shared" si="6"/>
        <v>0.27872205282989149</v>
      </c>
      <c r="E175" s="38">
        <v>-7.0551204584632377E-3</v>
      </c>
      <c r="F175" s="164">
        <f t="shared" si="8"/>
        <v>169</v>
      </c>
      <c r="G175" s="38">
        <f t="shared" ca="1" si="7"/>
        <v>-5.0777049351972803E-2</v>
      </c>
    </row>
    <row r="176" spans="2:7" x14ac:dyDescent="0.2">
      <c r="B176" s="48">
        <v>38047</v>
      </c>
      <c r="C176" s="42">
        <v>4.8742859999999997</v>
      </c>
      <c r="D176" s="37">
        <f t="shared" si="6"/>
        <v>-0.98876063899954914</v>
      </c>
      <c r="E176" s="38">
        <v>-8.1395344104921996E-3</v>
      </c>
      <c r="F176" s="164">
        <f t="shared" si="8"/>
        <v>170</v>
      </c>
      <c r="G176" s="38">
        <f t="shared" ca="1" si="7"/>
        <v>-1.7582414326542672E-2</v>
      </c>
    </row>
    <row r="177" spans="2:7" x14ac:dyDescent="0.2">
      <c r="B177" s="48">
        <v>45139</v>
      </c>
      <c r="C177" s="42">
        <v>433.67999300000002</v>
      </c>
      <c r="D177" s="37">
        <f t="shared" si="6"/>
        <v>137.61919483367967</v>
      </c>
      <c r="E177" s="38">
        <v>-1.2050955618718939E-2</v>
      </c>
      <c r="F177" s="164">
        <f t="shared" si="8"/>
        <v>171</v>
      </c>
      <c r="G177" s="38">
        <f t="shared" ca="1" si="7"/>
        <v>-3.2587000550626674E-2</v>
      </c>
    </row>
    <row r="178" spans="2:7" x14ac:dyDescent="0.2">
      <c r="B178" s="48">
        <v>39203</v>
      </c>
      <c r="C178" s="42">
        <v>3.128571</v>
      </c>
      <c r="D178" s="37">
        <f t="shared" si="6"/>
        <v>-2.7962720101560534E-2</v>
      </c>
      <c r="E178" s="38">
        <v>-1.2178799631087034E-2</v>
      </c>
      <c r="F178" s="164">
        <f t="shared" si="8"/>
        <v>172</v>
      </c>
      <c r="G178" s="38">
        <f t="shared" ca="1" si="7"/>
        <v>-1.110817940480574E-2</v>
      </c>
    </row>
    <row r="179" spans="2:7" x14ac:dyDescent="0.2">
      <c r="B179" s="48">
        <v>39114</v>
      </c>
      <c r="C179" s="42">
        <v>3.2185709999999998</v>
      </c>
      <c r="D179" s="37">
        <f t="shared" si="6"/>
        <v>1.0026662219852245</v>
      </c>
      <c r="E179" s="38">
        <v>-1.2275319457516809E-2</v>
      </c>
      <c r="F179" s="164">
        <f t="shared" si="8"/>
        <v>173</v>
      </c>
      <c r="G179" s="38">
        <f t="shared" ca="1" si="7"/>
        <v>0.24008987028390505</v>
      </c>
    </row>
    <row r="180" spans="2:7" x14ac:dyDescent="0.2">
      <c r="B180" s="48">
        <v>37742</v>
      </c>
      <c r="C180" s="42">
        <v>1.607143</v>
      </c>
      <c r="D180" s="37">
        <f t="shared" si="6"/>
        <v>-0.96706770682744336</v>
      </c>
      <c r="E180" s="38">
        <v>-1.3157547322161567E-2</v>
      </c>
      <c r="F180" s="164">
        <f t="shared" si="8"/>
        <v>174</v>
      </c>
      <c r="G180" s="38">
        <f t="shared" ca="1" si="7"/>
        <v>-1.2258447833085578E-2</v>
      </c>
    </row>
    <row r="181" spans="2:7" x14ac:dyDescent="0.2">
      <c r="B181" s="48">
        <v>41974</v>
      </c>
      <c r="C181" s="42">
        <v>48.801430000000003</v>
      </c>
      <c r="D181" s="37">
        <f t="shared" si="6"/>
        <v>-0.90833518919395961</v>
      </c>
      <c r="E181" s="38">
        <v>-1.4368510675287993E-2</v>
      </c>
      <c r="F181" s="164">
        <f t="shared" si="8"/>
        <v>175</v>
      </c>
      <c r="G181" s="38">
        <f t="shared" ca="1" si="7"/>
        <v>5.3400226361823358E-2</v>
      </c>
    </row>
    <row r="182" spans="2:7" x14ac:dyDescent="0.2">
      <c r="B182" s="48">
        <v>44197</v>
      </c>
      <c r="C182" s="42">
        <v>532.39001499999995</v>
      </c>
      <c r="D182" s="37">
        <f t="shared" si="6"/>
        <v>3.6847420625499394E-2</v>
      </c>
      <c r="E182" s="38">
        <v>-1.542352987344997E-2</v>
      </c>
      <c r="F182" s="164">
        <f t="shared" si="8"/>
        <v>176</v>
      </c>
      <c r="G182" s="38">
        <f t="shared" ca="1" si="7"/>
        <v>-8.8189550349157972E-2</v>
      </c>
    </row>
    <row r="183" spans="2:7" x14ac:dyDescent="0.2">
      <c r="B183" s="48">
        <v>44287</v>
      </c>
      <c r="C183" s="42">
        <v>513.46997099999999</v>
      </c>
      <c r="D183" s="37">
        <f t="shared" si="6"/>
        <v>131.09443825452266</v>
      </c>
      <c r="E183" s="38">
        <v>-1.5699885795148139E-2</v>
      </c>
      <c r="F183" s="164">
        <f t="shared" si="8"/>
        <v>177</v>
      </c>
      <c r="G183" s="38">
        <f t="shared" ca="1" si="7"/>
        <v>-4.0202230572703071E-2</v>
      </c>
    </row>
    <row r="184" spans="2:7" x14ac:dyDescent="0.2">
      <c r="B184" s="48">
        <v>38869</v>
      </c>
      <c r="C184" s="42">
        <v>3.887143</v>
      </c>
      <c r="D184" s="37">
        <f t="shared" si="6"/>
        <v>5.5433485250071524E-3</v>
      </c>
      <c r="E184" s="38">
        <v>-1.7334670807849117E-2</v>
      </c>
      <c r="F184" s="164">
        <f t="shared" si="8"/>
        <v>178</v>
      </c>
      <c r="G184" s="38">
        <f t="shared" ca="1" si="7"/>
        <v>0.27311439161541035</v>
      </c>
    </row>
    <row r="185" spans="2:7" x14ac:dyDescent="0.2">
      <c r="B185" s="48">
        <v>38687</v>
      </c>
      <c r="C185" s="42">
        <v>3.8657140000000001</v>
      </c>
      <c r="D185" s="37">
        <f t="shared" si="6"/>
        <v>3.1281442586677688</v>
      </c>
      <c r="E185" s="38">
        <v>-1.7429337877317486E-2</v>
      </c>
      <c r="F185" s="164">
        <f t="shared" si="8"/>
        <v>179</v>
      </c>
      <c r="G185" s="38">
        <f t="shared" ca="1" si="7"/>
        <v>2.3852296234550208E-2</v>
      </c>
    </row>
    <row r="186" spans="2:7" x14ac:dyDescent="0.2">
      <c r="B186" s="48">
        <v>37469</v>
      </c>
      <c r="C186" s="42">
        <v>0.93642899999999996</v>
      </c>
      <c r="D186" s="37">
        <f t="shared" si="6"/>
        <v>-0.99819072012030252</v>
      </c>
      <c r="E186" s="38">
        <v>-1.797663729287069E-2</v>
      </c>
      <c r="F186" s="164">
        <f t="shared" si="8"/>
        <v>180</v>
      </c>
      <c r="G186" s="38">
        <f t="shared" ca="1" si="7"/>
        <v>-6.026222182710439E-2</v>
      </c>
    </row>
    <row r="187" spans="2:7" x14ac:dyDescent="0.2">
      <c r="B187" s="48">
        <v>44378</v>
      </c>
      <c r="C187" s="42">
        <v>517.57000700000003</v>
      </c>
      <c r="D187" s="37">
        <f t="shared" si="6"/>
        <v>2.9355042777013507E-2</v>
      </c>
      <c r="E187" s="38">
        <v>-2.0143531089608757E-2</v>
      </c>
      <c r="F187" s="164">
        <f t="shared" si="8"/>
        <v>181</v>
      </c>
      <c r="G187" s="38">
        <f t="shared" ca="1" si="7"/>
        <v>0.21760914398350623</v>
      </c>
    </row>
    <row r="188" spans="2:7" x14ac:dyDescent="0.2">
      <c r="B188" s="48">
        <v>44317</v>
      </c>
      <c r="C188" s="42">
        <v>502.80999800000001</v>
      </c>
      <c r="D188" s="37">
        <f t="shared" si="6"/>
        <v>14.127304901284715</v>
      </c>
      <c r="E188" s="38">
        <v>-2.0760655154262175E-2</v>
      </c>
      <c r="F188" s="164">
        <f t="shared" si="8"/>
        <v>182</v>
      </c>
      <c r="G188" s="38">
        <f t="shared" ca="1" si="7"/>
        <v>-0.14594211354333841</v>
      </c>
    </row>
    <row r="189" spans="2:7" x14ac:dyDescent="0.2">
      <c r="B189" s="48">
        <v>40634</v>
      </c>
      <c r="C189" s="42">
        <v>33.238571</v>
      </c>
      <c r="D189" s="37">
        <f t="shared" si="6"/>
        <v>1.1414633278933275</v>
      </c>
      <c r="E189" s="38">
        <v>-2.1490453631387574E-2</v>
      </c>
      <c r="F189" s="164">
        <f t="shared" si="8"/>
        <v>183</v>
      </c>
      <c r="G189" s="38">
        <f t="shared" ca="1" si="7"/>
        <v>0.46924192599442249</v>
      </c>
    </row>
    <row r="190" spans="2:7" x14ac:dyDescent="0.2">
      <c r="B190" s="48">
        <v>40330</v>
      </c>
      <c r="C190" s="42">
        <v>15.521428999999999</v>
      </c>
      <c r="D190" s="37">
        <f t="shared" si="6"/>
        <v>3.0525924281984329</v>
      </c>
      <c r="E190" s="38">
        <v>-2.2492074381252669E-2</v>
      </c>
      <c r="F190" s="164">
        <f t="shared" si="8"/>
        <v>184</v>
      </c>
      <c r="G190" s="38">
        <f t="shared" ca="1" si="7"/>
        <v>-0.1138278195847295</v>
      </c>
    </row>
    <row r="191" spans="2:7" x14ac:dyDescent="0.2">
      <c r="B191" s="48">
        <v>38749</v>
      </c>
      <c r="C191" s="42">
        <v>3.83</v>
      </c>
      <c r="D191" s="37">
        <f t="shared" si="6"/>
        <v>-0.89794053594595613</v>
      </c>
      <c r="E191" s="38">
        <v>-2.6860183438125795E-2</v>
      </c>
      <c r="F191" s="164">
        <f t="shared" si="8"/>
        <v>185</v>
      </c>
      <c r="G191" s="38">
        <f t="shared" ca="1" si="7"/>
        <v>1.8653218527779999E-2</v>
      </c>
    </row>
    <row r="192" spans="2:7" x14ac:dyDescent="0.2">
      <c r="B192" s="48">
        <v>40695</v>
      </c>
      <c r="C192" s="42">
        <v>37.527141999999998</v>
      </c>
      <c r="D192" s="37">
        <f t="shared" si="6"/>
        <v>-0.92806206352351284</v>
      </c>
      <c r="E192" s="38">
        <v>-2.9948341396818012E-2</v>
      </c>
      <c r="F192" s="164">
        <f t="shared" si="8"/>
        <v>186</v>
      </c>
      <c r="G192" s="38">
        <f t="shared" ca="1" si="7"/>
        <v>-0.13574367613054039</v>
      </c>
    </row>
    <row r="193" spans="2:7" x14ac:dyDescent="0.2">
      <c r="B193" s="48">
        <v>44256</v>
      </c>
      <c r="C193" s="42">
        <v>521.65997300000004</v>
      </c>
      <c r="D193" s="37">
        <f t="shared" si="6"/>
        <v>181.39859195804198</v>
      </c>
      <c r="E193" s="38">
        <v>-3.1901278214030993E-2</v>
      </c>
      <c r="F193" s="164">
        <f t="shared" si="8"/>
        <v>187</v>
      </c>
      <c r="G193" s="38">
        <f t="shared" ca="1" si="7"/>
        <v>2.809492809351212E-2</v>
      </c>
    </row>
    <row r="194" spans="2:7" x14ac:dyDescent="0.2">
      <c r="B194" s="48">
        <v>38930</v>
      </c>
      <c r="C194" s="42">
        <v>2.86</v>
      </c>
      <c r="D194" s="37">
        <f t="shared" si="6"/>
        <v>-0.90313059560525866</v>
      </c>
      <c r="E194" s="38">
        <v>-3.2382700085326288E-2</v>
      </c>
      <c r="F194" s="164">
        <f t="shared" si="8"/>
        <v>188</v>
      </c>
      <c r="G194" s="38">
        <f t="shared" ca="1" si="7"/>
        <v>-3.1362942384600148E-2</v>
      </c>
    </row>
    <row r="195" spans="2:7" x14ac:dyDescent="0.2">
      <c r="B195" s="48">
        <v>40575</v>
      </c>
      <c r="C195" s="42">
        <v>29.524286</v>
      </c>
      <c r="D195" s="37">
        <f t="shared" si="6"/>
        <v>-0.89987694825222209</v>
      </c>
      <c r="E195" s="38">
        <v>-3.4613214847782237E-2</v>
      </c>
      <c r="F195" s="164">
        <f t="shared" si="8"/>
        <v>189</v>
      </c>
      <c r="G195" s="38">
        <f t="shared" ca="1" si="7"/>
        <v>-1.6488243269162345E-2</v>
      </c>
    </row>
    <row r="196" spans="2:7" x14ac:dyDescent="0.2">
      <c r="B196" s="48">
        <v>44896</v>
      </c>
      <c r="C196" s="42">
        <v>294.88000499999998</v>
      </c>
      <c r="D196" s="37">
        <f t="shared" si="6"/>
        <v>0.68782550045916935</v>
      </c>
      <c r="E196" s="38">
        <v>-3.4857441281895163E-2</v>
      </c>
      <c r="F196" s="164">
        <f t="shared" si="8"/>
        <v>190</v>
      </c>
      <c r="G196" s="38">
        <f t="shared" ca="1" si="7"/>
        <v>6.0485143169677624E-2</v>
      </c>
    </row>
    <row r="197" spans="2:7" x14ac:dyDescent="0.2">
      <c r="B197" s="48">
        <v>42948</v>
      </c>
      <c r="C197" s="42">
        <v>174.71000699999999</v>
      </c>
      <c r="D197" s="37">
        <f t="shared" si="6"/>
        <v>1.8930971261731915</v>
      </c>
      <c r="E197" s="38">
        <v>-3.8258267350913422E-2</v>
      </c>
      <c r="F197" s="164">
        <f t="shared" si="8"/>
        <v>191</v>
      </c>
      <c r="G197" s="38">
        <f t="shared" ca="1" si="7"/>
        <v>0.12774022840652649</v>
      </c>
    </row>
    <row r="198" spans="2:7" x14ac:dyDescent="0.2">
      <c r="B198" s="48">
        <v>41821</v>
      </c>
      <c r="C198" s="42">
        <v>60.388573000000001</v>
      </c>
      <c r="D198" s="37">
        <f t="shared" si="6"/>
        <v>18.067207574776386</v>
      </c>
      <c r="E198" s="38">
        <v>-4.0580983487625621E-2</v>
      </c>
      <c r="F198" s="164">
        <f t="shared" si="8"/>
        <v>192</v>
      </c>
      <c r="G198" s="38">
        <f t="shared" ca="1" si="7"/>
        <v>0.4469275721313935</v>
      </c>
    </row>
    <row r="199" spans="2:7" x14ac:dyDescent="0.2">
      <c r="B199" s="48">
        <v>39173</v>
      </c>
      <c r="C199" s="42">
        <v>3.1671429999999998</v>
      </c>
      <c r="D199" s="37">
        <f t="shared" si="6"/>
        <v>-0.99040056052133463</v>
      </c>
      <c r="E199" s="38">
        <v>-4.398439171989621E-2</v>
      </c>
      <c r="F199" s="164">
        <f t="shared" si="8"/>
        <v>193</v>
      </c>
      <c r="G199" s="38">
        <f t="shared" ca="1" si="7"/>
        <v>0.15197610941601428</v>
      </c>
    </row>
    <row r="200" spans="2:7" x14ac:dyDescent="0.2">
      <c r="B200" s="48">
        <v>45017</v>
      </c>
      <c r="C200" s="42">
        <v>329.92999300000002</v>
      </c>
      <c r="D200" s="37">
        <f t="shared" ref="D200:D263" si="9">C200/C201-1</f>
        <v>0.75887615674510989</v>
      </c>
      <c r="E200" s="38">
        <v>-4.5009892048428757E-2</v>
      </c>
      <c r="F200" s="164">
        <f t="shared" si="8"/>
        <v>194</v>
      </c>
      <c r="G200" s="38">
        <f t="shared" ref="G200:G263" ca="1" si="10">_xlfn.NORM.INV(RAND(),$M$9,$M$10)</f>
        <v>0.42866731739144764</v>
      </c>
    </row>
    <row r="201" spans="2:7" x14ac:dyDescent="0.2">
      <c r="B201" s="48">
        <v>43040</v>
      </c>
      <c r="C201" s="42">
        <v>187.58000200000001</v>
      </c>
      <c r="D201" s="37">
        <f t="shared" si="9"/>
        <v>195.71319912203708</v>
      </c>
      <c r="E201" s="38">
        <v>-4.5054173575213574E-2</v>
      </c>
      <c r="F201" s="164">
        <f t="shared" ref="F201:F264" si="11">F200+1</f>
        <v>195</v>
      </c>
      <c r="G201" s="38">
        <f t="shared" ca="1" si="10"/>
        <v>1.6862172244237358E-2</v>
      </c>
    </row>
    <row r="202" spans="2:7" x14ac:dyDescent="0.2">
      <c r="B202" s="48">
        <v>37438</v>
      </c>
      <c r="C202" s="42">
        <v>0.95357099999999995</v>
      </c>
      <c r="D202" s="37">
        <f t="shared" si="9"/>
        <v>-0.99799560469995385</v>
      </c>
      <c r="E202" s="38">
        <v>-4.5747663831976038E-2</v>
      </c>
      <c r="F202" s="164">
        <f t="shared" si="11"/>
        <v>196</v>
      </c>
      <c r="G202" s="38">
        <f t="shared" ca="1" si="10"/>
        <v>-8.4096954444925917E-2</v>
      </c>
    </row>
    <row r="203" spans="2:7" x14ac:dyDescent="0.2">
      <c r="B203" s="48">
        <v>44105</v>
      </c>
      <c r="C203" s="42">
        <v>475.73998999999998</v>
      </c>
      <c r="D203" s="37">
        <f t="shared" si="9"/>
        <v>0.27002855142986792</v>
      </c>
      <c r="E203" s="38">
        <v>-4.8577103470945904E-2</v>
      </c>
      <c r="F203" s="164">
        <f t="shared" si="11"/>
        <v>197</v>
      </c>
      <c r="G203" s="38">
        <f t="shared" ca="1" si="10"/>
        <v>0.14938356365016772</v>
      </c>
    </row>
    <row r="204" spans="2:7" x14ac:dyDescent="0.2">
      <c r="B204" s="48">
        <v>44621</v>
      </c>
      <c r="C204" s="42">
        <v>374.58999599999999</v>
      </c>
      <c r="D204" s="37">
        <f t="shared" si="9"/>
        <v>85.367914546511372</v>
      </c>
      <c r="E204" s="38">
        <v>-5.0517067716941533E-2</v>
      </c>
      <c r="F204" s="164">
        <f t="shared" si="11"/>
        <v>198</v>
      </c>
      <c r="G204" s="38">
        <f t="shared" ca="1" si="10"/>
        <v>0.1982940982111826</v>
      </c>
    </row>
    <row r="205" spans="2:7" x14ac:dyDescent="0.2">
      <c r="B205" s="48">
        <v>39569</v>
      </c>
      <c r="C205" s="42">
        <v>4.3371430000000002</v>
      </c>
      <c r="D205" s="37">
        <f t="shared" si="9"/>
        <v>-0.98484205457585616</v>
      </c>
      <c r="E205" s="38">
        <v>-5.0656540086604807E-2</v>
      </c>
      <c r="F205" s="164">
        <f t="shared" si="11"/>
        <v>199</v>
      </c>
      <c r="G205" s="38">
        <f t="shared" ca="1" si="10"/>
        <v>0.29514986924620457</v>
      </c>
    </row>
    <row r="206" spans="2:7" x14ac:dyDescent="0.2">
      <c r="B206" s="48">
        <v>43405</v>
      </c>
      <c r="C206" s="42">
        <v>286.13000499999998</v>
      </c>
      <c r="D206" s="37">
        <f t="shared" si="9"/>
        <v>78.638573146662949</v>
      </c>
      <c r="E206" s="38">
        <v>-5.1858950400486936E-2</v>
      </c>
      <c r="F206" s="164">
        <f t="shared" si="11"/>
        <v>200</v>
      </c>
      <c r="G206" s="38">
        <f t="shared" ca="1" si="10"/>
        <v>0.24105357133243371</v>
      </c>
    </row>
    <row r="207" spans="2:7" x14ac:dyDescent="0.2">
      <c r="B207" s="48">
        <v>39448</v>
      </c>
      <c r="C207" s="42">
        <v>3.592857</v>
      </c>
      <c r="D207" s="37">
        <f t="shared" si="9"/>
        <v>-0.94425728250650831</v>
      </c>
      <c r="E207" s="38">
        <v>-5.5221639940707723E-2</v>
      </c>
      <c r="F207" s="164">
        <f t="shared" si="11"/>
        <v>201</v>
      </c>
      <c r="G207" s="38">
        <f t="shared" ca="1" si="10"/>
        <v>0.15343740970406078</v>
      </c>
    </row>
    <row r="208" spans="2:7" x14ac:dyDescent="0.2">
      <c r="B208" s="48">
        <v>41883</v>
      </c>
      <c r="C208" s="42">
        <v>64.454284999999999</v>
      </c>
      <c r="D208" s="37">
        <f t="shared" si="9"/>
        <v>-0.87109916379237085</v>
      </c>
      <c r="E208" s="38">
        <v>-5.5397343297356905E-2</v>
      </c>
      <c r="F208" s="164">
        <f t="shared" si="11"/>
        <v>202</v>
      </c>
      <c r="G208" s="38">
        <f t="shared" ca="1" si="10"/>
        <v>0.3190269726626509</v>
      </c>
    </row>
    <row r="209" spans="2:7" x14ac:dyDescent="0.2">
      <c r="B209" s="48">
        <v>44075</v>
      </c>
      <c r="C209" s="42">
        <v>500.02999899999998</v>
      </c>
      <c r="D209" s="37">
        <f t="shared" si="9"/>
        <v>33.131740546075086</v>
      </c>
      <c r="E209" s="38">
        <v>-5.5763273494082832E-2</v>
      </c>
      <c r="F209" s="164">
        <f t="shared" si="11"/>
        <v>203</v>
      </c>
      <c r="G209" s="38">
        <f t="shared" ca="1" si="10"/>
        <v>8.8583566012138959E-2</v>
      </c>
    </row>
    <row r="210" spans="2:7" x14ac:dyDescent="0.2">
      <c r="B210" s="48">
        <v>40360</v>
      </c>
      <c r="C210" s="42">
        <v>14.65</v>
      </c>
      <c r="D210" s="37">
        <f t="shared" si="9"/>
        <v>0.86149936467598476</v>
      </c>
      <c r="E210" s="38">
        <v>-5.6143606365109733E-2</v>
      </c>
      <c r="F210" s="164">
        <f t="shared" si="11"/>
        <v>204</v>
      </c>
      <c r="G210" s="38">
        <f t="shared" ca="1" si="10"/>
        <v>-1.3251669029645953E-2</v>
      </c>
    </row>
    <row r="211" spans="2:7" x14ac:dyDescent="0.2">
      <c r="B211" s="48">
        <v>40148</v>
      </c>
      <c r="C211" s="42">
        <v>7.87</v>
      </c>
      <c r="D211" s="37">
        <f t="shared" si="9"/>
        <v>-0.98693645844586531</v>
      </c>
      <c r="E211" s="38">
        <v>-6.0378613691919325E-2</v>
      </c>
      <c r="F211" s="164">
        <f t="shared" si="11"/>
        <v>205</v>
      </c>
      <c r="G211" s="38">
        <f t="shared" ca="1" si="10"/>
        <v>-0.11399398119336147</v>
      </c>
    </row>
    <row r="212" spans="2:7" x14ac:dyDescent="0.2">
      <c r="B212" s="48">
        <v>44531</v>
      </c>
      <c r="C212" s="42">
        <v>602.44000200000005</v>
      </c>
      <c r="D212" s="37">
        <f t="shared" si="9"/>
        <v>121.58952816339955</v>
      </c>
      <c r="E212" s="38">
        <v>-6.1473781780073566E-2</v>
      </c>
      <c r="F212" s="164">
        <f t="shared" si="11"/>
        <v>206</v>
      </c>
      <c r="G212" s="38">
        <f t="shared" ca="1" si="10"/>
        <v>0.30740839440963097</v>
      </c>
    </row>
    <row r="213" spans="2:7" x14ac:dyDescent="0.2">
      <c r="B213" s="48">
        <v>38018</v>
      </c>
      <c r="C213" s="42">
        <v>4.9142859999999997</v>
      </c>
      <c r="D213" s="37">
        <f t="shared" si="9"/>
        <v>-0.95799755555555555</v>
      </c>
      <c r="E213" s="38">
        <v>-6.2797852837312651E-2</v>
      </c>
      <c r="F213" s="164">
        <f t="shared" si="11"/>
        <v>207</v>
      </c>
      <c r="G213" s="38">
        <f t="shared" ca="1" si="10"/>
        <v>-0.10140794679841018</v>
      </c>
    </row>
    <row r="214" spans="2:7" x14ac:dyDescent="0.2">
      <c r="B214" s="48">
        <v>42675</v>
      </c>
      <c r="C214" s="42">
        <v>117</v>
      </c>
      <c r="D214" s="37">
        <f t="shared" si="9"/>
        <v>-0.56287828494540415</v>
      </c>
      <c r="E214" s="38">
        <v>-6.3025569079228738E-2</v>
      </c>
      <c r="F214" s="164">
        <f t="shared" si="11"/>
        <v>208</v>
      </c>
      <c r="G214" s="38">
        <f t="shared" ca="1" si="10"/>
        <v>-3.0477195261316814E-2</v>
      </c>
    </row>
    <row r="215" spans="2:7" x14ac:dyDescent="0.2">
      <c r="B215" s="48">
        <v>43435</v>
      </c>
      <c r="C215" s="42">
        <v>267.66000400000001</v>
      </c>
      <c r="D215" s="37">
        <f t="shared" si="9"/>
        <v>66.664144576680727</v>
      </c>
      <c r="E215" s="38">
        <v>-6.455108054815839E-2</v>
      </c>
      <c r="F215" s="164">
        <f t="shared" si="11"/>
        <v>209</v>
      </c>
      <c r="G215" s="38">
        <f t="shared" ca="1" si="10"/>
        <v>3.7762770198602406E-2</v>
      </c>
    </row>
    <row r="216" spans="2:7" x14ac:dyDescent="0.2">
      <c r="B216" s="48">
        <v>38838</v>
      </c>
      <c r="C216" s="42">
        <v>3.955714</v>
      </c>
      <c r="D216" s="37">
        <f t="shared" si="9"/>
        <v>-0.86882373270949576</v>
      </c>
      <c r="E216" s="38">
        <v>-6.5789604197732499E-2</v>
      </c>
      <c r="F216" s="164">
        <f t="shared" si="11"/>
        <v>210</v>
      </c>
      <c r="G216" s="38">
        <f t="shared" ca="1" si="10"/>
        <v>0.2574266525081591</v>
      </c>
    </row>
    <row r="217" spans="2:7" x14ac:dyDescent="0.2">
      <c r="B217" s="48">
        <v>41426</v>
      </c>
      <c r="C217" s="42">
        <v>30.155714</v>
      </c>
      <c r="D217" s="37">
        <f t="shared" si="9"/>
        <v>17.355653596143792</v>
      </c>
      <c r="E217" s="38">
        <v>-6.7005574938980073E-2</v>
      </c>
      <c r="F217" s="164">
        <f t="shared" si="11"/>
        <v>211</v>
      </c>
      <c r="G217" s="38">
        <f t="shared" ca="1" si="10"/>
        <v>5.3025079719969045E-2</v>
      </c>
    </row>
    <row r="218" spans="2:7" x14ac:dyDescent="0.2">
      <c r="B218" s="48">
        <v>38353</v>
      </c>
      <c r="C218" s="42">
        <v>1.642857</v>
      </c>
      <c r="D218" s="37">
        <f t="shared" si="9"/>
        <v>7.4766563018662691E-2</v>
      </c>
      <c r="E218" s="38">
        <v>-6.7315798706618302E-2</v>
      </c>
      <c r="F218" s="164">
        <f t="shared" si="11"/>
        <v>212</v>
      </c>
      <c r="G218" s="38">
        <f t="shared" ca="1" si="10"/>
        <v>-7.7157575081250249E-3</v>
      </c>
    </row>
    <row r="219" spans="2:7" x14ac:dyDescent="0.2">
      <c r="B219" s="48">
        <v>38384</v>
      </c>
      <c r="C219" s="42">
        <v>1.5285709999999999</v>
      </c>
      <c r="D219" s="37">
        <f t="shared" si="9"/>
        <v>-0.99761867745311072</v>
      </c>
      <c r="E219" s="38">
        <v>-6.9565397353512859E-2</v>
      </c>
      <c r="F219" s="164">
        <f t="shared" si="11"/>
        <v>213</v>
      </c>
      <c r="G219" s="38">
        <f t="shared" ca="1" si="10"/>
        <v>-8.6748435312249864E-2</v>
      </c>
    </row>
    <row r="220" spans="2:7" x14ac:dyDescent="0.2">
      <c r="B220" s="48">
        <v>44501</v>
      </c>
      <c r="C220" s="42">
        <v>641.90002400000003</v>
      </c>
      <c r="D220" s="37">
        <f t="shared" si="9"/>
        <v>194.5309122511276</v>
      </c>
      <c r="E220" s="38">
        <v>-7.0127876085028018E-2</v>
      </c>
      <c r="F220" s="164">
        <f t="shared" si="11"/>
        <v>214</v>
      </c>
      <c r="G220" s="38">
        <f t="shared" ca="1" si="10"/>
        <v>0.36732852925049669</v>
      </c>
    </row>
    <row r="221" spans="2:7" x14ac:dyDescent="0.2">
      <c r="B221" s="48">
        <v>39753</v>
      </c>
      <c r="C221" s="42">
        <v>3.2828569999999999</v>
      </c>
      <c r="D221" s="37">
        <f t="shared" si="9"/>
        <v>-0.97129867908634404</v>
      </c>
      <c r="E221" s="38">
        <v>-7.1890223267761622E-2</v>
      </c>
      <c r="F221" s="164">
        <f t="shared" si="11"/>
        <v>215</v>
      </c>
      <c r="G221" s="38">
        <f t="shared" ca="1" si="10"/>
        <v>-3.0863511737609428E-2</v>
      </c>
    </row>
    <row r="222" spans="2:7" x14ac:dyDescent="0.2">
      <c r="B222" s="48">
        <v>42339</v>
      </c>
      <c r="C222" s="42">
        <v>114.379997</v>
      </c>
      <c r="D222" s="37">
        <f t="shared" si="9"/>
        <v>-0.6668026178827855</v>
      </c>
      <c r="E222" s="38">
        <v>-7.2569568270987261E-2</v>
      </c>
      <c r="F222" s="164">
        <f t="shared" si="11"/>
        <v>216</v>
      </c>
      <c r="G222" s="38">
        <f t="shared" ca="1" si="10"/>
        <v>1.9131966319556656E-2</v>
      </c>
    </row>
    <row r="223" spans="2:7" x14ac:dyDescent="0.2">
      <c r="B223" s="48">
        <v>43586</v>
      </c>
      <c r="C223" s="42">
        <v>343.27999899999998</v>
      </c>
      <c r="D223" s="37">
        <f t="shared" si="9"/>
        <v>534.77727191851591</v>
      </c>
      <c r="E223" s="38">
        <v>-7.3568330916729763E-2</v>
      </c>
      <c r="F223" s="164">
        <f t="shared" si="11"/>
        <v>217</v>
      </c>
      <c r="G223" s="38">
        <f t="shared" ca="1" si="10"/>
        <v>-4.3738546211455315E-2</v>
      </c>
    </row>
    <row r="224" spans="2:7" x14ac:dyDescent="0.2">
      <c r="B224" s="48">
        <v>37530</v>
      </c>
      <c r="C224" s="42">
        <v>0.64071400000000001</v>
      </c>
      <c r="D224" s="37">
        <f t="shared" si="9"/>
        <v>-0.99837596568522669</v>
      </c>
      <c r="E224" s="38">
        <v>-7.5257953661433619E-2</v>
      </c>
      <c r="F224" s="164">
        <f t="shared" si="11"/>
        <v>218</v>
      </c>
      <c r="G224" s="38">
        <f t="shared" ca="1" si="10"/>
        <v>-1.6327696616260004E-2</v>
      </c>
    </row>
    <row r="225" spans="2:7" x14ac:dyDescent="0.2">
      <c r="B225" s="48">
        <v>44593</v>
      </c>
      <c r="C225" s="42">
        <v>394.51998900000001</v>
      </c>
      <c r="D225" s="37">
        <f t="shared" si="9"/>
        <v>85.355227706869385</v>
      </c>
      <c r="E225" s="38">
        <v>-7.6368461990150904E-2</v>
      </c>
      <c r="F225" s="164">
        <f t="shared" si="11"/>
        <v>219</v>
      </c>
      <c r="G225" s="38">
        <f t="shared" ca="1" si="10"/>
        <v>5.005323010625936E-2</v>
      </c>
    </row>
    <row r="226" spans="2:7" x14ac:dyDescent="0.2">
      <c r="B226" s="48">
        <v>39539</v>
      </c>
      <c r="C226" s="42">
        <v>4.5685710000000004</v>
      </c>
      <c r="D226" s="37">
        <f t="shared" si="9"/>
        <v>-0.71118939884013543</v>
      </c>
      <c r="E226" s="38">
        <v>-7.705636363636359E-2</v>
      </c>
      <c r="F226" s="164">
        <f t="shared" si="11"/>
        <v>220</v>
      </c>
      <c r="G226" s="38">
        <f t="shared" ca="1" si="10"/>
        <v>0.30271191886702281</v>
      </c>
    </row>
    <row r="227" spans="2:7" x14ac:dyDescent="0.2">
      <c r="B227" s="48">
        <v>40940</v>
      </c>
      <c r="C227" s="42">
        <v>15.818571</v>
      </c>
      <c r="D227" s="37">
        <f t="shared" si="9"/>
        <v>-0.894126426768585</v>
      </c>
      <c r="E227" s="38">
        <v>-7.8785405687552212E-2</v>
      </c>
      <c r="F227" s="164">
        <f t="shared" si="11"/>
        <v>221</v>
      </c>
      <c r="G227" s="38">
        <f t="shared" ca="1" si="10"/>
        <v>0.17544968497089025</v>
      </c>
    </row>
    <row r="228" spans="2:7" x14ac:dyDescent="0.2">
      <c r="B228" s="48">
        <v>42887</v>
      </c>
      <c r="C228" s="42">
        <v>149.41000399999999</v>
      </c>
      <c r="D228" s="37">
        <f t="shared" si="9"/>
        <v>2.2476401518298355</v>
      </c>
      <c r="E228" s="38">
        <v>-8.3767721920806837E-2</v>
      </c>
      <c r="F228" s="164">
        <f t="shared" si="11"/>
        <v>222</v>
      </c>
      <c r="G228" s="38">
        <f t="shared" ca="1" si="10"/>
        <v>-1.5184573392923909E-2</v>
      </c>
    </row>
    <row r="229" spans="2:7" x14ac:dyDescent="0.2">
      <c r="B229" s="48">
        <v>41730</v>
      </c>
      <c r="C229" s="42">
        <v>46.005713999999998</v>
      </c>
      <c r="D229" s="37">
        <f t="shared" si="9"/>
        <v>4.9155031609936968</v>
      </c>
      <c r="E229" s="38">
        <v>-8.519162686037729E-2</v>
      </c>
      <c r="F229" s="164">
        <f t="shared" si="11"/>
        <v>223</v>
      </c>
      <c r="G229" s="38">
        <f t="shared" ca="1" si="10"/>
        <v>0.27063591577398299</v>
      </c>
    </row>
    <row r="230" spans="2:7" x14ac:dyDescent="0.2">
      <c r="B230" s="48">
        <v>41153</v>
      </c>
      <c r="C230" s="42">
        <v>7.7771429999999997</v>
      </c>
      <c r="D230" s="37">
        <f t="shared" si="9"/>
        <v>-0.97093960412038716</v>
      </c>
      <c r="E230" s="38">
        <v>-8.8412621144710934E-2</v>
      </c>
      <c r="F230" s="164">
        <f t="shared" si="11"/>
        <v>224</v>
      </c>
      <c r="G230" s="38">
        <f t="shared" ca="1" si="10"/>
        <v>7.5492972653265655E-2</v>
      </c>
    </row>
    <row r="231" spans="2:7" x14ac:dyDescent="0.2">
      <c r="B231" s="48">
        <v>43709</v>
      </c>
      <c r="C231" s="42">
        <v>267.61999500000002</v>
      </c>
      <c r="D231" s="37">
        <f t="shared" si="9"/>
        <v>-0.16921742512002247</v>
      </c>
      <c r="E231" s="38">
        <v>-8.895320851063826E-2</v>
      </c>
      <c r="F231" s="164">
        <f t="shared" si="11"/>
        <v>225</v>
      </c>
      <c r="G231" s="38">
        <f t="shared" ca="1" si="10"/>
        <v>0.10596803525438868</v>
      </c>
    </row>
    <row r="232" spans="2:7" x14ac:dyDescent="0.2">
      <c r="B232" s="48">
        <v>44958</v>
      </c>
      <c r="C232" s="42">
        <v>322.13000499999998</v>
      </c>
      <c r="D232" s="37">
        <f t="shared" si="9"/>
        <v>9.6612782978723333E-2</v>
      </c>
      <c r="E232" s="38">
        <v>-8.9668177655068848E-2</v>
      </c>
      <c r="F232" s="164">
        <f t="shared" si="11"/>
        <v>226</v>
      </c>
      <c r="G232" s="38">
        <f t="shared" ca="1" si="10"/>
        <v>0.12605820182760369</v>
      </c>
    </row>
    <row r="233" spans="2:7" x14ac:dyDescent="0.2">
      <c r="B233" s="48">
        <v>43678</v>
      </c>
      <c r="C233" s="42">
        <v>293.75</v>
      </c>
      <c r="D233" s="37">
        <f t="shared" si="9"/>
        <v>-0.46652987069964391</v>
      </c>
      <c r="E233" s="38">
        <v>-9.0529090390695899E-2</v>
      </c>
      <c r="F233" s="164">
        <f t="shared" si="11"/>
        <v>227</v>
      </c>
      <c r="G233" s="38">
        <f t="shared" ca="1" si="10"/>
        <v>-1.3459652859858603E-2</v>
      </c>
    </row>
    <row r="234" spans="2:7" x14ac:dyDescent="0.2">
      <c r="B234" s="48">
        <v>45383</v>
      </c>
      <c r="C234" s="42">
        <v>550.64001499999995</v>
      </c>
      <c r="D234" s="37">
        <f t="shared" si="9"/>
        <v>4.332558631947343</v>
      </c>
      <c r="E234" s="38">
        <v>-9.3342993781254324E-2</v>
      </c>
      <c r="F234" s="164">
        <f t="shared" si="11"/>
        <v>228</v>
      </c>
      <c r="G234" s="38">
        <f t="shared" ca="1" si="10"/>
        <v>4.1016023717909328E-2</v>
      </c>
    </row>
    <row r="235" spans="2:7" x14ac:dyDescent="0.2">
      <c r="B235" s="48">
        <v>42248</v>
      </c>
      <c r="C235" s="42">
        <v>103.260002</v>
      </c>
      <c r="D235" s="37">
        <f t="shared" si="9"/>
        <v>0.12877130098039036</v>
      </c>
      <c r="E235" s="38">
        <v>-0.10232110842668096</v>
      </c>
      <c r="F235" s="164">
        <f t="shared" si="11"/>
        <v>229</v>
      </c>
      <c r="G235" s="38">
        <f t="shared" ca="1" si="10"/>
        <v>-7.4975733271079745E-2</v>
      </c>
    </row>
    <row r="236" spans="2:7" x14ac:dyDescent="0.2">
      <c r="B236" s="48">
        <v>42522</v>
      </c>
      <c r="C236" s="42">
        <v>91.480002999999996</v>
      </c>
      <c r="D236" s="37">
        <f t="shared" si="9"/>
        <v>36.16540391780547</v>
      </c>
      <c r="E236" s="38">
        <v>-0.10812125377790771</v>
      </c>
      <c r="F236" s="164">
        <f t="shared" si="11"/>
        <v>230</v>
      </c>
      <c r="G236" s="38">
        <f t="shared" ca="1" si="10"/>
        <v>-5.1922912977687113E-2</v>
      </c>
    </row>
    <row r="237" spans="2:7" x14ac:dyDescent="0.2">
      <c r="B237" s="48">
        <v>39264</v>
      </c>
      <c r="C237" s="42">
        <v>2.4614289999999999</v>
      </c>
      <c r="D237" s="37">
        <f t="shared" si="9"/>
        <v>-0.98592423474364488</v>
      </c>
      <c r="E237" s="38">
        <v>-0.11139747292418778</v>
      </c>
      <c r="F237" s="164">
        <f t="shared" si="11"/>
        <v>231</v>
      </c>
      <c r="G237" s="38">
        <f t="shared" ca="1" si="10"/>
        <v>-0.16555538740253006</v>
      </c>
    </row>
    <row r="238" spans="2:7" x14ac:dyDescent="0.2">
      <c r="B238" s="48">
        <v>44713</v>
      </c>
      <c r="C238" s="42">
        <v>174.86999499999999</v>
      </c>
      <c r="D238" s="37">
        <f t="shared" si="9"/>
        <v>62.129962093862808</v>
      </c>
      <c r="E238" s="38">
        <v>-0.11431324337202953</v>
      </c>
      <c r="F238" s="164">
        <f t="shared" si="11"/>
        <v>232</v>
      </c>
      <c r="G238" s="38">
        <f t="shared" ca="1" si="10"/>
        <v>1.8852928179135562E-2</v>
      </c>
    </row>
    <row r="239" spans="2:7" x14ac:dyDescent="0.2">
      <c r="B239" s="48">
        <v>39234</v>
      </c>
      <c r="C239" s="42">
        <v>2.77</v>
      </c>
      <c r="D239" s="37">
        <f t="shared" si="9"/>
        <v>-0.9174928722926381</v>
      </c>
      <c r="E239" s="38">
        <v>-0.11461175086005715</v>
      </c>
      <c r="F239" s="164">
        <f t="shared" si="11"/>
        <v>233</v>
      </c>
      <c r="G239" s="38">
        <f t="shared" ca="1" si="10"/>
        <v>-1.1211105450693315E-2</v>
      </c>
    </row>
    <row r="240" spans="2:7" x14ac:dyDescent="0.2">
      <c r="B240" s="48">
        <v>40756</v>
      </c>
      <c r="C240" s="42">
        <v>33.572856999999999</v>
      </c>
      <c r="D240" s="37">
        <f t="shared" si="9"/>
        <v>8.0877796142475162</v>
      </c>
      <c r="E240" s="38">
        <v>-0.11647049129665921</v>
      </c>
      <c r="F240" s="164">
        <f t="shared" si="11"/>
        <v>234</v>
      </c>
      <c r="G240" s="38">
        <f t="shared" ca="1" si="10"/>
        <v>0.11329030604007879</v>
      </c>
    </row>
    <row r="241" spans="2:7" x14ac:dyDescent="0.2">
      <c r="B241" s="48">
        <v>39052</v>
      </c>
      <c r="C241" s="42">
        <v>3.694286</v>
      </c>
      <c r="D241" s="37">
        <f t="shared" si="9"/>
        <v>-0.92538733778556426</v>
      </c>
      <c r="E241" s="38">
        <v>-0.11680318021868796</v>
      </c>
      <c r="F241" s="164">
        <f t="shared" si="11"/>
        <v>235</v>
      </c>
      <c r="G241" s="38">
        <f t="shared" ca="1" si="10"/>
        <v>-1.481017211099684E-2</v>
      </c>
    </row>
    <row r="242" spans="2:7" x14ac:dyDescent="0.2">
      <c r="B242" s="48">
        <v>41944</v>
      </c>
      <c r="C242" s="42">
        <v>49.512855999999999</v>
      </c>
      <c r="D242" s="37">
        <f t="shared" si="9"/>
        <v>14.194653116350695</v>
      </c>
      <c r="E242" s="38">
        <v>-0.1175752073146461</v>
      </c>
      <c r="F242" s="164">
        <f t="shared" si="11"/>
        <v>236</v>
      </c>
      <c r="G242" s="38">
        <f t="shared" ca="1" si="10"/>
        <v>-1.6128523861643353E-2</v>
      </c>
    </row>
    <row r="243" spans="2:7" x14ac:dyDescent="0.2">
      <c r="B243" s="48">
        <v>39083</v>
      </c>
      <c r="C243" s="42">
        <v>3.2585709999999999</v>
      </c>
      <c r="D243" s="37">
        <f t="shared" si="9"/>
        <v>-0.96380571991342578</v>
      </c>
      <c r="E243" s="38">
        <v>-0.11794295298198354</v>
      </c>
      <c r="F243" s="164">
        <f t="shared" si="11"/>
        <v>237</v>
      </c>
      <c r="G243" s="38">
        <f t="shared" ca="1" si="10"/>
        <v>-5.3046026093603441E-2</v>
      </c>
    </row>
    <row r="244" spans="2:7" x14ac:dyDescent="0.2">
      <c r="B244" s="48">
        <v>42461</v>
      </c>
      <c r="C244" s="42">
        <v>90.029999000000004</v>
      </c>
      <c r="D244" s="37">
        <f t="shared" si="9"/>
        <v>-0.72126071461223917</v>
      </c>
      <c r="E244" s="38">
        <v>-0.11933878159037126</v>
      </c>
      <c r="F244" s="164">
        <f t="shared" si="11"/>
        <v>238</v>
      </c>
      <c r="G244" s="38">
        <f t="shared" ca="1" si="10"/>
        <v>-0.10618490957046427</v>
      </c>
    </row>
    <row r="245" spans="2:7" x14ac:dyDescent="0.2">
      <c r="B245" s="48">
        <v>43647</v>
      </c>
      <c r="C245" s="42">
        <v>322.98998999999998</v>
      </c>
      <c r="D245" s="37">
        <f t="shared" si="9"/>
        <v>4.425928058162107</v>
      </c>
      <c r="E245" s="38">
        <v>-0.12068500532289272</v>
      </c>
      <c r="F245" s="164">
        <f t="shared" si="11"/>
        <v>239</v>
      </c>
      <c r="G245" s="38">
        <f t="shared" ca="1" si="10"/>
        <v>0.18903012599948948</v>
      </c>
    </row>
    <row r="246" spans="2:7" x14ac:dyDescent="0.2">
      <c r="B246" s="48">
        <v>42064</v>
      </c>
      <c r="C246" s="42">
        <v>59.527141999999998</v>
      </c>
      <c r="D246" s="37">
        <f t="shared" si="9"/>
        <v>17.038527878787878</v>
      </c>
      <c r="E246" s="38">
        <v>-0.12259163940767659</v>
      </c>
      <c r="F246" s="164">
        <f t="shared" si="11"/>
        <v>240</v>
      </c>
      <c r="G246" s="38">
        <f t="shared" ca="1" si="10"/>
        <v>-0.10229986304267651</v>
      </c>
    </row>
    <row r="247" spans="2:7" x14ac:dyDescent="0.2">
      <c r="B247" s="48">
        <v>39387</v>
      </c>
      <c r="C247" s="42">
        <v>3.3</v>
      </c>
      <c r="D247" s="37">
        <f t="shared" si="9"/>
        <v>-0.99126059335920669</v>
      </c>
      <c r="E247" s="38">
        <v>-0.12731403921639151</v>
      </c>
      <c r="F247" s="164">
        <f t="shared" si="11"/>
        <v>241</v>
      </c>
      <c r="G247" s="38">
        <f t="shared" ca="1" si="10"/>
        <v>-0.10728465380544162</v>
      </c>
    </row>
    <row r="248" spans="2:7" x14ac:dyDescent="0.2">
      <c r="B248" s="48">
        <v>45170</v>
      </c>
      <c r="C248" s="42">
        <v>377.60000600000001</v>
      </c>
      <c r="D248" s="37">
        <f t="shared" si="9"/>
        <v>5.7296381976539266</v>
      </c>
      <c r="E248" s="38">
        <v>-0.12931190717852648</v>
      </c>
      <c r="F248" s="164">
        <f t="shared" si="11"/>
        <v>242</v>
      </c>
      <c r="G248" s="38">
        <f t="shared" ca="1" si="10"/>
        <v>9.7059292226163663E-2</v>
      </c>
    </row>
    <row r="249" spans="2:7" x14ac:dyDescent="0.2">
      <c r="B249" s="48">
        <v>41913</v>
      </c>
      <c r="C249" s="42">
        <v>56.110000999999997</v>
      </c>
      <c r="D249" s="37">
        <f t="shared" si="9"/>
        <v>8.9637234172711757</v>
      </c>
      <c r="E249" s="38">
        <v>-0.12946050057028791</v>
      </c>
      <c r="F249" s="164">
        <f t="shared" si="11"/>
        <v>243</v>
      </c>
      <c r="G249" s="38">
        <f t="shared" ca="1" si="10"/>
        <v>-7.0432307480394044E-2</v>
      </c>
    </row>
    <row r="250" spans="2:7" x14ac:dyDescent="0.2">
      <c r="B250" s="48">
        <v>39934</v>
      </c>
      <c r="C250" s="42">
        <v>5.6314289999999998</v>
      </c>
      <c r="D250" s="37">
        <f t="shared" si="9"/>
        <v>-0.98331181271375978</v>
      </c>
      <c r="E250" s="38">
        <v>-0.12999329353328837</v>
      </c>
      <c r="F250" s="164">
        <f t="shared" si="11"/>
        <v>244</v>
      </c>
      <c r="G250" s="38">
        <f t="shared" ca="1" si="10"/>
        <v>0.15136661419294789</v>
      </c>
    </row>
    <row r="251" spans="2:7" x14ac:dyDescent="0.2">
      <c r="B251" s="48">
        <v>43282</v>
      </c>
      <c r="C251" s="42">
        <v>337.45001200000002</v>
      </c>
      <c r="D251" s="37">
        <f t="shared" si="9"/>
        <v>89.607974790335646</v>
      </c>
      <c r="E251" s="38">
        <v>-0.13790456011376728</v>
      </c>
      <c r="F251" s="164">
        <f t="shared" si="11"/>
        <v>245</v>
      </c>
      <c r="G251" s="38">
        <f t="shared" ca="1" si="10"/>
        <v>-5.8956642053667643E-2</v>
      </c>
    </row>
    <row r="252" spans="2:7" x14ac:dyDescent="0.2">
      <c r="B252" s="48">
        <v>39600</v>
      </c>
      <c r="C252" s="42">
        <v>3.7242860000000002</v>
      </c>
      <c r="D252" s="37">
        <f t="shared" si="9"/>
        <v>6.4081714285714408E-2</v>
      </c>
      <c r="E252" s="38">
        <v>-0.14130431023371837</v>
      </c>
      <c r="F252" s="164">
        <f t="shared" si="11"/>
        <v>246</v>
      </c>
      <c r="G252" s="38">
        <f t="shared" ca="1" si="10"/>
        <v>5.842705333392223E-2</v>
      </c>
    </row>
    <row r="253" spans="2:7" x14ac:dyDescent="0.2">
      <c r="B253" s="48">
        <v>37926</v>
      </c>
      <c r="C253" s="42">
        <v>3.5</v>
      </c>
      <c r="D253" s="37">
        <f t="shared" si="9"/>
        <v>-0.8605577689243028</v>
      </c>
      <c r="E253" s="38">
        <v>-0.14485162809255259</v>
      </c>
      <c r="F253" s="164">
        <f t="shared" si="11"/>
        <v>247</v>
      </c>
      <c r="G253" s="38">
        <f t="shared" ca="1" si="10"/>
        <v>-0.15126509734325672</v>
      </c>
    </row>
    <row r="254" spans="2:7" x14ac:dyDescent="0.2">
      <c r="B254" s="48">
        <v>40513</v>
      </c>
      <c r="C254" s="42">
        <v>25.1</v>
      </c>
      <c r="D254" s="37">
        <f t="shared" si="9"/>
        <v>2.0905891069170219</v>
      </c>
      <c r="E254" s="38">
        <v>-0.14667315059083874</v>
      </c>
      <c r="F254" s="164">
        <f t="shared" si="11"/>
        <v>248</v>
      </c>
      <c r="G254" s="38">
        <f t="shared" ca="1" si="10"/>
        <v>0.10529776105671949</v>
      </c>
    </row>
    <row r="255" spans="2:7" x14ac:dyDescent="0.2">
      <c r="B255" s="48">
        <v>41091</v>
      </c>
      <c r="C255" s="42">
        <v>8.1214289999999991</v>
      </c>
      <c r="D255" s="37">
        <f t="shared" si="9"/>
        <v>-0.97308824631548896</v>
      </c>
      <c r="E255" s="38">
        <v>-0.16995179822012574</v>
      </c>
      <c r="F255" s="164">
        <f t="shared" si="11"/>
        <v>249</v>
      </c>
      <c r="G255" s="38">
        <f t="shared" ca="1" si="10"/>
        <v>6.191485445408304E-3</v>
      </c>
    </row>
    <row r="256" spans="2:7" x14ac:dyDescent="0.2">
      <c r="B256" s="48">
        <v>43374</v>
      </c>
      <c r="C256" s="42">
        <v>301.77999899999998</v>
      </c>
      <c r="D256" s="37">
        <f t="shared" si="9"/>
        <v>2.2859321879761403</v>
      </c>
      <c r="E256" s="38">
        <v>-0.19338199297861713</v>
      </c>
      <c r="F256" s="164">
        <f t="shared" si="11"/>
        <v>250</v>
      </c>
      <c r="G256" s="38">
        <f t="shared" ca="1" si="10"/>
        <v>6.9144209437514009E-2</v>
      </c>
    </row>
    <row r="257" spans="2:7" x14ac:dyDescent="0.2">
      <c r="B257" s="48">
        <v>42370</v>
      </c>
      <c r="C257" s="42">
        <v>91.839995999999999</v>
      </c>
      <c r="D257" s="37">
        <f t="shared" si="9"/>
        <v>24.964456625021946</v>
      </c>
      <c r="E257" s="38">
        <v>-0.19706243741202412</v>
      </c>
      <c r="F257" s="164">
        <f t="shared" si="11"/>
        <v>251</v>
      </c>
      <c r="G257" s="38">
        <f t="shared" ca="1" si="10"/>
        <v>-0.13431340822758486</v>
      </c>
    </row>
    <row r="258" spans="2:7" x14ac:dyDescent="0.2">
      <c r="B258" s="48">
        <v>39722</v>
      </c>
      <c r="C258" s="42">
        <v>3.5371429999999999</v>
      </c>
      <c r="D258" s="37">
        <f t="shared" si="9"/>
        <v>-0.60970994025393976</v>
      </c>
      <c r="E258" s="38">
        <v>-0.19818657401037176</v>
      </c>
      <c r="F258" s="164">
        <f t="shared" si="11"/>
        <v>252</v>
      </c>
      <c r="G258" s="38">
        <f t="shared" ca="1" si="10"/>
        <v>2.6293857757112099E-2</v>
      </c>
    </row>
    <row r="259" spans="2:7" x14ac:dyDescent="0.2">
      <c r="B259" s="48">
        <v>41030</v>
      </c>
      <c r="C259" s="42">
        <v>9.0628569999999993</v>
      </c>
      <c r="D259" s="37">
        <f t="shared" si="9"/>
        <v>-0.81978809266677088</v>
      </c>
      <c r="E259" s="38">
        <v>-0.20838530852453119</v>
      </c>
      <c r="F259" s="164">
        <f t="shared" si="11"/>
        <v>253</v>
      </c>
      <c r="G259" s="38">
        <f t="shared" ca="1" si="10"/>
        <v>-5.4461006258800085E-2</v>
      </c>
    </row>
    <row r="260" spans="2:7" x14ac:dyDescent="0.2">
      <c r="B260" s="48">
        <v>41699</v>
      </c>
      <c r="C260" s="42">
        <v>50.290000999999997</v>
      </c>
      <c r="D260" s="37">
        <f t="shared" si="9"/>
        <v>4.4552924742891271</v>
      </c>
      <c r="E260" s="38">
        <v>-0.21003972106815705</v>
      </c>
      <c r="F260" s="164">
        <f t="shared" si="11"/>
        <v>254</v>
      </c>
      <c r="G260" s="38">
        <f t="shared" ca="1" si="10"/>
        <v>0.22585453262516292</v>
      </c>
    </row>
    <row r="261" spans="2:7" x14ac:dyDescent="0.2">
      <c r="B261" s="48">
        <v>40848</v>
      </c>
      <c r="C261" s="42">
        <v>9.2185710000000007</v>
      </c>
      <c r="D261" s="37">
        <f t="shared" si="9"/>
        <v>2.1188981748572431</v>
      </c>
      <c r="E261" s="38">
        <v>-0.21381580686685686</v>
      </c>
      <c r="F261" s="164">
        <f t="shared" si="11"/>
        <v>255</v>
      </c>
      <c r="G261" s="38">
        <f t="shared" ca="1" si="10"/>
        <v>-6.7407999208045008E-2</v>
      </c>
    </row>
    <row r="262" spans="2:7" x14ac:dyDescent="0.2">
      <c r="B262" s="48">
        <v>38899</v>
      </c>
      <c r="C262" s="42">
        <v>2.955714</v>
      </c>
      <c r="D262" s="37">
        <f t="shared" si="9"/>
        <v>-0.18414831167777257</v>
      </c>
      <c r="E262" s="38">
        <v>-0.2396178890254359</v>
      </c>
      <c r="F262" s="164">
        <f t="shared" si="11"/>
        <v>256</v>
      </c>
      <c r="G262" s="38">
        <f t="shared" ca="1" si="10"/>
        <v>0.12731864376404095</v>
      </c>
    </row>
    <row r="263" spans="2:7" x14ac:dyDescent="0.2">
      <c r="B263" s="48">
        <v>38078</v>
      </c>
      <c r="C263" s="42">
        <v>3.6228570000000002</v>
      </c>
      <c r="D263" s="37">
        <f t="shared" si="9"/>
        <v>4.2288668513127536</v>
      </c>
      <c r="E263" s="38">
        <v>-0.25674098729536998</v>
      </c>
      <c r="F263" s="164">
        <f t="shared" si="11"/>
        <v>257</v>
      </c>
      <c r="G263" s="38">
        <f t="shared" ca="1" si="10"/>
        <v>-1.1578320391472462E-2</v>
      </c>
    </row>
    <row r="264" spans="2:7" x14ac:dyDescent="0.2">
      <c r="B264" s="48">
        <v>37500</v>
      </c>
      <c r="C264" s="42">
        <v>0.69285699999999995</v>
      </c>
      <c r="D264" s="37">
        <f t="shared" ref="D264:D272" si="12">C264/C265-1</f>
        <v>-0.9409113167863381</v>
      </c>
      <c r="E264" s="38">
        <v>-0.26010727988987958</v>
      </c>
      <c r="F264" s="164">
        <f t="shared" si="11"/>
        <v>258</v>
      </c>
      <c r="G264" s="38">
        <f t="shared" ref="G264:G272" ca="1" si="13">_xlfn.NORM.INV(RAND(),$M$9,$M$10)</f>
        <v>0.14207945504361416</v>
      </c>
    </row>
    <row r="265" spans="2:7" x14ac:dyDescent="0.2">
      <c r="B265" s="48">
        <v>40817</v>
      </c>
      <c r="C265" s="42">
        <v>11.725714</v>
      </c>
      <c r="D265" s="37">
        <f t="shared" si="12"/>
        <v>-0.97254831299287192</v>
      </c>
      <c r="E265" s="38">
        <v>-0.2753597967151109</v>
      </c>
      <c r="F265" s="164">
        <f t="shared" ref="F265:F272" si="14">F264+1</f>
        <v>259</v>
      </c>
      <c r="G265" s="38">
        <f t="shared" ca="1" si="13"/>
        <v>3.3186951020212074E-3</v>
      </c>
    </row>
    <row r="266" spans="2:7" x14ac:dyDescent="0.2">
      <c r="B266" s="48">
        <v>44562</v>
      </c>
      <c r="C266" s="42">
        <v>427.14001500000001</v>
      </c>
      <c r="D266" s="37">
        <f t="shared" si="12"/>
        <v>36.309461154584277</v>
      </c>
      <c r="E266" s="38">
        <v>-0.29098331189501592</v>
      </c>
      <c r="F266" s="164">
        <f t="shared" si="14"/>
        <v>260</v>
      </c>
      <c r="G266" s="38">
        <f t="shared" ca="1" si="13"/>
        <v>0.28125423995652044</v>
      </c>
    </row>
    <row r="267" spans="2:7" x14ac:dyDescent="0.2">
      <c r="B267" s="48">
        <v>41000</v>
      </c>
      <c r="C267" s="42">
        <v>11.448570999999999</v>
      </c>
      <c r="D267" s="37">
        <f t="shared" si="12"/>
        <v>4.7448030641435883</v>
      </c>
      <c r="E267" s="38">
        <v>-0.30337277810548025</v>
      </c>
      <c r="F267" s="164">
        <f t="shared" si="14"/>
        <v>261</v>
      </c>
      <c r="G267" s="38">
        <f t="shared" ca="1" si="13"/>
        <v>2.3378309113997846E-2</v>
      </c>
    </row>
    <row r="268" spans="2:7" x14ac:dyDescent="0.2">
      <c r="B268" s="48">
        <v>38200</v>
      </c>
      <c r="C268" s="42">
        <v>1.9928570000000001</v>
      </c>
      <c r="D268" s="37">
        <f t="shared" si="12"/>
        <v>0.47307291162332765</v>
      </c>
      <c r="E268" s="38">
        <v>-0.31951214431885033</v>
      </c>
      <c r="F268" s="164">
        <f t="shared" si="14"/>
        <v>262</v>
      </c>
      <c r="G268" s="38">
        <f t="shared" ca="1" si="13"/>
        <v>9.0625313716466885E-2</v>
      </c>
    </row>
    <row r="269" spans="2:7" x14ac:dyDescent="0.2">
      <c r="B269" s="48">
        <v>38261</v>
      </c>
      <c r="C269" s="42">
        <v>1.352857</v>
      </c>
      <c r="D269" s="37">
        <f t="shared" si="12"/>
        <v>-0.53804876166567239</v>
      </c>
      <c r="E269" s="38">
        <v>-0.38586254123622188</v>
      </c>
      <c r="F269" s="164">
        <f t="shared" si="14"/>
        <v>263</v>
      </c>
      <c r="G269" s="38">
        <f t="shared" ca="1" si="13"/>
        <v>-0.11017458694895767</v>
      </c>
    </row>
    <row r="270" spans="2:7" x14ac:dyDescent="0.2">
      <c r="B270" s="48">
        <v>38169</v>
      </c>
      <c r="C270" s="42">
        <v>2.9285709999999998</v>
      </c>
      <c r="D270" s="37">
        <f t="shared" si="12"/>
        <v>-0.98461561785766116</v>
      </c>
      <c r="E270" s="38">
        <v>-0.4305556230709896</v>
      </c>
      <c r="F270" s="164">
        <f t="shared" si="14"/>
        <v>264</v>
      </c>
      <c r="G270" s="38">
        <f t="shared" ca="1" si="13"/>
        <v>0.24158065976866777</v>
      </c>
    </row>
    <row r="271" spans="2:7" x14ac:dyDescent="0.2">
      <c r="B271" s="48">
        <v>44652</v>
      </c>
      <c r="C271" s="42">
        <v>190.36000100000001</v>
      </c>
      <c r="D271" s="37">
        <f t="shared" si="12"/>
        <v>10.764103219808337</v>
      </c>
      <c r="E271" s="38">
        <v>-0.49181771261184448</v>
      </c>
      <c r="F271" s="164">
        <f t="shared" si="14"/>
        <v>265</v>
      </c>
      <c r="G271" s="38">
        <f t="shared" ca="1" si="13"/>
        <v>9.2113852696894691E-2</v>
      </c>
    </row>
    <row r="272" spans="2:7" x14ac:dyDescent="0.2">
      <c r="B272" s="48">
        <v>40787</v>
      </c>
      <c r="C272" s="42">
        <v>16.181429000000001</v>
      </c>
      <c r="D272" s="37">
        <f t="shared" si="12"/>
        <v>15.192990795427935</v>
      </c>
      <c r="E272" s="38">
        <v>-0.51802049494923819</v>
      </c>
      <c r="F272" s="164">
        <f t="shared" si="14"/>
        <v>266</v>
      </c>
      <c r="G272" s="38">
        <f t="shared" ca="1" si="13"/>
        <v>1.8999663435930087E-2</v>
      </c>
    </row>
    <row r="273" spans="2:4" x14ac:dyDescent="0.2">
      <c r="B273" s="48">
        <v>37408</v>
      </c>
      <c r="C273" s="42">
        <v>0.99928600000000001</v>
      </c>
      <c r="D273" s="38"/>
    </row>
  </sheetData>
  <autoFilter ref="B7:G7" xr:uid="{3C528F4C-20EF-FF49-8AFD-5DB59E9BA81A}">
    <sortState xmlns:xlrd2="http://schemas.microsoft.com/office/spreadsheetml/2017/richdata2" ref="B8:G273">
      <sortCondition descending="1" ref="E7:E273"/>
    </sortState>
  </autoFilter>
  <pageMargins left="0.7" right="0.7" top="0.75" bottom="0.75" header="0.3" footer="0.3"/>
  <pageSetup scale="52"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6406-925D-AD47-ACD8-1D918DAA8A62}">
  <dimension ref="B5:G56"/>
  <sheetViews>
    <sheetView showGridLines="0" view="pageBreakPreview" zoomScale="60" zoomScaleNormal="106" workbookViewId="0">
      <selection activeCell="E25" sqref="E25"/>
    </sheetView>
  </sheetViews>
  <sheetFormatPr baseColWidth="10" defaultRowHeight="16" x14ac:dyDescent="0.2"/>
  <cols>
    <col min="2" max="2" width="43.83203125" customWidth="1"/>
    <col min="3" max="3" width="17.1640625" customWidth="1"/>
    <col min="4" max="4" width="18.5" customWidth="1"/>
    <col min="5" max="5" width="16.5" customWidth="1"/>
    <col min="6" max="7" width="17.83203125" customWidth="1"/>
  </cols>
  <sheetData>
    <row r="5" spans="2:7" x14ac:dyDescent="0.2">
      <c r="B5" s="65" t="s">
        <v>317</v>
      </c>
      <c r="C5" s="65"/>
      <c r="D5" s="65"/>
      <c r="E5" s="65"/>
      <c r="F5" s="65"/>
      <c r="G5" s="65"/>
    </row>
    <row r="6" spans="2:7" x14ac:dyDescent="0.2">
      <c r="B6" s="165"/>
      <c r="C6" s="166">
        <f>'Financial Statements'!B2</f>
        <v>2019</v>
      </c>
      <c r="D6" s="166">
        <f>'Financial Statements'!C2</f>
        <v>2020</v>
      </c>
      <c r="E6" s="166">
        <f>'Financial Statements'!D2</f>
        <v>2021</v>
      </c>
      <c r="F6" s="166">
        <f>'Financial Statements'!E2</f>
        <v>2022</v>
      </c>
      <c r="G6" s="166">
        <f>'Financial Statements'!F2</f>
        <v>2023</v>
      </c>
    </row>
    <row r="7" spans="2:7" x14ac:dyDescent="0.2">
      <c r="B7" t="s">
        <v>318</v>
      </c>
      <c r="C7" s="63">
        <f>'Financial Statements'!B19</f>
        <v>1866916</v>
      </c>
      <c r="D7" s="63">
        <f>'Financial Statements'!C19</f>
        <v>2761395</v>
      </c>
      <c r="E7" s="63">
        <f>'Financial Statements'!D19</f>
        <v>5116228</v>
      </c>
      <c r="F7" s="63">
        <f>'Financial Statements'!E19</f>
        <v>4491924</v>
      </c>
      <c r="G7" s="63">
        <f>'Financial Statements'!F19</f>
        <v>5407990</v>
      </c>
    </row>
    <row r="8" spans="2:7" x14ac:dyDescent="0.2">
      <c r="B8" t="s">
        <v>282</v>
      </c>
      <c r="C8" s="63">
        <f>'Financial Statements'!B4</f>
        <v>20156447</v>
      </c>
      <c r="D8" s="63">
        <f>'Financial Statements'!C4</f>
        <v>24996056</v>
      </c>
      <c r="E8" s="63">
        <f>'Financial Statements'!D4</f>
        <v>29697844</v>
      </c>
      <c r="F8" s="63">
        <f>'Financial Statements'!E4</f>
        <v>31615550</v>
      </c>
      <c r="G8" s="63">
        <f>'Financial Statements'!F4</f>
        <v>33723297</v>
      </c>
    </row>
    <row r="9" spans="2:7" x14ac:dyDescent="0.2">
      <c r="B9" s="167" t="s">
        <v>319</v>
      </c>
      <c r="C9" s="168">
        <f>C7/C8</f>
        <v>9.2621283899885734E-2</v>
      </c>
      <c r="D9" s="168">
        <f t="shared" ref="D9:G9" si="0">D7/D8</f>
        <v>0.11047322825648974</v>
      </c>
      <c r="E9" s="168">
        <f t="shared" si="0"/>
        <v>0.17227607499049427</v>
      </c>
      <c r="F9" s="168">
        <f t="shared" si="0"/>
        <v>0.14207957792921522</v>
      </c>
      <c r="G9" s="168">
        <f t="shared" si="0"/>
        <v>0.16036362043723068</v>
      </c>
    </row>
    <row r="11" spans="2:7" x14ac:dyDescent="0.2">
      <c r="B11" t="s">
        <v>282</v>
      </c>
      <c r="C11" s="63">
        <f>'Financial Statements'!B4</f>
        <v>20156447</v>
      </c>
      <c r="D11" s="63">
        <f>'Financial Statements'!C4</f>
        <v>24996056</v>
      </c>
      <c r="E11" s="63">
        <f>'Financial Statements'!D4</f>
        <v>29697844</v>
      </c>
      <c r="F11" s="63">
        <f>'Financial Statements'!E4</f>
        <v>31615550</v>
      </c>
      <c r="G11" s="63">
        <f>'Financial Statements'!F4</f>
        <v>33723297</v>
      </c>
    </row>
    <row r="12" spans="2:7" x14ac:dyDescent="0.2">
      <c r="B12" t="s">
        <v>188</v>
      </c>
      <c r="C12" s="63">
        <f>'Financial Statements'!B40</f>
        <v>33975712</v>
      </c>
      <c r="D12" s="63">
        <f>'Financial Statements'!C40</f>
        <v>39280359</v>
      </c>
      <c r="E12" s="63">
        <f>'Financial Statements'!D40</f>
        <v>44584663</v>
      </c>
      <c r="F12" s="63">
        <f>'Financial Statements'!E40</f>
        <v>48594768</v>
      </c>
      <c r="G12" s="63">
        <f>'Financial Statements'!F40</f>
        <v>48731992</v>
      </c>
    </row>
    <row r="13" spans="2:7" x14ac:dyDescent="0.2">
      <c r="B13" s="167" t="s">
        <v>391</v>
      </c>
      <c r="C13" s="169">
        <f>C11/C12</f>
        <v>0.59326047383495595</v>
      </c>
      <c r="D13" s="169">
        <f t="shared" ref="D13:G13" si="1">D11/D12</f>
        <v>0.63634998855280323</v>
      </c>
      <c r="E13" s="169">
        <f t="shared" si="1"/>
        <v>0.66609999945496956</v>
      </c>
      <c r="F13" s="169">
        <f t="shared" si="1"/>
        <v>0.65059575960934724</v>
      </c>
      <c r="G13" s="169">
        <f t="shared" si="1"/>
        <v>0.69201556546262255</v>
      </c>
    </row>
    <row r="15" spans="2:7" x14ac:dyDescent="0.2">
      <c r="B15" t="s">
        <v>188</v>
      </c>
      <c r="C15" s="63">
        <f>'Financial Statements'!B40</f>
        <v>33975712</v>
      </c>
      <c r="D15" s="63">
        <f>'Financial Statements'!C40</f>
        <v>39280359</v>
      </c>
      <c r="E15" s="63">
        <f>'Financial Statements'!D40</f>
        <v>44584663</v>
      </c>
      <c r="F15" s="63">
        <f>'Financial Statements'!E40</f>
        <v>48594768</v>
      </c>
      <c r="G15" s="63">
        <f>'Financial Statements'!F40</f>
        <v>48731992</v>
      </c>
    </row>
    <row r="16" spans="2:7" x14ac:dyDescent="0.2">
      <c r="B16" t="s">
        <v>150</v>
      </c>
      <c r="C16" s="63">
        <f>'Financial Statements'!B60</f>
        <v>7582157</v>
      </c>
      <c r="D16" s="63">
        <f>'Financial Statements'!C60</f>
        <v>11065240</v>
      </c>
      <c r="E16" s="63">
        <f>'Financial Statements'!D60</f>
        <v>15849248</v>
      </c>
      <c r="F16" s="63">
        <f>'Financial Statements'!E60</f>
        <v>20777401</v>
      </c>
      <c r="G16" s="63">
        <f>'Financial Statements'!F60</f>
        <v>20588313</v>
      </c>
    </row>
    <row r="17" spans="2:7" x14ac:dyDescent="0.2">
      <c r="B17" s="167" t="s">
        <v>321</v>
      </c>
      <c r="C17" s="169">
        <f>C15/C16</f>
        <v>4.4810087683491648</v>
      </c>
      <c r="D17" s="169">
        <f t="shared" ref="D17:G17" si="2">D15/D16</f>
        <v>3.5498876662413106</v>
      </c>
      <c r="E17" s="169">
        <f t="shared" si="2"/>
        <v>2.8130459565021635</v>
      </c>
      <c r="F17" s="169">
        <f t="shared" si="2"/>
        <v>2.3388280372506647</v>
      </c>
      <c r="G17" s="169">
        <f t="shared" si="2"/>
        <v>2.3669735349370296</v>
      </c>
    </row>
    <row r="19" spans="2:7" x14ac:dyDescent="0.2">
      <c r="B19" s="170" t="s">
        <v>320</v>
      </c>
      <c r="C19" s="171">
        <f>C9*C13*C17</f>
        <v>0.24622491990076173</v>
      </c>
      <c r="D19" s="171">
        <f t="shared" ref="D19:G19" si="3">D9*D13*D17</f>
        <v>0.24955581623173106</v>
      </c>
      <c r="E19" s="171">
        <f t="shared" si="3"/>
        <v>0.32280572554609538</v>
      </c>
      <c r="F19" s="171">
        <f t="shared" si="3"/>
        <v>0.21619277598771858</v>
      </c>
      <c r="G19" s="171">
        <f t="shared" si="3"/>
        <v>0.26267280859777098</v>
      </c>
    </row>
    <row r="21" spans="2:7" x14ac:dyDescent="0.2">
      <c r="B21" s="170" t="s">
        <v>322</v>
      </c>
      <c r="C21" s="171">
        <f>C9*C13</f>
        <v>5.4948546773648188E-2</v>
      </c>
      <c r="D21" s="171">
        <f t="shared" ref="D21:G21" si="4">D9*D13</f>
        <v>7.0299637536408457E-2</v>
      </c>
      <c r="E21" s="171">
        <f t="shared" si="4"/>
        <v>0.11475309345727253</v>
      </c>
      <c r="F21" s="171">
        <f t="shared" si="4"/>
        <v>9.2436370927833217E-2</v>
      </c>
      <c r="G21" s="171">
        <f t="shared" si="4"/>
        <v>0.11097412147650357</v>
      </c>
    </row>
    <row r="22" spans="2:7" x14ac:dyDescent="0.2">
      <c r="B22" s="43"/>
      <c r="C22" s="172"/>
      <c r="D22" s="172"/>
      <c r="E22" s="172"/>
      <c r="F22" s="172"/>
      <c r="G22" s="172"/>
    </row>
    <row r="48" spans="2:2" x14ac:dyDescent="0.2">
      <c r="B48" s="173" t="s">
        <v>323</v>
      </c>
    </row>
    <row r="49" spans="2:7" x14ac:dyDescent="0.2">
      <c r="B49" s="223" t="s">
        <v>324</v>
      </c>
      <c r="C49" s="223"/>
      <c r="D49" s="223"/>
      <c r="E49" s="223"/>
      <c r="F49" s="223"/>
      <c r="G49" s="223"/>
    </row>
    <row r="50" spans="2:7" x14ac:dyDescent="0.2">
      <c r="B50" s="223"/>
      <c r="C50" s="223"/>
      <c r="D50" s="223"/>
      <c r="E50" s="223"/>
      <c r="F50" s="223"/>
      <c r="G50" s="223"/>
    </row>
    <row r="51" spans="2:7" x14ac:dyDescent="0.2">
      <c r="B51" s="223" t="s">
        <v>325</v>
      </c>
      <c r="C51" s="223"/>
      <c r="D51" s="223"/>
      <c r="E51" s="223"/>
      <c r="F51" s="223"/>
      <c r="G51" s="223"/>
    </row>
    <row r="52" spans="2:7" x14ac:dyDescent="0.2">
      <c r="B52" s="223"/>
      <c r="C52" s="223"/>
      <c r="D52" s="223"/>
      <c r="E52" s="223"/>
      <c r="F52" s="223"/>
      <c r="G52" s="223"/>
    </row>
    <row r="53" spans="2:7" x14ac:dyDescent="0.2">
      <c r="B53" s="223" t="s">
        <v>326</v>
      </c>
      <c r="C53" s="223"/>
      <c r="D53" s="223"/>
      <c r="E53" s="223"/>
      <c r="F53" s="223"/>
      <c r="G53" s="223"/>
    </row>
    <row r="54" spans="2:7" x14ac:dyDescent="0.2">
      <c r="B54" s="223"/>
      <c r="C54" s="223"/>
      <c r="D54" s="223"/>
      <c r="E54" s="223"/>
      <c r="F54" s="223"/>
      <c r="G54" s="223"/>
    </row>
    <row r="55" spans="2:7" x14ac:dyDescent="0.2">
      <c r="B55" s="223" t="s">
        <v>327</v>
      </c>
      <c r="C55" s="223"/>
      <c r="D55" s="223"/>
      <c r="E55" s="223"/>
      <c r="F55" s="223"/>
      <c r="G55" s="223"/>
    </row>
    <row r="56" spans="2:7" x14ac:dyDescent="0.2">
      <c r="B56" s="223"/>
      <c r="C56" s="223"/>
      <c r="D56" s="223"/>
      <c r="E56" s="223"/>
      <c r="F56" s="223"/>
      <c r="G56" s="223"/>
    </row>
  </sheetData>
  <mergeCells count="4">
    <mergeCell ref="B49:G50"/>
    <mergeCell ref="B53:G54"/>
    <mergeCell ref="B55:G56"/>
    <mergeCell ref="B51:G52"/>
  </mergeCells>
  <pageMargins left="0.7" right="0.7" top="0.75" bottom="0.75" header="0.3" footer="0.3"/>
  <pageSetup scale="55"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Table of Contents</vt:lpstr>
      <vt:lpstr>One Page Profile</vt:lpstr>
      <vt:lpstr>Financial Statements</vt:lpstr>
      <vt:lpstr>Notes to Accounts</vt:lpstr>
      <vt:lpstr>Assumptions</vt:lpstr>
      <vt:lpstr>Regression Analysis</vt:lpstr>
      <vt:lpstr>Weighted Average Cost of Capita</vt:lpstr>
      <vt:lpstr>DCF Valuation</vt:lpstr>
      <vt:lpstr>Relative Valuation</vt:lpstr>
      <vt:lpstr>Monte Carlo</vt:lpstr>
      <vt:lpstr>Dupont Analysis</vt:lpstr>
      <vt:lpstr>Assumptions!Print_Area</vt:lpstr>
      <vt:lpstr>'DCF Valuation'!Print_Area</vt:lpstr>
      <vt:lpstr>'Dupont Analysis'!Print_Area</vt:lpstr>
      <vt:lpstr>'Financial Statements'!Print_Area</vt:lpstr>
      <vt:lpstr>'Monte Carlo'!Print_Area</vt:lpstr>
      <vt:lpstr>'Notes to Accounts'!Print_Area</vt:lpstr>
      <vt:lpstr>'One Page Profile'!Print_Area</vt:lpstr>
      <vt:lpstr>'Regression Analysis'!Print_Area</vt:lpstr>
      <vt:lpstr>'Relative Valuation'!Print_Area</vt:lpstr>
      <vt:lpstr>'Table of Contents'!Print_Area</vt:lpstr>
      <vt:lpstr>'Weighted Average Cost of Capita'!Print_Area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Muskaan Porwal</dc:creator>
  <cp:lastModifiedBy>Muskaan Porwal</cp:lastModifiedBy>
  <cp:lastPrinted>2024-06-20T17:03:22Z</cp:lastPrinted>
  <dcterms:created xsi:type="dcterms:W3CDTF">2024-05-31T14:11:19Z</dcterms:created>
  <dcterms:modified xsi:type="dcterms:W3CDTF">2024-06-20T18:44:45Z</dcterms:modified>
</cp:coreProperties>
</file>