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skan/Desktop/"/>
    </mc:Choice>
  </mc:AlternateContent>
  <xr:revisionPtr revIDLastSave="0" documentId="8_{CF178011-F8FD-9946-8C3B-4D3407D68D72}" xr6:coauthVersionLast="47" xr6:coauthVersionMax="47" xr10:uidLastSave="{00000000-0000-0000-0000-000000000000}"/>
  <bookViews>
    <workbookView xWindow="0" yWindow="500" windowWidth="28800" windowHeight="16180" xr2:uid="{6BE77840-77AC-4D4C-9B50-419B53D6A83A}"/>
  </bookViews>
  <sheets>
    <sheet name="Cover page" sheetId="10" r:id="rId1"/>
    <sheet name="Part 1 - Question 1,2 and 3" sheetId="6" r:id="rId2"/>
    <sheet name="Part 1 - Question 4" sheetId="7" r:id="rId3"/>
    <sheet name="Part 1 - Question 5" sheetId="8" r:id="rId4"/>
    <sheet name="Part 1- Question 6" sheetId="9" r:id="rId5"/>
    <sheet name="Part 2 - question 1" sheetId="5" r:id="rId6"/>
    <sheet name="Part 2-question 2" sheetId="1" r:id="rId7"/>
    <sheet name="Part 2-question 3" sheetId="2" r:id="rId8"/>
    <sheet name="Part 2-question 4" sheetId="3" r:id="rId9"/>
    <sheet name="Part 2-question 5" sheetId="4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9" l="1"/>
  <c r="I24" i="9" s="1"/>
  <c r="E36" i="9"/>
  <c r="D36" i="9"/>
  <c r="D35" i="9"/>
  <c r="F35" i="9" s="1"/>
  <c r="D34" i="9"/>
  <c r="F34" i="9" s="1"/>
  <c r="D33" i="9"/>
  <c r="F33" i="9" s="1"/>
  <c r="D32" i="9"/>
  <c r="F32" i="9" s="1"/>
  <c r="D31" i="9"/>
  <c r="F31" i="9" s="1"/>
  <c r="D30" i="9"/>
  <c r="F30" i="9" s="1"/>
  <c r="D29" i="9"/>
  <c r="F29" i="9" s="1"/>
  <c r="D28" i="9"/>
  <c r="F28" i="9" s="1"/>
  <c r="D27" i="9"/>
  <c r="F27" i="9" s="1"/>
  <c r="D26" i="9"/>
  <c r="F26" i="9" s="1"/>
  <c r="D25" i="9"/>
  <c r="F25" i="9" s="1"/>
  <c r="D24" i="9"/>
  <c r="F24" i="9" s="1"/>
  <c r="D23" i="9"/>
  <c r="F23" i="9" s="1"/>
  <c r="D22" i="9"/>
  <c r="F22" i="9" s="1"/>
  <c r="D21" i="9"/>
  <c r="F21" i="9" s="1"/>
  <c r="D20" i="9"/>
  <c r="F20" i="9" s="1"/>
  <c r="I19" i="9"/>
  <c r="I20" i="9" s="1"/>
  <c r="I21" i="9" s="1"/>
  <c r="I22" i="9" s="1"/>
  <c r="D19" i="9"/>
  <c r="F19" i="9" s="1"/>
  <c r="I18" i="9"/>
  <c r="D18" i="9"/>
  <c r="F18" i="9" s="1"/>
  <c r="D17" i="9"/>
  <c r="F36" i="9" l="1"/>
  <c r="F37" i="9" s="1"/>
  <c r="G18" i="9" s="1"/>
  <c r="I29" i="9" s="1"/>
  <c r="L28" i="9" l="1"/>
  <c r="I30" i="9"/>
  <c r="L29" i="9" s="1"/>
  <c r="E12" i="4"/>
  <c r="E12" i="3"/>
  <c r="C10" i="2"/>
  <c r="D34" i="8"/>
  <c r="E33" i="8"/>
  <c r="D33" i="8"/>
  <c r="E30" i="8"/>
  <c r="B30" i="8"/>
  <c r="B33" i="8" s="1"/>
  <c r="B34" i="8" s="1"/>
  <c r="D35" i="8" s="1"/>
  <c r="D36" i="8" s="1"/>
  <c r="D37" i="8" s="1"/>
  <c r="G4" i="8" s="1"/>
  <c r="A30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3" i="8"/>
  <c r="E26" i="7"/>
  <c r="E25" i="7"/>
  <c r="B25" i="7" s="1"/>
  <c r="E24" i="7"/>
  <c r="B24" i="7" s="1"/>
  <c r="E23" i="7"/>
  <c r="B23" i="7"/>
  <c r="E22" i="7"/>
  <c r="E21" i="7"/>
  <c r="B21" i="7" s="1"/>
  <c r="E20" i="7"/>
  <c r="B20" i="7" s="1"/>
  <c r="E19" i="7"/>
  <c r="B19" i="7"/>
  <c r="E18" i="7"/>
  <c r="B18" i="7"/>
  <c r="H18" i="7" s="1"/>
  <c r="E17" i="7"/>
  <c r="B17" i="7" s="1"/>
  <c r="E16" i="7"/>
  <c r="B16" i="7" s="1"/>
  <c r="E15" i="7"/>
  <c r="B15" i="7" s="1"/>
  <c r="E14" i="7"/>
  <c r="E13" i="7"/>
  <c r="B13" i="7" s="1"/>
  <c r="E12" i="7"/>
  <c r="B12" i="7" s="1"/>
  <c r="E11" i="7"/>
  <c r="B11" i="7"/>
  <c r="E10" i="7"/>
  <c r="E9" i="7"/>
  <c r="B9" i="7" s="1"/>
  <c r="E8" i="7"/>
  <c r="B8" i="7"/>
  <c r="E37" i="7" s="1"/>
  <c r="E7" i="7"/>
  <c r="F7" i="7" s="1"/>
  <c r="C7" i="7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I14" i="6"/>
  <c r="H14" i="6"/>
  <c r="G14" i="6"/>
  <c r="I13" i="6"/>
  <c r="G13" i="6"/>
  <c r="H13" i="6" s="1"/>
  <c r="I12" i="6"/>
  <c r="G12" i="6"/>
  <c r="H12" i="6" s="1"/>
  <c r="I11" i="6"/>
  <c r="H11" i="6"/>
  <c r="G11" i="6"/>
  <c r="I10" i="6"/>
  <c r="G10" i="6"/>
  <c r="H10" i="6" s="1"/>
  <c r="I9" i="6"/>
  <c r="G9" i="6"/>
  <c r="H9" i="6" s="1"/>
  <c r="I8" i="6"/>
  <c r="E8" i="6"/>
  <c r="G8" i="6" s="1"/>
  <c r="H8" i="6" s="1"/>
  <c r="I7" i="6"/>
  <c r="E7" i="6"/>
  <c r="G7" i="6" s="1"/>
  <c r="H7" i="6" s="1"/>
  <c r="E6" i="6"/>
  <c r="G6" i="6" s="1"/>
  <c r="H6" i="6" s="1"/>
  <c r="G5" i="6"/>
  <c r="H5" i="6" s="1"/>
  <c r="E5" i="6"/>
  <c r="G4" i="6"/>
  <c r="H4" i="6" s="1"/>
  <c r="E4" i="6"/>
  <c r="E3" i="6"/>
  <c r="G3" i="6" s="1"/>
  <c r="H3" i="6" s="1"/>
  <c r="E2" i="6"/>
  <c r="G2" i="6" s="1"/>
  <c r="H2" i="6" s="1"/>
  <c r="C24" i="5"/>
  <c r="D24" i="5"/>
  <c r="E24" i="5"/>
  <c r="F24" i="5"/>
  <c r="C23" i="5"/>
  <c r="D23" i="5"/>
  <c r="E23" i="5"/>
  <c r="F23" i="5"/>
  <c r="E26" i="5" s="1"/>
  <c r="D26" i="5" s="1"/>
  <c r="C26" i="5" s="1"/>
  <c r="C13" i="5"/>
  <c r="D13" i="5"/>
  <c r="E13" i="5"/>
  <c r="F13" i="5"/>
  <c r="E16" i="5" s="1"/>
  <c r="D16" i="5" s="1"/>
  <c r="C16" i="5" s="1"/>
  <c r="F14" i="5"/>
  <c r="E14" i="5"/>
  <c r="D14" i="5"/>
  <c r="C14" i="5"/>
  <c r="F5" i="5"/>
  <c r="E5" i="5"/>
  <c r="D5" i="5"/>
  <c r="C5" i="5"/>
  <c r="F4" i="5"/>
  <c r="D4" i="5"/>
  <c r="E4" i="5"/>
  <c r="C4" i="5"/>
  <c r="C8" i="2"/>
  <c r="D11" i="2"/>
  <c r="D9" i="2" s="1"/>
  <c r="E12" i="2"/>
  <c r="E10" i="2" s="1"/>
  <c r="C10" i="3"/>
  <c r="C8" i="3" s="1"/>
  <c r="D11" i="3"/>
  <c r="E8" i="3"/>
  <c r="D11" i="4"/>
  <c r="D9" i="4" s="1"/>
  <c r="C10" i="4"/>
  <c r="C8" i="4" s="1"/>
  <c r="F3" i="4"/>
  <c r="F45" i="4" s="1"/>
  <c r="D7" i="3"/>
  <c r="B3" i="1"/>
  <c r="C3" i="1"/>
  <c r="D3" i="1"/>
  <c r="E3" i="1"/>
  <c r="F3" i="1"/>
  <c r="F43" i="1" s="1"/>
  <c r="F3" i="3"/>
  <c r="E8" i="2"/>
  <c r="F3" i="2"/>
  <c r="F39" i="4"/>
  <c r="E29" i="4"/>
  <c r="C16" i="4"/>
  <c r="B17" i="4" s="1"/>
  <c r="E10" i="4"/>
  <c r="E8" i="4"/>
  <c r="D7" i="4"/>
  <c r="F47" i="4"/>
  <c r="D29" i="4"/>
  <c r="C21" i="4"/>
  <c r="E39" i="3"/>
  <c r="E29" i="3"/>
  <c r="C16" i="3"/>
  <c r="B17" i="3" s="1"/>
  <c r="E10" i="3"/>
  <c r="D9" i="3"/>
  <c r="E6" i="3"/>
  <c r="F47" i="3"/>
  <c r="E47" i="3" s="1"/>
  <c r="D29" i="3"/>
  <c r="C21" i="3"/>
  <c r="C16" i="2"/>
  <c r="B17" i="2" s="1"/>
  <c r="D7" i="2"/>
  <c r="E6" i="2"/>
  <c r="F47" i="2"/>
  <c r="E47" i="2" s="1"/>
  <c r="D29" i="2"/>
  <c r="C21" i="2"/>
  <c r="D9" i="1"/>
  <c r="E39" i="1"/>
  <c r="D25" i="1"/>
  <c r="C25" i="1" s="1"/>
  <c r="C16" i="1"/>
  <c r="B17" i="1" s="1"/>
  <c r="E6" i="1"/>
  <c r="E8" i="1"/>
  <c r="E10" i="1"/>
  <c r="D7" i="1"/>
  <c r="C8" i="1"/>
  <c r="F41" i="1"/>
  <c r="E33" i="1"/>
  <c r="D23" i="1"/>
  <c r="C18" i="7" l="1"/>
  <c r="H17" i="7"/>
  <c r="C17" i="7"/>
  <c r="H9" i="7"/>
  <c r="C9" i="7"/>
  <c r="H20" i="7"/>
  <c r="C20" i="7"/>
  <c r="H16" i="7"/>
  <c r="C16" i="7"/>
  <c r="H21" i="7"/>
  <c r="C21" i="7"/>
  <c r="H13" i="7"/>
  <c r="C13" i="7"/>
  <c r="C24" i="7"/>
  <c r="H24" i="7"/>
  <c r="H25" i="7"/>
  <c r="C25" i="7"/>
  <c r="H12" i="7"/>
  <c r="C12" i="7"/>
  <c r="H11" i="7"/>
  <c r="H15" i="7"/>
  <c r="H19" i="7"/>
  <c r="H23" i="7"/>
  <c r="F36" i="7"/>
  <c r="B33" i="7"/>
  <c r="C11" i="7"/>
  <c r="B10" i="7"/>
  <c r="C10" i="7" s="1"/>
  <c r="B14" i="7"/>
  <c r="B22" i="7"/>
  <c r="B26" i="7"/>
  <c r="C26" i="7" s="1"/>
  <c r="E33" i="7"/>
  <c r="E36" i="7" s="1"/>
  <c r="C8" i="7"/>
  <c r="C33" i="7"/>
  <c r="F33" i="7"/>
  <c r="C15" i="7"/>
  <c r="C19" i="7"/>
  <c r="C23" i="7"/>
  <c r="H15" i="6"/>
  <c r="E21" i="6" s="1"/>
  <c r="C23" i="1"/>
  <c r="E45" i="4"/>
  <c r="E39" i="4"/>
  <c r="E47" i="4"/>
  <c r="E43" i="3"/>
  <c r="D44" i="3" s="1"/>
  <c r="C45" i="3" s="1"/>
  <c r="E6" i="4"/>
  <c r="E41" i="4" s="1"/>
  <c r="B26" i="5"/>
  <c r="E8" i="5"/>
  <c r="D8" i="5" s="1"/>
  <c r="C8" i="5" s="1"/>
  <c r="B8" i="5" s="1"/>
  <c r="B16" i="5"/>
  <c r="F39" i="2"/>
  <c r="F45" i="2"/>
  <c r="E45" i="2" s="1"/>
  <c r="E29" i="2"/>
  <c r="E39" i="2"/>
  <c r="D21" i="4"/>
  <c r="E35" i="4"/>
  <c r="D35" i="4" s="1"/>
  <c r="D23" i="4"/>
  <c r="C23" i="4" s="1"/>
  <c r="C29" i="4"/>
  <c r="E31" i="4"/>
  <c r="D31" i="4" s="1"/>
  <c r="E33" i="4"/>
  <c r="D33" i="4" s="1"/>
  <c r="C39" i="4"/>
  <c r="D25" i="4"/>
  <c r="C25" i="4" s="1"/>
  <c r="D39" i="4"/>
  <c r="F41" i="4"/>
  <c r="F43" i="4"/>
  <c r="E43" i="4" s="1"/>
  <c r="D44" i="4" s="1"/>
  <c r="F45" i="3"/>
  <c r="E45" i="3" s="1"/>
  <c r="D46" i="3" s="1"/>
  <c r="D21" i="3"/>
  <c r="D25" i="3"/>
  <c r="C25" i="3" s="1"/>
  <c r="E35" i="3"/>
  <c r="D35" i="3" s="1"/>
  <c r="F39" i="3"/>
  <c r="D23" i="3"/>
  <c r="C23" i="3" s="1"/>
  <c r="C29" i="3"/>
  <c r="E31" i="3"/>
  <c r="D31" i="3" s="1"/>
  <c r="E33" i="3"/>
  <c r="D33" i="3" s="1"/>
  <c r="C39" i="3"/>
  <c r="D39" i="3"/>
  <c r="F41" i="3"/>
  <c r="E41" i="3" s="1"/>
  <c r="D42" i="3" s="1"/>
  <c r="F43" i="3"/>
  <c r="D21" i="2"/>
  <c r="D23" i="2"/>
  <c r="C23" i="2" s="1"/>
  <c r="C29" i="2"/>
  <c r="E31" i="2"/>
  <c r="D31" i="2" s="1"/>
  <c r="E33" i="2"/>
  <c r="D33" i="2" s="1"/>
  <c r="C39" i="2"/>
  <c r="D25" i="2"/>
  <c r="C25" i="2" s="1"/>
  <c r="E35" i="2"/>
  <c r="D35" i="2" s="1"/>
  <c r="D39" i="2"/>
  <c r="F41" i="2"/>
  <c r="E41" i="2" s="1"/>
  <c r="F43" i="2"/>
  <c r="E43" i="2" s="1"/>
  <c r="D29" i="1"/>
  <c r="E43" i="1"/>
  <c r="E29" i="1"/>
  <c r="D39" i="1"/>
  <c r="F45" i="1"/>
  <c r="E45" i="1" s="1"/>
  <c r="B24" i="1"/>
  <c r="E41" i="1"/>
  <c r="D21" i="1"/>
  <c r="C21" i="1"/>
  <c r="E31" i="1"/>
  <c r="F39" i="1"/>
  <c r="F47" i="1"/>
  <c r="E47" i="1" s="1"/>
  <c r="E35" i="1"/>
  <c r="D35" i="1" s="1"/>
  <c r="D31" i="1"/>
  <c r="D33" i="1"/>
  <c r="C29" i="1"/>
  <c r="C39" i="1"/>
  <c r="H22" i="7" l="1"/>
  <c r="C22" i="7"/>
  <c r="H14" i="7"/>
  <c r="H10" i="7"/>
  <c r="C14" i="7"/>
  <c r="C36" i="7"/>
  <c r="C37" i="7" s="1"/>
  <c r="E38" i="7" s="1"/>
  <c r="E39" i="7" s="1"/>
  <c r="E40" i="7" s="1"/>
  <c r="E41" i="7" s="1"/>
  <c r="F8" i="7" s="1"/>
  <c r="H26" i="7"/>
  <c r="D42" i="4"/>
  <c r="D42" i="1"/>
  <c r="D46" i="4"/>
  <c r="C45" i="4" s="1"/>
  <c r="D46" i="2"/>
  <c r="C43" i="3"/>
  <c r="B44" i="3" s="1"/>
  <c r="C43" i="4"/>
  <c r="B44" i="4" s="1"/>
  <c r="B24" i="4"/>
  <c r="C32" i="3"/>
  <c r="C32" i="1"/>
  <c r="B24" i="3"/>
  <c r="C32" i="2"/>
  <c r="D44" i="2"/>
  <c r="C45" i="2" s="1"/>
  <c r="C32" i="4"/>
  <c r="C34" i="4"/>
  <c r="C34" i="3"/>
  <c r="B24" i="2"/>
  <c r="C34" i="2"/>
  <c r="D42" i="2"/>
  <c r="D46" i="1"/>
  <c r="D44" i="1"/>
  <c r="C34" i="1"/>
  <c r="B33" i="1" s="1"/>
  <c r="G9" i="7" l="1"/>
  <c r="F9" i="7" s="1"/>
  <c r="C43" i="2"/>
  <c r="B44" i="2" s="1"/>
  <c r="B33" i="3"/>
  <c r="C45" i="1"/>
  <c r="B33" i="2"/>
  <c r="B33" i="4"/>
  <c r="C43" i="1"/>
  <c r="B44" i="1" s="1"/>
  <c r="G10" i="7" l="1"/>
  <c r="F10" i="7" s="1"/>
  <c r="G11" i="7" l="1"/>
  <c r="F11" i="7" s="1"/>
  <c r="G12" i="7" l="1"/>
  <c r="F12" i="7" s="1"/>
  <c r="G13" i="7" s="1"/>
  <c r="F13" i="7" s="1"/>
  <c r="G14" i="7" l="1"/>
  <c r="F14" i="7" s="1"/>
  <c r="G15" i="7" l="1"/>
  <c r="F15" i="7" s="1"/>
  <c r="G16" i="7" s="1"/>
  <c r="F16" i="7" s="1"/>
  <c r="G17" i="7" l="1"/>
  <c r="F17" i="7" s="1"/>
  <c r="G18" i="7" l="1"/>
  <c r="F18" i="7" s="1"/>
  <c r="G19" i="7" l="1"/>
  <c r="F19" i="7" s="1"/>
  <c r="G20" i="7"/>
  <c r="F20" i="7" s="1"/>
  <c r="G21" i="7" s="1"/>
  <c r="F21" i="7" s="1"/>
  <c r="G22" i="7" l="1"/>
  <c r="F22" i="7" s="1"/>
  <c r="G23" i="7" s="1"/>
  <c r="F23" i="7" s="1"/>
  <c r="G24" i="7" l="1"/>
  <c r="F24" i="7" s="1"/>
  <c r="G26" i="7" s="1"/>
  <c r="F26" i="7" s="1"/>
  <c r="G25" i="7" l="1"/>
  <c r="F25" i="7" s="1"/>
</calcChain>
</file>

<file path=xl/sharedStrings.xml><?xml version="1.0" encoding="utf-8"?>
<sst xmlns="http://schemas.openxmlformats.org/spreadsheetml/2006/main" count="379" uniqueCount="172">
  <si>
    <t>YTM</t>
  </si>
  <si>
    <t>Maturity</t>
  </si>
  <si>
    <t>Par rate/ytm</t>
  </si>
  <si>
    <t>ytm semi annual</t>
  </si>
  <si>
    <t>Par</t>
  </si>
  <si>
    <t xml:space="preserve">interest rate volatility </t>
  </si>
  <si>
    <t xml:space="preserve">Time </t>
  </si>
  <si>
    <t>Cash Flows:</t>
  </si>
  <si>
    <t xml:space="preserve">6 month Par Bond </t>
  </si>
  <si>
    <t xml:space="preserve">12 month Par Bond </t>
  </si>
  <si>
    <t>Value:</t>
  </si>
  <si>
    <t xml:space="preserve">Cash Flows: </t>
  </si>
  <si>
    <t xml:space="preserve">18 month Par Bond </t>
  </si>
  <si>
    <t xml:space="preserve">24 month Par Bond </t>
  </si>
  <si>
    <t>sum=</t>
  </si>
  <si>
    <t>Kusum Matlani</t>
  </si>
  <si>
    <t>Girish Venkateswaran</t>
  </si>
  <si>
    <t>Muskan Malik</t>
  </si>
  <si>
    <t>Vanshika Goel</t>
  </si>
  <si>
    <t>Group Members</t>
  </si>
  <si>
    <t xml:space="preserve">Student Numbers </t>
  </si>
  <si>
    <t>-</t>
  </si>
  <si>
    <t>Bond Rating</t>
  </si>
  <si>
    <t>AAA</t>
  </si>
  <si>
    <t>A</t>
  </si>
  <si>
    <t>BBB</t>
  </si>
  <si>
    <t>BB</t>
  </si>
  <si>
    <t>Zspread (BPs)%</t>
  </si>
  <si>
    <t>According to Table 3, market price of Bond 1 $101. However, our arbitrage free valuation of Bond 1 gives us $88.33. Hence, we belive the bond is overpriced in the market.</t>
  </si>
  <si>
    <t>24 month Par Bond  for LULULEMMING CORP.</t>
  </si>
  <si>
    <t>Interest Rate Tree for LULULEMMING CORP.</t>
  </si>
  <si>
    <t>Interest Rate Tree</t>
  </si>
  <si>
    <t>Option Exercise Price:</t>
  </si>
  <si>
    <t>According to Table 3, market price of Bond 2 $98. However, our arbitrage free valuation of Bond 2 gives us $90.76. Hence, we belive the bond is overpriced in the market.</t>
  </si>
  <si>
    <t>Interest Rate tree for ARCTHERESE CORP.</t>
  </si>
  <si>
    <t>24 month Callable Bond for ARCTHERESE CORP.</t>
  </si>
  <si>
    <t>Interest Rate tree for CANADIAN MOOSE CORP.</t>
  </si>
  <si>
    <t>24 month Par Bond for CANADIAN MOOSE CORP.</t>
  </si>
  <si>
    <t>According to Table 3, market price of Bond 3 $102. However, our arbitrage free valuation of Bond 3 gives us $106. Hence, we belive the bond is undervalued in the market.</t>
  </si>
  <si>
    <t>Value of the Callable Bond</t>
  </si>
  <si>
    <t>Value of the Putable Bond</t>
  </si>
  <si>
    <t xml:space="preserve">Value of the Option Free Bond </t>
  </si>
  <si>
    <t>Bond 1: LULULEMMING CORP.</t>
  </si>
  <si>
    <t>Cash Flow annually</t>
  </si>
  <si>
    <t xml:space="preserve">Forward Rates + Z-spread </t>
  </si>
  <si>
    <t>0</t>
  </si>
  <si>
    <t>0.5</t>
  </si>
  <si>
    <t>1</t>
  </si>
  <si>
    <t>1.5</t>
  </si>
  <si>
    <t>2</t>
  </si>
  <si>
    <t>Bond 2: ARCTHERESE CORP.</t>
  </si>
  <si>
    <t>option exercise price</t>
  </si>
  <si>
    <t>Bond 3: CANADIAN MOOSE CORP.</t>
  </si>
  <si>
    <t>Tenor</t>
  </si>
  <si>
    <t>CUSIP</t>
  </si>
  <si>
    <t>Description</t>
  </si>
  <si>
    <t>Price</t>
  </si>
  <si>
    <t>Time</t>
  </si>
  <si>
    <t>Yield</t>
  </si>
  <si>
    <t>Fit</t>
  </si>
  <si>
    <t>Residuals Sq.</t>
  </si>
  <si>
    <t>Par Coupon</t>
  </si>
  <si>
    <t>Update (March 11, 2024)</t>
  </si>
  <si>
    <t>1M</t>
  </si>
  <si>
    <t>912797JM@BGN  Govt</t>
  </si>
  <si>
    <t>B 0 04/09/24 Govt</t>
  </si>
  <si>
    <t>15:59</t>
  </si>
  <si>
    <t>2M</t>
  </si>
  <si>
    <t>912797JV@BGN  Govt</t>
  </si>
  <si>
    <t>B 0 05/07/24 Govt</t>
  </si>
  <si>
    <t>15:58</t>
  </si>
  <si>
    <t>3M</t>
  </si>
  <si>
    <t>912797HT@BGN  Govt</t>
  </si>
  <si>
    <t>B 0 06/06/24 Govt</t>
  </si>
  <si>
    <t>4M</t>
  </si>
  <si>
    <t>912797KN@BGN  Govt</t>
  </si>
  <si>
    <t>B 0 07/09/24 Govt</t>
  </si>
  <si>
    <t>6M</t>
  </si>
  <si>
    <t>912797GL@BGN  Govt</t>
  </si>
  <si>
    <t>B 0 09/05/24 Govt</t>
  </si>
  <si>
    <t>1Y</t>
  </si>
  <si>
    <t>912797KA@BGN  Govt</t>
  </si>
  <si>
    <t>B 0 02/20/25 Govt</t>
  </si>
  <si>
    <t>2Y</t>
  </si>
  <si>
    <t>91282CKB@BGN  Govt</t>
  </si>
  <si>
    <t>T 4  5/8  02/28/26 Govt</t>
  </si>
  <si>
    <t>3Y</t>
  </si>
  <si>
    <t>91282CKA@BGN  Govt</t>
  </si>
  <si>
    <t>T 4  1/8  02/15/27 Govt</t>
  </si>
  <si>
    <t>5Y</t>
  </si>
  <si>
    <t>91282CKD@BGN  Govt</t>
  </si>
  <si>
    <t>T 4  1/4  02/28/29 Govt</t>
  </si>
  <si>
    <t>7Y</t>
  </si>
  <si>
    <t>91282CKC@BGN  Govt</t>
  </si>
  <si>
    <t>T 4  1/4  02/28/31 Govt</t>
  </si>
  <si>
    <t>10Y</t>
  </si>
  <si>
    <t>91282CJZ@BGN  Govt</t>
  </si>
  <si>
    <t>T 4 02/15/34 Govt</t>
  </si>
  <si>
    <t>20Y</t>
  </si>
  <si>
    <t>912810TZ@BGN  Govt</t>
  </si>
  <si>
    <t>T 4  1/2  02/15/44 Govt</t>
  </si>
  <si>
    <t>30Y</t>
  </si>
  <si>
    <t>912810TX@BGN  Govt</t>
  </si>
  <si>
    <t>T 4  1/4  02/15/54 Govt</t>
  </si>
  <si>
    <t>Sum =</t>
  </si>
  <si>
    <t>Fitting function: r(t)=r(0)+at+bt^2+ct^3</t>
  </si>
  <si>
    <t xml:space="preserve">Our fitting function: r(t) </t>
  </si>
  <si>
    <t>=$B$22+$B$19*Yield+$B$20*(Yield)^2</t>
  </si>
  <si>
    <t>Cubic Polynomial Parameters</t>
  </si>
  <si>
    <t>a</t>
  </si>
  <si>
    <t>b</t>
  </si>
  <si>
    <t>c</t>
  </si>
  <si>
    <t>Minimize:</t>
  </si>
  <si>
    <t>r(0)</t>
  </si>
  <si>
    <t>r(t)</t>
  </si>
  <si>
    <t>=5.39099562817619 + (-0.356322200988503)*t + (0.0253797807075232)*t^2+(-0.000492712855830718)*t^3</t>
  </si>
  <si>
    <t>t</t>
  </si>
  <si>
    <t>Yield=r(t)</t>
  </si>
  <si>
    <t>Using the equation: =5.39099562817619 + (-0.356322200988503*t )+ (0.0253797807075232*(t^2))+(-0.000492712855830718*(t^3))</t>
  </si>
  <si>
    <t>Ours</t>
  </si>
  <si>
    <t>Maturity (Yrs)</t>
  </si>
  <si>
    <t>Coupon</t>
  </si>
  <si>
    <t>32nds</t>
  </si>
  <si>
    <t>Spot Rate</t>
  </si>
  <si>
    <t>Prior Coupons</t>
  </si>
  <si>
    <t>Final Payment</t>
  </si>
  <si>
    <t>na</t>
  </si>
  <si>
    <t>The one year spot rate is easily found by equalizing the cash flows.</t>
  </si>
  <si>
    <t>y is the yield to maturity, z1 and z2 are the two zero rates (6mo and 1yr):</t>
  </si>
  <si>
    <t>C1/(1+y/2) + (100+C2)/(1+y/2)^2 = C1/(1+z1/2) + (100+C2)/(1+z2/2)^2</t>
  </si>
  <si>
    <t>=</t>
  </si>
  <si>
    <t>Solving for z2, the 1yr zero rate:</t>
  </si>
  <si>
    <t>(1+Z2/2)^2</t>
  </si>
  <si>
    <t>1+Z2/2</t>
  </si>
  <si>
    <t>Z2/2</t>
  </si>
  <si>
    <t>Z2</t>
  </si>
  <si>
    <t>Percent</t>
  </si>
  <si>
    <t>6 Mo Forward</t>
  </si>
  <si>
    <t>C1/(1+y/2) + (100+C2)/(1+y/2)^2 = C1/(1+z1/2) + (100+C2)/(1+z1/2)(1+f1/2)</t>
  </si>
  <si>
    <t>(1+f1/2)</t>
  </si>
  <si>
    <t>f1/2</t>
  </si>
  <si>
    <t>f1</t>
  </si>
  <si>
    <t>Question</t>
  </si>
  <si>
    <t># of Periods</t>
  </si>
  <si>
    <t xml:space="preserve">Spot rate </t>
  </si>
  <si>
    <t>CFs</t>
  </si>
  <si>
    <t>Discounted CFs</t>
  </si>
  <si>
    <t>Current Date</t>
  </si>
  <si>
    <t>Issue Date</t>
  </si>
  <si>
    <t>Maturity Date</t>
  </si>
  <si>
    <t>Total Days in Coupon Period</t>
  </si>
  <si>
    <t xml:space="preserve">Upcoming Payment on </t>
  </si>
  <si>
    <t>Days Remaining</t>
  </si>
  <si>
    <t>Next Coupon is on (years)</t>
  </si>
  <si>
    <t>Days Accrued</t>
  </si>
  <si>
    <t>Accrued Interest (AI)</t>
  </si>
  <si>
    <t>There is a discrepancy!!</t>
  </si>
  <si>
    <t>(Full Price)</t>
  </si>
  <si>
    <t>Dirty Price =</t>
  </si>
  <si>
    <t>(Clean Price)</t>
  </si>
  <si>
    <t xml:space="preserve">Clean Price = </t>
  </si>
  <si>
    <t xml:space="preserve">Sum: </t>
  </si>
  <si>
    <r>
      <t xml:space="preserve">In theory, there is room for arbitrage here. Ideally, we would short-sell the bond at $104.77 (arbitrage-free price), invest the proceeds at the risk-free rate, and then buy back the bond at $101.42 which is the current market price.  </t>
    </r>
    <r>
      <rPr>
        <b/>
        <sz val="11"/>
        <color theme="1"/>
        <rFont val="Aptos Narrow"/>
        <family val="2"/>
        <scheme val="minor"/>
      </rPr>
      <t>Our profits here would be $3.35 minus any transaction costs and other fees for full price and $1.80 when accounting for just the clean price minus transaction fees and other costs.</t>
    </r>
  </si>
  <si>
    <t>We have discounted the cash flows back to the first half-year period (up till 0.16 of the year has elapsed) to account for the accrued interest in the final full (dirty price).</t>
  </si>
  <si>
    <t>BUS810-Fixed Income Analysis</t>
  </si>
  <si>
    <t>Group Project 1</t>
  </si>
  <si>
    <t>March 18, 2024</t>
  </si>
  <si>
    <t>By:</t>
  </si>
  <si>
    <t>Muskan Malik (301585994)</t>
  </si>
  <si>
    <t>Vanshika Goel (301553598)</t>
  </si>
  <si>
    <t>Girish Venkateswaran (301604831)</t>
  </si>
  <si>
    <t>Kusum Matlani (301593345)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</si>
</sst>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₹&quot;* #,##0.00_);_(&quot;₹&quot;* \(#,##0.00\);_(&quot;₹&quot;* &quot;-&quot;??_);_(@_)"/>
    <numFmt numFmtId="164" formatCode="#,##0.00##_);[Red]\(#,##0.00##\)"/>
    <numFmt numFmtId="165" formatCode="_([$$-409]* #,##0.00_);_([$$-409]* \(#,##0.00\);_([$$-409]* &quot;-&quot;??_);_(@_)"/>
    <numFmt numFmtId="166" formatCode="#,##0.000_);[Red]\(#,##0.000\)"/>
    <numFmt numFmtId="167" formatCode="0.0000"/>
    <numFmt numFmtId="168" formatCode="#,##0.0000_);[Red]\(#,##0.0000\)"/>
    <numFmt numFmtId="169" formatCode="#,##0.00000_);[Red]\(#,##0.00000\)"/>
    <numFmt numFmtId="170" formatCode="0.000000000"/>
    <numFmt numFmtId="171" formatCode="0.00000"/>
    <numFmt numFmtId="172" formatCode="&quot;$&quot;#,##0.00_);[Red]\(&quot;$&quot;#,##0.00\)"/>
    <numFmt numFmtId="173" formatCode="#\ ??/32"/>
    <numFmt numFmtId="174" formatCode="0.000000"/>
    <numFmt numFmtId="175" formatCode="0.000%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2"/>
      <color theme="1"/>
      <name val="Aptos Narrow"/>
      <scheme val="minor"/>
    </font>
    <font>
      <sz val="11"/>
      <color theme="1"/>
      <name val="Calibri"/>
      <family val="2"/>
    </font>
    <font>
      <sz val="11"/>
      <color indexed="9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3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medium">
        <color rgb="FFFF0000"/>
      </right>
      <top style="thin">
        <color indexed="64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/>
    <xf numFmtId="164" fontId="3" fillId="0" borderId="0"/>
    <xf numFmtId="0" fontId="9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3" fillId="4" borderId="0" xfId="4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3" applyFill="1"/>
    <xf numFmtId="164" fontId="3" fillId="0" borderId="0" xfId="4" applyAlignment="1">
      <alignment horizontal="center"/>
    </xf>
    <xf numFmtId="0" fontId="2" fillId="0" borderId="0" xfId="3" applyFill="1" applyAlignment="1">
      <alignment horizontal="center"/>
    </xf>
    <xf numFmtId="0" fontId="3" fillId="0" borderId="0" xfId="4" applyNumberFormat="1" applyAlignment="1">
      <alignment horizontal="center"/>
    </xf>
    <xf numFmtId="10" fontId="0" fillId="3" borderId="8" xfId="0" applyNumberFormat="1" applyFill="1" applyBorder="1"/>
    <xf numFmtId="0" fontId="0" fillId="0" borderId="7" xfId="0" applyBorder="1"/>
    <xf numFmtId="165" fontId="0" fillId="0" borderId="7" xfId="1" applyNumberFormat="1" applyFont="1" applyBorder="1"/>
    <xf numFmtId="165" fontId="0" fillId="0" borderId="7" xfId="0" applyNumberFormat="1" applyBorder="1"/>
    <xf numFmtId="165" fontId="0" fillId="0" borderId="7" xfId="0" applyNumberFormat="1" applyBorder="1" applyAlignment="1">
      <alignment horizontal="center"/>
    </xf>
    <xf numFmtId="0" fontId="3" fillId="4" borderId="0" xfId="4" applyNumberFormat="1" applyFill="1" applyAlignment="1">
      <alignment horizontal="center"/>
    </xf>
    <xf numFmtId="2" fontId="3" fillId="4" borderId="0" xfId="4" applyNumberFormat="1" applyFill="1" applyAlignment="1">
      <alignment horizontal="center"/>
    </xf>
    <xf numFmtId="164" fontId="3" fillId="4" borderId="5" xfId="4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165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165" fontId="0" fillId="0" borderId="9" xfId="0" applyNumberFormat="1" applyBorder="1"/>
    <xf numFmtId="165" fontId="0" fillId="0" borderId="5" xfId="0" applyNumberFormat="1" applyBorder="1"/>
    <xf numFmtId="165" fontId="0" fillId="0" borderId="12" xfId="0" applyNumberFormat="1" applyBorder="1"/>
    <xf numFmtId="165" fontId="0" fillId="0" borderId="8" xfId="0" applyNumberFormat="1" applyBorder="1"/>
    <xf numFmtId="0" fontId="4" fillId="0" borderId="8" xfId="0" applyFont="1" applyBorder="1"/>
    <xf numFmtId="0" fontId="0" fillId="0" borderId="8" xfId="0" applyBorder="1"/>
    <xf numFmtId="9" fontId="0" fillId="0" borderId="8" xfId="0" applyNumberFormat="1" applyBorder="1"/>
    <xf numFmtId="10" fontId="0" fillId="0" borderId="8" xfId="0" applyNumberFormat="1" applyBorder="1"/>
    <xf numFmtId="0" fontId="4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3" applyFont="1" applyFill="1" applyAlignment="1">
      <alignment horizontal="center"/>
    </xf>
    <xf numFmtId="0" fontId="0" fillId="4" borderId="19" xfId="0" applyFill="1" applyBorder="1" applyAlignment="1">
      <alignment horizontal="center"/>
    </xf>
    <xf numFmtId="164" fontId="3" fillId="4" borderId="20" xfId="4" applyFill="1" applyBorder="1" applyAlignment="1">
      <alignment horizontal="center"/>
    </xf>
    <xf numFmtId="0" fontId="0" fillId="0" borderId="19" xfId="0" applyBorder="1"/>
    <xf numFmtId="165" fontId="0" fillId="0" borderId="2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0" fillId="0" borderId="22" xfId="0" applyNumberFormat="1" applyBorder="1"/>
    <xf numFmtId="165" fontId="0" fillId="0" borderId="23" xfId="0" applyNumberFormat="1" applyBorder="1"/>
    <xf numFmtId="10" fontId="5" fillId="0" borderId="0" xfId="3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8" xfId="0" quotePrefix="1" applyNumberFormat="1" applyBorder="1" applyAlignment="1">
      <alignment horizontal="center"/>
    </xf>
    <xf numFmtId="165" fontId="0" fillId="0" borderId="15" xfId="0" applyNumberFormat="1" applyBorder="1"/>
    <xf numFmtId="0" fontId="0" fillId="0" borderId="30" xfId="0" applyBorder="1"/>
    <xf numFmtId="165" fontId="0" fillId="0" borderId="31" xfId="0" applyNumberFormat="1" applyBorder="1"/>
    <xf numFmtId="9" fontId="0" fillId="0" borderId="8" xfId="0" quotePrefix="1" applyNumberFormat="1" applyBorder="1" applyAlignment="1">
      <alignment horizontal="center"/>
    </xf>
    <xf numFmtId="0" fontId="0" fillId="0" borderId="32" xfId="0" applyBorder="1"/>
    <xf numFmtId="0" fontId="0" fillId="0" borderId="33" xfId="0" applyBorder="1"/>
    <xf numFmtId="165" fontId="0" fillId="0" borderId="33" xfId="0" applyNumberFormat="1" applyBorder="1"/>
    <xf numFmtId="0" fontId="0" fillId="0" borderId="34" xfId="0" applyBorder="1"/>
    <xf numFmtId="165" fontId="0" fillId="0" borderId="0" xfId="0" quotePrefix="1" applyNumberFormat="1"/>
    <xf numFmtId="10" fontId="0" fillId="0" borderId="0" xfId="0" quotePrefix="1" applyNumberFormat="1" applyAlignment="1">
      <alignment horizontal="center"/>
    </xf>
    <xf numFmtId="165" fontId="0" fillId="0" borderId="0" xfId="2" applyNumberFormat="1" applyFont="1"/>
    <xf numFmtId="165" fontId="0" fillId="0" borderId="36" xfId="0" quotePrefix="1" applyNumberFormat="1" applyBorder="1"/>
    <xf numFmtId="165" fontId="0" fillId="0" borderId="35" xfId="0" applyNumberFormat="1" applyBorder="1"/>
    <xf numFmtId="10" fontId="0" fillId="5" borderId="35" xfId="0" quotePrefix="1" applyNumberFormat="1" applyFill="1" applyBorder="1" applyAlignment="1">
      <alignment horizontal="center"/>
    </xf>
    <xf numFmtId="10" fontId="0" fillId="0" borderId="35" xfId="0" quotePrefix="1" applyNumberFormat="1" applyBorder="1" applyAlignment="1">
      <alignment horizontal="center"/>
    </xf>
    <xf numFmtId="0" fontId="7" fillId="4" borderId="40" xfId="3" applyFont="1" applyFill="1" applyBorder="1"/>
    <xf numFmtId="0" fontId="7" fillId="4" borderId="41" xfId="3" applyFont="1" applyFill="1" applyBorder="1"/>
    <xf numFmtId="0" fontId="7" fillId="4" borderId="42" xfId="3" applyFont="1" applyFill="1" applyBorder="1"/>
    <xf numFmtId="0" fontId="0" fillId="0" borderId="43" xfId="0" applyBorder="1"/>
    <xf numFmtId="164" fontId="3" fillId="0" borderId="0" xfId="4"/>
    <xf numFmtId="40" fontId="3" fillId="0" borderId="0" xfId="4" applyNumberFormat="1"/>
    <xf numFmtId="166" fontId="3" fillId="0" borderId="0" xfId="4" applyNumberFormat="1"/>
    <xf numFmtId="167" fontId="0" fillId="0" borderId="0" xfId="0" applyNumberFormat="1"/>
    <xf numFmtId="168" fontId="0" fillId="0" borderId="0" xfId="0" applyNumberFormat="1"/>
    <xf numFmtId="168" fontId="3" fillId="0" borderId="0" xfId="4" applyNumberFormat="1"/>
    <xf numFmtId="164" fontId="3" fillId="0" borderId="44" xfId="4" applyBorder="1"/>
    <xf numFmtId="0" fontId="0" fillId="0" borderId="45" xfId="0" applyBorder="1"/>
    <xf numFmtId="164" fontId="3" fillId="0" borderId="7" xfId="4" applyBorder="1"/>
    <xf numFmtId="40" fontId="3" fillId="0" borderId="7" xfId="4" applyNumberFormat="1" applyBorder="1"/>
    <xf numFmtId="166" fontId="3" fillId="0" borderId="7" xfId="4" applyNumberFormat="1" applyBorder="1"/>
    <xf numFmtId="168" fontId="3" fillId="0" borderId="7" xfId="4" applyNumberFormat="1" applyBorder="1"/>
    <xf numFmtId="164" fontId="3" fillId="0" borderId="46" xfId="4" applyBorder="1"/>
    <xf numFmtId="0" fontId="8" fillId="0" borderId="47" xfId="0" applyFont="1" applyBorder="1"/>
    <xf numFmtId="169" fontId="8" fillId="0" borderId="48" xfId="0" applyNumberFormat="1" applyFont="1" applyBorder="1"/>
    <xf numFmtId="0" fontId="8" fillId="0" borderId="0" xfId="0" applyFont="1" applyAlignment="1">
      <alignment horizontal="center" vertical="center"/>
    </xf>
    <xf numFmtId="0" fontId="8" fillId="0" borderId="0" xfId="0" quotePrefix="1" applyFont="1"/>
    <xf numFmtId="170" fontId="0" fillId="0" borderId="8" xfId="0" applyNumberFormat="1" applyBorder="1"/>
    <xf numFmtId="0" fontId="0" fillId="0" borderId="49" xfId="0" applyBorder="1"/>
    <xf numFmtId="169" fontId="8" fillId="6" borderId="50" xfId="0" applyNumberFormat="1" applyFont="1" applyFill="1" applyBorder="1"/>
    <xf numFmtId="169" fontId="8" fillId="0" borderId="0" xfId="0" applyNumberFormat="1" applyFont="1"/>
    <xf numFmtId="0" fontId="8" fillId="0" borderId="0" xfId="0" applyFont="1" applyAlignment="1">
      <alignment horizontal="right"/>
    </xf>
    <xf numFmtId="0" fontId="8" fillId="4" borderId="51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0" fontId="0" fillId="0" borderId="52" xfId="0" applyBorder="1"/>
    <xf numFmtId="171" fontId="0" fillId="0" borderId="5" xfId="0" applyNumberFormat="1" applyBorder="1"/>
    <xf numFmtId="0" fontId="0" fillId="0" borderId="53" xfId="0" applyBorder="1"/>
    <xf numFmtId="171" fontId="0" fillId="0" borderId="12" xfId="0" applyNumberFormat="1" applyBorder="1"/>
    <xf numFmtId="0" fontId="10" fillId="7" borderId="0" xfId="5" applyFont="1" applyFill="1"/>
    <xf numFmtId="0" fontId="10" fillId="8" borderId="8" xfId="5" applyFont="1" applyFill="1" applyBorder="1"/>
    <xf numFmtId="0" fontId="10" fillId="8" borderId="13" xfId="5" applyFont="1" applyFill="1" applyBorder="1"/>
    <xf numFmtId="0" fontId="10" fillId="8" borderId="14" xfId="5" applyFont="1" applyFill="1" applyBorder="1" applyAlignment="1">
      <alignment horizontal="right"/>
    </xf>
    <xf numFmtId="2" fontId="10" fillId="7" borderId="8" xfId="5" applyNumberFormat="1" applyFont="1" applyFill="1" applyBorder="1"/>
    <xf numFmtId="0" fontId="10" fillId="7" borderId="8" xfId="5" applyFont="1" applyFill="1" applyBorder="1" applyAlignment="1">
      <alignment horizontal="right"/>
    </xf>
    <xf numFmtId="172" fontId="10" fillId="7" borderId="13" xfId="5" applyNumberFormat="1" applyFont="1" applyFill="1" applyBorder="1"/>
    <xf numFmtId="0" fontId="10" fillId="7" borderId="14" xfId="5" applyFont="1" applyFill="1" applyBorder="1"/>
    <xf numFmtId="171" fontId="10" fillId="7" borderId="8" xfId="5" applyNumberFormat="1" applyFont="1" applyFill="1" applyBorder="1"/>
    <xf numFmtId="171" fontId="10" fillId="7" borderId="8" xfId="5" applyNumberFormat="1" applyFont="1" applyFill="1" applyBorder="1" applyAlignment="1">
      <alignment horizontal="right"/>
    </xf>
    <xf numFmtId="173" fontId="10" fillId="7" borderId="14" xfId="5" applyNumberFormat="1" applyFont="1" applyFill="1" applyBorder="1"/>
    <xf numFmtId="167" fontId="10" fillId="7" borderId="0" xfId="5" applyNumberFormat="1" applyFont="1" applyFill="1"/>
    <xf numFmtId="0" fontId="10" fillId="7" borderId="0" xfId="5" applyFont="1" applyFill="1" applyAlignment="1">
      <alignment horizontal="right"/>
    </xf>
    <xf numFmtId="0" fontId="10" fillId="7" borderId="0" xfId="5" applyFont="1" applyFill="1" applyAlignment="1">
      <alignment horizontal="center"/>
    </xf>
    <xf numFmtId="0" fontId="10" fillId="7" borderId="0" xfId="5" applyFont="1" applyFill="1" applyAlignment="1">
      <alignment horizontal="left"/>
    </xf>
    <xf numFmtId="171" fontId="10" fillId="7" borderId="0" xfId="5" applyNumberFormat="1" applyFont="1" applyFill="1"/>
    <xf numFmtId="0" fontId="10" fillId="7" borderId="0" xfId="5" applyFont="1" applyFill="1" applyAlignment="1">
      <alignment wrapText="1"/>
    </xf>
    <xf numFmtId="0" fontId="9" fillId="0" borderId="0" xfId="5"/>
    <xf numFmtId="0" fontId="10" fillId="8" borderId="8" xfId="5" applyFont="1" applyFill="1" applyBorder="1" applyAlignment="1">
      <alignment horizontal="right"/>
    </xf>
    <xf numFmtId="0" fontId="9" fillId="0" borderId="8" xfId="5" applyBorder="1"/>
    <xf numFmtId="171" fontId="9" fillId="0" borderId="8" xfId="5" applyNumberFormat="1" applyBorder="1"/>
    <xf numFmtId="2" fontId="9" fillId="0" borderId="8" xfId="5" applyNumberFormat="1" applyBorder="1"/>
    <xf numFmtId="172" fontId="9" fillId="0" borderId="8" xfId="5" applyNumberFormat="1" applyBorder="1"/>
    <xf numFmtId="173" fontId="9" fillId="0" borderId="8" xfId="5" applyNumberFormat="1" applyBorder="1"/>
    <xf numFmtId="0" fontId="8" fillId="0" borderId="8" xfId="0" applyFont="1" applyBorder="1"/>
    <xf numFmtId="14" fontId="0" fillId="0" borderId="8" xfId="0" applyNumberFormat="1" applyBorder="1"/>
    <xf numFmtId="2" fontId="10" fillId="7" borderId="13" xfId="5" applyNumberFormat="1" applyFont="1" applyFill="1" applyBorder="1"/>
    <xf numFmtId="174" fontId="10" fillId="7" borderId="13" xfId="5" applyNumberFormat="1" applyFont="1" applyFill="1" applyBorder="1"/>
    <xf numFmtId="171" fontId="10" fillId="7" borderId="13" xfId="5" quotePrefix="1" applyNumberFormat="1" applyFont="1" applyFill="1" applyBorder="1"/>
    <xf numFmtId="171" fontId="10" fillId="7" borderId="8" xfId="5" quotePrefix="1" applyNumberFormat="1" applyFont="1" applyFill="1" applyBorder="1"/>
    <xf numFmtId="172" fontId="0" fillId="0" borderId="0" xfId="0" applyNumberFormat="1"/>
    <xf numFmtId="171" fontId="10" fillId="7" borderId="13" xfId="5" applyNumberFormat="1" applyFont="1" applyFill="1" applyBorder="1"/>
    <xf numFmtId="172" fontId="8" fillId="6" borderId="8" xfId="0" applyNumberFormat="1" applyFont="1" applyFill="1" applyBorder="1"/>
    <xf numFmtId="2" fontId="0" fillId="0" borderId="8" xfId="0" applyNumberFormat="1" applyBorder="1"/>
    <xf numFmtId="10" fontId="0" fillId="0" borderId="54" xfId="0" applyNumberFormat="1" applyBorder="1"/>
    <xf numFmtId="0" fontId="8" fillId="0" borderId="13" xfId="0" applyFont="1" applyBorder="1"/>
    <xf numFmtId="2" fontId="8" fillId="6" borderId="51" xfId="0" applyNumberFormat="1" applyFont="1" applyFill="1" applyBorder="1"/>
    <xf numFmtId="175" fontId="0" fillId="0" borderId="55" xfId="0" applyNumberFormat="1" applyBorder="1"/>
    <xf numFmtId="0" fontId="8" fillId="0" borderId="0" xfId="0" applyFont="1"/>
    <xf numFmtId="0" fontId="8" fillId="0" borderId="49" xfId="0" applyFont="1" applyBorder="1"/>
    <xf numFmtId="172" fontId="8" fillId="6" borderId="51" xfId="0" applyNumberFormat="1" applyFont="1" applyFill="1" applyBorder="1"/>
    <xf numFmtId="0" fontId="8" fillId="0" borderId="10" xfId="0" applyFont="1" applyBorder="1"/>
    <xf numFmtId="172" fontId="8" fillId="6" borderId="53" xfId="0" applyNumberFormat="1" applyFont="1" applyFill="1" applyBorder="1"/>
    <xf numFmtId="171" fontId="10" fillId="7" borderId="56" xfId="5" applyNumberFormat="1" applyFont="1" applyFill="1" applyBorder="1"/>
    <xf numFmtId="171" fontId="10" fillId="7" borderId="54" xfId="5" applyNumberFormat="1" applyFont="1" applyFill="1" applyBorder="1"/>
    <xf numFmtId="171" fontId="8" fillId="0" borderId="8" xfId="0" applyNumberFormat="1" applyFont="1" applyBorder="1"/>
    <xf numFmtId="0" fontId="0" fillId="9" borderId="0" xfId="0" applyFill="1"/>
    <xf numFmtId="0" fontId="11" fillId="9" borderId="0" xfId="0" applyFont="1" applyFill="1"/>
    <xf numFmtId="0" fontId="1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3" applyFill="1" applyAlignment="1">
      <alignment horizontal="center"/>
    </xf>
    <xf numFmtId="0" fontId="2" fillId="2" borderId="1" xfId="3" applyBorder="1" applyAlignment="1">
      <alignment horizontal="center"/>
    </xf>
    <xf numFmtId="0" fontId="2" fillId="2" borderId="2" xfId="3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6" fillId="2" borderId="16" xfId="3" applyFont="1" applyBorder="1" applyAlignment="1">
      <alignment horizontal="center"/>
    </xf>
    <xf numFmtId="0" fontId="6" fillId="2" borderId="17" xfId="3" applyFont="1" applyBorder="1" applyAlignment="1">
      <alignment horizontal="center"/>
    </xf>
    <xf numFmtId="0" fontId="6" fillId="2" borderId="18" xfId="3" applyFont="1" applyBorder="1" applyAlignment="1">
      <alignment horizontal="center"/>
    </xf>
    <xf numFmtId="0" fontId="2" fillId="2" borderId="16" xfId="3" applyBorder="1" applyAlignment="1">
      <alignment horizontal="center"/>
    </xf>
    <xf numFmtId="0" fontId="2" fillId="2" borderId="17" xfId="3" applyBorder="1" applyAlignment="1">
      <alignment horizontal="center"/>
    </xf>
    <xf numFmtId="0" fontId="2" fillId="2" borderId="18" xfId="3" applyBorder="1" applyAlignment="1">
      <alignment horizontal="center"/>
    </xf>
  </cellXfs>
  <cellStyles count="6">
    <cellStyle name="blp_amount" xfId="4" xr:uid="{6663B63A-761B-8B45-9BFC-4561B30C4A07}"/>
    <cellStyle name="blp_column_header" xfId="3" xr:uid="{FA1D81DA-3DCA-A147-BEAA-C8444227905E}"/>
    <cellStyle name="Currency" xfId="1" builtinId="4"/>
    <cellStyle name="Normal" xfId="0" builtinId="0"/>
    <cellStyle name="Normal 2" xfId="5" xr:uid="{CF5850BA-727F-9A4D-9D82-EA85F0B8F4A6}"/>
    <cellStyle name="Per cent" xfId="2" builtinId="5"/>
  </cellStyles>
  <dxfs count="2"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  <a:r>
              <a:rPr lang="en-US" baseline="0"/>
              <a:t> Curve of US Treasury (Security Type:X-Axis)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50481189851274E-2"/>
          <c:y val="0.16708333333333336"/>
          <c:w val="0.878238407699037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'[1]Actual Yield vs. Fitted Model'!$F$1</c:f>
              <c:strCache>
                <c:ptCount val="1"/>
                <c:pt idx="0">
                  <c:v>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'[1]Actual Yield vs. Fitted Model'!$A$2:$A$14</c:f>
              <c:strCache>
                <c:ptCount val="13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6M</c:v>
                </c:pt>
                <c:pt idx="5">
                  <c:v>1Y</c:v>
                </c:pt>
                <c:pt idx="6">
                  <c:v>2Y</c:v>
                </c:pt>
                <c:pt idx="7">
                  <c:v>3Y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20Y</c:v>
                </c:pt>
                <c:pt idx="12">
                  <c:v>30Y</c:v>
                </c:pt>
              </c:strCache>
            </c:strRef>
          </c:cat>
          <c:val>
            <c:numRef>
              <c:f>'[1]Actual Yield vs. Fitted Model'!$F$2:$F$14</c:f>
              <c:numCache>
                <c:formatCode>General</c:formatCode>
                <c:ptCount val="13"/>
                <c:pt idx="0">
                  <c:v>5.3786039352000001</c:v>
                </c:pt>
                <c:pt idx="1">
                  <c:v>5.4059953690000002</c:v>
                </c:pt>
                <c:pt idx="2">
                  <c:v>5.4026851654000003</c:v>
                </c:pt>
                <c:pt idx="3">
                  <c:v>5.3736162185999996</c:v>
                </c:pt>
                <c:pt idx="4">
                  <c:v>5.3277187347000003</c:v>
                </c:pt>
                <c:pt idx="5">
                  <c:v>4.9666996002000001</c:v>
                </c:pt>
                <c:pt idx="6">
                  <c:v>4.5370926857000002</c:v>
                </c:pt>
                <c:pt idx="7">
                  <c:v>4.3003821372999997</c:v>
                </c:pt>
                <c:pt idx="8">
                  <c:v>4.0874819756000003</c:v>
                </c:pt>
                <c:pt idx="9">
                  <c:v>4.1002297400999996</c:v>
                </c:pt>
                <c:pt idx="10">
                  <c:v>4.0991663933</c:v>
                </c:pt>
                <c:pt idx="11">
                  <c:v>4.3615345955000002</c:v>
                </c:pt>
                <c:pt idx="12">
                  <c:v>4.2642383575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F-D649-AD3A-3B1DA06378B2}"/>
            </c:ext>
          </c:extLst>
        </c:ser>
        <c:ser>
          <c:idx val="1"/>
          <c:order val="1"/>
          <c:tx>
            <c:strRef>
              <c:f>'[1]Actual Yield vs. Fitted Model'!$G$1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'[1]Actual Yield vs. Fitted Model'!$A$2:$A$14</c:f>
              <c:strCache>
                <c:ptCount val="13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6M</c:v>
                </c:pt>
                <c:pt idx="5">
                  <c:v>1Y</c:v>
                </c:pt>
                <c:pt idx="6">
                  <c:v>2Y</c:v>
                </c:pt>
                <c:pt idx="7">
                  <c:v>3Y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20Y</c:v>
                </c:pt>
                <c:pt idx="12">
                  <c:v>30Y</c:v>
                </c:pt>
              </c:strCache>
            </c:strRef>
          </c:cat>
          <c:val>
            <c:numRef>
              <c:f>'[1]Actual Yield vs. Fitted Model'!$G$2:$G$14</c:f>
              <c:numCache>
                <c:formatCode>General</c:formatCode>
                <c:ptCount val="13"/>
                <c:pt idx="0">
                  <c:v>5.3614780747695292</c:v>
                </c:pt>
                <c:pt idx="1">
                  <c:v>5.3323113075086122</c:v>
                </c:pt>
                <c:pt idx="2">
                  <c:v>5.3034936155849124</c:v>
                </c:pt>
                <c:pt idx="3">
                  <c:v>5.2750232881899022</c:v>
                </c:pt>
                <c:pt idx="4">
                  <c:v>5.2191178837518413</c:v>
                </c:pt>
                <c:pt idx="5">
                  <c:v>5.0595604950393804</c:v>
                </c:pt>
                <c:pt idx="6">
                  <c:v>4.7759286461826314</c:v>
                </c:pt>
                <c:pt idx="7">
                  <c:v>4.5371438044709604</c:v>
                </c:pt>
                <c:pt idx="8">
                  <c:v>4.1822900339429161</c:v>
                </c:pt>
                <c:pt idx="9">
                  <c:v>3.9713489663753698</c:v>
                </c:pt>
                <c:pt idx="10">
                  <c:v>3.8730388332127634</c:v>
                </c:pt>
                <c:pt idx="11">
                  <c:v>4.4747610447696671</c:v>
                </c:pt>
                <c:pt idx="12">
                  <c:v>4.2398851278625926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F-D649-AD3A-3B1DA0637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74447"/>
        <c:axId val="1961270271"/>
      </c:lineChart>
      <c:catAx>
        <c:axId val="18421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70271"/>
        <c:crosses val="autoZero"/>
        <c:auto val="1"/>
        <c:lblAlgn val="ctr"/>
        <c:lblOffset val="100"/>
        <c:noMultiLvlLbl val="0"/>
      </c:catAx>
      <c:valAx>
        <c:axId val="1961270271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</a:t>
            </a:r>
            <a:r>
              <a:rPr lang="en-US" baseline="0"/>
              <a:t> Theoretical Y</a:t>
            </a:r>
            <a:r>
              <a:rPr lang="en-US"/>
              <a:t>ield from Minimized</a:t>
            </a:r>
            <a:r>
              <a:rPr lang="en-US" baseline="0"/>
              <a:t> Equation [ Yield</a:t>
            </a:r>
            <a:r>
              <a:rPr lang="en-US"/>
              <a:t>=r(t)</a:t>
            </a:r>
            <a:r>
              <a:rPr lang="en-US" baseline="0"/>
              <a:t> vs. Time (6 month increments)]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'[1]Actual Yield vs. Fitted Model'!$B$28</c:f>
              <c:strCache>
                <c:ptCount val="1"/>
                <c:pt idx="0">
                  <c:v>Yield=r(t)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'[1]Actual Yield vs. Fitted Model'!$A$29:$A$48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'[1]Actual Yield vs. Fitted Model'!$B$29:$B$48</c:f>
              <c:numCache>
                <c:formatCode>General</c:formatCode>
                <c:ptCount val="20"/>
                <c:pt idx="0">
                  <c:v>5.2191178837518413</c:v>
                </c:pt>
                <c:pt idx="1">
                  <c:v>5.0595604950393804</c:v>
                </c:pt>
                <c:pt idx="2">
                  <c:v>4.9119539273969348</c:v>
                </c:pt>
                <c:pt idx="3">
                  <c:v>4.7759286461826314</c:v>
                </c:pt>
                <c:pt idx="4">
                  <c:v>4.651115116754597</c:v>
                </c:pt>
                <c:pt idx="5">
                  <c:v>4.5371438044709604</c:v>
                </c:pt>
                <c:pt idx="6">
                  <c:v>4.4336451746898469</c:v>
                </c:pt>
                <c:pt idx="7">
                  <c:v>4.3402496927693841</c:v>
                </c:pt>
                <c:pt idx="8">
                  <c:v>4.2565878240676982</c:v>
                </c:pt>
                <c:pt idx="9">
                  <c:v>4.1822900339429161</c:v>
                </c:pt>
                <c:pt idx="10">
                  <c:v>4.1169867877531647</c:v>
                </c:pt>
                <c:pt idx="11">
                  <c:v>4.0603085508565728</c:v>
                </c:pt>
                <c:pt idx="12">
                  <c:v>4.0118857886112655</c:v>
                </c:pt>
                <c:pt idx="13">
                  <c:v>3.9713489663753698</c:v>
                </c:pt>
                <c:pt idx="14">
                  <c:v>3.9383285495070135</c:v>
                </c:pt>
                <c:pt idx="15">
                  <c:v>3.9124550033643235</c:v>
                </c:pt>
                <c:pt idx="16">
                  <c:v>3.8933587933054268</c:v>
                </c:pt>
                <c:pt idx="17">
                  <c:v>3.8806703846884494</c:v>
                </c:pt>
                <c:pt idx="18">
                  <c:v>3.8740202428715191</c:v>
                </c:pt>
                <c:pt idx="19">
                  <c:v>3.8730388332127634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6-DE4F-9248-FCD5F6A3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88767"/>
        <c:axId val="1566074783"/>
      </c:lineChart>
      <c:catAx>
        <c:axId val="15662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74783"/>
        <c:crosses val="autoZero"/>
        <c:auto val="1"/>
        <c:lblAlgn val="ctr"/>
        <c:lblOffset val="100"/>
        <c:noMultiLvlLbl val="0"/>
      </c:catAx>
      <c:valAx>
        <c:axId val="1566074783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8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</a:t>
            </a:r>
            <a:r>
              <a:rPr lang="en-US" baseline="0"/>
              <a:t> Curve of US Treasury (Time:X-Axis)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'[1]Actual Yield vs. Fitted Model'!$F$1</c:f>
              <c:strCache>
                <c:ptCount val="1"/>
                <c:pt idx="0">
                  <c:v>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'[1]Actual Yield vs. Fitted Model'!$E$2:$E$14</c:f>
              <c:numCache>
                <c:formatCode>General</c:formatCode>
                <c:ptCount val="13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</c:numCache>
            </c:numRef>
          </c:xVal>
          <c:yVal>
            <c:numRef>
              <c:f>'[1]Actual Yield vs. Fitted Model'!$F$2:$F$14</c:f>
              <c:numCache>
                <c:formatCode>General</c:formatCode>
                <c:ptCount val="13"/>
                <c:pt idx="0">
                  <c:v>5.3786039352000001</c:v>
                </c:pt>
                <c:pt idx="1">
                  <c:v>5.4059953690000002</c:v>
                </c:pt>
                <c:pt idx="2">
                  <c:v>5.4026851654000003</c:v>
                </c:pt>
                <c:pt idx="3">
                  <c:v>5.3736162185999996</c:v>
                </c:pt>
                <c:pt idx="4">
                  <c:v>5.3277187347000003</c:v>
                </c:pt>
                <c:pt idx="5">
                  <c:v>4.9666996002000001</c:v>
                </c:pt>
                <c:pt idx="6">
                  <c:v>4.5370926857000002</c:v>
                </c:pt>
                <c:pt idx="7">
                  <c:v>4.3003821372999997</c:v>
                </c:pt>
                <c:pt idx="8">
                  <c:v>4.0874819756000003</c:v>
                </c:pt>
                <c:pt idx="9">
                  <c:v>4.1002297400999996</c:v>
                </c:pt>
                <c:pt idx="10">
                  <c:v>4.0991663933</c:v>
                </c:pt>
                <c:pt idx="11">
                  <c:v>4.3615345955000002</c:v>
                </c:pt>
                <c:pt idx="12">
                  <c:v>4.2642383575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5-974E-89ED-AB498694E9C6}"/>
            </c:ext>
          </c:extLst>
        </c:ser>
        <c:ser>
          <c:idx val="1"/>
          <c:order val="1"/>
          <c:tx>
            <c:strRef>
              <c:f>'[1]Actual Yield vs. Fitted Model'!$G$1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'[1]Actual Yield vs. Fitted Model'!$E$2:$E$14</c:f>
              <c:numCache>
                <c:formatCode>General</c:formatCode>
                <c:ptCount val="13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</c:numCache>
            </c:numRef>
          </c:xVal>
          <c:yVal>
            <c:numRef>
              <c:f>'[1]Actual Yield vs. Fitted Model'!$G$2:$G$14</c:f>
              <c:numCache>
                <c:formatCode>General</c:formatCode>
                <c:ptCount val="13"/>
                <c:pt idx="0">
                  <c:v>5.3614780747695292</c:v>
                </c:pt>
                <c:pt idx="1">
                  <c:v>5.3323113075086122</c:v>
                </c:pt>
                <c:pt idx="2">
                  <c:v>5.3034936155849124</c:v>
                </c:pt>
                <c:pt idx="3">
                  <c:v>5.2750232881899022</c:v>
                </c:pt>
                <c:pt idx="4">
                  <c:v>5.2191178837518413</c:v>
                </c:pt>
                <c:pt idx="5">
                  <c:v>5.0595604950393804</c:v>
                </c:pt>
                <c:pt idx="6">
                  <c:v>4.7759286461826314</c:v>
                </c:pt>
                <c:pt idx="7">
                  <c:v>4.5371438044709604</c:v>
                </c:pt>
                <c:pt idx="8">
                  <c:v>4.1822900339429161</c:v>
                </c:pt>
                <c:pt idx="9">
                  <c:v>3.9713489663753698</c:v>
                </c:pt>
                <c:pt idx="10">
                  <c:v>3.8730388332127634</c:v>
                </c:pt>
                <c:pt idx="11">
                  <c:v>4.4747610447696671</c:v>
                </c:pt>
                <c:pt idx="12">
                  <c:v>4.2398851278625926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5-974E-89ED-AB498694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30591"/>
        <c:axId val="1566432303"/>
      </c:scatterChart>
      <c:valAx>
        <c:axId val="156643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32303"/>
        <c:crosses val="autoZero"/>
        <c:crossBetween val="midCat"/>
      </c:valAx>
      <c:valAx>
        <c:axId val="1566432303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3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</a:t>
            </a:r>
            <a:r>
              <a:rPr lang="en-US" baseline="0"/>
              <a:t> Theoretical Yield and Spot Rates Vs. Time (in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'[1]Spot Curve Construction'!$E$6</c:f>
              <c:strCache>
                <c:ptCount val="1"/>
                <c:pt idx="0">
                  <c:v>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'[1]Spot Curve Construction'!$A$7:$A$26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'[1]Spot Curve Construction'!$E$7:$E$26</c:f>
              <c:numCache>
                <c:formatCode>General</c:formatCode>
                <c:ptCount val="20"/>
                <c:pt idx="0">
                  <c:v>5.2191178837518413</c:v>
                </c:pt>
                <c:pt idx="1">
                  <c:v>5.0595604950393804</c:v>
                </c:pt>
                <c:pt idx="2">
                  <c:v>4.9119539273969348</c:v>
                </c:pt>
                <c:pt idx="3">
                  <c:v>4.7759286461826314</c:v>
                </c:pt>
                <c:pt idx="4">
                  <c:v>4.651115116754597</c:v>
                </c:pt>
                <c:pt idx="5">
                  <c:v>4.5371438044709604</c:v>
                </c:pt>
                <c:pt idx="6">
                  <c:v>4.4336451746898469</c:v>
                </c:pt>
                <c:pt idx="7">
                  <c:v>4.3402496927693841</c:v>
                </c:pt>
                <c:pt idx="8">
                  <c:v>4.2565878240676982</c:v>
                </c:pt>
                <c:pt idx="9">
                  <c:v>4.1822900339429161</c:v>
                </c:pt>
                <c:pt idx="10">
                  <c:v>4.1169867877531647</c:v>
                </c:pt>
                <c:pt idx="11">
                  <c:v>4.0603085508565728</c:v>
                </c:pt>
                <c:pt idx="12">
                  <c:v>4.0118857886112655</c:v>
                </c:pt>
                <c:pt idx="13">
                  <c:v>3.9713489663753698</c:v>
                </c:pt>
                <c:pt idx="14">
                  <c:v>3.9383285495070135</c:v>
                </c:pt>
                <c:pt idx="15">
                  <c:v>3.9124550033643235</c:v>
                </c:pt>
                <c:pt idx="16">
                  <c:v>3.8933587933054268</c:v>
                </c:pt>
                <c:pt idx="17">
                  <c:v>3.8806703846884494</c:v>
                </c:pt>
                <c:pt idx="18">
                  <c:v>3.8740202428715191</c:v>
                </c:pt>
                <c:pt idx="19">
                  <c:v>3.8730388332127634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4-DC40-9D4B-6E83F2F90D22}"/>
            </c:ext>
          </c:extLst>
        </c:ser>
        <c:ser>
          <c:idx val="2"/>
          <c:order val="1"/>
          <c:tx>
            <c:strRef>
              <c:f>'[1]Spot Curve Construction'!$F$6</c:f>
              <c:strCache>
                <c:ptCount val="1"/>
                <c:pt idx="0">
                  <c:v>Spot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'[1]Spot Curve Construction'!$A$7:$A$26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'[1]Spot Curve Construction'!$F$7:$F$26</c:f>
              <c:numCache>
                <c:formatCode>General</c:formatCode>
                <c:ptCount val="20"/>
                <c:pt idx="0">
                  <c:v>5.2191178837518413</c:v>
                </c:pt>
                <c:pt idx="1">
                  <c:v>5.0575844179614471</c:v>
                </c:pt>
                <c:pt idx="2">
                  <c:v>4.8495351455921654</c:v>
                </c:pt>
                <c:pt idx="3">
                  <c:v>4.7140150602474673</c:v>
                </c:pt>
                <c:pt idx="4">
                  <c:v>4.5887069645964118</c:v>
                </c:pt>
                <c:pt idx="5">
                  <c:v>4.4735550982810235</c:v>
                </c:pt>
                <c:pt idx="6">
                  <c:v>4.3684217764912603</c:v>
                </c:pt>
                <c:pt idx="7">
                  <c:v>4.2731219906004814</c:v>
                </c:pt>
                <c:pt idx="8">
                  <c:v>4.1874377965225751</c:v>
                </c:pt>
                <c:pt idx="9">
                  <c:v>4.1111264171010742</c:v>
                </c:pt>
                <c:pt idx="10">
                  <c:v>4.0439258252424892</c:v>
                </c:pt>
                <c:pt idx="11">
                  <c:v>3.9855590463822921</c:v>
                </c:pt>
                <c:pt idx="12">
                  <c:v>3.9357376500738894</c:v>
                </c:pt>
                <c:pt idx="13">
                  <c:v>3.8941646325544532</c:v>
                </c:pt>
                <c:pt idx="14">
                  <c:v>3.8605367895033993</c:v>
                </c:pt>
                <c:pt idx="15">
                  <c:v>3.8345466361251024</c:v>
                </c:pt>
                <c:pt idx="16">
                  <c:v>3.8158839133630273</c:v>
                </c:pt>
                <c:pt idx="17">
                  <c:v>3.804236710350839</c:v>
                </c:pt>
                <c:pt idx="18">
                  <c:v>3.7992922283674346</c:v>
                </c:pt>
                <c:pt idx="19">
                  <c:v>3.80064628667931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4-DC40-9D4B-6E83F2F9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566527"/>
        <c:axId val="1941820799"/>
      </c:lineChart>
      <c:catAx>
        <c:axId val="19825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20799"/>
        <c:crosses val="autoZero"/>
        <c:auto val="1"/>
        <c:lblAlgn val="ctr"/>
        <c:lblOffset val="100"/>
        <c:noMultiLvlLbl val="0"/>
      </c:catAx>
      <c:valAx>
        <c:axId val="1941820799"/>
        <c:scaling>
          <c:orientation val="minMax"/>
          <c:max val="5.3000000000000096"/>
          <c:min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Yield,</a:t>
            </a:r>
            <a:r>
              <a:rPr lang="en-US" baseline="0"/>
              <a:t> Spot, and 6 Month Forward Rate vs. Time</a:t>
            </a:r>
          </a:p>
          <a:p>
            <a:pPr>
              <a:defRPr/>
            </a:pPr>
            <a:r>
              <a:rPr lang="en-US" baseline="0"/>
              <a:t> (6 month increment)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'[1]Forward Curve Construction'!$E$2</c:f>
              <c:strCache>
                <c:ptCount val="1"/>
                <c:pt idx="0">
                  <c:v>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'[1]Forward Curve Construction'!$A$3:$A$23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'[1]Forward Curve Construction'!$E$3:$E$23</c:f>
              <c:numCache>
                <c:formatCode>General</c:formatCode>
                <c:ptCount val="21"/>
                <c:pt idx="1">
                  <c:v>5.2191178837518413</c:v>
                </c:pt>
                <c:pt idx="2">
                  <c:v>5.0595604950393804</c:v>
                </c:pt>
                <c:pt idx="3">
                  <c:v>4.9119539273969348</c:v>
                </c:pt>
                <c:pt idx="4">
                  <c:v>4.7759286461826314</c:v>
                </c:pt>
                <c:pt idx="5">
                  <c:v>4.651115116754597</c:v>
                </c:pt>
                <c:pt idx="6">
                  <c:v>4.5371438044709604</c:v>
                </c:pt>
                <c:pt idx="7">
                  <c:v>4.4336451746898469</c:v>
                </c:pt>
                <c:pt idx="8">
                  <c:v>4.3402496927693841</c:v>
                </c:pt>
                <c:pt idx="9">
                  <c:v>4.2565878240676982</c:v>
                </c:pt>
                <c:pt idx="10">
                  <c:v>4.1822900339429161</c:v>
                </c:pt>
                <c:pt idx="11">
                  <c:v>4.1169867877531647</c:v>
                </c:pt>
                <c:pt idx="12">
                  <c:v>4.0603085508565728</c:v>
                </c:pt>
                <c:pt idx="13">
                  <c:v>4.0118857886112655</c:v>
                </c:pt>
                <c:pt idx="14">
                  <c:v>3.9713489663753698</c:v>
                </c:pt>
                <c:pt idx="15">
                  <c:v>3.9383285495070135</c:v>
                </c:pt>
                <c:pt idx="16">
                  <c:v>3.9124550033643235</c:v>
                </c:pt>
                <c:pt idx="17">
                  <c:v>3.8933587933054268</c:v>
                </c:pt>
                <c:pt idx="18">
                  <c:v>3.8806703846884494</c:v>
                </c:pt>
                <c:pt idx="19">
                  <c:v>3.8740202428715191</c:v>
                </c:pt>
                <c:pt idx="20">
                  <c:v>3.8730388332127634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4-614B-B48B-F185C9C43E60}"/>
            </c:ext>
          </c:extLst>
        </c:ser>
        <c:ser>
          <c:idx val="2"/>
          <c:order val="1"/>
          <c:tx>
            <c:strRef>
              <c:f>'[1]Forward Curve Construction'!$F$2</c:f>
              <c:strCache>
                <c:ptCount val="1"/>
                <c:pt idx="0">
                  <c:v>Spot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'[1]Forward Curve Construction'!$A$3:$A$23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'[1]Forward Curve Construction'!$F$3:$F$23</c:f>
              <c:numCache>
                <c:formatCode>General</c:formatCode>
                <c:ptCount val="21"/>
                <c:pt idx="0">
                  <c:v>5.4026851654000003</c:v>
                </c:pt>
                <c:pt idx="1">
                  <c:v>5.2191178837518413</c:v>
                </c:pt>
                <c:pt idx="2">
                  <c:v>5.0575844179614471</c:v>
                </c:pt>
                <c:pt idx="3">
                  <c:v>4.8495351455921654</c:v>
                </c:pt>
                <c:pt idx="4">
                  <c:v>4.7140150602474673</c:v>
                </c:pt>
                <c:pt idx="5">
                  <c:v>4.5887069645964118</c:v>
                </c:pt>
                <c:pt idx="6">
                  <c:v>4.4735550982810235</c:v>
                </c:pt>
                <c:pt idx="7">
                  <c:v>4.3684217764912603</c:v>
                </c:pt>
                <c:pt idx="8">
                  <c:v>4.2731219906004814</c:v>
                </c:pt>
                <c:pt idx="9">
                  <c:v>4.1874377965225751</c:v>
                </c:pt>
                <c:pt idx="10">
                  <c:v>4.1111264171010742</c:v>
                </c:pt>
                <c:pt idx="11">
                  <c:v>4.0439258252424892</c:v>
                </c:pt>
                <c:pt idx="12">
                  <c:v>3.9855590463822921</c:v>
                </c:pt>
                <c:pt idx="13">
                  <c:v>3.9357376500738894</c:v>
                </c:pt>
                <c:pt idx="14">
                  <c:v>3.8941646325544532</c:v>
                </c:pt>
                <c:pt idx="15">
                  <c:v>3.8605367895033993</c:v>
                </c:pt>
                <c:pt idx="16">
                  <c:v>3.8345466361251024</c:v>
                </c:pt>
                <c:pt idx="17">
                  <c:v>3.8158839133630273</c:v>
                </c:pt>
                <c:pt idx="18">
                  <c:v>3.804236710350839</c:v>
                </c:pt>
                <c:pt idx="19">
                  <c:v>3.7992922283674346</c:v>
                </c:pt>
                <c:pt idx="20">
                  <c:v>3.80064628667931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4-614B-B48B-F185C9C43E60}"/>
            </c:ext>
          </c:extLst>
        </c:ser>
        <c:ser>
          <c:idx val="3"/>
          <c:order val="2"/>
          <c:tx>
            <c:strRef>
              <c:f>'[1]Forward Curve Construction'!$G$2</c:f>
              <c:strCache>
                <c:ptCount val="1"/>
                <c:pt idx="0">
                  <c:v>6 Mo Forward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'[1]Forward Curve Construction'!$A$3:$A$23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'[1]Forward Curve Construction'!$G$3:$G$23</c:f>
              <c:numCache>
                <c:formatCode>General</c:formatCode>
                <c:ptCount val="21"/>
                <c:pt idx="0">
                  <c:v>5.2191178837518413</c:v>
                </c:pt>
                <c:pt idx="1">
                  <c:v>4.7130125457619076</c:v>
                </c:pt>
                <c:pt idx="2">
                  <c:v>4.4516549480298524</c:v>
                </c:pt>
                <c:pt idx="3">
                  <c:v>4.3233314827749867</c:v>
                </c:pt>
                <c:pt idx="4">
                  <c:v>4.1104292287359936</c:v>
                </c:pt>
                <c:pt idx="5">
                  <c:v>3.927289367027603</c:v>
                </c:pt>
                <c:pt idx="6">
                  <c:v>3.7725225553850663</c:v>
                </c:pt>
                <c:pt idx="7">
                  <c:v>3.6447814783427415</c:v>
                </c:pt>
                <c:pt idx="8">
                  <c:v>3.5427813635614873</c:v>
                </c:pt>
                <c:pt idx="9">
                  <c:v>3.4653133210104068</c:v>
                </c:pt>
                <c:pt idx="10">
                  <c:v>3.4112513297584357</c:v>
                </c:pt>
                <c:pt idx="11">
                  <c:v>3.3795537259391963</c:v>
                </c:pt>
                <c:pt idx="12">
                  <c:v>3.3692600158234747</c:v>
                </c:pt>
                <c:pt idx="13">
                  <c:v>3.3794837698719498</c:v>
                </c:pt>
                <c:pt idx="14">
                  <c:v>3.4094022629615184</c:v>
                </c:pt>
                <c:pt idx="15">
                  <c:v>3.4582434246281153</c:v>
                </c:pt>
                <c:pt idx="16">
                  <c:v>3.5252705597409664</c:v>
                </c:pt>
                <c:pt idx="17">
                  <c:v>3.6097651999293765</c:v>
                </c:pt>
                <c:pt idx="18">
                  <c:v>3.7110083530191673</c:v>
                </c:pt>
                <c:pt idx="19">
                  <c:v>3.8264335482476834</c:v>
                </c:pt>
                <c:pt idx="20">
                  <c:v>3.80064628667931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4-614B-B48B-F185C9C4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61967"/>
        <c:axId val="1944890447"/>
      </c:lineChart>
      <c:catAx>
        <c:axId val="17422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90447"/>
        <c:crosses val="autoZero"/>
        <c:auto val="1"/>
        <c:lblAlgn val="ctr"/>
        <c:lblOffset val="100"/>
        <c:noMultiLvlLbl val="0"/>
      </c:catAx>
      <c:valAx>
        <c:axId val="1944890447"/>
        <c:scaling>
          <c:orientation val="minMax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16</xdr:row>
      <xdr:rowOff>38100</xdr:rowOff>
    </xdr:from>
    <xdr:to>
      <xdr:col>17</xdr:col>
      <xdr:colOff>565150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596C5-FF0A-354D-831F-2A70BE8EA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32</xdr:row>
      <xdr:rowOff>50800</xdr:rowOff>
    </xdr:from>
    <xdr:to>
      <xdr:col>17</xdr:col>
      <xdr:colOff>552450</xdr:colOff>
      <xdr:row>46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99CFD-F635-FB46-AEF8-D07161ECC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</xdr:row>
      <xdr:rowOff>0</xdr:rowOff>
    </xdr:from>
    <xdr:to>
      <xdr:col>17</xdr:col>
      <xdr:colOff>527050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2C092-3F90-A34B-A380-78BA41533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98223</xdr:colOff>
      <xdr:row>10</xdr:row>
      <xdr:rowOff>104666</xdr:rowOff>
    </xdr:from>
    <xdr:to>
      <xdr:col>14</xdr:col>
      <xdr:colOff>64356</xdr:colOff>
      <xdr:row>26</xdr:row>
      <xdr:rowOff>79266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32E9F-FFC4-F949-9942-F0A8E9DB3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160867</xdr:rowOff>
    </xdr:from>
    <xdr:to>
      <xdr:col>14</xdr:col>
      <xdr:colOff>508000</xdr:colOff>
      <xdr:row>23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3F558-5557-BC40-AD73-48E08027A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774428</xdr:colOff>
      <xdr:row>13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23EFD-9CA3-3841-B6B0-0D49F7414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90500"/>
          <a:ext cx="6552928" cy="2527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43</xdr:row>
      <xdr:rowOff>203200</xdr:rowOff>
    </xdr:from>
    <xdr:to>
      <xdr:col>1</xdr:col>
      <xdr:colOff>660400</xdr:colOff>
      <xdr:row>49</xdr:row>
      <xdr:rowOff>177800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ECC25F9-D390-8A1C-F3B3-89388CCFBE40}"/>
            </a:ext>
          </a:extLst>
        </xdr:cNvPr>
        <xdr:cNvCxnSpPr/>
      </xdr:nvCxnSpPr>
      <xdr:spPr>
        <a:xfrm>
          <a:off x="2019300" y="4508500"/>
          <a:ext cx="0" cy="1219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44</xdr:row>
      <xdr:rowOff>12700</xdr:rowOff>
    </xdr:from>
    <xdr:to>
      <xdr:col>1</xdr:col>
      <xdr:colOff>698500</xdr:colOff>
      <xdr:row>50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ECFADFF-BA42-DC4F-8736-72A8F07C0019}"/>
            </a:ext>
          </a:extLst>
        </xdr:cNvPr>
        <xdr:cNvCxnSpPr/>
      </xdr:nvCxnSpPr>
      <xdr:spPr>
        <a:xfrm>
          <a:off x="2108200" y="45339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44</xdr:row>
      <xdr:rowOff>12700</xdr:rowOff>
    </xdr:from>
    <xdr:to>
      <xdr:col>1</xdr:col>
      <xdr:colOff>685800</xdr:colOff>
      <xdr:row>50</xdr:row>
      <xdr:rowOff>12700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525BD68-7929-D745-A487-2FF5364A8ABE}"/>
            </a:ext>
          </a:extLst>
        </xdr:cNvPr>
        <xdr:cNvCxnSpPr/>
      </xdr:nvCxnSpPr>
      <xdr:spPr>
        <a:xfrm>
          <a:off x="2044700" y="45085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NDIA/Downloads/BUS%20810%20Group%20Project%20#1 - March 14, 2024-1.xlsx" TargetMode="External"/><Relationship Id="rId1" Type="http://schemas.openxmlformats.org/officeDocument/2006/relationships/externalLinkPath" Target="/Users/INDIA/Downloads/BUS%20810%20Group%20Project%20#1 - March 14, 2024-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uskan/Downloads/BUS%20810%20Group%20Project%20#1 - March 14, 2024.xlsx" TargetMode="External"/><Relationship Id="rId1" Type="http://schemas.openxmlformats.org/officeDocument/2006/relationships/externalLinkPath" Target="/Users/muskan/Downloads/BUS%20810%20Group%20Project%20#1 - March 14, 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ual Yield vs. Fitted Model"/>
      <sheetName val="Spot Curve Construction"/>
      <sheetName val="Forward Curve Construction"/>
      <sheetName val="Sheet1"/>
    </sheetNames>
    <sheetDataSet>
      <sheetData sheetId="0">
        <row r="1">
          <cell r="F1" t="str">
            <v>Yield</v>
          </cell>
          <cell r="G1" t="str">
            <v>Fit</v>
          </cell>
        </row>
        <row r="2">
          <cell r="A2" t="str">
            <v>1M</v>
          </cell>
          <cell r="E2">
            <v>8.3333333333333329E-2</v>
          </cell>
          <cell r="F2">
            <v>5.3786039352000001</v>
          </cell>
          <cell r="G2">
            <v>5.3614780747695292</v>
          </cell>
        </row>
        <row r="3">
          <cell r="A3" t="str">
            <v>2M</v>
          </cell>
          <cell r="E3">
            <v>0.16666666666666666</v>
          </cell>
          <cell r="F3">
            <v>5.4059953690000002</v>
          </cell>
          <cell r="G3">
            <v>5.3323113075086122</v>
          </cell>
        </row>
        <row r="4">
          <cell r="A4" t="str">
            <v>3M</v>
          </cell>
          <cell r="E4">
            <v>0.25</v>
          </cell>
          <cell r="F4">
            <v>5.4026851654000003</v>
          </cell>
          <cell r="G4">
            <v>5.3034936155849124</v>
          </cell>
        </row>
        <row r="5">
          <cell r="A5" t="str">
            <v>4M</v>
          </cell>
          <cell r="E5">
            <v>0.33333333333333331</v>
          </cell>
          <cell r="F5">
            <v>5.3736162185999996</v>
          </cell>
          <cell r="G5">
            <v>5.2750232881899022</v>
          </cell>
        </row>
        <row r="6">
          <cell r="A6" t="str">
            <v>6M</v>
          </cell>
          <cell r="E6">
            <v>0.5</v>
          </cell>
          <cell r="F6">
            <v>5.3277187347000003</v>
          </cell>
          <cell r="G6">
            <v>5.2191178837518413</v>
          </cell>
        </row>
        <row r="7">
          <cell r="A7" t="str">
            <v>1Y</v>
          </cell>
          <cell r="E7">
            <v>1</v>
          </cell>
          <cell r="F7">
            <v>4.9666996002000001</v>
          </cell>
          <cell r="G7">
            <v>5.0595604950393804</v>
          </cell>
        </row>
        <row r="8">
          <cell r="A8" t="str">
            <v>2Y</v>
          </cell>
          <cell r="E8">
            <v>2</v>
          </cell>
          <cell r="F8">
            <v>4.5370926857000002</v>
          </cell>
          <cell r="G8">
            <v>4.7759286461826314</v>
          </cell>
        </row>
        <row r="9">
          <cell r="A9" t="str">
            <v>3Y</v>
          </cell>
          <cell r="E9">
            <v>3</v>
          </cell>
          <cell r="F9">
            <v>4.3003821372999997</v>
          </cell>
          <cell r="G9">
            <v>4.5371438044709604</v>
          </cell>
        </row>
        <row r="10">
          <cell r="A10" t="str">
            <v>5Y</v>
          </cell>
          <cell r="E10">
            <v>5</v>
          </cell>
          <cell r="F10">
            <v>4.0874819756000003</v>
          </cell>
          <cell r="G10">
            <v>4.1822900339429161</v>
          </cell>
        </row>
        <row r="11">
          <cell r="A11" t="str">
            <v>7Y</v>
          </cell>
          <cell r="E11">
            <v>7</v>
          </cell>
          <cell r="F11">
            <v>4.1002297400999996</v>
          </cell>
          <cell r="G11">
            <v>3.9713489663753698</v>
          </cell>
        </row>
        <row r="12">
          <cell r="A12" t="str">
            <v>10Y</v>
          </cell>
          <cell r="E12">
            <v>10</v>
          </cell>
          <cell r="F12">
            <v>4.0991663933</v>
          </cell>
          <cell r="G12">
            <v>3.8730388332127634</v>
          </cell>
        </row>
        <row r="13">
          <cell r="A13" t="str">
            <v>20Y</v>
          </cell>
          <cell r="E13">
            <v>20</v>
          </cell>
          <cell r="F13">
            <v>4.3615345955000002</v>
          </cell>
          <cell r="G13">
            <v>4.4747610447696671</v>
          </cell>
        </row>
        <row r="14">
          <cell r="A14" t="str">
            <v>30Y</v>
          </cell>
          <cell r="E14">
            <v>30</v>
          </cell>
          <cell r="F14">
            <v>4.2642383575</v>
          </cell>
          <cell r="G14">
            <v>4.2398851278625926</v>
          </cell>
        </row>
        <row r="28">
          <cell r="B28" t="str">
            <v>Yield=r(t)</v>
          </cell>
        </row>
        <row r="29">
          <cell r="A29">
            <v>0.5</v>
          </cell>
          <cell r="B29">
            <v>5.2191178837518413</v>
          </cell>
        </row>
        <row r="30">
          <cell r="A30">
            <v>1</v>
          </cell>
          <cell r="B30">
            <v>5.0595604950393804</v>
          </cell>
        </row>
        <row r="31">
          <cell r="A31">
            <v>1.5</v>
          </cell>
          <cell r="B31">
            <v>4.9119539273969348</v>
          </cell>
        </row>
        <row r="32">
          <cell r="A32">
            <v>2</v>
          </cell>
          <cell r="B32">
            <v>4.7759286461826314</v>
          </cell>
        </row>
        <row r="33">
          <cell r="A33">
            <v>2.5</v>
          </cell>
          <cell r="B33">
            <v>4.651115116754597</v>
          </cell>
        </row>
        <row r="34">
          <cell r="A34">
            <v>3</v>
          </cell>
          <cell r="B34">
            <v>4.5371438044709604</v>
          </cell>
        </row>
        <row r="35">
          <cell r="A35">
            <v>3.5</v>
          </cell>
          <cell r="B35">
            <v>4.4336451746898469</v>
          </cell>
        </row>
        <row r="36">
          <cell r="A36">
            <v>4</v>
          </cell>
          <cell r="B36">
            <v>4.3402496927693841</v>
          </cell>
        </row>
        <row r="37">
          <cell r="A37">
            <v>4.5</v>
          </cell>
          <cell r="B37">
            <v>4.2565878240676982</v>
          </cell>
        </row>
        <row r="38">
          <cell r="A38">
            <v>5</v>
          </cell>
          <cell r="B38">
            <v>4.1822900339429161</v>
          </cell>
        </row>
        <row r="39">
          <cell r="A39">
            <v>5.5</v>
          </cell>
          <cell r="B39">
            <v>4.1169867877531647</v>
          </cell>
        </row>
        <row r="40">
          <cell r="A40">
            <v>6</v>
          </cell>
          <cell r="B40">
            <v>4.0603085508565728</v>
          </cell>
        </row>
        <row r="41">
          <cell r="A41">
            <v>6.5</v>
          </cell>
          <cell r="B41">
            <v>4.0118857886112655</v>
          </cell>
        </row>
        <row r="42">
          <cell r="A42">
            <v>7</v>
          </cell>
          <cell r="B42">
            <v>3.9713489663753698</v>
          </cell>
        </row>
        <row r="43">
          <cell r="A43">
            <v>7.5</v>
          </cell>
          <cell r="B43">
            <v>3.9383285495070135</v>
          </cell>
        </row>
        <row r="44">
          <cell r="A44">
            <v>8</v>
          </cell>
          <cell r="B44">
            <v>3.9124550033643235</v>
          </cell>
        </row>
        <row r="45">
          <cell r="A45">
            <v>8.5</v>
          </cell>
          <cell r="B45">
            <v>3.8933587933054268</v>
          </cell>
        </row>
        <row r="46">
          <cell r="A46">
            <v>9</v>
          </cell>
          <cell r="B46">
            <v>3.8806703846884494</v>
          </cell>
        </row>
        <row r="47">
          <cell r="A47">
            <v>9.5</v>
          </cell>
          <cell r="B47">
            <v>3.8740202428715191</v>
          </cell>
        </row>
        <row r="48">
          <cell r="A48">
            <v>10</v>
          </cell>
          <cell r="B48">
            <v>3.8730388332127634</v>
          </cell>
        </row>
      </sheetData>
      <sheetData sheetId="1">
        <row r="6">
          <cell r="E6" t="str">
            <v>Yield</v>
          </cell>
          <cell r="F6" t="str">
            <v>Spot Rate</v>
          </cell>
        </row>
        <row r="7">
          <cell r="A7">
            <v>0.5</v>
          </cell>
          <cell r="E7">
            <v>5.2191178837518413</v>
          </cell>
          <cell r="F7">
            <v>5.2191178837518413</v>
          </cell>
        </row>
        <row r="8">
          <cell r="A8">
            <v>1</v>
          </cell>
          <cell r="E8">
            <v>5.0595604950393804</v>
          </cell>
          <cell r="F8">
            <v>5.0575844179614471</v>
          </cell>
        </row>
        <row r="9">
          <cell r="A9">
            <v>1.5</v>
          </cell>
          <cell r="E9">
            <v>4.9119539273969348</v>
          </cell>
          <cell r="F9">
            <v>4.8495351455921654</v>
          </cell>
        </row>
        <row r="10">
          <cell r="A10">
            <v>2</v>
          </cell>
          <cell r="E10">
            <v>4.7759286461826314</v>
          </cell>
          <cell r="F10">
            <v>4.7140150602474673</v>
          </cell>
        </row>
        <row r="11">
          <cell r="A11">
            <v>2.5</v>
          </cell>
          <cell r="E11">
            <v>4.651115116754597</v>
          </cell>
          <cell r="F11">
            <v>4.5887069645964118</v>
          </cell>
        </row>
        <row r="12">
          <cell r="A12">
            <v>3</v>
          </cell>
          <cell r="E12">
            <v>4.5371438044709604</v>
          </cell>
          <cell r="F12">
            <v>4.4735550982810235</v>
          </cell>
        </row>
        <row r="13">
          <cell r="A13">
            <v>3.5</v>
          </cell>
          <cell r="E13">
            <v>4.4336451746898469</v>
          </cell>
          <cell r="F13">
            <v>4.3684217764912603</v>
          </cell>
        </row>
        <row r="14">
          <cell r="A14">
            <v>4</v>
          </cell>
          <cell r="E14">
            <v>4.3402496927693841</v>
          </cell>
          <cell r="F14">
            <v>4.2731219906004814</v>
          </cell>
        </row>
        <row r="15">
          <cell r="A15">
            <v>4.5</v>
          </cell>
          <cell r="E15">
            <v>4.2565878240676982</v>
          </cell>
          <cell r="F15">
            <v>4.1874377965225751</v>
          </cell>
        </row>
        <row r="16">
          <cell r="A16">
            <v>5</v>
          </cell>
          <cell r="E16">
            <v>4.1822900339429161</v>
          </cell>
          <cell r="F16">
            <v>4.1111264171010742</v>
          </cell>
        </row>
        <row r="17">
          <cell r="A17">
            <v>5.5</v>
          </cell>
          <cell r="E17">
            <v>4.1169867877531647</v>
          </cell>
          <cell r="F17">
            <v>4.0439258252424892</v>
          </cell>
        </row>
        <row r="18">
          <cell r="A18">
            <v>6</v>
          </cell>
          <cell r="E18">
            <v>4.0603085508565728</v>
          </cell>
          <cell r="F18">
            <v>3.9855590463822921</v>
          </cell>
        </row>
        <row r="19">
          <cell r="A19">
            <v>6.5</v>
          </cell>
          <cell r="E19">
            <v>4.0118857886112655</v>
          </cell>
          <cell r="F19">
            <v>3.9357376500738894</v>
          </cell>
        </row>
        <row r="20">
          <cell r="A20">
            <v>7</v>
          </cell>
          <cell r="E20">
            <v>3.9713489663753698</v>
          </cell>
          <cell r="F20">
            <v>3.8941646325544532</v>
          </cell>
        </row>
        <row r="21">
          <cell r="A21">
            <v>7.5</v>
          </cell>
          <cell r="E21">
            <v>3.9383285495070135</v>
          </cell>
          <cell r="F21">
            <v>3.8605367895033993</v>
          </cell>
        </row>
        <row r="22">
          <cell r="A22">
            <v>8</v>
          </cell>
          <cell r="E22">
            <v>3.9124550033643235</v>
          </cell>
          <cell r="F22">
            <v>3.8345466361251024</v>
          </cell>
        </row>
        <row r="23">
          <cell r="A23">
            <v>8.5</v>
          </cell>
          <cell r="E23">
            <v>3.8933587933054268</v>
          </cell>
          <cell r="F23">
            <v>3.8158839133630273</v>
          </cell>
        </row>
        <row r="24">
          <cell r="A24">
            <v>9</v>
          </cell>
          <cell r="E24">
            <v>3.8806703846884494</v>
          </cell>
          <cell r="F24">
            <v>3.804236710350839</v>
          </cell>
        </row>
        <row r="25">
          <cell r="A25">
            <v>9.5</v>
          </cell>
          <cell r="E25">
            <v>3.8740202428715191</v>
          </cell>
          <cell r="F25">
            <v>3.7992922283674346</v>
          </cell>
        </row>
        <row r="26">
          <cell r="A26">
            <v>10</v>
          </cell>
          <cell r="E26">
            <v>3.8730388332127634</v>
          </cell>
          <cell r="F26">
            <v>3.80064628667931</v>
          </cell>
        </row>
      </sheetData>
      <sheetData sheetId="2">
        <row r="2">
          <cell r="E2" t="str">
            <v>Yield</v>
          </cell>
          <cell r="F2" t="str">
            <v>Spot Rate</v>
          </cell>
          <cell r="G2" t="str">
            <v>6 Mo Forward</v>
          </cell>
        </row>
        <row r="3">
          <cell r="A3">
            <v>0</v>
          </cell>
          <cell r="F3">
            <v>5.4026851654000003</v>
          </cell>
          <cell r="G3">
            <v>5.2191178837518413</v>
          </cell>
        </row>
        <row r="4">
          <cell r="A4">
            <v>0.5</v>
          </cell>
          <cell r="E4">
            <v>5.2191178837518413</v>
          </cell>
          <cell r="F4">
            <v>5.2191178837518413</v>
          </cell>
          <cell r="G4">
            <v>4.7130125457619076</v>
          </cell>
        </row>
        <row r="5">
          <cell r="A5">
            <v>1</v>
          </cell>
          <cell r="E5">
            <v>5.0595604950393804</v>
          </cell>
          <cell r="F5">
            <v>5.0575844179614471</v>
          </cell>
          <cell r="G5">
            <v>4.4516549480298524</v>
          </cell>
        </row>
        <row r="6">
          <cell r="A6">
            <v>1.5</v>
          </cell>
          <cell r="E6">
            <v>4.9119539273969348</v>
          </cell>
          <cell r="F6">
            <v>4.8495351455921654</v>
          </cell>
          <cell r="G6">
            <v>4.3233314827749867</v>
          </cell>
        </row>
        <row r="7">
          <cell r="A7">
            <v>2</v>
          </cell>
          <cell r="E7">
            <v>4.7759286461826314</v>
          </cell>
          <cell r="F7">
            <v>4.7140150602474673</v>
          </cell>
          <cell r="G7">
            <v>4.1104292287359936</v>
          </cell>
        </row>
        <row r="8">
          <cell r="A8">
            <v>2.5</v>
          </cell>
          <cell r="E8">
            <v>4.651115116754597</v>
          </cell>
          <cell r="F8">
            <v>4.5887069645964118</v>
          </cell>
          <cell r="G8">
            <v>3.927289367027603</v>
          </cell>
        </row>
        <row r="9">
          <cell r="A9">
            <v>3</v>
          </cell>
          <cell r="E9">
            <v>4.5371438044709604</v>
          </cell>
          <cell r="F9">
            <v>4.4735550982810235</v>
          </cell>
          <cell r="G9">
            <v>3.7725225553850663</v>
          </cell>
        </row>
        <row r="10">
          <cell r="A10">
            <v>3.5</v>
          </cell>
          <cell r="E10">
            <v>4.4336451746898469</v>
          </cell>
          <cell r="F10">
            <v>4.3684217764912603</v>
          </cell>
          <cell r="G10">
            <v>3.6447814783427415</v>
          </cell>
        </row>
        <row r="11">
          <cell r="A11">
            <v>4</v>
          </cell>
          <cell r="E11">
            <v>4.3402496927693841</v>
          </cell>
          <cell r="F11">
            <v>4.2731219906004814</v>
          </cell>
          <cell r="G11">
            <v>3.5427813635614873</v>
          </cell>
        </row>
        <row r="12">
          <cell r="A12">
            <v>4.5</v>
          </cell>
          <cell r="E12">
            <v>4.2565878240676982</v>
          </cell>
          <cell r="F12">
            <v>4.1874377965225751</v>
          </cell>
          <cell r="G12">
            <v>3.4653133210104068</v>
          </cell>
        </row>
        <row r="13">
          <cell r="A13">
            <v>5</v>
          </cell>
          <cell r="E13">
            <v>4.1822900339429161</v>
          </cell>
          <cell r="F13">
            <v>4.1111264171010742</v>
          </cell>
          <cell r="G13">
            <v>3.4112513297584357</v>
          </cell>
        </row>
        <row r="14">
          <cell r="A14">
            <v>5.5</v>
          </cell>
          <cell r="E14">
            <v>4.1169867877531647</v>
          </cell>
          <cell r="F14">
            <v>4.0439258252424892</v>
          </cell>
          <cell r="G14">
            <v>3.3795537259391963</v>
          </cell>
        </row>
        <row r="15">
          <cell r="A15">
            <v>6</v>
          </cell>
          <cell r="E15">
            <v>4.0603085508565728</v>
          </cell>
          <cell r="F15">
            <v>3.9855590463822921</v>
          </cell>
          <cell r="G15">
            <v>3.3692600158234747</v>
          </cell>
        </row>
        <row r="16">
          <cell r="A16">
            <v>6.5</v>
          </cell>
          <cell r="E16">
            <v>4.0118857886112655</v>
          </cell>
          <cell r="F16">
            <v>3.9357376500738894</v>
          </cell>
          <cell r="G16">
            <v>3.3794837698719498</v>
          </cell>
        </row>
        <row r="17">
          <cell r="A17">
            <v>7</v>
          </cell>
          <cell r="E17">
            <v>3.9713489663753698</v>
          </cell>
          <cell r="F17">
            <v>3.8941646325544532</v>
          </cell>
          <cell r="G17">
            <v>3.4094022629615184</v>
          </cell>
        </row>
        <row r="18">
          <cell r="A18">
            <v>7.5</v>
          </cell>
          <cell r="E18">
            <v>3.9383285495070135</v>
          </cell>
          <cell r="F18">
            <v>3.8605367895033993</v>
          </cell>
          <cell r="G18">
            <v>3.4582434246281153</v>
          </cell>
        </row>
        <row r="19">
          <cell r="A19">
            <v>8</v>
          </cell>
          <cell r="E19">
            <v>3.9124550033643235</v>
          </cell>
          <cell r="F19">
            <v>3.8345466361251024</v>
          </cell>
          <cell r="G19">
            <v>3.5252705597409664</v>
          </cell>
        </row>
        <row r="20">
          <cell r="A20">
            <v>8.5</v>
          </cell>
          <cell r="E20">
            <v>3.8933587933054268</v>
          </cell>
          <cell r="F20">
            <v>3.8158839133630273</v>
          </cell>
          <cell r="G20">
            <v>3.6097651999293765</v>
          </cell>
        </row>
        <row r="21">
          <cell r="A21">
            <v>9</v>
          </cell>
          <cell r="E21">
            <v>3.8806703846884494</v>
          </cell>
          <cell r="F21">
            <v>3.804236710350839</v>
          </cell>
          <cell r="G21">
            <v>3.7110083530191673</v>
          </cell>
        </row>
        <row r="22">
          <cell r="A22">
            <v>9.5</v>
          </cell>
          <cell r="E22">
            <v>3.8740202428715191</v>
          </cell>
          <cell r="F22">
            <v>3.7992922283674346</v>
          </cell>
          <cell r="G22">
            <v>3.8264335482476834</v>
          </cell>
        </row>
        <row r="23">
          <cell r="A23">
            <v>10</v>
          </cell>
          <cell r="E23">
            <v>3.8730388332127634</v>
          </cell>
          <cell r="F23">
            <v>3.80064628667931</v>
          </cell>
          <cell r="G23">
            <v>3.80064628667931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ual Yield vs. Fitted Model"/>
      <sheetName val="Spot Curve Construction"/>
      <sheetName val="Forward Curve Construction"/>
      <sheetName val="Off-the-run vs. Fitted Model"/>
    </sheetNames>
    <sheetDataSet>
      <sheetData sheetId="0"/>
      <sheetData sheetId="1">
        <row r="7">
          <cell r="E7">
            <v>5.2191178837518413</v>
          </cell>
        </row>
        <row r="8">
          <cell r="E8">
            <v>5.0595604950393804</v>
          </cell>
        </row>
        <row r="9">
          <cell r="E9">
            <v>4.8495028996091261</v>
          </cell>
        </row>
        <row r="10">
          <cell r="E10">
            <v>4.7139916147481031</v>
          </cell>
        </row>
        <row r="11">
          <cell r="E11">
            <v>4.5886887597637482</v>
          </cell>
        </row>
        <row r="12">
          <cell r="E12">
            <v>4.4735403538231022</v>
          </cell>
        </row>
        <row r="13">
          <cell r="E13">
            <v>4.3684094749837143</v>
          </cell>
        </row>
        <row r="14">
          <cell r="E14">
            <v>4.2731114962161865</v>
          </cell>
        </row>
        <row r="15">
          <cell r="E15">
            <v>4.1874286855568599</v>
          </cell>
        </row>
        <row r="16">
          <cell r="E16">
            <v>4.1111183932163176</v>
          </cell>
        </row>
        <row r="17">
          <cell r="E17">
            <v>4.0439186732219579</v>
          </cell>
        </row>
        <row r="18">
          <cell r="E18">
            <v>3.9855526051395085</v>
          </cell>
        </row>
        <row r="19">
          <cell r="E19">
            <v>3.9357317960316607</v>
          </cell>
        </row>
        <row r="20">
          <cell r="E20">
            <v>3.8941592689504034</v>
          </cell>
        </row>
        <row r="21">
          <cell r="E21">
            <v>3.8605318392527455</v>
          </cell>
        </row>
        <row r="22">
          <cell r="E22">
            <v>3.8345420369073846</v>
          </cell>
        </row>
        <row r="23">
          <cell r="E23">
            <v>3.815879614149198</v>
          </cell>
        </row>
        <row r="24">
          <cell r="E24">
            <v>3.8042326688915828</v>
          </cell>
        </row>
        <row r="25">
          <cell r="E25">
            <v>3.7992884093395407</v>
          </cell>
        </row>
        <row r="26">
          <cell r="E26">
            <v>3.8006426643831137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32D1CA-CB3F-9045-BD6A-C3F6FAE21692}" name="Table1" displayName="Table1" ref="A2:F8" totalsRowShown="0">
  <autoFilter ref="A2:F8" xr:uid="{9032D1CA-CB3F-9045-BD6A-C3F6FAE216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1F0B281-4674-534C-8FC2-AA49330109FC}" name="Maturity"/>
    <tableColumn id="2" xr3:uid="{5B557076-08DA-DD46-9309-F8D680791CB2}" name="0"/>
    <tableColumn id="3" xr3:uid="{054318C4-384D-654F-A848-1F52CBBA0B7F}" name="0.5"/>
    <tableColumn id="4" xr3:uid="{435CAF37-D291-1D4A-9117-3CAD39317680}" name="1"/>
    <tableColumn id="5" xr3:uid="{1FABB20D-C4F3-F648-8168-E00086295F4A}" name="1.5"/>
    <tableColumn id="6" xr3:uid="{38C38F1A-3186-9643-8696-9E6857E2599E}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4525D-4082-ED40-BD38-B9E1D8451BAA}" name="Table2" displayName="Table2" ref="A11:F16" totalsRowShown="0">
  <autoFilter ref="A11:F16" xr:uid="{A214525D-4082-ED40-BD38-B9E1D8451B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98A9460-5CB4-494A-8678-5455636C01C4}" name="Maturity"/>
    <tableColumn id="2" xr3:uid="{BE64174F-51EA-3B45-96BC-CB1B83D1BD65}" name="0"/>
    <tableColumn id="3" xr3:uid="{1D427654-EB9D-2D41-B525-CE0BAF9EFBEE}" name="0.5" dataDxfId="1"/>
    <tableColumn id="4" xr3:uid="{BDE53228-1393-4548-8A82-0830F15B0813}" name="1"/>
    <tableColumn id="5" xr3:uid="{24DB0CB9-F54C-3A44-B27D-A1E361D01312}" name="1.5"/>
    <tableColumn id="6" xr3:uid="{E2C7A43C-4B99-3C4D-81D3-2EBD34C72EA1}" name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341F2-4AAE-1B4D-A9AC-CE55B0CBA53B}" name="Table24" displayName="Table24" ref="A21:F26" totalsRowShown="0">
  <autoFilter ref="A21:F26" xr:uid="{12C341F2-4AAE-1B4D-A9AC-CE55B0CBA5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75DC0B9-A566-2543-9E5C-17A5F6F91252}" name="Maturity"/>
    <tableColumn id="2" xr3:uid="{F12FCAF5-4E5E-7B44-BE8D-12660B5E8C8C}" name="0"/>
    <tableColumn id="3" xr3:uid="{B6C6B9B4-3A30-1446-98F5-7DA09E468B3B}" name="0.5" dataDxfId="0"/>
    <tableColumn id="4" xr3:uid="{CF6B60A5-7BF8-8A48-92BF-567375B2DA55}" name="1"/>
    <tableColumn id="5" xr3:uid="{05E61308-458E-DC44-97D4-DAA2AC3712DE}" name="1.5"/>
    <tableColumn id="6" xr3:uid="{A075775E-2895-8146-AFC2-BD09521E4A99}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B9E6-0CEE-C04E-B5EA-1ACCACCBB9F3}">
  <sheetPr>
    <tabColor rgb="FFFFC000"/>
  </sheetPr>
  <dimension ref="D2:L11"/>
  <sheetViews>
    <sheetView tabSelected="1" topLeftCell="J1" workbookViewId="0">
      <selection activeCell="J3" sqref="J3:L3"/>
    </sheetView>
  </sheetViews>
  <sheetFormatPr baseColWidth="10" defaultRowHeight="16" x14ac:dyDescent="0.2"/>
  <cols>
    <col min="1" max="3" width="0" style="153" hidden="1" customWidth="1"/>
    <col min="4" max="4" width="6.1640625" style="153" hidden="1" customWidth="1"/>
    <col min="5" max="6" width="0.1640625" style="153" hidden="1" customWidth="1"/>
    <col min="7" max="7" width="10.83203125" style="153" hidden="1" customWidth="1"/>
    <col min="8" max="9" width="0.1640625" style="153" hidden="1" customWidth="1"/>
    <col min="10" max="12" width="57.1640625" style="153" customWidth="1"/>
    <col min="13" max="16384" width="10.83203125" style="153"/>
  </cols>
  <sheetData>
    <row r="2" spans="10:12" ht="47" x14ac:dyDescent="0.55000000000000004">
      <c r="J2" s="155" t="s">
        <v>164</v>
      </c>
      <c r="K2" s="155"/>
      <c r="L2" s="155"/>
    </row>
    <row r="3" spans="10:12" ht="47" x14ac:dyDescent="0.55000000000000004">
      <c r="J3" s="155" t="s">
        <v>165</v>
      </c>
      <c r="K3" s="155"/>
      <c r="L3" s="155"/>
    </row>
    <row r="4" spans="10:12" ht="47" x14ac:dyDescent="0.55000000000000004">
      <c r="J4" s="154"/>
      <c r="K4" s="154"/>
      <c r="L4" s="154"/>
    </row>
    <row r="5" spans="10:12" ht="47" x14ac:dyDescent="0.55000000000000004">
      <c r="J5" s="155" t="s">
        <v>166</v>
      </c>
      <c r="K5" s="155"/>
      <c r="L5" s="155"/>
    </row>
    <row r="6" spans="10:12" ht="47" x14ac:dyDescent="0.55000000000000004">
      <c r="J6" s="154"/>
      <c r="K6" s="154"/>
      <c r="L6" s="154"/>
    </row>
    <row r="7" spans="10:12" ht="47" x14ac:dyDescent="0.55000000000000004">
      <c r="J7" s="155" t="s">
        <v>167</v>
      </c>
      <c r="K7" s="155"/>
      <c r="L7" s="155"/>
    </row>
    <row r="8" spans="10:12" ht="47" x14ac:dyDescent="0.55000000000000004">
      <c r="J8" s="155" t="s">
        <v>168</v>
      </c>
      <c r="K8" s="155"/>
      <c r="L8" s="155"/>
    </row>
    <row r="9" spans="10:12" ht="47" x14ac:dyDescent="0.55000000000000004">
      <c r="J9" s="155" t="s">
        <v>169</v>
      </c>
      <c r="K9" s="155"/>
      <c r="L9" s="155"/>
    </row>
    <row r="10" spans="10:12" ht="47" x14ac:dyDescent="0.55000000000000004">
      <c r="J10" s="155" t="s">
        <v>170</v>
      </c>
      <c r="K10" s="155"/>
      <c r="L10" s="155"/>
    </row>
    <row r="11" spans="10:12" ht="47" x14ac:dyDescent="0.55000000000000004">
      <c r="J11" s="155" t="s">
        <v>171</v>
      </c>
      <c r="K11" s="155"/>
      <c r="L11" s="155"/>
    </row>
  </sheetData>
  <mergeCells count="8">
    <mergeCell ref="J9:L9"/>
    <mergeCell ref="J10:L10"/>
    <mergeCell ref="J11:L11"/>
    <mergeCell ref="J2:L2"/>
    <mergeCell ref="J3:L3"/>
    <mergeCell ref="J5:L5"/>
    <mergeCell ref="J7:L7"/>
    <mergeCell ref="J8:L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4DF-D757-3646-92DE-FFC1CB1F6D1A}">
  <sheetPr>
    <tabColor rgb="FF00B0F0"/>
  </sheetPr>
  <dimension ref="A1:K52"/>
  <sheetViews>
    <sheetView workbookViewId="0">
      <selection activeCell="N40" sqref="N40"/>
    </sheetView>
  </sheetViews>
  <sheetFormatPr baseColWidth="10" defaultRowHeight="16" x14ac:dyDescent="0.2"/>
  <cols>
    <col min="1" max="10" width="17.83203125" customWidth="1"/>
  </cols>
  <sheetData>
    <row r="1" spans="1:11" x14ac:dyDescent="0.2">
      <c r="A1" s="37" t="s">
        <v>1</v>
      </c>
      <c r="B1" s="38">
        <v>0</v>
      </c>
      <c r="C1" s="38">
        <v>0.5</v>
      </c>
      <c r="D1" s="38">
        <v>1</v>
      </c>
      <c r="E1" s="38">
        <v>1.5</v>
      </c>
      <c r="F1" s="38">
        <v>2</v>
      </c>
      <c r="H1" s="41" t="s">
        <v>4</v>
      </c>
      <c r="J1" s="41" t="s">
        <v>5</v>
      </c>
    </row>
    <row r="2" spans="1:11" x14ac:dyDescent="0.2">
      <c r="A2" s="37" t="s">
        <v>2</v>
      </c>
      <c r="B2" s="63" t="s">
        <v>21</v>
      </c>
      <c r="C2" s="63" t="s">
        <v>21</v>
      </c>
      <c r="D2" s="63" t="s">
        <v>21</v>
      </c>
      <c r="E2" s="63" t="s">
        <v>21</v>
      </c>
      <c r="F2" s="39">
        <v>0.02</v>
      </c>
      <c r="H2" s="36">
        <v>100</v>
      </c>
      <c r="J2" s="39">
        <v>0.1</v>
      </c>
    </row>
    <row r="3" spans="1:11" x14ac:dyDescent="0.2">
      <c r="A3" s="37" t="s">
        <v>3</v>
      </c>
      <c r="B3" s="63" t="s">
        <v>21</v>
      </c>
      <c r="C3" s="63" t="s">
        <v>21</v>
      </c>
      <c r="D3" s="63" t="s">
        <v>21</v>
      </c>
      <c r="E3" s="63" t="s">
        <v>21</v>
      </c>
      <c r="F3" s="40">
        <f>4%/2</f>
        <v>0.02</v>
      </c>
    </row>
    <row r="4" spans="1:11" ht="17" thickBot="1" x14ac:dyDescent="0.25"/>
    <row r="5" spans="1:11" x14ac:dyDescent="0.2">
      <c r="A5" s="175" t="s">
        <v>36</v>
      </c>
      <c r="B5" s="176"/>
      <c r="C5" s="176"/>
      <c r="D5" s="176"/>
      <c r="E5" s="176"/>
      <c r="F5" s="176"/>
      <c r="H5" s="42" t="s">
        <v>19</v>
      </c>
      <c r="I5" s="44" t="s">
        <v>20</v>
      </c>
      <c r="J5" s="1" t="s">
        <v>22</v>
      </c>
      <c r="K5" s="1" t="s">
        <v>27</v>
      </c>
    </row>
    <row r="6" spans="1:11" x14ac:dyDescent="0.2">
      <c r="E6">
        <f>E12*EXP(6*J2)</f>
        <v>9.7928842442464012E-2</v>
      </c>
      <c r="H6" t="s">
        <v>15</v>
      </c>
      <c r="I6">
        <v>301593345</v>
      </c>
      <c r="J6" s="1" t="s">
        <v>23</v>
      </c>
      <c r="K6" s="58">
        <v>0</v>
      </c>
    </row>
    <row r="7" spans="1:11" x14ac:dyDescent="0.2">
      <c r="D7">
        <f>D11*EXP(4*J2)</f>
        <v>2.3538283106447951E-2</v>
      </c>
      <c r="H7" t="s">
        <v>16</v>
      </c>
      <c r="I7">
        <v>301604831</v>
      </c>
      <c r="J7" s="47" t="s">
        <v>24</v>
      </c>
      <c r="K7" s="57">
        <v>7.0000000000000001E-3</v>
      </c>
    </row>
    <row r="8" spans="1:11" x14ac:dyDescent="0.2">
      <c r="C8" s="5">
        <f>C10*EXP(2*J2)</f>
        <v>7.9812811539458142E-2</v>
      </c>
      <c r="E8">
        <f>E12*EXP(4*J2)</f>
        <v>8.0177354920973581E-2</v>
      </c>
      <c r="H8" t="s">
        <v>17</v>
      </c>
      <c r="I8">
        <v>301585994</v>
      </c>
      <c r="J8" s="1" t="s">
        <v>25</v>
      </c>
      <c r="K8" s="10">
        <v>6.0000000000000001E-3</v>
      </c>
    </row>
    <row r="9" spans="1:11" x14ac:dyDescent="0.2">
      <c r="B9" s="3">
        <v>0</v>
      </c>
      <c r="D9">
        <f>D11*EXP(2*J2)</f>
        <v>1.9271516253904868E-2</v>
      </c>
      <c r="H9" t="s">
        <v>18</v>
      </c>
      <c r="I9">
        <v>301553598</v>
      </c>
      <c r="J9" s="1" t="s">
        <v>26</v>
      </c>
      <c r="K9" s="10">
        <v>8.0000000000000002E-3</v>
      </c>
    </row>
    <row r="10" spans="1:11" x14ac:dyDescent="0.2">
      <c r="C10" s="17">
        <f>6.53452032969716%+$K$6</f>
        <v>6.5345203296971605E-2</v>
      </c>
      <c r="E10">
        <f>E12*EXP(2*J2)</f>
        <v>6.564366617424934E-2</v>
      </c>
      <c r="H10" s="42" t="s">
        <v>14</v>
      </c>
      <c r="I10" s="43">
        <v>1206337768</v>
      </c>
    </row>
    <row r="11" spans="1:11" x14ac:dyDescent="0.2">
      <c r="D11" s="17">
        <f>1.57781830155141%+$K$6</f>
        <v>1.5778183015514102E-2</v>
      </c>
    </row>
    <row r="12" spans="1:11" x14ac:dyDescent="0.2">
      <c r="E12" s="17">
        <f>5.37444882416428%+$K$6</f>
        <v>5.3744488241642803E-2</v>
      </c>
      <c r="H12" s="1"/>
      <c r="I12" s="1"/>
    </row>
    <row r="13" spans="1:11" x14ac:dyDescent="0.2">
      <c r="H13" s="1"/>
      <c r="I13" s="1"/>
    </row>
    <row r="14" spans="1:11" hidden="1" x14ac:dyDescent="0.2">
      <c r="A14" s="175" t="s">
        <v>8</v>
      </c>
      <c r="B14" s="176"/>
      <c r="C14" s="176"/>
      <c r="D14" s="176"/>
      <c r="E14" s="176"/>
      <c r="F14" s="177"/>
      <c r="G14" s="13"/>
      <c r="H14" s="47"/>
      <c r="I14" s="47"/>
    </row>
    <row r="15" spans="1:11" hidden="1" x14ac:dyDescent="0.2">
      <c r="A15" s="6" t="s">
        <v>6</v>
      </c>
      <c r="B15" s="12">
        <v>0</v>
      </c>
      <c r="C15" s="22">
        <v>0.5</v>
      </c>
      <c r="D15" s="11">
        <v>1</v>
      </c>
      <c r="E15" s="23"/>
      <c r="F15" s="24"/>
      <c r="G15" s="14"/>
      <c r="H15" s="1"/>
      <c r="I15" s="1"/>
    </row>
    <row r="16" spans="1:11" hidden="1" x14ac:dyDescent="0.2">
      <c r="A16" s="25" t="s">
        <v>7</v>
      </c>
      <c r="B16" s="19">
        <v>0</v>
      </c>
      <c r="C16" s="20">
        <f>H2</f>
        <v>100</v>
      </c>
      <c r="D16" s="18"/>
      <c r="E16" s="18"/>
      <c r="F16" s="26"/>
      <c r="H16" s="1"/>
      <c r="I16" s="1"/>
    </row>
    <row r="17" spans="1:9" ht="17" hidden="1" thickBot="1" x14ac:dyDescent="0.25">
      <c r="A17" s="27" t="s">
        <v>10</v>
      </c>
      <c r="B17" s="28">
        <f>C16/(1+B9)</f>
        <v>100</v>
      </c>
      <c r="C17" s="29"/>
      <c r="D17" s="29"/>
      <c r="E17" s="29"/>
      <c r="F17" s="30"/>
    </row>
    <row r="18" spans="1:9" ht="17" hidden="1" thickBot="1" x14ac:dyDescent="0.25"/>
    <row r="19" spans="1:9" hidden="1" x14ac:dyDescent="0.2">
      <c r="A19" s="175" t="s">
        <v>9</v>
      </c>
      <c r="B19" s="176"/>
      <c r="C19" s="176"/>
      <c r="D19" s="176"/>
      <c r="E19" s="176"/>
      <c r="F19" s="177"/>
      <c r="G19" s="13"/>
      <c r="H19" s="13"/>
      <c r="I19" s="13"/>
    </row>
    <row r="20" spans="1:9" hidden="1" x14ac:dyDescent="0.2">
      <c r="A20" s="6" t="s">
        <v>6</v>
      </c>
      <c r="B20" s="12">
        <v>0</v>
      </c>
      <c r="C20" s="22">
        <v>0.5</v>
      </c>
      <c r="D20" s="11">
        <v>1</v>
      </c>
      <c r="E20" s="23"/>
      <c r="F20" s="24"/>
      <c r="G20" s="14"/>
      <c r="H20" s="1"/>
    </row>
    <row r="21" spans="1:9" hidden="1" x14ac:dyDescent="0.2">
      <c r="A21" s="8" t="s">
        <v>7</v>
      </c>
      <c r="B21" s="21">
        <v>0</v>
      </c>
      <c r="C21" s="20" t="e">
        <f>D3*$H$2</f>
        <v>#VALUE!</v>
      </c>
      <c r="D21" s="20" t="e">
        <f>D3*$H$2+H2</f>
        <v>#VALUE!</v>
      </c>
      <c r="E21" s="18"/>
      <c r="F21" s="26"/>
    </row>
    <row r="22" spans="1:9" hidden="1" x14ac:dyDescent="0.2">
      <c r="A22" s="7"/>
      <c r="B22" s="9"/>
      <c r="F22" s="31"/>
    </row>
    <row r="23" spans="1:9" hidden="1" x14ac:dyDescent="0.2">
      <c r="A23" s="7"/>
      <c r="B23" s="10"/>
      <c r="C23" s="4" t="e">
        <f>D23/(1+C8)</f>
        <v>#VALUE!</v>
      </c>
      <c r="D23" s="4" t="e">
        <f>D3*$H$2+H2</f>
        <v>#VALUE!</v>
      </c>
      <c r="F23" s="31"/>
    </row>
    <row r="24" spans="1:9" hidden="1" x14ac:dyDescent="0.2">
      <c r="A24" s="32" t="s">
        <v>10</v>
      </c>
      <c r="B24" s="4" t="e">
        <f>(0.5*C23+0.5*C25+C21)/(1+B9)</f>
        <v>#VALUE!</v>
      </c>
      <c r="F24" s="31"/>
    </row>
    <row r="25" spans="1:9" ht="17" hidden="1" thickBot="1" x14ac:dyDescent="0.25">
      <c r="A25" s="27"/>
      <c r="B25" s="29"/>
      <c r="C25" s="28" t="e">
        <f>D25/(1+C10)</f>
        <v>#VALUE!</v>
      </c>
      <c r="D25" s="28" t="e">
        <f>D3*$H$2+H2</f>
        <v>#VALUE!</v>
      </c>
      <c r="E25" s="29"/>
      <c r="F25" s="30"/>
    </row>
    <row r="26" spans="1:9" ht="17" hidden="1" thickBot="1" x14ac:dyDescent="0.25">
      <c r="D26" s="4"/>
    </row>
    <row r="27" spans="1:9" hidden="1" x14ac:dyDescent="0.2">
      <c r="A27" s="175" t="s">
        <v>12</v>
      </c>
      <c r="B27" s="176"/>
      <c r="C27" s="176"/>
      <c r="D27" s="176"/>
      <c r="E27" s="176"/>
      <c r="F27" s="177"/>
      <c r="G27" s="15"/>
      <c r="H27" s="15"/>
      <c r="I27" s="15"/>
    </row>
    <row r="28" spans="1:9" hidden="1" x14ac:dyDescent="0.2">
      <c r="A28" s="6" t="s">
        <v>6</v>
      </c>
      <c r="B28" s="12">
        <v>0</v>
      </c>
      <c r="C28" s="22">
        <v>0.5</v>
      </c>
      <c r="D28" s="11">
        <v>1</v>
      </c>
      <c r="E28" s="23">
        <v>1.5</v>
      </c>
      <c r="F28" s="24"/>
      <c r="G28" s="1"/>
      <c r="H28" s="1"/>
      <c r="I28" s="16"/>
    </row>
    <row r="29" spans="1:9" hidden="1" x14ac:dyDescent="0.2">
      <c r="A29" s="25" t="s">
        <v>7</v>
      </c>
      <c r="B29" s="20">
        <v>0</v>
      </c>
      <c r="C29" s="20" t="e">
        <f>$E$3*$H$2</f>
        <v>#VALUE!</v>
      </c>
      <c r="D29" s="20" t="e">
        <f t="shared" ref="D29" si="0">$E$3*$H$2</f>
        <v>#VALUE!</v>
      </c>
      <c r="E29" s="20" t="e">
        <f>$E$3*$H$2+$H$2</f>
        <v>#VALUE!</v>
      </c>
      <c r="F29" s="26"/>
    </row>
    <row r="30" spans="1:9" hidden="1" x14ac:dyDescent="0.2">
      <c r="A30" s="32"/>
      <c r="F30" s="31"/>
    </row>
    <row r="31" spans="1:9" hidden="1" x14ac:dyDescent="0.2">
      <c r="A31" s="32"/>
      <c r="D31" s="4" t="e">
        <f>E31/(1+D7)</f>
        <v>#VALUE!</v>
      </c>
      <c r="E31" s="4" t="e">
        <f>$E$3*$H$2+$H$2</f>
        <v>#VALUE!</v>
      </c>
      <c r="F31" s="31"/>
    </row>
    <row r="32" spans="1:9" hidden="1" x14ac:dyDescent="0.2">
      <c r="A32" s="32"/>
      <c r="C32" s="4" t="e">
        <f>(0.5*D31+0.5*D33+D29)/(1+C8)</f>
        <v>#VALUE!</v>
      </c>
      <c r="F32" s="31"/>
    </row>
    <row r="33" spans="1:9" hidden="1" x14ac:dyDescent="0.2">
      <c r="A33" s="32" t="s">
        <v>10</v>
      </c>
      <c r="B33" s="4" t="e">
        <f>(0.5*C32+0.5*C34+C29)/(1+B9)</f>
        <v>#VALUE!</v>
      </c>
      <c r="D33" s="4" t="e">
        <f>E33/(1+D9)</f>
        <v>#VALUE!</v>
      </c>
      <c r="E33" s="4" t="e">
        <f>$E$3*$H$2+$H$2</f>
        <v>#VALUE!</v>
      </c>
      <c r="F33" s="31"/>
    </row>
    <row r="34" spans="1:9" hidden="1" x14ac:dyDescent="0.2">
      <c r="A34" s="32"/>
      <c r="C34" s="4" t="e">
        <f>(0.5*D33+0.5*D35+D29)/(1+C10)</f>
        <v>#VALUE!</v>
      </c>
      <c r="E34" s="4"/>
      <c r="F34" s="31"/>
    </row>
    <row r="35" spans="1:9" ht="17" hidden="1" thickBot="1" x14ac:dyDescent="0.25">
      <c r="A35" s="27"/>
      <c r="B35" s="29"/>
      <c r="C35" s="29"/>
      <c r="D35" s="28" t="e">
        <f>E35/(1+D11)</f>
        <v>#VALUE!</v>
      </c>
      <c r="E35" s="28" t="e">
        <f>$E$3*$H$2+$H$2</f>
        <v>#VALUE!</v>
      </c>
      <c r="F35" s="30"/>
    </row>
    <row r="36" spans="1:9" ht="17" thickBot="1" x14ac:dyDescent="0.25">
      <c r="E36" s="4"/>
    </row>
    <row r="37" spans="1:9" x14ac:dyDescent="0.2">
      <c r="A37" s="187" t="s">
        <v>37</v>
      </c>
      <c r="B37" s="188"/>
      <c r="C37" s="188"/>
      <c r="D37" s="188"/>
      <c r="E37" s="188"/>
      <c r="F37" s="189"/>
      <c r="G37" s="174"/>
      <c r="H37" s="174"/>
      <c r="I37" s="174"/>
    </row>
    <row r="38" spans="1:9" x14ac:dyDescent="0.2">
      <c r="A38" s="48" t="s">
        <v>6</v>
      </c>
      <c r="B38" s="12">
        <v>0</v>
      </c>
      <c r="C38" s="22">
        <v>0.5</v>
      </c>
      <c r="D38" s="11">
        <v>1</v>
      </c>
      <c r="E38" s="23">
        <v>1.5</v>
      </c>
      <c r="F38" s="49">
        <v>2</v>
      </c>
      <c r="G38" s="1"/>
      <c r="H38" s="1"/>
      <c r="I38" s="16"/>
    </row>
    <row r="39" spans="1:9" x14ac:dyDescent="0.2">
      <c r="A39" s="61" t="s">
        <v>11</v>
      </c>
      <c r="B39" s="20">
        <v>0</v>
      </c>
      <c r="C39" s="20">
        <f>$F$3*$H$2</f>
        <v>2</v>
      </c>
      <c r="D39" s="20">
        <f t="shared" ref="D39:E39" si="1">$F$3*$H$2</f>
        <v>2</v>
      </c>
      <c r="E39" s="20">
        <f t="shared" si="1"/>
        <v>2</v>
      </c>
      <c r="F39" s="62">
        <f>$F$3*$H$2+$H$2</f>
        <v>102</v>
      </c>
    </row>
    <row r="40" spans="1:9" x14ac:dyDescent="0.2">
      <c r="A40" s="64" t="s">
        <v>32</v>
      </c>
      <c r="B40" s="65"/>
      <c r="C40" s="66">
        <v>104</v>
      </c>
      <c r="D40" s="66">
        <v>102</v>
      </c>
      <c r="E40" s="66">
        <v>100</v>
      </c>
      <c r="F40" s="67"/>
    </row>
    <row r="41" spans="1:9" x14ac:dyDescent="0.2">
      <c r="A41" s="50"/>
      <c r="E41" s="4">
        <f>MAX((F41/(1+E6)),$E$40)</f>
        <v>100</v>
      </c>
      <c r="F41" s="51">
        <f>$F$3*$H$2+$H$2</f>
        <v>102</v>
      </c>
    </row>
    <row r="42" spans="1:9" x14ac:dyDescent="0.2">
      <c r="A42" s="50"/>
      <c r="D42" s="4">
        <f>MAX((0.5*E41+0.5*E43+E39)/(1+D7),$D$40)</f>
        <v>102</v>
      </c>
      <c r="E42" s="4"/>
      <c r="F42" s="51"/>
    </row>
    <row r="43" spans="1:9" ht="17" thickBot="1" x14ac:dyDescent="0.25">
      <c r="A43" s="50"/>
      <c r="C43" s="4">
        <f>MAX((0.5*D42+0.5*D44+D39)/(1+C8),$C$40)</f>
        <v>104</v>
      </c>
      <c r="E43" s="4">
        <f t="shared" ref="E43:E47" si="2">MAX((F43/(1+E8)),$E$40)</f>
        <v>100</v>
      </c>
      <c r="F43" s="51">
        <f>$F$3*$H$2+$H$2</f>
        <v>102</v>
      </c>
    </row>
    <row r="44" spans="1:9" ht="17" thickBot="1" x14ac:dyDescent="0.25">
      <c r="A44" s="50" t="s">
        <v>10</v>
      </c>
      <c r="B44" s="60">
        <f>(0.5*C43+0.5*C45+C39)/(1+B9)</f>
        <v>106</v>
      </c>
      <c r="D44" s="4">
        <f>MAX((0.5*E43+0.5*E45+E39)/(1+D9),$D$40)</f>
        <v>102</v>
      </c>
      <c r="E44" s="4"/>
      <c r="F44" s="51"/>
    </row>
    <row r="45" spans="1:9" x14ac:dyDescent="0.2">
      <c r="A45" s="50"/>
      <c r="C45" s="4">
        <f>MAX((0.5*D44+0.5*D46+D39)/(1+C10),C40)</f>
        <v>104</v>
      </c>
      <c r="E45" s="4">
        <f t="shared" si="2"/>
        <v>100</v>
      </c>
      <c r="F45" s="51">
        <f>$F$3*$H$2+$H$2</f>
        <v>102</v>
      </c>
    </row>
    <row r="46" spans="1:9" x14ac:dyDescent="0.2">
      <c r="A46" s="50"/>
      <c r="D46" s="4">
        <f>MAX((0.5*E45+0.5*E47+E39)/(1+D11),$D$40)</f>
        <v>102</v>
      </c>
      <c r="E46" s="4"/>
      <c r="F46" s="51"/>
    </row>
    <row r="47" spans="1:9" ht="17" thickBot="1" x14ac:dyDescent="0.25">
      <c r="A47" s="53"/>
      <c r="B47" s="54"/>
      <c r="C47" s="54"/>
      <c r="D47" s="54"/>
      <c r="E47" s="55">
        <f t="shared" si="2"/>
        <v>100</v>
      </c>
      <c r="F47" s="56">
        <f>$F$3*$H$2+$H$2</f>
        <v>102</v>
      </c>
    </row>
    <row r="50" spans="2:6" ht="17" thickBot="1" x14ac:dyDescent="0.25"/>
    <row r="51" spans="2:6" x14ac:dyDescent="0.2">
      <c r="B51" s="178" t="s">
        <v>38</v>
      </c>
      <c r="C51" s="179"/>
      <c r="D51" s="179"/>
      <c r="E51" s="179"/>
      <c r="F51" s="180"/>
    </row>
    <row r="52" spans="2:6" ht="17" thickBot="1" x14ac:dyDescent="0.25">
      <c r="B52" s="181"/>
      <c r="C52" s="182"/>
      <c r="D52" s="182"/>
      <c r="E52" s="182"/>
      <c r="F52" s="183"/>
    </row>
  </sheetData>
  <mergeCells count="7">
    <mergeCell ref="G37:I37"/>
    <mergeCell ref="B51:F52"/>
    <mergeCell ref="A5:F5"/>
    <mergeCell ref="A14:F14"/>
    <mergeCell ref="A19:F19"/>
    <mergeCell ref="A27:F27"/>
    <mergeCell ref="A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0674-1800-1C4A-8A68-E6946675FE1D}">
  <sheetPr>
    <tabColor rgb="FF92D050"/>
  </sheetPr>
  <dimension ref="A1:J48"/>
  <sheetViews>
    <sheetView workbookViewId="0">
      <selection activeCell="I31" sqref="I31"/>
    </sheetView>
  </sheetViews>
  <sheetFormatPr baseColWidth="10" defaultColWidth="8.83203125" defaultRowHeight="16" x14ac:dyDescent="0.2"/>
  <cols>
    <col min="1" max="1" width="9.1640625" bestFit="1" customWidth="1"/>
    <col min="2" max="2" width="18.83203125" customWidth="1"/>
    <col min="3" max="3" width="18.6640625" customWidth="1"/>
    <col min="4" max="4" width="9.6640625" customWidth="1"/>
    <col min="5" max="5" width="8.5" customWidth="1"/>
    <col min="7" max="7" width="14" customWidth="1"/>
    <col min="8" max="8" width="10.5" customWidth="1"/>
    <col min="9" max="9" width="10" customWidth="1"/>
    <col min="10" max="10" width="7.33203125" hidden="1" customWidth="1"/>
  </cols>
  <sheetData>
    <row r="1" spans="1:10" ht="17" thickBot="1" x14ac:dyDescent="0.25">
      <c r="A1" s="75" t="s">
        <v>53</v>
      </c>
      <c r="B1" s="76" t="s">
        <v>54</v>
      </c>
      <c r="C1" s="76" t="s">
        <v>55</v>
      </c>
      <c r="D1" s="76" t="s">
        <v>56</v>
      </c>
      <c r="E1" s="76" t="s">
        <v>57</v>
      </c>
      <c r="F1" s="76" t="s">
        <v>58</v>
      </c>
      <c r="G1" s="76" t="s">
        <v>59</v>
      </c>
      <c r="H1" s="76" t="s">
        <v>60</v>
      </c>
      <c r="I1" s="76" t="s">
        <v>61</v>
      </c>
      <c r="J1" s="77" t="s">
        <v>62</v>
      </c>
    </row>
    <row r="2" spans="1:10" x14ac:dyDescent="0.2">
      <c r="A2" s="78" t="s">
        <v>63</v>
      </c>
      <c r="B2" t="s">
        <v>64</v>
      </c>
      <c r="C2" s="79" t="s">
        <v>65</v>
      </c>
      <c r="D2" s="80">
        <v>5.2687501906999996</v>
      </c>
      <c r="E2" s="81">
        <f>1/12</f>
        <v>8.3333333333333329E-2</v>
      </c>
      <c r="F2" s="79">
        <v>5.3786039352000001</v>
      </c>
      <c r="G2" s="82">
        <f>$B$22+$B$19*$E2+$B$20*$E2^2+$B$21*$E2^3</f>
        <v>5.3614780747695292</v>
      </c>
      <c r="H2" s="83">
        <f t="shared" ref="H2:H14" si="0">(F2-G2)^2</f>
        <v>2.9329509548396991E-4</v>
      </c>
      <c r="I2" s="84">
        <v>0</v>
      </c>
      <c r="J2" s="85" t="s">
        <v>66</v>
      </c>
    </row>
    <row r="3" spans="1:10" x14ac:dyDescent="0.2">
      <c r="A3" s="78" t="s">
        <v>67</v>
      </c>
      <c r="B3" t="s">
        <v>68</v>
      </c>
      <c r="C3" s="79" t="s">
        <v>69</v>
      </c>
      <c r="D3" s="80">
        <v>5.2737503052000001</v>
      </c>
      <c r="E3" s="81">
        <f>2/12</f>
        <v>0.16666666666666666</v>
      </c>
      <c r="F3" s="79">
        <v>5.4059953690000002</v>
      </c>
      <c r="G3" s="82">
        <f t="shared" ref="G3:G14" si="1">$B$22+$B$19*$E3+$B$20*$E3^2+$B$21*$E3^3</f>
        <v>5.3323113075086122</v>
      </c>
      <c r="H3" s="83">
        <f t="shared" si="0"/>
        <v>5.4293409178666572E-3</v>
      </c>
      <c r="I3" s="84">
        <v>0</v>
      </c>
      <c r="J3" s="85" t="s">
        <v>70</v>
      </c>
    </row>
    <row r="4" spans="1:10" x14ac:dyDescent="0.2">
      <c r="A4" s="78" t="s">
        <v>71</v>
      </c>
      <c r="B4" t="s">
        <v>72</v>
      </c>
      <c r="C4" s="79" t="s">
        <v>73</v>
      </c>
      <c r="D4" s="80">
        <v>5.2474999428000002</v>
      </c>
      <c r="E4" s="81">
        <f>3/12</f>
        <v>0.25</v>
      </c>
      <c r="F4" s="79">
        <v>5.4026851654000003</v>
      </c>
      <c r="G4" s="82">
        <f t="shared" si="1"/>
        <v>5.3034936155849124</v>
      </c>
      <c r="H4" s="83">
        <f t="shared" si="0"/>
        <v>9.8389635547190702E-3</v>
      </c>
      <c r="I4" s="84">
        <v>0</v>
      </c>
      <c r="J4" s="85" t="s">
        <v>66</v>
      </c>
    </row>
    <row r="5" spans="1:10" x14ac:dyDescent="0.2">
      <c r="A5" s="78" t="s">
        <v>74</v>
      </c>
      <c r="B5" t="s">
        <v>75</v>
      </c>
      <c r="C5" s="79" t="s">
        <v>76</v>
      </c>
      <c r="D5" s="80">
        <v>5.2087502480000003</v>
      </c>
      <c r="E5" s="81">
        <f>4/12</f>
        <v>0.33333333333333331</v>
      </c>
      <c r="F5" s="79">
        <v>5.3736162185999996</v>
      </c>
      <c r="G5" s="82">
        <f t="shared" si="1"/>
        <v>5.2750232881899022</v>
      </c>
      <c r="H5" s="83">
        <f t="shared" si="0"/>
        <v>9.720565926850314E-3</v>
      </c>
      <c r="I5" s="84">
        <v>0</v>
      </c>
      <c r="J5" s="85" t="s">
        <v>66</v>
      </c>
    </row>
    <row r="6" spans="1:10" x14ac:dyDescent="0.2">
      <c r="A6" s="78" t="s">
        <v>77</v>
      </c>
      <c r="B6" t="s">
        <v>78</v>
      </c>
      <c r="C6" s="79" t="s">
        <v>79</v>
      </c>
      <c r="D6" s="80">
        <v>5.1087503432999997</v>
      </c>
      <c r="E6" s="81">
        <f>1/2</f>
        <v>0.5</v>
      </c>
      <c r="F6" s="79">
        <v>5.3277187347000003</v>
      </c>
      <c r="G6" s="82">
        <f t="shared" si="1"/>
        <v>5.2191178837518413</v>
      </c>
      <c r="H6" s="83">
        <f t="shared" si="0"/>
        <v>1.1794144826664264E-2</v>
      </c>
      <c r="I6" s="84">
        <v>0</v>
      </c>
      <c r="J6" s="85" t="s">
        <v>66</v>
      </c>
    </row>
    <row r="7" spans="1:10" x14ac:dyDescent="0.2">
      <c r="A7" s="78" t="s">
        <v>80</v>
      </c>
      <c r="B7" t="s">
        <v>81</v>
      </c>
      <c r="C7" s="79" t="s">
        <v>82</v>
      </c>
      <c r="D7" s="80">
        <v>4.71875</v>
      </c>
      <c r="E7" s="81">
        <f>12/12</f>
        <v>1</v>
      </c>
      <c r="F7" s="79">
        <v>4.9666996002000001</v>
      </c>
      <c r="G7" s="82">
        <f t="shared" si="1"/>
        <v>5.0595604950393804</v>
      </c>
      <c r="H7" s="83">
        <f t="shared" si="0"/>
        <v>8.6231457903704501E-3</v>
      </c>
      <c r="I7" s="84">
        <f t="shared" ref="I7:I14" si="2">F7</f>
        <v>4.9666996002000001</v>
      </c>
      <c r="J7" s="85" t="s">
        <v>70</v>
      </c>
    </row>
    <row r="8" spans="1:10" x14ac:dyDescent="0.2">
      <c r="A8" s="78" t="s">
        <v>83</v>
      </c>
      <c r="B8" t="s">
        <v>84</v>
      </c>
      <c r="C8" s="79" t="s">
        <v>85</v>
      </c>
      <c r="D8" s="80">
        <v>100.162109375</v>
      </c>
      <c r="E8" s="81">
        <f>24/12</f>
        <v>2</v>
      </c>
      <c r="F8" s="79">
        <v>4.5370926857000002</v>
      </c>
      <c r="G8" s="82">
        <f t="shared" si="1"/>
        <v>4.7759286461826314</v>
      </c>
      <c r="H8" s="83">
        <f t="shared" si="0"/>
        <v>5.704261601966093E-2</v>
      </c>
      <c r="I8" s="84">
        <f t="shared" si="2"/>
        <v>4.5370926857000002</v>
      </c>
      <c r="J8" s="85" t="s">
        <v>66</v>
      </c>
    </row>
    <row r="9" spans="1:10" x14ac:dyDescent="0.2">
      <c r="A9" s="78" t="s">
        <v>86</v>
      </c>
      <c r="B9" t="s">
        <v>87</v>
      </c>
      <c r="C9" s="79" t="s">
        <v>88</v>
      </c>
      <c r="D9" s="80">
        <v>99.51953125</v>
      </c>
      <c r="E9" s="81">
        <v>3</v>
      </c>
      <c r="F9" s="79">
        <v>4.3003821372999997</v>
      </c>
      <c r="G9" s="82">
        <f t="shared" si="1"/>
        <v>4.5371438044709604</v>
      </c>
      <c r="H9" s="83">
        <f t="shared" si="0"/>
        <v>5.6056087041572771E-2</v>
      </c>
      <c r="I9" s="84">
        <f t="shared" si="2"/>
        <v>4.3003821372999997</v>
      </c>
      <c r="J9" s="85" t="s">
        <v>66</v>
      </c>
    </row>
    <row r="10" spans="1:10" x14ac:dyDescent="0.2">
      <c r="A10" s="78" t="s">
        <v>89</v>
      </c>
      <c r="B10" t="s">
        <v>90</v>
      </c>
      <c r="C10" s="79" t="s">
        <v>91</v>
      </c>
      <c r="D10" s="80">
        <v>100.72265625</v>
      </c>
      <c r="E10" s="81">
        <v>5</v>
      </c>
      <c r="F10" s="79">
        <v>4.0874819756000003</v>
      </c>
      <c r="G10" s="82">
        <f t="shared" si="1"/>
        <v>4.1822900339429161</v>
      </c>
      <c r="H10" s="83">
        <f t="shared" si="0"/>
        <v>8.9885679267537322E-3</v>
      </c>
      <c r="I10" s="84">
        <f t="shared" si="2"/>
        <v>4.0874819756000003</v>
      </c>
      <c r="J10" s="85" t="s">
        <v>66</v>
      </c>
    </row>
    <row r="11" spans="1:10" x14ac:dyDescent="0.2">
      <c r="A11" s="78" t="s">
        <v>92</v>
      </c>
      <c r="B11" t="s">
        <v>93</v>
      </c>
      <c r="C11" s="79" t="s">
        <v>94</v>
      </c>
      <c r="D11" s="80">
        <v>100.8984375</v>
      </c>
      <c r="E11" s="81">
        <v>7</v>
      </c>
      <c r="F11" s="79">
        <v>4.1002297400999996</v>
      </c>
      <c r="G11" s="82">
        <f t="shared" si="1"/>
        <v>3.9713489663753698</v>
      </c>
      <c r="H11" s="83">
        <f t="shared" si="0"/>
        <v>1.6610253835859227E-2</v>
      </c>
      <c r="I11" s="84">
        <f t="shared" si="2"/>
        <v>4.1002297400999996</v>
      </c>
      <c r="J11" s="85" t="s">
        <v>66</v>
      </c>
    </row>
    <row r="12" spans="1:10" x14ac:dyDescent="0.2">
      <c r="A12" s="78" t="s">
        <v>95</v>
      </c>
      <c r="B12" t="s">
        <v>96</v>
      </c>
      <c r="C12" s="79" t="s">
        <v>97</v>
      </c>
      <c r="D12" s="80">
        <v>99.1953125</v>
      </c>
      <c r="E12" s="81">
        <v>10</v>
      </c>
      <c r="F12" s="79">
        <v>4.0991663933</v>
      </c>
      <c r="G12" s="82">
        <f t="shared" si="1"/>
        <v>3.8730388332127634</v>
      </c>
      <c r="H12" s="83">
        <f t="shared" si="0"/>
        <v>5.1133673431006776E-2</v>
      </c>
      <c r="I12" s="84">
        <f t="shared" si="2"/>
        <v>4.0991663933</v>
      </c>
      <c r="J12" s="85" t="s">
        <v>66</v>
      </c>
    </row>
    <row r="13" spans="1:10" x14ac:dyDescent="0.2">
      <c r="A13" s="78" t="s">
        <v>98</v>
      </c>
      <c r="B13" t="s">
        <v>99</v>
      </c>
      <c r="C13" s="79" t="s">
        <v>100</v>
      </c>
      <c r="D13" s="80">
        <v>101.828125</v>
      </c>
      <c r="E13" s="81">
        <v>20</v>
      </c>
      <c r="F13" s="79">
        <v>4.3615345955000002</v>
      </c>
      <c r="G13" s="82">
        <f t="shared" si="1"/>
        <v>4.4747610447696671</v>
      </c>
      <c r="H13" s="83">
        <f t="shared" si="0"/>
        <v>1.282022881421644E-2</v>
      </c>
      <c r="I13" s="84">
        <f t="shared" si="2"/>
        <v>4.3615345955000002</v>
      </c>
      <c r="J13" s="85" t="s">
        <v>66</v>
      </c>
    </row>
    <row r="14" spans="1:10" ht="17" thickBot="1" x14ac:dyDescent="0.25">
      <c r="A14" s="86" t="s">
        <v>101</v>
      </c>
      <c r="B14" s="18" t="s">
        <v>102</v>
      </c>
      <c r="C14" s="87" t="s">
        <v>103</v>
      </c>
      <c r="D14" s="88">
        <v>99.7578125</v>
      </c>
      <c r="E14" s="89">
        <v>30</v>
      </c>
      <c r="F14" s="87">
        <v>4.2642383575</v>
      </c>
      <c r="G14" s="82">
        <f t="shared" si="1"/>
        <v>4.2398851278625926</v>
      </c>
      <c r="H14" s="83">
        <f t="shared" si="0"/>
        <v>5.9307979377229729E-4</v>
      </c>
      <c r="I14" s="90">
        <f t="shared" si="2"/>
        <v>4.2642383575</v>
      </c>
      <c r="J14" s="91" t="s">
        <v>66</v>
      </c>
    </row>
    <row r="15" spans="1:10" ht="17" thickBot="1" x14ac:dyDescent="0.25">
      <c r="G15" s="92" t="s">
        <v>104</v>
      </c>
      <c r="H15" s="93">
        <f>SUM(H2:H14)</f>
        <v>0.2489439629747969</v>
      </c>
    </row>
    <row r="16" spans="1:10" x14ac:dyDescent="0.2">
      <c r="B16" s="156" t="s">
        <v>105</v>
      </c>
      <c r="C16" s="156"/>
      <c r="D16" s="156"/>
      <c r="E16" s="94"/>
    </row>
    <row r="17" spans="1:5" x14ac:dyDescent="0.2">
      <c r="A17" s="156" t="s">
        <v>106</v>
      </c>
      <c r="B17" s="156"/>
      <c r="C17" s="95" t="s">
        <v>107</v>
      </c>
      <c r="E17" s="95"/>
    </row>
    <row r="18" spans="1:5" x14ac:dyDescent="0.2">
      <c r="A18" s="157" t="s">
        <v>108</v>
      </c>
      <c r="B18" s="157"/>
    </row>
    <row r="19" spans="1:5" x14ac:dyDescent="0.2">
      <c r="A19" s="38" t="s">
        <v>109</v>
      </c>
      <c r="B19" s="38">
        <v>-0.35632220098850298</v>
      </c>
    </row>
    <row r="20" spans="1:5" ht="17" thickBot="1" x14ac:dyDescent="0.25">
      <c r="A20" s="38" t="s">
        <v>110</v>
      </c>
      <c r="B20" s="38">
        <v>2.5379780707523201E-2</v>
      </c>
    </row>
    <row r="21" spans="1:5" ht="17" thickBot="1" x14ac:dyDescent="0.25">
      <c r="A21" s="38" t="s">
        <v>111</v>
      </c>
      <c r="B21" s="96">
        <v>-4.92712855830718E-4</v>
      </c>
      <c r="D21" s="97" t="s">
        <v>112</v>
      </c>
      <c r="E21" s="98">
        <f>H15</f>
        <v>0.2489439629747969</v>
      </c>
    </row>
    <row r="22" spans="1:5" x14ac:dyDescent="0.2">
      <c r="A22" s="38" t="s">
        <v>113</v>
      </c>
      <c r="B22" s="38">
        <v>5.3909956281761904</v>
      </c>
      <c r="E22" s="99"/>
    </row>
    <row r="26" spans="1:5" x14ac:dyDescent="0.2">
      <c r="A26" s="100" t="s">
        <v>114</v>
      </c>
      <c r="B26" s="95" t="s">
        <v>115</v>
      </c>
    </row>
    <row r="27" spans="1:5" ht="17" thickBot="1" x14ac:dyDescent="0.25"/>
    <row r="28" spans="1:5" ht="17" thickBot="1" x14ac:dyDescent="0.25">
      <c r="A28" s="101" t="s">
        <v>116</v>
      </c>
      <c r="B28" s="102" t="s">
        <v>117</v>
      </c>
    </row>
    <row r="29" spans="1:5" x14ac:dyDescent="0.2">
      <c r="A29" s="103">
        <v>0.5</v>
      </c>
      <c r="B29" s="104">
        <f>$B$22+($B$19*A29)+($B$20*(A29^2))+($B$21*(A29^3))</f>
        <v>5.2191178837518413</v>
      </c>
    </row>
    <row r="30" spans="1:5" x14ac:dyDescent="0.2">
      <c r="A30" s="103">
        <v>1</v>
      </c>
      <c r="B30" s="104">
        <f>$B$22+($B$19*A30)+($B$20*(A30^2))+($B$21*(A30^3))</f>
        <v>5.0595604950393804</v>
      </c>
    </row>
    <row r="31" spans="1:5" x14ac:dyDescent="0.2">
      <c r="A31" s="103">
        <v>1.5</v>
      </c>
      <c r="B31" s="104">
        <f t="shared" ref="B31:B48" si="3">$B$22+($B$19*A31)+($B$20*(A31^2))+($B$21*(A31^3))</f>
        <v>4.9119539273969348</v>
      </c>
    </row>
    <row r="32" spans="1:5" x14ac:dyDescent="0.2">
      <c r="A32" s="103">
        <v>2</v>
      </c>
      <c r="B32" s="104">
        <f t="shared" si="3"/>
        <v>4.7759286461826314</v>
      </c>
    </row>
    <row r="33" spans="1:2" x14ac:dyDescent="0.2">
      <c r="A33" s="103">
        <v>2.5</v>
      </c>
      <c r="B33" s="104">
        <f t="shared" si="3"/>
        <v>4.651115116754597</v>
      </c>
    </row>
    <row r="34" spans="1:2" x14ac:dyDescent="0.2">
      <c r="A34" s="103">
        <v>3</v>
      </c>
      <c r="B34" s="104">
        <f t="shared" si="3"/>
        <v>4.5371438044709604</v>
      </c>
    </row>
    <row r="35" spans="1:2" x14ac:dyDescent="0.2">
      <c r="A35" s="103">
        <v>3.5</v>
      </c>
      <c r="B35" s="104">
        <f t="shared" si="3"/>
        <v>4.4336451746898469</v>
      </c>
    </row>
    <row r="36" spans="1:2" x14ac:dyDescent="0.2">
      <c r="A36" s="103">
        <v>4</v>
      </c>
      <c r="B36" s="104">
        <f t="shared" si="3"/>
        <v>4.3402496927693841</v>
      </c>
    </row>
    <row r="37" spans="1:2" x14ac:dyDescent="0.2">
      <c r="A37" s="103">
        <v>4.5</v>
      </c>
      <c r="B37" s="104">
        <f t="shared" si="3"/>
        <v>4.2565878240676982</v>
      </c>
    </row>
    <row r="38" spans="1:2" x14ac:dyDescent="0.2">
      <c r="A38" s="103">
        <v>5</v>
      </c>
      <c r="B38" s="104">
        <f t="shared" si="3"/>
        <v>4.1822900339429161</v>
      </c>
    </row>
    <row r="39" spans="1:2" x14ac:dyDescent="0.2">
      <c r="A39" s="103">
        <v>5.5</v>
      </c>
      <c r="B39" s="104">
        <f t="shared" si="3"/>
        <v>4.1169867877531647</v>
      </c>
    </row>
    <row r="40" spans="1:2" x14ac:dyDescent="0.2">
      <c r="A40" s="103">
        <v>6</v>
      </c>
      <c r="B40" s="104">
        <f t="shared" si="3"/>
        <v>4.0603085508565728</v>
      </c>
    </row>
    <row r="41" spans="1:2" x14ac:dyDescent="0.2">
      <c r="A41" s="103">
        <v>6.5</v>
      </c>
      <c r="B41" s="104">
        <f t="shared" si="3"/>
        <v>4.0118857886112655</v>
      </c>
    </row>
    <row r="42" spans="1:2" x14ac:dyDescent="0.2">
      <c r="A42" s="103">
        <v>7</v>
      </c>
      <c r="B42" s="104">
        <f t="shared" si="3"/>
        <v>3.9713489663753698</v>
      </c>
    </row>
    <row r="43" spans="1:2" x14ac:dyDescent="0.2">
      <c r="A43" s="103">
        <v>7.5</v>
      </c>
      <c r="B43" s="104">
        <f t="shared" si="3"/>
        <v>3.9383285495070135</v>
      </c>
    </row>
    <row r="44" spans="1:2" x14ac:dyDescent="0.2">
      <c r="A44" s="103">
        <v>8</v>
      </c>
      <c r="B44" s="104">
        <f t="shared" si="3"/>
        <v>3.9124550033643235</v>
      </c>
    </row>
    <row r="45" spans="1:2" x14ac:dyDescent="0.2">
      <c r="A45" s="103">
        <v>8.5</v>
      </c>
      <c r="B45" s="104">
        <f t="shared" si="3"/>
        <v>3.8933587933054268</v>
      </c>
    </row>
    <row r="46" spans="1:2" x14ac:dyDescent="0.2">
      <c r="A46" s="103">
        <v>9</v>
      </c>
      <c r="B46" s="104">
        <f t="shared" si="3"/>
        <v>3.8806703846884494</v>
      </c>
    </row>
    <row r="47" spans="1:2" x14ac:dyDescent="0.2">
      <c r="A47" s="103">
        <v>9.5</v>
      </c>
      <c r="B47" s="104">
        <f t="shared" si="3"/>
        <v>3.8740202428715191</v>
      </c>
    </row>
    <row r="48" spans="1:2" ht="17" thickBot="1" x14ac:dyDescent="0.25">
      <c r="A48" s="105">
        <v>10</v>
      </c>
      <c r="B48" s="106">
        <f t="shared" si="3"/>
        <v>3.8730388332127634</v>
      </c>
    </row>
  </sheetData>
  <mergeCells count="3">
    <mergeCell ref="B16:D16"/>
    <mergeCell ref="A17:B17"/>
    <mergeCell ref="A18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BC6E-64DB-4E4D-96D8-B05F3C51098A}">
  <sheetPr>
    <tabColor rgb="FF92D050"/>
  </sheetPr>
  <dimension ref="A1:J58"/>
  <sheetViews>
    <sheetView workbookViewId="0">
      <selection activeCell="A6" sqref="A6:J6"/>
    </sheetView>
  </sheetViews>
  <sheetFormatPr baseColWidth="10" defaultColWidth="8.83203125" defaultRowHeight="13" x14ac:dyDescent="0.15"/>
  <cols>
    <col min="1" max="1" width="12" style="107" customWidth="1"/>
    <col min="2" max="3" width="10.6640625" style="107" customWidth="1"/>
    <col min="4" max="5" width="8.83203125" style="107"/>
    <col min="6" max="6" width="11.5" style="107" customWidth="1"/>
    <col min="7" max="7" width="12.5" style="107" customWidth="1"/>
    <col min="8" max="8" width="11.5" style="107" customWidth="1"/>
    <col min="9" max="9" width="8.83203125" style="107"/>
    <col min="10" max="10" width="16" style="107" customWidth="1"/>
    <col min="11" max="16384" width="8.83203125" style="107"/>
  </cols>
  <sheetData>
    <row r="1" spans="1:10" x14ac:dyDescent="0.15">
      <c r="B1" s="107" t="s">
        <v>142</v>
      </c>
    </row>
    <row r="3" spans="1:10" x14ac:dyDescent="0.15">
      <c r="A3" s="107" t="s">
        <v>118</v>
      </c>
    </row>
    <row r="5" spans="1:10" x14ac:dyDescent="0.15">
      <c r="A5" s="107" t="s">
        <v>119</v>
      </c>
    </row>
    <row r="6" spans="1:10" ht="15" x14ac:dyDescent="0.2">
      <c r="A6" s="108" t="s">
        <v>120</v>
      </c>
      <c r="B6" s="108" t="s">
        <v>121</v>
      </c>
      <c r="C6" s="109" t="s">
        <v>56</v>
      </c>
      <c r="D6" s="110" t="s">
        <v>122</v>
      </c>
      <c r="E6" s="108" t="s">
        <v>58</v>
      </c>
      <c r="F6" s="108" t="s">
        <v>123</v>
      </c>
      <c r="G6" s="108" t="s">
        <v>124</v>
      </c>
      <c r="H6" s="108" t="s">
        <v>125</v>
      </c>
      <c r="I6" s="158" t="s">
        <v>108</v>
      </c>
      <c r="J6" s="159"/>
    </row>
    <row r="7" spans="1:10" ht="16" x14ac:dyDescent="0.2">
      <c r="A7" s="111">
        <v>0.5</v>
      </c>
      <c r="B7" s="112" t="s">
        <v>126</v>
      </c>
      <c r="C7" s="113">
        <f>PV((E7/100)/4,1,-100)</f>
        <v>98.712025752633124</v>
      </c>
      <c r="D7" s="114"/>
      <c r="E7" s="115">
        <f>'[1]Actual Yield vs. Fitted Model'!B29</f>
        <v>5.2191178837518413</v>
      </c>
      <c r="F7" s="115">
        <f>E7</f>
        <v>5.2191178837518413</v>
      </c>
      <c r="G7" s="115"/>
      <c r="H7" s="115"/>
      <c r="I7" s="38" t="s">
        <v>109</v>
      </c>
      <c r="J7" s="38">
        <v>-0.35632220098850298</v>
      </c>
    </row>
    <row r="8" spans="1:10" ht="16" x14ac:dyDescent="0.2">
      <c r="A8" s="111">
        <v>1</v>
      </c>
      <c r="B8" s="116">
        <f>E8</f>
        <v>5.0595604950393804</v>
      </c>
      <c r="C8" s="113">
        <f>ABS(PV((E8/100)/2,A8*2,B8/2)+PV(E8/100,A8,,100))</f>
        <v>100.05794686723954</v>
      </c>
      <c r="D8" s="114"/>
      <c r="E8" s="115">
        <f>'[1]Actual Yield vs. Fitted Model'!B30</f>
        <v>5.0595604950393804</v>
      </c>
      <c r="F8" s="115">
        <f>E41</f>
        <v>5.0575844179614471</v>
      </c>
      <c r="G8" s="115"/>
      <c r="H8" s="115"/>
      <c r="I8" s="38" t="s">
        <v>110</v>
      </c>
      <c r="J8" s="38">
        <v>2.5379780707523201E-2</v>
      </c>
    </row>
    <row r="9" spans="1:10" ht="16" x14ac:dyDescent="0.2">
      <c r="A9" s="111">
        <v>1.5</v>
      </c>
      <c r="B9" s="116">
        <f t="shared" ref="B9:B26" si="0">E9</f>
        <v>4.9119539273969348</v>
      </c>
      <c r="C9" s="113">
        <f t="shared" ref="C9:C26" si="1">ABS(PV((E9/100)/2,A9*2,B9/2)+PV(E9/100,A9,,100))</f>
        <v>100.08019833975729</v>
      </c>
      <c r="D9" s="117"/>
      <c r="E9" s="115">
        <f>'[1]Actual Yield vs. Fitted Model'!B31</f>
        <v>4.9119539273969348</v>
      </c>
      <c r="F9" s="115">
        <f>2*((H9/(C9-G9))^(1/(2*A9))-1)*100</f>
        <v>4.8495351455921654</v>
      </c>
      <c r="G9" s="115">
        <f>((B9/2)/(1+(F$7/100)/2))+((B9/2)/(1+(F$8/100)/2)^2)</f>
        <v>4.7298382366167457</v>
      </c>
      <c r="H9" s="115">
        <f>100+B9/2</f>
        <v>102.45597696369846</v>
      </c>
      <c r="I9" s="38" t="s">
        <v>111</v>
      </c>
      <c r="J9" s="96">
        <v>-4.92712855830718E-4</v>
      </c>
    </row>
    <row r="10" spans="1:10" ht="16" x14ac:dyDescent="0.2">
      <c r="A10" s="111">
        <v>2</v>
      </c>
      <c r="B10" s="116">
        <f t="shared" si="0"/>
        <v>4.7759286461826314</v>
      </c>
      <c r="C10" s="113">
        <f t="shared" si="1"/>
        <v>100.09907102957133</v>
      </c>
      <c r="D10" s="117"/>
      <c r="E10" s="115">
        <f>'[1]Actual Yield vs. Fitted Model'!B32</f>
        <v>4.7759286461826314</v>
      </c>
      <c r="F10" s="115">
        <f t="shared" ref="F10:F26" si="2">2*((H10/(C10-G10))^(1/(2*A10))-1)*100</f>
        <v>4.7140150602474673</v>
      </c>
      <c r="G10" s="115">
        <f>((B10/2)/(1+(F$7/100)/2))+((B10/2)/(1+(F$8/100)/2)^2)+((B10/2)/(1+(F$9/100)/2)^3)</f>
        <v>6.8212083560979142</v>
      </c>
      <c r="H10" s="115">
        <f t="shared" ref="H10:H26" si="3">100+B10/2</f>
        <v>102.38796432309131</v>
      </c>
      <c r="I10" s="38" t="s">
        <v>113</v>
      </c>
      <c r="J10" s="38">
        <v>5.3909956281761904</v>
      </c>
    </row>
    <row r="11" spans="1:10" x14ac:dyDescent="0.15">
      <c r="A11" s="111">
        <v>2.5</v>
      </c>
      <c r="B11" s="116">
        <f t="shared" si="0"/>
        <v>4.651115116754597</v>
      </c>
      <c r="C11" s="113">
        <f t="shared" si="1"/>
        <v>100.11521208739642</v>
      </c>
      <c r="D11" s="117"/>
      <c r="E11" s="115">
        <f>'[1]Actual Yield vs. Fitted Model'!B33</f>
        <v>4.651115116754597</v>
      </c>
      <c r="F11" s="115">
        <f t="shared" si="2"/>
        <v>4.5887069645964118</v>
      </c>
      <c r="G11" s="115">
        <f>((B11/2)/(1+(F$7/100)/2))+((B11/2)/(1+(F$8/100)/2)^2)+((B11/2)/(1+(F$9/100)/2)^3)+((B11/2)/(1+(F$10/100)/2)^4)</f>
        <v>8.7615818038943942</v>
      </c>
      <c r="H11" s="115">
        <f t="shared" si="3"/>
        <v>102.3255575583773</v>
      </c>
    </row>
    <row r="12" spans="1:10" x14ac:dyDescent="0.15">
      <c r="A12" s="111">
        <v>3</v>
      </c>
      <c r="B12" s="116">
        <f t="shared" si="0"/>
        <v>4.5371438044709604</v>
      </c>
      <c r="C12" s="113">
        <f t="shared" si="1"/>
        <v>100.12915652796143</v>
      </c>
      <c r="D12" s="117"/>
      <c r="E12" s="115">
        <f>'[1]Actual Yield vs. Fitted Model'!B34</f>
        <v>4.5371438044709604</v>
      </c>
      <c r="F12" s="115">
        <f t="shared" si="2"/>
        <v>4.4735550982810235</v>
      </c>
      <c r="G12" s="115">
        <f>((B12/2)/(1+(F$7/100)/2))+((B12/2)/(1+(F$8/100)/2)^2)+((B12/2)/(1+(F$9/100)/2)^3)+((B12/2)/(1+(F$10/100)/2)^4)+((B12/2)/(1+(F$11/100)/2)^5)</f>
        <v>10.572210015656804</v>
      </c>
      <c r="H12" s="115">
        <f t="shared" si="3"/>
        <v>102.26857190223548</v>
      </c>
    </row>
    <row r="13" spans="1:10" x14ac:dyDescent="0.15">
      <c r="A13" s="111">
        <v>3.5</v>
      </c>
      <c r="B13" s="116">
        <f t="shared" si="0"/>
        <v>4.4336451746898469</v>
      </c>
      <c r="C13" s="113">
        <f t="shared" si="1"/>
        <v>100.14134755040162</v>
      </c>
      <c r="D13" s="117"/>
      <c r="E13" s="115">
        <f>'[1]Actual Yield vs. Fitted Model'!B35</f>
        <v>4.4336451746898469</v>
      </c>
      <c r="F13" s="115">
        <f t="shared" si="2"/>
        <v>4.3684217764912603</v>
      </c>
      <c r="G13" s="115">
        <f>((B13/2)/(1+(F$7/100)/2))+((B13/2)/(1+(F$8/100)/2)^2)+((B13/2)/(1+(F$9/100)/2)^3)+((B13/2)/(1+(F$10/100)/2)^4)+((B13/2)/(1+(F$11/100)/2)^5)+((B13/2)/(1+(F$12/100)/2)^6)</f>
        <v>12.272322341825443</v>
      </c>
      <c r="H13" s="115">
        <f t="shared" si="3"/>
        <v>102.21682258734492</v>
      </c>
    </row>
    <row r="14" spans="1:10" x14ac:dyDescent="0.15">
      <c r="A14" s="111">
        <v>4</v>
      </c>
      <c r="B14" s="116">
        <f t="shared" si="0"/>
        <v>4.3402496927693841</v>
      </c>
      <c r="C14" s="113">
        <f t="shared" si="1"/>
        <v>100.1521528829863</v>
      </c>
      <c r="D14" s="117"/>
      <c r="E14" s="115">
        <f>'[1]Actual Yield vs. Fitted Model'!B36</f>
        <v>4.3402496927693841</v>
      </c>
      <c r="F14" s="115">
        <f t="shared" si="2"/>
        <v>4.2731219906004814</v>
      </c>
      <c r="G14" s="115">
        <f>((B14/2)/(1+(F$7/100)/2))+((B14/2)/(1+(F$8/100)/2)^2)+((B14/2)/(1+(F$9/100)/2)^3)+((B14/2)/(1+(F$10/100)/2)^4)+((B14/2)/(1+(F$11/100)/2)^5)+((B14/2)/(1+(F$12/100)/2)^6)+((B14/2)/(1+(F$13/100)/2)^7)</f>
        <v>13.879316252926321</v>
      </c>
      <c r="H14" s="115">
        <f t="shared" si="3"/>
        <v>102.1701248463847</v>
      </c>
    </row>
    <row r="15" spans="1:10" x14ac:dyDescent="0.15">
      <c r="A15" s="111">
        <v>4.5</v>
      </c>
      <c r="B15" s="116">
        <f t="shared" si="0"/>
        <v>4.2565878240676982</v>
      </c>
      <c r="C15" s="113">
        <f t="shared" si="1"/>
        <v>100.16187795813232</v>
      </c>
      <c r="D15" s="117"/>
      <c r="E15" s="115">
        <f>'[1]Actual Yield vs. Fitted Model'!B37</f>
        <v>4.2565878240676982</v>
      </c>
      <c r="F15" s="115">
        <f t="shared" si="2"/>
        <v>4.1874377965225751</v>
      </c>
      <c r="G15" s="115">
        <f>((B15/2)/(1+(F$7/100)/2))+((B15/2)/(1+(F$8/100)/2)^2)+((B15/2)/(1+(F$9/100)/2)^3)+((B15/2)/(1+(F$10/100)/2)^4)+((B15/2)/(1+(F$11/100)/2)^5)+((B15/2)/(1+(F$12/100)/2)^6)+((B15/2)/(1+(F$13/100)/2)^7)+((B15/2)/(1+(F$14/100)/2)^8)</f>
        <v>15.408920423044117</v>
      </c>
      <c r="H15" s="115">
        <f t="shared" si="3"/>
        <v>102.12829391203385</v>
      </c>
    </row>
    <row r="16" spans="1:10" x14ac:dyDescent="0.15">
      <c r="A16" s="111">
        <v>5</v>
      </c>
      <c r="B16" s="116">
        <f t="shared" si="0"/>
        <v>4.1822900339429161</v>
      </c>
      <c r="C16" s="113">
        <f t="shared" si="1"/>
        <v>100.17077655042385</v>
      </c>
      <c r="D16" s="117"/>
      <c r="E16" s="115">
        <f>'[1]Actual Yield vs. Fitted Model'!B38</f>
        <v>4.1822900339429161</v>
      </c>
      <c r="F16" s="115">
        <f t="shared" si="2"/>
        <v>4.1111264171010742</v>
      </c>
      <c r="G16" s="115">
        <f>((B16/2)/(1+(F$7/100)/2))+((B16/2)/(1+(F$8/100)/2)^2)+((B16/2)/(1+(F$9/100)/2)^3)+((B16/2)/(1+(F$10/100)/2)^4)+((B16/2)/(1+(F$11/100)/2)^5)+((B16/2)/(1+(F$12/100)/2)^6)+((B16/2)/(1+(F$13/100)/2)^7)+((B16/2)/(1+(F$14/100)/2)^8)+((B16/2)/(1+(F$15/100)/2)^9)</f>
        <v>16.875334559092511</v>
      </c>
      <c r="H16" s="115">
        <f t="shared" si="3"/>
        <v>102.09114501697145</v>
      </c>
    </row>
    <row r="17" spans="1:8" x14ac:dyDescent="0.15">
      <c r="A17" s="111">
        <v>5.5</v>
      </c>
      <c r="B17" s="116">
        <f t="shared" si="0"/>
        <v>4.1169867877531647</v>
      </c>
      <c r="C17" s="113">
        <f t="shared" si="1"/>
        <v>100.17905937658787</v>
      </c>
      <c r="D17" s="117"/>
      <c r="E17" s="115">
        <f>'[1]Actual Yield vs. Fitted Model'!B39</f>
        <v>4.1169867877531647</v>
      </c>
      <c r="F17" s="115">
        <f t="shared" si="2"/>
        <v>4.0439258252424892</v>
      </c>
      <c r="G17" s="115">
        <f>((B17/2)/(1+(F$7/100)/2))+((B17/2)/(1+(F$8/100)/2)^2)+((B17/2)/(1+(F$9/100)/2)^3)+((B17/2)/(1+(F$10/100)/2)^4)+((B17/2)/(1+(F$11/100)/2)^5)+((B17/2)/(1+(F$12/100)/2)^6)+((B17/2)/(1+(F$13/100)/2)^7)+((B17/2)/(1+(F$14/100)/2)^8)+((B17/2)/(1+(F$15/100)/2)^9)+((B17/2)/(1+(F$16/100)/2)^10)</f>
        <v>18.291349350406954</v>
      </c>
      <c r="H17" s="115">
        <f t="shared" si="3"/>
        <v>102.05849339387659</v>
      </c>
    </row>
    <row r="18" spans="1:8" x14ac:dyDescent="0.15">
      <c r="A18" s="111">
        <v>6</v>
      </c>
      <c r="B18" s="116">
        <f t="shared" si="0"/>
        <v>4.0603085508565728</v>
      </c>
      <c r="C18" s="113">
        <f t="shared" si="1"/>
        <v>100.18690105290176</v>
      </c>
      <c r="D18" s="114"/>
      <c r="E18" s="115">
        <f>'[1]Actual Yield vs. Fitted Model'!B40</f>
        <v>4.0603085508565728</v>
      </c>
      <c r="F18" s="115">
        <f t="shared" si="2"/>
        <v>3.9855590463822921</v>
      </c>
      <c r="G18" s="115">
        <f>((B18/2)/(1+(F$7/100)/2))+((B18/2)/(1+(F$8/100)/2)^2)+((B18/2)/(1+(F$9/100)/2)^3)+((B18/2)/(1+(F$10/100)/2)^4)+((B18/2)/(1+(F$11/100)/2)^5)+((B18/2)/(1+(F$12/100)/2)^6)+((B18/2)/(1+(F$13/100)/2)^7)+((B18/2)/(1+(F$14/100)/2)^8)+((B18/2)/(1+(F$15/100)/2)^9)+((B18/2)/(1+(F$16/100)/2)^10)+((B18/2)/(1+(F$17/100)/2)^11)</f>
        <v>19.668449490146852</v>
      </c>
      <c r="H18" s="115">
        <f t="shared" si="3"/>
        <v>102.03015427542829</v>
      </c>
    </row>
    <row r="19" spans="1:8" x14ac:dyDescent="0.15">
      <c r="A19" s="111">
        <v>6.5</v>
      </c>
      <c r="B19" s="116">
        <f t="shared" si="0"/>
        <v>4.0118857886112655</v>
      </c>
      <c r="C19" s="113">
        <f t="shared" si="1"/>
        <v>100.19444572532493</v>
      </c>
      <c r="D19" s="114"/>
      <c r="E19" s="115">
        <f>'[1]Actual Yield vs. Fitted Model'!B41</f>
        <v>4.0118857886112655</v>
      </c>
      <c r="F19" s="115">
        <f t="shared" si="2"/>
        <v>3.9357376500738894</v>
      </c>
      <c r="G19" s="115">
        <f>((B19/2)/(1+(F$7/100)/2))+((B19/2)/(1+(F$8/100)/2)^2)+((B19/2)/(1+(F$9/100)/2)^3)+((B19/2)/(1+(F$10/100)/2)^4)+((B19/2)/(1+(F$11/100)/2)^5)+((B19/2)/(1+(F$12/100)/2)^6)+((B19/2)/(1+(F$13/100)/2)^7)+((B19/2)/(1+(F$14/100)/2)^8)+((B19/2)/(1+(F$15/100)/2)^9)+((B19/2)/(1+(F$16/100)/2)^10)+((B19/2)/(1+(F$17/100)/2)^11)+((B19/2)/(1+(F$18/100)/2)^12)</f>
        <v>21.016902355689489</v>
      </c>
      <c r="H19" s="115">
        <f t="shared" si="3"/>
        <v>102.00594289430563</v>
      </c>
    </row>
    <row r="20" spans="1:8" x14ac:dyDescent="0.15">
      <c r="A20" s="111">
        <v>7</v>
      </c>
      <c r="B20" s="116">
        <f t="shared" si="0"/>
        <v>3.9713489663753698</v>
      </c>
      <c r="C20" s="113">
        <f t="shared" si="1"/>
        <v>100.20181162543918</v>
      </c>
      <c r="D20" s="117"/>
      <c r="E20" s="115">
        <f>'[1]Actual Yield vs. Fitted Model'!B42</f>
        <v>3.9713489663753698</v>
      </c>
      <c r="F20" s="115">
        <f t="shared" si="2"/>
        <v>3.8941646325544532</v>
      </c>
      <c r="G20" s="115">
        <f>((B20/2)/(1+(F$7/100)/2))+((B20/2)/(1+(F$8/100)/2)^2)+((B20/2)/(1+(F$9/100)/2)^3)+((B20/2)/(1+(F$10/100)/2)^4)+((B20/2)/(1+(F$11/100)/2)^5)+((B20/2)/(1+(F$12/100)/2)^6)+((B20/2)/(1+(F$13/100)/2)^7)+((B20/2)/(1+(F$14/100)/2)^8)+((B20/2)/(1+(F$15/100)/2)^9)+((B20/2)/(1+(F$16/100)/2)^10)+((B20/2)/(1+(F$17/100)/2)^11)+((B20/2)/(1+(F$18/100)/2)^12)+((B20/2)/(1+(F$19/100)/2)^13)</f>
        <v>22.345834619957305</v>
      </c>
      <c r="H20" s="115">
        <f t="shared" si="3"/>
        <v>101.98567448318768</v>
      </c>
    </row>
    <row r="21" spans="1:8" x14ac:dyDescent="0.15">
      <c r="A21" s="111">
        <v>7.5</v>
      </c>
      <c r="B21" s="116">
        <f t="shared" si="0"/>
        <v>3.9383285495070135</v>
      </c>
      <c r="C21" s="113">
        <f t="shared" si="1"/>
        <v>100.20909475693892</v>
      </c>
      <c r="D21" s="117"/>
      <c r="E21" s="115">
        <f>'[1]Actual Yield vs. Fitted Model'!B43</f>
        <v>3.9383285495070135</v>
      </c>
      <c r="F21" s="115">
        <f t="shared" si="2"/>
        <v>3.8605367895033993</v>
      </c>
      <c r="G21" s="115">
        <f>((B21/2)/(1+(F$7/100)/2))+((B21/2)/(1+(F$8/100)/2)^2)+((B21/2)/(1+(F$9/100)/2)^3)+((B21/2)/(1+(F$10/100)/2)^4)+((B21/2)/(1+(F$11/100)/2)^5)+((B21/2)/(1+(F$12/100)/2)^6)+((B21/2)/(1+(F$13/100)/2)^7)+((B21/2)/(1+(F$14/100)/2)^8)+((B21/2)/(1+(F$15/100)/2)^9)+((B21/2)/(1+(F$16/100)/2)^10)+((B21/2)/(1+(F$17/100)/2)^11)+((B21/2)/(1+(F$18/100)/2)^12)+((B21/2)/(1+(F$19/100)/2)^13)+((B21/2)/(1+(F$20/100)/2)^14)</f>
        <v>23.663298791228655</v>
      </c>
      <c r="H21" s="115">
        <f t="shared" si="3"/>
        <v>101.96916427475351</v>
      </c>
    </row>
    <row r="22" spans="1:8" x14ac:dyDescent="0.15">
      <c r="A22" s="111">
        <v>8</v>
      </c>
      <c r="B22" s="116">
        <f t="shared" si="0"/>
        <v>3.9124550033643235</v>
      </c>
      <c r="C22" s="113">
        <f t="shared" si="1"/>
        <v>100.21637187975138</v>
      </c>
      <c r="D22" s="117"/>
      <c r="E22" s="115">
        <f>'[1]Actual Yield vs. Fitted Model'!B44</f>
        <v>3.9124550033643235</v>
      </c>
      <c r="F22" s="115">
        <f t="shared" si="2"/>
        <v>3.8345466361251024</v>
      </c>
      <c r="G22" s="115">
        <f>((B22/2)/(1+(F$7/100)/2))+((B22/2)/(1+(F$8/100)/2)^2)+((B22/2)/(1+(F$9/100)/2)^3)+((B22/2)/(1+(F$10/100)/2)^4)+((B22/2)/(1+(F$11/100)/2)^5)+((B22/2)/(1+(F$12/100)/2)^6)+((B22/2)/(1+(F$13/100)/2)^7)+((B22/2)/(1+(F$14/100)/2)^8)+((B22/2)/(1+(F$15/100)/2)^9)+((B22/2)/(1+(F$16/100)/2)^10)+((B22/2)/(1+(F$17/100)/2)^11)+((B22/2)/(1+(F$18/100)/2)^12)+((B22/2)/(1+(F$19/100)/2)^13)+((B22/2)/(1+(F$20/100)/2)^14)+((B22/2)/(1+(F$21/100)/2)^15)</f>
        <v>24.976331438494537</v>
      </c>
      <c r="H22" s="115">
        <f t="shared" si="3"/>
        <v>101.95622750168216</v>
      </c>
    </row>
    <row r="23" spans="1:8" x14ac:dyDescent="0.15">
      <c r="A23" s="111">
        <v>8.5</v>
      </c>
      <c r="B23" s="116">
        <f t="shared" si="0"/>
        <v>3.8933587933054268</v>
      </c>
      <c r="C23" s="113">
        <f t="shared" si="1"/>
        <v>100.22370292939439</v>
      </c>
      <c r="D23" s="117"/>
      <c r="E23" s="115">
        <f>'[1]Actual Yield vs. Fitted Model'!B45</f>
        <v>3.8933587933054268</v>
      </c>
      <c r="F23" s="115">
        <f t="shared" si="2"/>
        <v>3.8158839133630273</v>
      </c>
      <c r="G23" s="115">
        <f>((B23/2)/(1+(F$7/100)/2))+((B23/2)/(1+(F$8/100)/2)^2)+((B23/2)/(1+(F$9/100)/2)^3)+((B23/2)/(1+(F$10/100)/2)^4)+((B23/2)/(1+(F$11/100)/2)^5)+((B23/2)/(1+(F$12/100)/2)^6)+((B23/2)/(1+(F$13/100)/2)^7)+((B23/2)/(1+(F$14/100)/2)^8)+((B23/2)/(1+(F$15/100)/2)^9)+((B23/2)/(1+(F$16/100)/2)^10)+((B23/2)/(1+(F$17/100)/2)^11)+((B23/2)/(1+(F$18/100)/2)^12)+((B23/2)/(1+(F$19/100)/2)^13)+((B23/2)/(1+(F$20/100)/2)^14)+((B23/2)/(1+(F$21/100)/2)^15)+((B23/2)/(1+(F$22/100)/2)^16)</f>
        <v>26.291004647004733</v>
      </c>
      <c r="H23" s="115">
        <f t="shared" si="3"/>
        <v>101.94667939665271</v>
      </c>
    </row>
    <row r="24" spans="1:8" x14ac:dyDescent="0.15">
      <c r="A24" s="111">
        <v>9</v>
      </c>
      <c r="B24" s="116">
        <f t="shared" si="0"/>
        <v>3.8806703846884494</v>
      </c>
      <c r="C24" s="113">
        <f t="shared" si="1"/>
        <v>100.23113298597151</v>
      </c>
      <c r="D24" s="117"/>
      <c r="E24" s="115">
        <f>'[1]Actual Yield vs. Fitted Model'!B46</f>
        <v>3.8806703846884494</v>
      </c>
      <c r="F24" s="115">
        <f t="shared" si="2"/>
        <v>3.804236710350839</v>
      </c>
      <c r="G24" s="115">
        <f>((B24/2)/(1+(F$7/100)/2))+((B24/2)/(1+(F$8/100)/2)^2)+((B24/2)/(1+(F$9/100)/2)^3)+((B24/2)/(1+(F$10/100)/2)^4)+((B24/2)/(1+(F$11/100)/2)^5)+((B24/2)/(1+(F$12/100)/2)^6)+((B24/2)/(1+(F$13/100)/2)^7)+((B24/2)/(1+(F$14/100)/2)^8)+((B24/2)/(1+(F$15/100)/2)^9)+((B24/2)/(1+(F$16/100)/2)^10)+((B24/2)/(1+(F$17/100)/2)^11)+((B24/2)/(1+(F$18/100)/2)^12)+((B24/2)/(1+(F$19/100)/2)^13)+((B24/2)/(1+(F$20/100)/2)^14)+((B24/2)/(1+(F$21/100)/2)^15)+((B24/2)/(1+(F$22/100)/2)^16)+((B24/2)/(1+(F$23/100)/2)^17)</f>
        <v>27.612472059425322</v>
      </c>
      <c r="H24" s="115">
        <f t="shared" si="3"/>
        <v>101.94033519234422</v>
      </c>
    </row>
    <row r="25" spans="1:8" x14ac:dyDescent="0.15">
      <c r="A25" s="111">
        <v>9.5</v>
      </c>
      <c r="B25" s="116">
        <f t="shared" si="0"/>
        <v>3.8740202428715191</v>
      </c>
      <c r="C25" s="113">
        <f t="shared" si="1"/>
        <v>100.2386938886948</v>
      </c>
      <c r="D25" s="117"/>
      <c r="E25" s="115">
        <f>'[1]Actual Yield vs. Fitted Model'!B47</f>
        <v>3.8740202428715191</v>
      </c>
      <c r="F25" s="115">
        <f t="shared" si="2"/>
        <v>3.7992922283674346</v>
      </c>
      <c r="G25" s="115">
        <f>((B25/2)/(1+(F$7/100)/2))+((B25/2)/(1+(F$8/100)/2)^2)+((B25/2)/(1+(F$9/100)/2)^3)+((B25/2)/(1+(F$10/100)/2)^4)+((B25/2)/(1+(F$11/100)/2)^5)+((B25/2)/(1+(F$12/100)/2)^6)+((B25/2)/(1+(F$13/100)/2)^7)+((B25/2)/(1+(F$14/100)/2)^8)+((B25/2)/(1+(F$15/100)/2)^9)+((B25/2)/(1+(F$16/100)/2)^10)+((B25/2)/(1+(F$17/100)/2)^11)+((B25/2)/(1+(F$18/100)/2)^12)+((B25/2)/(1+(F$19/100)/2)^13)+((B25/2)/(1+(F$20/100)/2)^14)+((B25/2)/(1+(F$21/100)/2)^15)+((B25/2)/(1+(F$22/100)/2)^16)+((B25/2)/(1+(F$23/100)/2)^17)+((B25/2)/(1+(F$24/100)/2)^18)</f>
        <v>28.945010687978183</v>
      </c>
      <c r="H25" s="115">
        <f t="shared" si="3"/>
        <v>101.93701012143576</v>
      </c>
    </row>
    <row r="26" spans="1:8" x14ac:dyDescent="0.15">
      <c r="A26" s="111">
        <v>10</v>
      </c>
      <c r="B26" s="116">
        <f t="shared" si="0"/>
        <v>3.8730388332127634</v>
      </c>
      <c r="C26" s="113">
        <f t="shared" si="1"/>
        <v>100.24640557682299</v>
      </c>
      <c r="D26" s="117"/>
      <c r="E26" s="115">
        <f>'[1]Actual Yield vs. Fitted Model'!B48</f>
        <v>3.8730388332127634</v>
      </c>
      <c r="F26" s="115">
        <f t="shared" si="2"/>
        <v>3.80064628667931</v>
      </c>
      <c r="G26" s="115">
        <f>((B26/2)/(1+(F$7/100)/2))+((B26/2)/(1+(F$8/100)/2)^2)+((B26/2)/(1+(F$9/100)/2)^3)+((B26/2)/(1+(F$10/100)/2)^4)+((B26/2)/(1+(F$11/100)/2)^5)+((B26/2)/(1+(F$12/100)/2)^6)+((B26/2)/(1+(F$13/100)/2)^7)+((B26/2)/(1+(F$14/100)/2)^8)+((B26/2)/(1+(F$15/100)/2)^9)+((B26/2)/(1+(F$16/100)/2)^10)+((B26/2)/(1+(F$17/100)/2)^11)+((B26/2)/(1+(F$18/100)/2)^12)+((B26/2)/(1+(F$19/100)/2)^13)+((B26/2)/(1+(F$20/100)/2)^14)+((B26/2)/(1+(F$21/100)/2)^15)+((B26/2)/(1+(F$22/100)/2)^16)+((B26/2)/(1+(F$23/100)/2)^17)+((B26/2)/(1+(F$24/100)/2)^18)+((B26/2)/(1+(F$24/100)/2)^19)</f>
        <v>30.291435352295082</v>
      </c>
      <c r="H26" s="115">
        <f t="shared" si="3"/>
        <v>101.93651941660639</v>
      </c>
    </row>
    <row r="28" spans="1:8" x14ac:dyDescent="0.15">
      <c r="B28" s="107" t="s">
        <v>127</v>
      </c>
    </row>
    <row r="30" spans="1:8" x14ac:dyDescent="0.15">
      <c r="B30" s="107" t="s">
        <v>128</v>
      </c>
    </row>
    <row r="31" spans="1:8" x14ac:dyDescent="0.15">
      <c r="B31" s="107" t="s">
        <v>129</v>
      </c>
    </row>
    <row r="33" spans="2:8" x14ac:dyDescent="0.15">
      <c r="B33" s="118">
        <f>($B$8/2)/(1+($E$8/100)/2)</f>
        <v>2.4673614255414233</v>
      </c>
      <c r="C33" s="119" t="str">
        <f>CONCATENATE("+ ",TEXT((100+$B$8/2)/(1+($E$8/100)/2)^2,"#.0000"))</f>
        <v>+ 97.5326</v>
      </c>
      <c r="D33" s="120" t="s">
        <v>130</v>
      </c>
      <c r="E33" s="118">
        <f>($B$8/2)/(1+($E$7/100)/2)</f>
        <v>2.4654430577493338</v>
      </c>
      <c r="F33" s="121" t="str">
        <f>CONCATENATE("+ ",TEXT((100+$B$8/2),"#.0000"),"/(1+Z2/2)^2")</f>
        <v>+ 102.5298/(1+Z2/2)^2</v>
      </c>
      <c r="G33" s="121"/>
      <c r="H33" s="121"/>
    </row>
    <row r="35" spans="2:8" x14ac:dyDescent="0.15">
      <c r="B35" s="107" t="s">
        <v>131</v>
      </c>
    </row>
    <row r="36" spans="2:8" x14ac:dyDescent="0.15">
      <c r="C36" s="118">
        <f>B33+C33</f>
        <v>99.999961425541429</v>
      </c>
      <c r="D36" s="120" t="s">
        <v>130</v>
      </c>
      <c r="E36" s="118">
        <f>E33</f>
        <v>2.4654430577493338</v>
      </c>
      <c r="F36" s="121" t="str">
        <f>CONCATENATE("+ ",TEXT((100+$B$8/2),"#.0000"),"/(1+Z2/2)^2")</f>
        <v>+ 102.5298/(1+Z2/2)^2</v>
      </c>
      <c r="G36" s="121"/>
      <c r="H36" s="121"/>
    </row>
    <row r="37" spans="2:8" x14ac:dyDescent="0.15">
      <c r="C37" s="118">
        <f>C36-E36</f>
        <v>97.534518367792089</v>
      </c>
      <c r="D37" s="120" t="s">
        <v>130</v>
      </c>
      <c r="E37" s="121" t="str">
        <f>CONCATENATE("",TEXT((100+$B$8/2),"#.0000"),"/(1+Z2/2)^2")</f>
        <v>102.5298/(1+Z2/2)^2</v>
      </c>
    </row>
    <row r="38" spans="2:8" x14ac:dyDescent="0.15">
      <c r="C38" s="119" t="s">
        <v>132</v>
      </c>
      <c r="D38" s="120" t="s">
        <v>130</v>
      </c>
      <c r="E38" s="107">
        <f>(100+$B$8/2)/C37</f>
        <v>1.0512153231832346</v>
      </c>
    </row>
    <row r="39" spans="2:8" x14ac:dyDescent="0.15">
      <c r="C39" s="107" t="s">
        <v>133</v>
      </c>
      <c r="D39" s="120" t="s">
        <v>130</v>
      </c>
      <c r="E39" s="107">
        <f>SQRT(E38)</f>
        <v>1.0252879220898072</v>
      </c>
    </row>
    <row r="40" spans="2:8" x14ac:dyDescent="0.15">
      <c r="C40" s="107" t="s">
        <v>134</v>
      </c>
      <c r="D40" s="120" t="s">
        <v>130</v>
      </c>
      <c r="E40" s="107">
        <f>E39-1</f>
        <v>2.5287922089807235E-2</v>
      </c>
    </row>
    <row r="41" spans="2:8" x14ac:dyDescent="0.15">
      <c r="C41" s="107" t="s">
        <v>135</v>
      </c>
      <c r="D41" s="120" t="s">
        <v>130</v>
      </c>
      <c r="E41" s="122">
        <f>200*E40</f>
        <v>5.0575844179614471</v>
      </c>
      <c r="F41" s="107" t="s">
        <v>136</v>
      </c>
    </row>
    <row r="56" spans="1:5" x14ac:dyDescent="0.15">
      <c r="A56" s="123"/>
      <c r="B56" s="123"/>
      <c r="C56" s="123"/>
      <c r="D56" s="123"/>
      <c r="E56" s="123"/>
    </row>
    <row r="58" spans="1:5" s="123" customFormat="1" x14ac:dyDescent="0.15">
      <c r="A58" s="107"/>
      <c r="B58" s="107"/>
      <c r="C58" s="107"/>
      <c r="D58" s="107"/>
      <c r="E58" s="107"/>
    </row>
  </sheetData>
  <mergeCells count="1">
    <mergeCell ref="I6:J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2CD6-BD3F-6F48-8C55-60A895443E7B}">
  <sheetPr>
    <tabColor rgb="FF92D050"/>
  </sheetPr>
  <dimension ref="A2:L38"/>
  <sheetViews>
    <sheetView workbookViewId="0">
      <selection activeCell="L30" sqref="L30"/>
    </sheetView>
  </sheetViews>
  <sheetFormatPr baseColWidth="10" defaultColWidth="8.83203125" defaultRowHeight="13" x14ac:dyDescent="0.15"/>
  <cols>
    <col min="1" max="1" width="11" style="124" customWidth="1"/>
    <col min="2" max="2" width="12.6640625" style="124" bestFit="1" customWidth="1"/>
    <col min="3" max="4" width="8.83203125" style="124"/>
    <col min="5" max="5" width="12.6640625" style="124" bestFit="1" customWidth="1"/>
    <col min="6" max="6" width="11.5" style="124" customWidth="1"/>
    <col min="7" max="7" width="11.1640625" style="124" customWidth="1"/>
    <col min="8" max="16384" width="8.83203125" style="124"/>
  </cols>
  <sheetData>
    <row r="2" spans="1:7" x14ac:dyDescent="0.15">
      <c r="A2" s="108" t="s">
        <v>120</v>
      </c>
      <c r="B2" s="108" t="s">
        <v>121</v>
      </c>
      <c r="C2" s="108" t="s">
        <v>56</v>
      </c>
      <c r="D2" s="125" t="s">
        <v>122</v>
      </c>
      <c r="E2" s="108" t="s">
        <v>58</v>
      </c>
      <c r="F2" s="108" t="s">
        <v>123</v>
      </c>
      <c r="G2" s="108" t="s">
        <v>137</v>
      </c>
    </row>
    <row r="3" spans="1:7" x14ac:dyDescent="0.15">
      <c r="A3" s="126">
        <v>0</v>
      </c>
      <c r="B3" s="126" t="s">
        <v>126</v>
      </c>
      <c r="C3" s="126"/>
      <c r="D3" s="126"/>
      <c r="E3" s="127"/>
      <c r="F3" s="127">
        <v>5.4026851654000003</v>
      </c>
      <c r="G3" s="127">
        <f>F4</f>
        <v>5.2191178837518413</v>
      </c>
    </row>
    <row r="4" spans="1:7" x14ac:dyDescent="0.15">
      <c r="A4" s="128">
        <v>0.5</v>
      </c>
      <c r="B4" s="126" t="s">
        <v>126</v>
      </c>
      <c r="C4" s="129">
        <v>98.712025752633124</v>
      </c>
      <c r="D4" s="126"/>
      <c r="E4" s="127">
        <v>5.2191178837518413</v>
      </c>
      <c r="F4" s="127">
        <v>5.2191178837518413</v>
      </c>
      <c r="G4" s="127">
        <f>D37</f>
        <v>4.7130125457619076</v>
      </c>
    </row>
    <row r="5" spans="1:7" x14ac:dyDescent="0.15">
      <c r="A5" s="128">
        <v>1</v>
      </c>
      <c r="B5" s="127">
        <v>5.0595604950393804</v>
      </c>
      <c r="C5" s="129">
        <v>100.05794686723954</v>
      </c>
      <c r="D5" s="126"/>
      <c r="E5" s="127">
        <v>5.0595604950393804</v>
      </c>
      <c r="F5" s="127">
        <v>5.0575844179614471</v>
      </c>
      <c r="G5" s="127">
        <f>2*((((1+F6/2)^(A6*2))/((1+F5/2)^(A6*2-1)))-1)</f>
        <v>4.4516549480298524</v>
      </c>
    </row>
    <row r="6" spans="1:7" x14ac:dyDescent="0.15">
      <c r="A6" s="128">
        <v>1.5</v>
      </c>
      <c r="B6" s="127">
        <v>4.9119539273969348</v>
      </c>
      <c r="C6" s="129">
        <v>100.08019833975729</v>
      </c>
      <c r="D6" s="130"/>
      <c r="E6" s="127">
        <v>4.9119539273969348</v>
      </c>
      <c r="F6" s="127">
        <v>4.8495351455921654</v>
      </c>
      <c r="G6" s="127">
        <f t="shared" ref="G6:G22" si="0">2*((((1+F7/2)^(A7*2))/((1+F6/2)^(A7*2-1)))-1)</f>
        <v>4.3233314827749867</v>
      </c>
    </row>
    <row r="7" spans="1:7" x14ac:dyDescent="0.15">
      <c r="A7" s="128">
        <v>2</v>
      </c>
      <c r="B7" s="127">
        <v>4.7759286461826314</v>
      </c>
      <c r="C7" s="129">
        <v>100.09907102957133</v>
      </c>
      <c r="D7" s="130"/>
      <c r="E7" s="127">
        <v>4.7759286461826314</v>
      </c>
      <c r="F7" s="127">
        <v>4.7140150602474673</v>
      </c>
      <c r="G7" s="127">
        <f t="shared" si="0"/>
        <v>4.1104292287359936</v>
      </c>
    </row>
    <row r="8" spans="1:7" x14ac:dyDescent="0.15">
      <c r="A8" s="128">
        <v>2.5</v>
      </c>
      <c r="B8" s="127">
        <v>4.651115116754597</v>
      </c>
      <c r="C8" s="129">
        <v>100.11521208739642</v>
      </c>
      <c r="D8" s="130"/>
      <c r="E8" s="127">
        <v>4.651115116754597</v>
      </c>
      <c r="F8" s="127">
        <v>4.5887069645964118</v>
      </c>
      <c r="G8" s="127">
        <f t="shared" si="0"/>
        <v>3.927289367027603</v>
      </c>
    </row>
    <row r="9" spans="1:7" x14ac:dyDescent="0.15">
      <c r="A9" s="128">
        <v>3</v>
      </c>
      <c r="B9" s="127">
        <v>4.5371438044709604</v>
      </c>
      <c r="C9" s="129">
        <v>100.12915652796143</v>
      </c>
      <c r="D9" s="130"/>
      <c r="E9" s="127">
        <v>4.5371438044709604</v>
      </c>
      <c r="F9" s="127">
        <v>4.4735550982810235</v>
      </c>
      <c r="G9" s="127">
        <f t="shared" si="0"/>
        <v>3.7725225553850663</v>
      </c>
    </row>
    <row r="10" spans="1:7" x14ac:dyDescent="0.15">
      <c r="A10" s="128">
        <v>3.5</v>
      </c>
      <c r="B10" s="127">
        <v>4.4336451746898469</v>
      </c>
      <c r="C10" s="129">
        <v>100.14134755040162</v>
      </c>
      <c r="D10" s="130"/>
      <c r="E10" s="127">
        <v>4.4336451746898469</v>
      </c>
      <c r="F10" s="127">
        <v>4.3684217764912603</v>
      </c>
      <c r="G10" s="127">
        <f t="shared" si="0"/>
        <v>3.6447814783427415</v>
      </c>
    </row>
    <row r="11" spans="1:7" x14ac:dyDescent="0.15">
      <c r="A11" s="128">
        <v>4</v>
      </c>
      <c r="B11" s="127">
        <v>4.3402496927693841</v>
      </c>
      <c r="C11" s="129">
        <v>100.1521528829863</v>
      </c>
      <c r="D11" s="130"/>
      <c r="E11" s="127">
        <v>4.3402496927693841</v>
      </c>
      <c r="F11" s="127">
        <v>4.2731219906004814</v>
      </c>
      <c r="G11" s="127">
        <f t="shared" si="0"/>
        <v>3.5427813635614873</v>
      </c>
    </row>
    <row r="12" spans="1:7" x14ac:dyDescent="0.15">
      <c r="A12" s="128">
        <v>4.5</v>
      </c>
      <c r="B12" s="127">
        <v>4.2565878240676982</v>
      </c>
      <c r="C12" s="129">
        <v>100.16187795813232</v>
      </c>
      <c r="D12" s="130"/>
      <c r="E12" s="127">
        <v>4.2565878240676982</v>
      </c>
      <c r="F12" s="127">
        <v>4.1874377965225751</v>
      </c>
      <c r="G12" s="127">
        <f t="shared" si="0"/>
        <v>3.4653133210104068</v>
      </c>
    </row>
    <row r="13" spans="1:7" x14ac:dyDescent="0.15">
      <c r="A13" s="128">
        <v>5</v>
      </c>
      <c r="B13" s="127">
        <v>4.1822900339429161</v>
      </c>
      <c r="C13" s="129">
        <v>100.17077655042385</v>
      </c>
      <c r="D13" s="130"/>
      <c r="E13" s="127">
        <v>4.1822900339429161</v>
      </c>
      <c r="F13" s="127">
        <v>4.1111264171010742</v>
      </c>
      <c r="G13" s="127">
        <f t="shared" si="0"/>
        <v>3.4112513297584357</v>
      </c>
    </row>
    <row r="14" spans="1:7" x14ac:dyDescent="0.15">
      <c r="A14" s="128">
        <v>5.5</v>
      </c>
      <c r="B14" s="127">
        <v>4.1169867877531647</v>
      </c>
      <c r="C14" s="129">
        <v>100.17905937658787</v>
      </c>
      <c r="D14" s="130"/>
      <c r="E14" s="127">
        <v>4.1169867877531647</v>
      </c>
      <c r="F14" s="127">
        <v>4.0439258252424892</v>
      </c>
      <c r="G14" s="127">
        <f t="shared" si="0"/>
        <v>3.3795537259391963</v>
      </c>
    </row>
    <row r="15" spans="1:7" x14ac:dyDescent="0.15">
      <c r="A15" s="128">
        <v>6</v>
      </c>
      <c r="B15" s="127">
        <v>4.0603085508565728</v>
      </c>
      <c r="C15" s="129">
        <v>100.18690105290176</v>
      </c>
      <c r="D15" s="126"/>
      <c r="E15" s="127">
        <v>4.0603085508565728</v>
      </c>
      <c r="F15" s="127">
        <v>3.9855590463822921</v>
      </c>
      <c r="G15" s="127">
        <f t="shared" si="0"/>
        <v>3.3692600158234747</v>
      </c>
    </row>
    <row r="16" spans="1:7" x14ac:dyDescent="0.15">
      <c r="A16" s="128">
        <v>6.5</v>
      </c>
      <c r="B16" s="127">
        <v>4.0118857886112655</v>
      </c>
      <c r="C16" s="129">
        <v>100.19444572532493</v>
      </c>
      <c r="D16" s="126"/>
      <c r="E16" s="127">
        <v>4.0118857886112655</v>
      </c>
      <c r="F16" s="127">
        <v>3.9357376500738894</v>
      </c>
      <c r="G16" s="127">
        <f t="shared" si="0"/>
        <v>3.3794837698719498</v>
      </c>
    </row>
    <row r="17" spans="1:12" x14ac:dyDescent="0.15">
      <c r="A17" s="128">
        <v>7</v>
      </c>
      <c r="B17" s="127">
        <v>3.9713489663753698</v>
      </c>
      <c r="C17" s="129">
        <v>100.20181162543918</v>
      </c>
      <c r="D17" s="130"/>
      <c r="E17" s="127">
        <v>3.9713489663753698</v>
      </c>
      <c r="F17" s="127">
        <v>3.8941646325544532</v>
      </c>
      <c r="G17" s="127">
        <f t="shared" si="0"/>
        <v>3.4094022629615184</v>
      </c>
    </row>
    <row r="18" spans="1:12" x14ac:dyDescent="0.15">
      <c r="A18" s="128">
        <v>7.5</v>
      </c>
      <c r="B18" s="127">
        <v>3.9383285495070135</v>
      </c>
      <c r="C18" s="129">
        <v>100.20909475693892</v>
      </c>
      <c r="D18" s="130"/>
      <c r="E18" s="127">
        <v>3.9383285495070135</v>
      </c>
      <c r="F18" s="127">
        <v>3.8605367895033993</v>
      </c>
      <c r="G18" s="127">
        <f t="shared" si="0"/>
        <v>3.4582434246281153</v>
      </c>
    </row>
    <row r="19" spans="1:12" x14ac:dyDescent="0.15">
      <c r="A19" s="128">
        <v>8</v>
      </c>
      <c r="B19" s="127">
        <v>3.9124550033643235</v>
      </c>
      <c r="C19" s="129">
        <v>100.21637187975138</v>
      </c>
      <c r="D19" s="130"/>
      <c r="E19" s="127">
        <v>3.9124550033643235</v>
      </c>
      <c r="F19" s="127">
        <v>3.8345466361251024</v>
      </c>
      <c r="G19" s="127">
        <f t="shared" si="0"/>
        <v>3.5252705597409664</v>
      </c>
    </row>
    <row r="20" spans="1:12" x14ac:dyDescent="0.15">
      <c r="A20" s="128">
        <v>8.5</v>
      </c>
      <c r="B20" s="127">
        <v>3.8933587933054268</v>
      </c>
      <c r="C20" s="129">
        <v>100.22370292939439</v>
      </c>
      <c r="D20" s="130"/>
      <c r="E20" s="127">
        <v>3.8933587933054268</v>
      </c>
      <c r="F20" s="127">
        <v>3.8158839133630273</v>
      </c>
      <c r="G20" s="127">
        <f t="shared" si="0"/>
        <v>3.6097651999293765</v>
      </c>
    </row>
    <row r="21" spans="1:12" x14ac:dyDescent="0.15">
      <c r="A21" s="128">
        <v>9</v>
      </c>
      <c r="B21" s="127">
        <v>3.8806703846884494</v>
      </c>
      <c r="C21" s="129">
        <v>100.23113298597151</v>
      </c>
      <c r="D21" s="130"/>
      <c r="E21" s="127">
        <v>3.8806703846884494</v>
      </c>
      <c r="F21" s="127">
        <v>3.804236710350839</v>
      </c>
      <c r="G21" s="127">
        <f t="shared" si="0"/>
        <v>3.7110083530191673</v>
      </c>
    </row>
    <row r="22" spans="1:12" x14ac:dyDescent="0.15">
      <c r="A22" s="128">
        <v>9.5</v>
      </c>
      <c r="B22" s="127">
        <v>3.8740202428715191</v>
      </c>
      <c r="C22" s="129">
        <v>100.2386938886948</v>
      </c>
      <c r="D22" s="130"/>
      <c r="E22" s="127">
        <v>3.8740202428715191</v>
      </c>
      <c r="F22" s="127">
        <v>3.7992922283674346</v>
      </c>
      <c r="G22" s="127">
        <f t="shared" si="0"/>
        <v>3.8264335482476834</v>
      </c>
    </row>
    <row r="23" spans="1:12" x14ac:dyDescent="0.15">
      <c r="A23" s="128">
        <v>10</v>
      </c>
      <c r="B23" s="127">
        <v>3.8730388332127634</v>
      </c>
      <c r="C23" s="129">
        <v>100.24640557682299</v>
      </c>
      <c r="D23" s="130"/>
      <c r="E23" s="127">
        <v>3.8730388332127634</v>
      </c>
      <c r="F23" s="127">
        <v>3.80064628667931</v>
      </c>
      <c r="G23" s="127"/>
    </row>
    <row r="25" spans="1:12" x14ac:dyDescent="0.15">
      <c r="A25" s="107" t="s">
        <v>127</v>
      </c>
      <c r="B25" s="107"/>
      <c r="C25" s="107"/>
      <c r="D25" s="107"/>
      <c r="E25" s="107"/>
      <c r="F25" s="107"/>
      <c r="G25" s="107"/>
      <c r="H25" s="107"/>
      <c r="I25" s="107"/>
    </row>
    <row r="26" spans="1:12" x14ac:dyDescent="0.15">
      <c r="A26" s="107"/>
      <c r="B26" s="107"/>
      <c r="C26" s="107"/>
      <c r="D26" s="107"/>
      <c r="E26" s="107"/>
      <c r="F26" s="107"/>
      <c r="G26" s="107"/>
      <c r="H26" s="107"/>
      <c r="I26" s="107"/>
      <c r="L26" s="121"/>
    </row>
    <row r="27" spans="1:12" x14ac:dyDescent="0.15">
      <c r="A27" s="107" t="s">
        <v>128</v>
      </c>
      <c r="B27" s="107"/>
      <c r="C27" s="107"/>
      <c r="D27" s="107"/>
      <c r="E27" s="107"/>
      <c r="F27" s="107"/>
      <c r="G27" s="107"/>
      <c r="H27" s="107"/>
      <c r="I27" s="107"/>
    </row>
    <row r="28" spans="1:12" x14ac:dyDescent="0.15">
      <c r="A28" s="107" t="s">
        <v>138</v>
      </c>
      <c r="B28" s="107"/>
      <c r="C28" s="107"/>
      <c r="D28" s="107"/>
      <c r="E28" s="107"/>
      <c r="F28" s="107"/>
      <c r="G28" s="107"/>
      <c r="H28" s="107"/>
      <c r="I28" s="107"/>
    </row>
    <row r="29" spans="1:12" x14ac:dyDescent="0.15">
      <c r="A29" s="107"/>
      <c r="B29" s="107"/>
      <c r="C29" s="107"/>
      <c r="D29" s="107"/>
      <c r="E29" s="107"/>
      <c r="F29" s="107"/>
      <c r="G29" s="107"/>
      <c r="H29" s="107"/>
      <c r="I29" s="107"/>
    </row>
    <row r="30" spans="1:12" x14ac:dyDescent="0.15">
      <c r="A30" s="118">
        <f>($B$5/2)/(1+($E$5/100)/2)</f>
        <v>2.4673614255414233</v>
      </c>
      <c r="B30" s="119" t="str">
        <f>CONCATENATE("+ ",TEXT((100+$B$5/2)/(1+($E$5/100)/2)^2,"#.0000"))</f>
        <v>+ 97.5326</v>
      </c>
      <c r="C30" s="120" t="s">
        <v>130</v>
      </c>
      <c r="D30" s="118">
        <v>2.4653999999999998</v>
      </c>
      <c r="E30" s="121" t="str">
        <f>CONCATENATE("+ ",100+$B$5/2,"/(1+Z1/2)(1+f1/2)")</f>
        <v>+ 102.52978024752/(1+Z1/2)(1+f1/2)</v>
      </c>
      <c r="F30" s="121"/>
      <c r="G30" s="107"/>
      <c r="H30" s="107"/>
      <c r="I30" s="107"/>
    </row>
    <row r="31" spans="1:12" x14ac:dyDescent="0.15">
      <c r="A31" s="107"/>
      <c r="B31" s="107"/>
      <c r="C31" s="107"/>
      <c r="D31" s="107"/>
      <c r="E31" s="107"/>
      <c r="F31" s="107"/>
      <c r="G31" s="107"/>
      <c r="H31" s="107"/>
      <c r="I31" s="107"/>
    </row>
    <row r="32" spans="1:12" x14ac:dyDescent="0.15">
      <c r="A32" s="107" t="s">
        <v>131</v>
      </c>
      <c r="B32" s="107"/>
      <c r="C32" s="107"/>
      <c r="D32" s="107"/>
      <c r="E32" s="107"/>
      <c r="F32" s="107"/>
      <c r="G32" s="107"/>
      <c r="H32" s="107"/>
      <c r="I32" s="107"/>
    </row>
    <row r="33" spans="1:9" x14ac:dyDescent="0.15">
      <c r="A33" s="107"/>
      <c r="B33" s="118">
        <f>A30+B30</f>
        <v>99.999961425541429</v>
      </c>
      <c r="C33" s="120" t="s">
        <v>130</v>
      </c>
      <c r="D33" s="118">
        <f>D30</f>
        <v>2.4653999999999998</v>
      </c>
      <c r="E33" s="121" t="str">
        <f>CONCATENATE("+ ",TEXT((100+$B$5/2),"#.0000"),"/(1+Z1/2)(1+f1/2)")</f>
        <v>+ 102.5298/(1+Z1/2)(1+f1/2)</v>
      </c>
      <c r="F33" s="121"/>
      <c r="G33" s="107"/>
      <c r="H33" s="107"/>
      <c r="I33" s="107"/>
    </row>
    <row r="34" spans="1:9" x14ac:dyDescent="0.15">
      <c r="A34" s="107"/>
      <c r="B34" s="118">
        <f>B33-D33</f>
        <v>97.534561425541426</v>
      </c>
      <c r="C34" s="120" t="s">
        <v>130</v>
      </c>
      <c r="D34" s="121" t="str">
        <f>CONCATENATE("",102.5298,"/(1+5.402685165/2)(1+f1/2)")</f>
        <v>102.5298/(1+5.402685165/2)(1+f1/2)</v>
      </c>
      <c r="E34" s="107"/>
      <c r="F34" s="107"/>
      <c r="G34" s="107"/>
      <c r="H34" s="107"/>
      <c r="I34" s="107"/>
    </row>
    <row r="35" spans="1:9" x14ac:dyDescent="0.15">
      <c r="A35" s="107"/>
      <c r="B35" s="119" t="s">
        <v>139</v>
      </c>
      <c r="C35" s="120" t="s">
        <v>130</v>
      </c>
      <c r="D35" s="107">
        <f>(102.5298/B34)/(1+(F3/100)/2)</f>
        <v>1.0235650627288095</v>
      </c>
      <c r="E35" s="107"/>
      <c r="F35" s="107"/>
      <c r="G35" s="107"/>
      <c r="H35" s="107"/>
      <c r="I35" s="107"/>
    </row>
    <row r="36" spans="1:9" x14ac:dyDescent="0.15">
      <c r="A36" s="107"/>
      <c r="B36" s="107" t="s">
        <v>140</v>
      </c>
      <c r="C36" s="120" t="s">
        <v>130</v>
      </c>
      <c r="D36" s="107">
        <f>D35-1</f>
        <v>2.3565062728809538E-2</v>
      </c>
      <c r="E36" s="107"/>
      <c r="F36" s="107"/>
      <c r="G36" s="107"/>
      <c r="H36" s="107"/>
      <c r="I36" s="107"/>
    </row>
    <row r="37" spans="1:9" x14ac:dyDescent="0.15">
      <c r="A37" s="107"/>
      <c r="B37" s="107" t="s">
        <v>141</v>
      </c>
      <c r="C37" s="120" t="s">
        <v>130</v>
      </c>
      <c r="D37" s="122">
        <f>200*D36</f>
        <v>4.7130125457619076</v>
      </c>
      <c r="E37" s="107" t="s">
        <v>136</v>
      </c>
      <c r="F37" s="107"/>
    </row>
    <row r="38" spans="1:9" x14ac:dyDescent="0.15">
      <c r="A38" s="107"/>
      <c r="F38" s="10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D2F5-0970-EC44-AC67-25E016F59071}">
  <sheetPr>
    <tabColor rgb="FF92D050"/>
  </sheetPr>
  <dimension ref="B16:M43"/>
  <sheetViews>
    <sheetView topLeftCell="A16" workbookViewId="0">
      <selection activeCell="I24" sqref="I24"/>
    </sheetView>
  </sheetViews>
  <sheetFormatPr baseColWidth="10" defaultRowHeight="16" x14ac:dyDescent="0.2"/>
  <sheetData>
    <row r="16" spans="2:9" x14ac:dyDescent="0.2">
      <c r="B16" s="108" t="s">
        <v>143</v>
      </c>
      <c r="C16" s="109" t="s">
        <v>120</v>
      </c>
      <c r="D16" s="109" t="s">
        <v>144</v>
      </c>
      <c r="E16" s="109" t="s">
        <v>145</v>
      </c>
      <c r="F16" s="108" t="s">
        <v>146</v>
      </c>
      <c r="H16" s="131" t="s">
        <v>147</v>
      </c>
      <c r="I16" s="132">
        <v>45369</v>
      </c>
    </row>
    <row r="17" spans="2:13" x14ac:dyDescent="0.2">
      <c r="B17" s="111">
        <v>0</v>
      </c>
      <c r="C17" s="133">
        <v>0.16</v>
      </c>
      <c r="D17" s="134">
        <f>'[2]Spot Curve Construction'!E7</f>
        <v>5.2191178837518413</v>
      </c>
      <c r="E17" s="135" t="s">
        <v>21</v>
      </c>
      <c r="F17" s="136"/>
      <c r="G17" s="137"/>
      <c r="H17" s="131" t="s">
        <v>148</v>
      </c>
      <c r="I17" s="132">
        <v>45245</v>
      </c>
    </row>
    <row r="18" spans="2:13" x14ac:dyDescent="0.2">
      <c r="B18" s="111">
        <v>1</v>
      </c>
      <c r="C18" s="133">
        <v>0.5</v>
      </c>
      <c r="D18" s="134">
        <f>'[2]Spot Curve Construction'!E8</f>
        <v>5.0595604950393804</v>
      </c>
      <c r="E18" s="138">
        <v>2.25</v>
      </c>
      <c r="F18" s="115">
        <f>E18/(1+(D18/2/100))^B18</f>
        <v>2.1944843679253179</v>
      </c>
      <c r="G18" s="139">
        <f>F37/(1+(D17/2/100))^C17</f>
        <v>104.77243660397048</v>
      </c>
      <c r="H18" s="131" t="s">
        <v>149</v>
      </c>
      <c r="I18" s="132">
        <f>I17+365*10+3</f>
        <v>48898</v>
      </c>
    </row>
    <row r="19" spans="2:13" x14ac:dyDescent="0.2">
      <c r="B19" s="111">
        <v>2</v>
      </c>
      <c r="C19" s="133">
        <v>1</v>
      </c>
      <c r="D19" s="134">
        <f>'[2]Spot Curve Construction'!E9</f>
        <v>4.8495028996091261</v>
      </c>
      <c r="E19" s="138">
        <v>2.25</v>
      </c>
      <c r="F19" s="115">
        <f t="shared" ref="F19:F36" si="0">E19/(1+(D19/2/100))^B19</f>
        <v>2.1447302666164458</v>
      </c>
      <c r="H19" s="131" t="s">
        <v>150</v>
      </c>
      <c r="I19" s="38">
        <f>COUPDAYSNC(I17,I18,2,0)</f>
        <v>180</v>
      </c>
    </row>
    <row r="20" spans="2:13" x14ac:dyDescent="0.2">
      <c r="B20" s="111">
        <v>3</v>
      </c>
      <c r="C20" s="133">
        <v>1.5</v>
      </c>
      <c r="D20" s="134">
        <f>'[2]Spot Curve Construction'!E10</f>
        <v>4.7139916147481031</v>
      </c>
      <c r="E20" s="138">
        <v>2.25</v>
      </c>
      <c r="F20" s="115">
        <f t="shared" si="0"/>
        <v>2.0981180776577495</v>
      </c>
      <c r="H20" s="131" t="s">
        <v>151</v>
      </c>
      <c r="I20" s="132">
        <f>I17+I19</f>
        <v>45425</v>
      </c>
    </row>
    <row r="21" spans="2:13" x14ac:dyDescent="0.2">
      <c r="B21" s="111">
        <v>4</v>
      </c>
      <c r="C21" s="133">
        <v>2</v>
      </c>
      <c r="D21" s="134">
        <f>'[2]Spot Curve Construction'!E11</f>
        <v>4.5886887597637482</v>
      </c>
      <c r="E21" s="138">
        <v>2.25</v>
      </c>
      <c r="F21" s="115">
        <f t="shared" si="0"/>
        <v>2.0548306033032371</v>
      </c>
      <c r="H21" s="131" t="s">
        <v>152</v>
      </c>
      <c r="I21" s="38">
        <f>I20-I16</f>
        <v>56</v>
      </c>
    </row>
    <row r="22" spans="2:13" x14ac:dyDescent="0.2">
      <c r="B22" s="111">
        <v>5</v>
      </c>
      <c r="C22" s="133">
        <v>2.5</v>
      </c>
      <c r="D22" s="134">
        <f>'[2]Spot Curve Construction'!E12</f>
        <v>4.4735403538231022</v>
      </c>
      <c r="E22" s="138">
        <v>2.25</v>
      </c>
      <c r="F22" s="115">
        <f t="shared" si="0"/>
        <v>2.0144055682217417</v>
      </c>
      <c r="H22" s="131" t="s">
        <v>153</v>
      </c>
      <c r="I22" s="140">
        <f>I21/360</f>
        <v>0.15555555555555556</v>
      </c>
    </row>
    <row r="23" spans="2:13" x14ac:dyDescent="0.2">
      <c r="B23" s="111">
        <v>6</v>
      </c>
      <c r="C23" s="133">
        <v>3</v>
      </c>
      <c r="D23" s="134">
        <f>'[2]Spot Curve Construction'!E13</f>
        <v>4.3684094749837143</v>
      </c>
      <c r="E23" s="138">
        <v>2.25</v>
      </c>
      <c r="F23" s="115">
        <f t="shared" si="0"/>
        <v>1.9764230133927625</v>
      </c>
      <c r="H23" s="131" t="s">
        <v>154</v>
      </c>
      <c r="I23" s="38">
        <f>ABS(I17-I16)</f>
        <v>124</v>
      </c>
    </row>
    <row r="24" spans="2:13" x14ac:dyDescent="0.2">
      <c r="B24" s="111">
        <v>7</v>
      </c>
      <c r="C24" s="133">
        <v>3.5</v>
      </c>
      <c r="D24" s="134">
        <f>'[2]Spot Curve Construction'!E14</f>
        <v>4.2731114962161865</v>
      </c>
      <c r="E24" s="138">
        <v>2.25</v>
      </c>
      <c r="F24" s="115">
        <f t="shared" si="0"/>
        <v>1.9405018395801834</v>
      </c>
      <c r="H24" s="131" t="s">
        <v>155</v>
      </c>
      <c r="I24" s="38">
        <f>I23/360*I25*100</f>
        <v>1.55</v>
      </c>
    </row>
    <row r="25" spans="2:13" ht="17" thickBot="1" x14ac:dyDescent="0.25">
      <c r="B25" s="111">
        <v>8</v>
      </c>
      <c r="C25" s="133">
        <v>4</v>
      </c>
      <c r="D25" s="134">
        <f>'[2]Spot Curve Construction'!E15</f>
        <v>4.1874286855568599</v>
      </c>
      <c r="E25" s="138">
        <v>2.25</v>
      </c>
      <c r="F25" s="115">
        <f t="shared" si="0"/>
        <v>1.9062966396721568</v>
      </c>
      <c r="H25" s="131" t="s">
        <v>121</v>
      </c>
      <c r="I25" s="141">
        <v>4.4999999999999998E-2</v>
      </c>
    </row>
    <row r="26" spans="2:13" ht="17" thickBot="1" x14ac:dyDescent="0.25">
      <c r="B26" s="111">
        <v>9</v>
      </c>
      <c r="C26" s="133">
        <v>4.5</v>
      </c>
      <c r="D26" s="134">
        <f>'[2]Spot Curve Construction'!E16</f>
        <v>4.1111183932163176</v>
      </c>
      <c r="E26" s="138">
        <v>2.25</v>
      </c>
      <c r="F26" s="115">
        <f t="shared" si="0"/>
        <v>1.8734949113794046</v>
      </c>
      <c r="H26" s="142" t="s">
        <v>56</v>
      </c>
      <c r="I26" s="143">
        <v>101.421875</v>
      </c>
    </row>
    <row r="27" spans="2:13" ht="17" thickBot="1" x14ac:dyDescent="0.25">
      <c r="B27" s="111">
        <v>10</v>
      </c>
      <c r="C27" s="133">
        <v>5</v>
      </c>
      <c r="D27" s="134">
        <f>'[2]Spot Curve Construction'!E17</f>
        <v>4.0439186732219579</v>
      </c>
      <c r="E27" s="138">
        <v>2.25</v>
      </c>
      <c r="F27" s="115">
        <f t="shared" si="0"/>
        <v>1.8418146322780033</v>
      </c>
      <c r="H27" s="131" t="s">
        <v>58</v>
      </c>
      <c r="I27" s="144">
        <v>4.3180000000000003E-2</v>
      </c>
    </row>
    <row r="28" spans="2:13" ht="17" thickBot="1" x14ac:dyDescent="0.25">
      <c r="B28" s="111">
        <v>11</v>
      </c>
      <c r="C28" s="133">
        <v>5.5</v>
      </c>
      <c r="D28" s="134">
        <f>'[2]Spot Curve Construction'!E18</f>
        <v>3.9855526051395085</v>
      </c>
      <c r="E28" s="138">
        <v>2.25</v>
      </c>
      <c r="F28" s="115">
        <f t="shared" si="0"/>
        <v>1.8110021566077654</v>
      </c>
      <c r="J28" s="145" t="s">
        <v>156</v>
      </c>
      <c r="L28" s="143">
        <f>I29-I26</f>
        <v>3.3505616039704762</v>
      </c>
      <c r="M28" s="143" t="s">
        <v>157</v>
      </c>
    </row>
    <row r="29" spans="2:13" ht="17" thickBot="1" x14ac:dyDescent="0.25">
      <c r="B29" s="111">
        <v>12</v>
      </c>
      <c r="C29" s="133">
        <v>6</v>
      </c>
      <c r="D29" s="134">
        <f>'[2]Spot Curve Construction'!E19</f>
        <v>3.9357317960316607</v>
      </c>
      <c r="E29" s="138">
        <v>2.25</v>
      </c>
      <c r="F29" s="115">
        <f t="shared" si="0"/>
        <v>1.7808303902105964</v>
      </c>
      <c r="H29" s="146" t="s">
        <v>158</v>
      </c>
      <c r="I29" s="147">
        <f>G18</f>
        <v>104.77243660397048</v>
      </c>
      <c r="L29" s="143">
        <f>I30-I26</f>
        <v>1.800561603970479</v>
      </c>
      <c r="M29" s="143" t="s">
        <v>159</v>
      </c>
    </row>
    <row r="30" spans="2:13" ht="17" thickBot="1" x14ac:dyDescent="0.25">
      <c r="B30" s="111">
        <v>13</v>
      </c>
      <c r="C30" s="133">
        <v>6.5</v>
      </c>
      <c r="D30" s="134">
        <f>'[2]Spot Curve Construction'!E20</f>
        <v>3.8941592689504034</v>
      </c>
      <c r="E30" s="138">
        <v>2.25</v>
      </c>
      <c r="F30" s="115">
        <f t="shared" si="0"/>
        <v>1.7510972021380313</v>
      </c>
      <c r="H30" s="148" t="s">
        <v>160</v>
      </c>
      <c r="I30" s="149">
        <f>I29-I24</f>
        <v>103.22243660397048</v>
      </c>
    </row>
    <row r="31" spans="2:13" x14ac:dyDescent="0.2">
      <c r="B31" s="111">
        <v>14</v>
      </c>
      <c r="C31" s="133">
        <v>7</v>
      </c>
      <c r="D31" s="134">
        <f>'[2]Spot Curve Construction'!E21</f>
        <v>3.8605318392527455</v>
      </c>
      <c r="E31" s="138">
        <v>2.25</v>
      </c>
      <c r="F31" s="115">
        <f t="shared" si="0"/>
        <v>1.7216240349946224</v>
      </c>
    </row>
    <row r="32" spans="2:13" x14ac:dyDescent="0.2">
      <c r="B32" s="111">
        <v>15</v>
      </c>
      <c r="C32" s="133">
        <v>7.5</v>
      </c>
      <c r="D32" s="134">
        <f>'[2]Spot Curve Construction'!E22</f>
        <v>3.8345420369073846</v>
      </c>
      <c r="E32" s="138">
        <v>2.25</v>
      </c>
      <c r="F32" s="115">
        <f t="shared" si="0"/>
        <v>1.6922546798808369</v>
      </c>
    </row>
    <row r="33" spans="2:9" x14ac:dyDescent="0.2">
      <c r="B33" s="111">
        <v>16</v>
      </c>
      <c r="C33" s="133">
        <v>8</v>
      </c>
      <c r="D33" s="134">
        <f>'[2]Spot Curve Construction'!E23</f>
        <v>3.815879614149198</v>
      </c>
      <c r="E33" s="138">
        <v>2.25</v>
      </c>
      <c r="F33" s="115">
        <f t="shared" si="0"/>
        <v>1.6628541854932766</v>
      </c>
    </row>
    <row r="34" spans="2:9" x14ac:dyDescent="0.2">
      <c r="B34" s="111">
        <v>17</v>
      </c>
      <c r="C34" s="133">
        <v>8.5</v>
      </c>
      <c r="D34" s="134">
        <f>'[2]Spot Curve Construction'!E24</f>
        <v>3.8042326688915828</v>
      </c>
      <c r="E34" s="138">
        <v>2.25</v>
      </c>
      <c r="F34" s="115">
        <f t="shared" si="0"/>
        <v>1.6333078744236142</v>
      </c>
    </row>
    <row r="35" spans="2:9" x14ac:dyDescent="0.2">
      <c r="B35" s="111">
        <v>18</v>
      </c>
      <c r="C35" s="133">
        <v>9</v>
      </c>
      <c r="D35" s="134">
        <f>'[2]Spot Curve Construction'!E25</f>
        <v>3.7992884093395407</v>
      </c>
      <c r="E35" s="138">
        <v>2.25</v>
      </c>
      <c r="F35" s="115">
        <f t="shared" si="0"/>
        <v>1.6035204429470604</v>
      </c>
    </row>
    <row r="36" spans="2:9" x14ac:dyDescent="0.2">
      <c r="B36" s="111">
        <v>19</v>
      </c>
      <c r="C36" s="133">
        <v>9.5</v>
      </c>
      <c r="D36" s="134">
        <f>'[2]Spot Curve Construction'!E26</f>
        <v>3.8006426643831137</v>
      </c>
      <c r="E36" s="150">
        <f>100+E35</f>
        <v>102.25</v>
      </c>
      <c r="F36" s="151">
        <f t="shared" si="0"/>
        <v>71.503582240438291</v>
      </c>
    </row>
    <row r="37" spans="2:9" x14ac:dyDescent="0.2">
      <c r="E37" s="142" t="s">
        <v>161</v>
      </c>
      <c r="F37" s="152">
        <f>SUM(F18:F36)</f>
        <v>105.20517312716109</v>
      </c>
    </row>
    <row r="38" spans="2:9" ht="17" thickBot="1" x14ac:dyDescent="0.25"/>
    <row r="39" spans="2:9" x14ac:dyDescent="0.2">
      <c r="B39" s="160" t="s">
        <v>162</v>
      </c>
      <c r="C39" s="161"/>
      <c r="D39" s="161"/>
      <c r="E39" s="161"/>
      <c r="F39" s="161"/>
      <c r="G39" s="161"/>
      <c r="H39" s="161"/>
      <c r="I39" s="162"/>
    </row>
    <row r="40" spans="2:9" x14ac:dyDescent="0.2">
      <c r="B40" s="163"/>
      <c r="C40" s="164"/>
      <c r="D40" s="164"/>
      <c r="E40" s="164"/>
      <c r="F40" s="164"/>
      <c r="G40" s="164"/>
      <c r="H40" s="164"/>
      <c r="I40" s="165"/>
    </row>
    <row r="41" spans="2:9" ht="17" thickBot="1" x14ac:dyDescent="0.25">
      <c r="B41" s="166"/>
      <c r="C41" s="167"/>
      <c r="D41" s="167"/>
      <c r="E41" s="167"/>
      <c r="F41" s="167"/>
      <c r="G41" s="167"/>
      <c r="H41" s="167"/>
      <c r="I41" s="168"/>
    </row>
    <row r="42" spans="2:9" x14ac:dyDescent="0.2">
      <c r="B42" s="160" t="s">
        <v>163</v>
      </c>
      <c r="C42" s="161"/>
      <c r="D42" s="161"/>
      <c r="E42" s="161"/>
      <c r="F42" s="161"/>
      <c r="G42" s="161"/>
      <c r="H42" s="161"/>
      <c r="I42" s="162"/>
    </row>
    <row r="43" spans="2:9" ht="17" thickBot="1" x14ac:dyDescent="0.25">
      <c r="B43" s="166"/>
      <c r="C43" s="167"/>
      <c r="D43" s="167"/>
      <c r="E43" s="167"/>
      <c r="F43" s="167"/>
      <c r="G43" s="167"/>
      <c r="H43" s="167"/>
      <c r="I43" s="168"/>
    </row>
  </sheetData>
  <mergeCells count="2">
    <mergeCell ref="B39:I41"/>
    <mergeCell ref="B42:I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28D2-3181-3C44-8976-1E3C17DC52A3}">
  <sheetPr>
    <tabColor rgb="FF00B0F0"/>
  </sheetPr>
  <dimension ref="A1:I26"/>
  <sheetViews>
    <sheetView workbookViewId="0">
      <selection activeCell="J40" sqref="J40"/>
    </sheetView>
  </sheetViews>
  <sheetFormatPr baseColWidth="10" defaultRowHeight="16" x14ac:dyDescent="0.2"/>
  <cols>
    <col min="1" max="1" width="23.83203125" customWidth="1"/>
  </cols>
  <sheetData>
    <row r="1" spans="1:9" ht="17" thickBot="1" x14ac:dyDescent="0.25">
      <c r="A1" s="169" t="s">
        <v>42</v>
      </c>
      <c r="B1" s="170"/>
      <c r="C1" s="170"/>
      <c r="D1" s="170"/>
      <c r="E1" s="170"/>
      <c r="F1" s="171"/>
      <c r="H1" s="1" t="s">
        <v>22</v>
      </c>
      <c r="I1" s="1" t="s">
        <v>27</v>
      </c>
    </row>
    <row r="2" spans="1:9" x14ac:dyDescent="0.2">
      <c r="A2" t="s">
        <v>1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H2" s="1" t="s">
        <v>23</v>
      </c>
      <c r="I2" s="58">
        <v>0</v>
      </c>
    </row>
    <row r="3" spans="1:9" x14ac:dyDescent="0.2">
      <c r="A3" t="s">
        <v>0</v>
      </c>
      <c r="B3" s="2">
        <v>0</v>
      </c>
      <c r="C3" s="2">
        <v>0</v>
      </c>
      <c r="D3" s="2">
        <v>7.0000000000000007E-2</v>
      </c>
      <c r="E3" s="2">
        <v>0.06</v>
      </c>
      <c r="F3" s="2">
        <v>0.08</v>
      </c>
      <c r="H3" s="47" t="s">
        <v>24</v>
      </c>
      <c r="I3" s="57">
        <v>7.0000000000000001E-3</v>
      </c>
    </row>
    <row r="4" spans="1:9" x14ac:dyDescent="0.2">
      <c r="A4" t="s">
        <v>43</v>
      </c>
      <c r="B4" s="4">
        <v>0</v>
      </c>
      <c r="C4" s="4">
        <f>3/2</f>
        <v>1.5</v>
      </c>
      <c r="D4" s="4">
        <f t="shared" ref="D4:E4" si="0">3/2</f>
        <v>1.5</v>
      </c>
      <c r="E4" s="4">
        <f t="shared" si="0"/>
        <v>1.5</v>
      </c>
      <c r="F4" s="4">
        <f>3/2+100</f>
        <v>101.5</v>
      </c>
      <c r="H4" s="1" t="s">
        <v>25</v>
      </c>
      <c r="I4" s="10">
        <v>6.0000000000000001E-3</v>
      </c>
    </row>
    <row r="5" spans="1:9" x14ac:dyDescent="0.2">
      <c r="A5" t="s">
        <v>44</v>
      </c>
      <c r="B5" s="69" t="s">
        <v>21</v>
      </c>
      <c r="C5" s="3">
        <f>0%+I5</f>
        <v>8.0000000000000002E-3</v>
      </c>
      <c r="D5" s="5">
        <f>(((1+D3)^2/(1+C3))-1)%+I5</f>
        <v>9.4490000000000008E-3</v>
      </c>
      <c r="E5" s="5">
        <f>(((1+E3)^2/(1+D3))-1)%+I5</f>
        <v>8.5009345794392534E-3</v>
      </c>
      <c r="F5" s="5">
        <f>(((1+F3)^2/(1+E3))-1)%+I5</f>
        <v>9.0037735849056617E-3</v>
      </c>
      <c r="H5" s="1" t="s">
        <v>26</v>
      </c>
      <c r="I5" s="10">
        <v>8.0000000000000002E-3</v>
      </c>
    </row>
    <row r="6" spans="1:9" hidden="1" x14ac:dyDescent="0.2">
      <c r="A6" t="s">
        <v>39</v>
      </c>
    </row>
    <row r="7" spans="1:9" hidden="1" x14ac:dyDescent="0.2">
      <c r="A7" t="s">
        <v>40</v>
      </c>
    </row>
    <row r="8" spans="1:9" x14ac:dyDescent="0.2">
      <c r="A8" t="s">
        <v>41</v>
      </c>
      <c r="B8" s="4">
        <f>(C8+C4)/(1+C5)</f>
        <v>102.4524274763309</v>
      </c>
      <c r="C8" s="4">
        <f>(D8+D4)/(1+D5)</f>
        <v>101.77204689614155</v>
      </c>
      <c r="D8" s="4">
        <f>(E8+E4)/(1+E5)</f>
        <v>101.23369096726319</v>
      </c>
      <c r="E8" s="4">
        <f>F4/(1+F5)</f>
        <v>100.59427195141107</v>
      </c>
      <c r="F8" s="68">
        <v>0</v>
      </c>
    </row>
    <row r="10" spans="1:9" x14ac:dyDescent="0.2">
      <c r="A10" s="172" t="s">
        <v>50</v>
      </c>
      <c r="B10" s="172"/>
      <c r="C10" s="172"/>
      <c r="D10" s="172"/>
      <c r="E10" s="172"/>
      <c r="F10" s="172"/>
    </row>
    <row r="11" spans="1:9" x14ac:dyDescent="0.2">
      <c r="A11" t="s">
        <v>1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</row>
    <row r="12" spans="1:9" x14ac:dyDescent="0.2">
      <c r="A12" t="s">
        <v>0</v>
      </c>
      <c r="B12" s="2">
        <v>0</v>
      </c>
      <c r="C12" s="2">
        <v>0</v>
      </c>
      <c r="D12" s="2">
        <v>7.0000000000000007E-2</v>
      </c>
      <c r="E12" s="2">
        <v>0.06</v>
      </c>
      <c r="F12" s="2">
        <v>0.08</v>
      </c>
    </row>
    <row r="13" spans="1:9" x14ac:dyDescent="0.2">
      <c r="A13" t="s">
        <v>43</v>
      </c>
      <c r="B13" s="72">
        <v>0</v>
      </c>
      <c r="C13" s="4">
        <f t="shared" ref="C13:D13" si="1">4/2</f>
        <v>2</v>
      </c>
      <c r="D13" s="4">
        <f t="shared" si="1"/>
        <v>2</v>
      </c>
      <c r="E13" s="4">
        <f>4/2</f>
        <v>2</v>
      </c>
      <c r="F13" s="4">
        <f>4/2+100</f>
        <v>102</v>
      </c>
    </row>
    <row r="14" spans="1:9" x14ac:dyDescent="0.2">
      <c r="A14" t="s">
        <v>44</v>
      </c>
      <c r="B14" s="73" t="s">
        <v>21</v>
      </c>
      <c r="C14" s="2">
        <f>0%+$I$4</f>
        <v>6.0000000000000001E-3</v>
      </c>
      <c r="D14" s="5">
        <f>(((1+D12)^2/(1+C12))-1)%+$I$4</f>
        <v>7.4490000000000008E-3</v>
      </c>
      <c r="E14" s="5">
        <f>(((1+E12)^2/(1+D12))-1)%+$I$4</f>
        <v>6.5009345794392543E-3</v>
      </c>
      <c r="F14" s="5">
        <f>(((1+F12)^2/(1+E12))-1)%+$I$4</f>
        <v>7.0037735849056608E-3</v>
      </c>
    </row>
    <row r="15" spans="1:9" x14ac:dyDescent="0.2">
      <c r="A15" t="s">
        <v>51</v>
      </c>
      <c r="B15" s="74" t="s">
        <v>21</v>
      </c>
      <c r="C15" s="4">
        <v>103</v>
      </c>
      <c r="D15" s="70">
        <v>101</v>
      </c>
      <c r="E15" s="70">
        <v>100</v>
      </c>
      <c r="F15" s="71">
        <v>0</v>
      </c>
    </row>
    <row r="16" spans="1:9" x14ac:dyDescent="0.2">
      <c r="A16" t="s">
        <v>39</v>
      </c>
      <c r="B16" s="4">
        <f>(C16+C13)/(1+C14)</f>
        <v>103.61672561131888</v>
      </c>
      <c r="C16" s="4">
        <f>MIN((D16+D13)/(1+D14),C15)</f>
        <v>102.2384259649868</v>
      </c>
      <c r="D16">
        <f>MIN((E16+E13)/(1+E14),D15)</f>
        <v>101</v>
      </c>
      <c r="E16" s="4">
        <f>MIN(F13/(1+F14),E15)</f>
        <v>100</v>
      </c>
      <c r="F16" s="71">
        <v>0</v>
      </c>
    </row>
    <row r="17" spans="1:6" hidden="1" x14ac:dyDescent="0.2">
      <c r="A17" t="s">
        <v>40</v>
      </c>
    </row>
    <row r="18" spans="1:6" hidden="1" x14ac:dyDescent="0.2">
      <c r="A18" t="s">
        <v>41</v>
      </c>
    </row>
    <row r="20" spans="1:6" x14ac:dyDescent="0.2">
      <c r="A20" s="173" t="s">
        <v>52</v>
      </c>
      <c r="B20" s="173"/>
      <c r="C20" s="173"/>
      <c r="D20" s="173"/>
      <c r="E20" s="173"/>
      <c r="F20" s="173"/>
    </row>
    <row r="21" spans="1:6" x14ac:dyDescent="0.2">
      <c r="A21" t="s">
        <v>1</v>
      </c>
      <c r="B21" t="s">
        <v>45</v>
      </c>
      <c r="C21" t="s">
        <v>46</v>
      </c>
      <c r="D21" t="s">
        <v>47</v>
      </c>
      <c r="E21" t="s">
        <v>48</v>
      </c>
      <c r="F21" t="s">
        <v>49</v>
      </c>
    </row>
    <row r="22" spans="1:6" x14ac:dyDescent="0.2">
      <c r="A22" t="s">
        <v>0</v>
      </c>
      <c r="B22" s="2">
        <v>0</v>
      </c>
      <c r="C22" s="2">
        <v>0</v>
      </c>
      <c r="D22" s="2">
        <v>7.0000000000000007E-2</v>
      </c>
      <c r="E22" s="2">
        <v>0.06</v>
      </c>
      <c r="F22" s="2">
        <v>0.08</v>
      </c>
    </row>
    <row r="23" spans="1:6" x14ac:dyDescent="0.2">
      <c r="A23" t="s">
        <v>43</v>
      </c>
      <c r="B23" s="72">
        <v>0</v>
      </c>
      <c r="C23" s="4">
        <f t="shared" ref="C23:D23" si="2">2/2</f>
        <v>1</v>
      </c>
      <c r="D23" s="4">
        <f t="shared" si="2"/>
        <v>1</v>
      </c>
      <c r="E23" s="4">
        <f>2/2</f>
        <v>1</v>
      </c>
      <c r="F23" s="4">
        <f>2/2+100</f>
        <v>101</v>
      </c>
    </row>
    <row r="24" spans="1:6" x14ac:dyDescent="0.2">
      <c r="A24" t="s">
        <v>44</v>
      </c>
      <c r="B24" s="73" t="s">
        <v>21</v>
      </c>
      <c r="C24" s="2">
        <f>0%+$I$2</f>
        <v>0</v>
      </c>
      <c r="D24" s="5">
        <f>(((1+D22)^2/(1+C22))-1)%+$I$2</f>
        <v>1.4490000000000002E-3</v>
      </c>
      <c r="E24" s="5">
        <f>(((1+E22)^2/(1+D22))-1)%+$I$2</f>
        <v>5.0093457943925393E-4</v>
      </c>
      <c r="F24" s="5">
        <f>(((1+F22)^2/(1+E22))-1)%+$I$2</f>
        <v>1.0037735849056607E-3</v>
      </c>
    </row>
    <row r="25" spans="1:6" x14ac:dyDescent="0.2">
      <c r="A25" t="s">
        <v>51</v>
      </c>
      <c r="B25" s="74" t="s">
        <v>21</v>
      </c>
      <c r="C25" s="4">
        <v>104</v>
      </c>
      <c r="D25" s="70">
        <v>102</v>
      </c>
      <c r="E25" s="70">
        <v>100</v>
      </c>
      <c r="F25" s="71">
        <v>0</v>
      </c>
    </row>
    <row r="26" spans="1:6" x14ac:dyDescent="0.2">
      <c r="A26" t="s">
        <v>40</v>
      </c>
      <c r="B26" s="4">
        <f>(C26+C23)/(1+C24)</f>
        <v>105</v>
      </c>
      <c r="C26" s="4">
        <f>MAX((D26+D23)/(1+D24),C25)</f>
        <v>104</v>
      </c>
      <c r="D26" s="4">
        <f>MAX((E26+E23)/(1+E24),D25)</f>
        <v>102</v>
      </c>
      <c r="E26" s="4">
        <f>MAX(F23/(1+F24),E25)</f>
        <v>100.89872052958164</v>
      </c>
      <c r="F26" s="71">
        <v>0</v>
      </c>
    </row>
  </sheetData>
  <mergeCells count="3">
    <mergeCell ref="A1:F1"/>
    <mergeCell ref="A10:F10"/>
    <mergeCell ref="A20:F20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88D4-824A-DC40-889E-10223805150F}">
  <sheetPr>
    <tabColor rgb="FF00B0F0"/>
  </sheetPr>
  <dimension ref="A1:J47"/>
  <sheetViews>
    <sheetView workbookViewId="0">
      <selection activeCell="E12" sqref="E12"/>
    </sheetView>
  </sheetViews>
  <sheetFormatPr baseColWidth="10" defaultRowHeight="16" x14ac:dyDescent="0.2"/>
  <cols>
    <col min="1" max="7" width="17.83203125" customWidth="1"/>
    <col min="8" max="8" width="18.33203125" customWidth="1"/>
    <col min="9" max="9" width="17.83203125" customWidth="1"/>
    <col min="10" max="10" width="18.83203125" customWidth="1"/>
    <col min="11" max="11" width="17.83203125" customWidth="1"/>
  </cols>
  <sheetData>
    <row r="1" spans="1:10" x14ac:dyDescent="0.2">
      <c r="A1" s="37" t="s">
        <v>1</v>
      </c>
      <c r="B1" s="38">
        <v>0</v>
      </c>
      <c r="C1" s="38">
        <v>0.5</v>
      </c>
      <c r="D1" s="38">
        <v>1</v>
      </c>
      <c r="E1" s="38">
        <v>1.5</v>
      </c>
      <c r="F1" s="38">
        <v>2</v>
      </c>
      <c r="H1" s="41" t="s">
        <v>4</v>
      </c>
      <c r="J1" s="41" t="s">
        <v>5</v>
      </c>
    </row>
    <row r="2" spans="1:10" x14ac:dyDescent="0.2">
      <c r="A2" s="37" t="s">
        <v>2</v>
      </c>
      <c r="B2" s="39">
        <v>0</v>
      </c>
      <c r="C2" s="39">
        <v>0</v>
      </c>
      <c r="D2" s="39">
        <v>7.0000000000000007E-2</v>
      </c>
      <c r="E2" s="39">
        <v>0.06</v>
      </c>
      <c r="F2" s="39">
        <v>0.08</v>
      </c>
      <c r="H2" s="36">
        <v>100</v>
      </c>
      <c r="J2" s="39">
        <v>0.1</v>
      </c>
    </row>
    <row r="3" spans="1:10" x14ac:dyDescent="0.2">
      <c r="A3" s="37" t="s">
        <v>3</v>
      </c>
      <c r="B3" s="40">
        <f>B2/2</f>
        <v>0</v>
      </c>
      <c r="C3" s="40">
        <f>C2/2</f>
        <v>0</v>
      </c>
      <c r="D3" s="40">
        <f>D2/2</f>
        <v>3.5000000000000003E-2</v>
      </c>
      <c r="E3" s="40">
        <f>E2/2</f>
        <v>0.03</v>
      </c>
      <c r="F3" s="40">
        <f>F2/2</f>
        <v>0.04</v>
      </c>
    </row>
    <row r="4" spans="1:10" ht="17" thickBot="1" x14ac:dyDescent="0.25">
      <c r="H4" s="42" t="s">
        <v>19</v>
      </c>
      <c r="I4" s="44" t="s">
        <v>20</v>
      </c>
    </row>
    <row r="5" spans="1:10" x14ac:dyDescent="0.2">
      <c r="A5" s="175" t="s">
        <v>31</v>
      </c>
      <c r="B5" s="176"/>
      <c r="C5" s="176"/>
      <c r="D5" s="176"/>
      <c r="E5" s="176"/>
      <c r="F5" s="176"/>
      <c r="H5" t="s">
        <v>15</v>
      </c>
      <c r="I5">
        <v>301593345</v>
      </c>
    </row>
    <row r="6" spans="1:10" x14ac:dyDescent="0.2">
      <c r="E6">
        <f>E12*EXP(6*J2)</f>
        <v>9.7928842442464054E-2</v>
      </c>
      <c r="H6" t="s">
        <v>16</v>
      </c>
      <c r="I6">
        <v>301604831</v>
      </c>
    </row>
    <row r="7" spans="1:10" x14ac:dyDescent="0.2">
      <c r="D7">
        <f>D11*EXP(4*J2)</f>
        <v>2.3538283106447993E-2</v>
      </c>
      <c r="H7" t="s">
        <v>17</v>
      </c>
      <c r="I7">
        <v>301585994</v>
      </c>
    </row>
    <row r="8" spans="1:10" x14ac:dyDescent="0.2">
      <c r="C8" s="5">
        <f>C10*EXP(2*J2)</f>
        <v>7.9812811539458198E-2</v>
      </c>
      <c r="E8">
        <f>E12*EXP(4*J2)</f>
        <v>8.0177354920973623E-2</v>
      </c>
      <c r="H8" t="s">
        <v>18</v>
      </c>
      <c r="I8">
        <v>301553598</v>
      </c>
    </row>
    <row r="9" spans="1:10" x14ac:dyDescent="0.2">
      <c r="B9" s="3">
        <v>0</v>
      </c>
      <c r="D9">
        <f>D11*EXP(2*J2)</f>
        <v>1.9271516253904903E-2</v>
      </c>
      <c r="H9" s="42" t="s">
        <v>14</v>
      </c>
      <c r="I9" s="43">
        <v>1206337768</v>
      </c>
    </row>
    <row r="10" spans="1:10" x14ac:dyDescent="0.2">
      <c r="C10" s="17">
        <v>6.5345203296971646E-2</v>
      </c>
      <c r="E10">
        <f>E12*EXP(2*J2)</f>
        <v>6.5643666174249368E-2</v>
      </c>
    </row>
    <row r="11" spans="1:10" x14ac:dyDescent="0.2">
      <c r="D11" s="17">
        <v>1.5778183015514129E-2</v>
      </c>
    </row>
    <row r="12" spans="1:10" x14ac:dyDescent="0.2">
      <c r="E12" s="17">
        <v>5.3744488241642831E-2</v>
      </c>
    </row>
    <row r="13" spans="1:10" ht="17" thickBot="1" x14ac:dyDescent="0.25"/>
    <row r="14" spans="1:10" x14ac:dyDescent="0.2">
      <c r="A14" s="175" t="s">
        <v>8</v>
      </c>
      <c r="B14" s="176"/>
      <c r="C14" s="176"/>
      <c r="D14" s="176"/>
      <c r="E14" s="176"/>
      <c r="F14" s="177"/>
      <c r="G14" s="13"/>
      <c r="H14" s="13"/>
      <c r="I14" s="13"/>
    </row>
    <row r="15" spans="1:10" x14ac:dyDescent="0.2">
      <c r="A15" s="6" t="s">
        <v>6</v>
      </c>
      <c r="B15" s="12">
        <v>0</v>
      </c>
      <c r="C15" s="22">
        <v>0.5</v>
      </c>
      <c r="D15" s="11">
        <v>1</v>
      </c>
      <c r="E15" s="23"/>
      <c r="F15" s="24"/>
      <c r="G15" s="14"/>
      <c r="H15" s="1"/>
    </row>
    <row r="16" spans="1:10" x14ac:dyDescent="0.2">
      <c r="A16" s="25" t="s">
        <v>7</v>
      </c>
      <c r="B16" s="19">
        <v>0</v>
      </c>
      <c r="C16" s="20">
        <f>H2</f>
        <v>100</v>
      </c>
      <c r="D16" s="18"/>
      <c r="E16" s="18"/>
      <c r="F16" s="26"/>
    </row>
    <row r="17" spans="1:9" ht="17" thickBot="1" x14ac:dyDescent="0.25">
      <c r="A17" s="27" t="s">
        <v>10</v>
      </c>
      <c r="B17" s="28">
        <f>C16/(1+B9)</f>
        <v>100</v>
      </c>
      <c r="C17" s="29"/>
      <c r="D17" s="29"/>
      <c r="E17" s="29"/>
      <c r="F17" s="30"/>
    </row>
    <row r="18" spans="1:9" ht="17" thickBot="1" x14ac:dyDescent="0.25"/>
    <row r="19" spans="1:9" x14ac:dyDescent="0.2">
      <c r="A19" s="175" t="s">
        <v>9</v>
      </c>
      <c r="B19" s="176"/>
      <c r="C19" s="176"/>
      <c r="D19" s="176"/>
      <c r="E19" s="176"/>
      <c r="F19" s="177"/>
      <c r="G19" s="13"/>
      <c r="H19" s="13"/>
      <c r="I19" s="13"/>
    </row>
    <row r="20" spans="1:9" x14ac:dyDescent="0.2">
      <c r="A20" s="6" t="s">
        <v>6</v>
      </c>
      <c r="B20" s="12">
        <v>0</v>
      </c>
      <c r="C20" s="22">
        <v>0.5</v>
      </c>
      <c r="D20" s="11">
        <v>1</v>
      </c>
      <c r="E20" s="23"/>
      <c r="F20" s="24"/>
      <c r="G20" s="14"/>
      <c r="H20" s="1"/>
    </row>
    <row r="21" spans="1:9" x14ac:dyDescent="0.2">
      <c r="A21" s="8" t="s">
        <v>7</v>
      </c>
      <c r="B21" s="21">
        <v>0</v>
      </c>
      <c r="C21" s="20">
        <f>D3*$H$2</f>
        <v>3.5000000000000004</v>
      </c>
      <c r="D21" s="20">
        <f>D3*$H$2+H2</f>
        <v>103.5</v>
      </c>
      <c r="E21" s="18"/>
      <c r="F21" s="26"/>
    </row>
    <row r="22" spans="1:9" x14ac:dyDescent="0.2">
      <c r="A22" s="7"/>
      <c r="B22" s="9"/>
      <c r="F22" s="31"/>
    </row>
    <row r="23" spans="1:9" x14ac:dyDescent="0.2">
      <c r="A23" s="7"/>
      <c r="B23" s="10"/>
      <c r="C23" s="4">
        <f>D23/(1+C8)</f>
        <v>95.84994629989896</v>
      </c>
      <c r="D23" s="4">
        <f>D3*$H$2+H2</f>
        <v>103.5</v>
      </c>
      <c r="F23" s="31"/>
    </row>
    <row r="24" spans="1:9" x14ac:dyDescent="0.2">
      <c r="A24" s="32" t="s">
        <v>10</v>
      </c>
      <c r="B24" s="4">
        <f>(0.5*C23+0.5*C25+C21)/(1+B9)</f>
        <v>100.00077734923337</v>
      </c>
      <c r="F24" s="31"/>
    </row>
    <row r="25" spans="1:9" ht="17" thickBot="1" x14ac:dyDescent="0.25">
      <c r="A25" s="27"/>
      <c r="B25" s="29"/>
      <c r="C25" s="28">
        <f>D25/(1+C10)</f>
        <v>97.151608398567802</v>
      </c>
      <c r="D25" s="28">
        <f>D3*$H$2+H2</f>
        <v>103.5</v>
      </c>
      <c r="E25" s="29"/>
      <c r="F25" s="30"/>
    </row>
    <row r="26" spans="1:9" ht="17" thickBot="1" x14ac:dyDescent="0.25">
      <c r="D26" s="4"/>
    </row>
    <row r="27" spans="1:9" x14ac:dyDescent="0.2">
      <c r="A27" s="175" t="s">
        <v>12</v>
      </c>
      <c r="B27" s="176"/>
      <c r="C27" s="176"/>
      <c r="D27" s="176"/>
      <c r="E27" s="176"/>
      <c r="F27" s="177"/>
      <c r="G27" s="15"/>
      <c r="H27" s="15"/>
      <c r="I27" s="15"/>
    </row>
    <row r="28" spans="1:9" x14ac:dyDescent="0.2">
      <c r="A28" s="6" t="s">
        <v>6</v>
      </c>
      <c r="B28" s="12">
        <v>0</v>
      </c>
      <c r="C28" s="22">
        <v>0.5</v>
      </c>
      <c r="D28" s="11">
        <v>1</v>
      </c>
      <c r="E28" s="23">
        <v>1.5</v>
      </c>
      <c r="F28" s="24"/>
      <c r="G28" s="1"/>
      <c r="H28" s="1"/>
      <c r="I28" s="16"/>
    </row>
    <row r="29" spans="1:9" x14ac:dyDescent="0.2">
      <c r="A29" s="25" t="s">
        <v>7</v>
      </c>
      <c r="B29" s="20">
        <v>0</v>
      </c>
      <c r="C29" s="20">
        <f>$E$3*$H$2</f>
        <v>3</v>
      </c>
      <c r="D29" s="20">
        <f t="shared" ref="D29" si="0">$E$3*$H$2</f>
        <v>3</v>
      </c>
      <c r="E29" s="20">
        <f>$E$3*$H$2+$H$2</f>
        <v>103</v>
      </c>
      <c r="F29" s="26"/>
    </row>
    <row r="30" spans="1:9" x14ac:dyDescent="0.2">
      <c r="A30" s="32"/>
      <c r="F30" s="31"/>
    </row>
    <row r="31" spans="1:9" x14ac:dyDescent="0.2">
      <c r="A31" s="32"/>
      <c r="D31" s="4">
        <f>E31/(1+D7)</f>
        <v>100.63131169592805</v>
      </c>
      <c r="E31" s="4">
        <f>$E$3*$H$2+$H$2</f>
        <v>103</v>
      </c>
      <c r="F31" s="31"/>
    </row>
    <row r="32" spans="1:9" x14ac:dyDescent="0.2">
      <c r="A32" s="32"/>
      <c r="C32" s="4">
        <f>(0.5*D31+0.5*D33+D29)/(1+C8)</f>
        <v>96.166610244540962</v>
      </c>
      <c r="F32" s="31"/>
    </row>
    <row r="33" spans="1:9" x14ac:dyDescent="0.2">
      <c r="A33" s="32" t="s">
        <v>10</v>
      </c>
      <c r="B33" s="4">
        <f>(0.5*C32+0.5*C34+C29)/(1+B9)</f>
        <v>99.999997579592645</v>
      </c>
      <c r="D33" s="4">
        <f>E33/(1+D9)</f>
        <v>101.05256387282606</v>
      </c>
      <c r="E33" s="4">
        <f>$E$3*$H$2+$H$2</f>
        <v>103</v>
      </c>
      <c r="F33" s="31"/>
    </row>
    <row r="34" spans="1:9" x14ac:dyDescent="0.2">
      <c r="A34" s="32"/>
      <c r="C34" s="4">
        <f>(0.5*D33+0.5*D35+D29)/(1+C10)</f>
        <v>97.833384914644327</v>
      </c>
      <c r="E34" s="4"/>
      <c r="F34" s="31"/>
    </row>
    <row r="35" spans="1:9" ht="17" thickBot="1" x14ac:dyDescent="0.25">
      <c r="A35" s="27"/>
      <c r="B35" s="29"/>
      <c r="C35" s="29"/>
      <c r="D35" s="28">
        <f>E35/(1+D11)</f>
        <v>101.40009080941923</v>
      </c>
      <c r="E35" s="28">
        <f>$E$3*$H$2+$H$2</f>
        <v>103</v>
      </c>
      <c r="F35" s="30"/>
    </row>
    <row r="36" spans="1:9" ht="17" thickBot="1" x14ac:dyDescent="0.25">
      <c r="E36" s="4"/>
    </row>
    <row r="37" spans="1:9" x14ac:dyDescent="0.2">
      <c r="A37" s="175" t="s">
        <v>13</v>
      </c>
      <c r="B37" s="176"/>
      <c r="C37" s="176"/>
      <c r="D37" s="176"/>
      <c r="E37" s="176"/>
      <c r="F37" s="177"/>
      <c r="G37" s="174"/>
      <c r="H37" s="174"/>
      <c r="I37" s="174"/>
    </row>
    <row r="38" spans="1:9" x14ac:dyDescent="0.2">
      <c r="A38" s="6" t="s">
        <v>6</v>
      </c>
      <c r="B38" s="12">
        <v>0</v>
      </c>
      <c r="C38" s="22">
        <v>0.5</v>
      </c>
      <c r="D38" s="11">
        <v>1</v>
      </c>
      <c r="E38" s="23">
        <v>1.5</v>
      </c>
      <c r="F38" s="24">
        <v>2</v>
      </c>
      <c r="G38" s="1"/>
      <c r="H38" s="1"/>
      <c r="I38" s="16"/>
    </row>
    <row r="39" spans="1:9" x14ac:dyDescent="0.2">
      <c r="A39" s="25" t="s">
        <v>11</v>
      </c>
      <c r="B39" s="20">
        <v>0</v>
      </c>
      <c r="C39" s="20">
        <f>$F$3*$H$2</f>
        <v>4</v>
      </c>
      <c r="D39" s="20">
        <f t="shared" ref="D39:E39" si="1">$F$3*$H$2</f>
        <v>4</v>
      </c>
      <c r="E39" s="20">
        <f t="shared" si="1"/>
        <v>4</v>
      </c>
      <c r="F39" s="33">
        <f>$F$3*$H$2+$H$2</f>
        <v>104</v>
      </c>
    </row>
    <row r="40" spans="1:9" x14ac:dyDescent="0.2">
      <c r="A40" s="32"/>
      <c r="F40" s="31"/>
    </row>
    <row r="41" spans="1:9" x14ac:dyDescent="0.2">
      <c r="A41" s="32"/>
      <c r="E41" s="4">
        <f>F41/(1+E6)</f>
        <v>94.723807208343771</v>
      </c>
      <c r="F41" s="34">
        <f>$F$3*$H$2+$H$2</f>
        <v>104</v>
      </c>
    </row>
    <row r="42" spans="1:9" x14ac:dyDescent="0.2">
      <c r="A42" s="32"/>
      <c r="D42" s="4">
        <f>(0.5*E41+0.5*E43+E39)/(1+D7)</f>
        <v>97.213898027432293</v>
      </c>
      <c r="E42" s="4"/>
      <c r="F42" s="34"/>
    </row>
    <row r="43" spans="1:9" x14ac:dyDescent="0.2">
      <c r="A43" s="32"/>
      <c r="C43" s="4">
        <f>(0.5*D42+0.5*D44+D39)/(1+C8)</f>
        <v>94.573108528369858</v>
      </c>
      <c r="E43" s="4">
        <f>F43/(1+E8)</f>
        <v>96.280485353822925</v>
      </c>
      <c r="F43" s="34">
        <f>$F$3*$H$2+$H$2</f>
        <v>104</v>
      </c>
    </row>
    <row r="44" spans="1:9" x14ac:dyDescent="0.2">
      <c r="A44" s="32" t="s">
        <v>10</v>
      </c>
      <c r="B44" s="4">
        <f>(0.5*C43+0.5*C45+C39)/(1+B9)</f>
        <v>100.00001651070016</v>
      </c>
      <c r="D44" s="4">
        <f>(0.5*E43+0.5*E45+E39)/(1+D9)</f>
        <v>99.028610404658465</v>
      </c>
      <c r="E44" s="4"/>
      <c r="F44" s="34"/>
    </row>
    <row r="45" spans="1:9" x14ac:dyDescent="0.2">
      <c r="A45" s="32"/>
      <c r="C45" s="4">
        <f>(0.5*D44+0.5*D46+D39)/(1+C10)</f>
        <v>97.426924493030469</v>
      </c>
      <c r="E45" s="4">
        <f t="shared" ref="E45:E47" si="2">F45/(1+E10)</f>
        <v>97.59359840552402</v>
      </c>
      <c r="F45" s="34">
        <f>$F$3*$H$2+$H$2</f>
        <v>104</v>
      </c>
    </row>
    <row r="46" spans="1:9" x14ac:dyDescent="0.2">
      <c r="A46" s="32"/>
      <c r="D46" s="4">
        <f>(0.5*E45+0.5*E47+E39)/(1+D11)</f>
        <v>100.55800295659405</v>
      </c>
      <c r="E46" s="4"/>
      <c r="F46" s="34"/>
    </row>
    <row r="47" spans="1:9" ht="17" thickBot="1" x14ac:dyDescent="0.25">
      <c r="A47" s="27"/>
      <c r="B47" s="29"/>
      <c r="C47" s="29"/>
      <c r="D47" s="29"/>
      <c r="E47" s="28">
        <f t="shared" si="2"/>
        <v>98.695652656311594</v>
      </c>
      <c r="F47" s="35">
        <f>$F$3*$H$2+$H$2</f>
        <v>104</v>
      </c>
    </row>
  </sheetData>
  <mergeCells count="6">
    <mergeCell ref="G37:I37"/>
    <mergeCell ref="A5:F5"/>
    <mergeCell ref="A14:F14"/>
    <mergeCell ref="A19:F19"/>
    <mergeCell ref="A27:F27"/>
    <mergeCell ref="A37:F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5895-7440-674C-B4A3-5B14BA39F89E}">
  <sheetPr>
    <tabColor rgb="FF00B0F0"/>
  </sheetPr>
  <dimension ref="A1:K52"/>
  <sheetViews>
    <sheetView topLeftCell="A6" workbookViewId="0">
      <selection activeCell="C10" sqref="C10"/>
    </sheetView>
  </sheetViews>
  <sheetFormatPr baseColWidth="10" defaultRowHeight="16" x14ac:dyDescent="0.2"/>
  <cols>
    <col min="1" max="10" width="17.83203125" customWidth="1"/>
  </cols>
  <sheetData>
    <row r="1" spans="1:11" x14ac:dyDescent="0.2">
      <c r="A1" s="37" t="s">
        <v>1</v>
      </c>
      <c r="B1" s="38">
        <v>0</v>
      </c>
      <c r="C1" s="38">
        <v>0.5</v>
      </c>
      <c r="D1" s="38">
        <v>1</v>
      </c>
      <c r="E1" s="38">
        <v>1.5</v>
      </c>
      <c r="F1" s="38">
        <v>2</v>
      </c>
      <c r="H1" s="41" t="s">
        <v>4</v>
      </c>
      <c r="J1" s="41" t="s">
        <v>5</v>
      </c>
    </row>
    <row r="2" spans="1:11" x14ac:dyDescent="0.2">
      <c r="A2" s="37" t="s">
        <v>2</v>
      </c>
      <c r="B2" s="59" t="s">
        <v>21</v>
      </c>
      <c r="C2" s="59" t="s">
        <v>21</v>
      </c>
      <c r="D2" s="59" t="s">
        <v>21</v>
      </c>
      <c r="E2" s="59" t="s">
        <v>21</v>
      </c>
      <c r="F2" s="39">
        <v>0.03</v>
      </c>
      <c r="H2" s="36">
        <v>100</v>
      </c>
      <c r="J2" s="39">
        <v>0.1</v>
      </c>
    </row>
    <row r="3" spans="1:11" x14ac:dyDescent="0.2">
      <c r="A3" s="37" t="s">
        <v>3</v>
      </c>
      <c r="B3" s="59" t="s">
        <v>21</v>
      </c>
      <c r="C3" s="59" t="s">
        <v>21</v>
      </c>
      <c r="D3" s="59" t="s">
        <v>21</v>
      </c>
      <c r="E3" s="59" t="s">
        <v>21</v>
      </c>
      <c r="F3" s="40">
        <f>3%/2</f>
        <v>1.4999999999999999E-2</v>
      </c>
    </row>
    <row r="4" spans="1:11" ht="17" thickBot="1" x14ac:dyDescent="0.25"/>
    <row r="5" spans="1:11" x14ac:dyDescent="0.2">
      <c r="A5" s="175" t="s">
        <v>30</v>
      </c>
      <c r="B5" s="176"/>
      <c r="C5" s="176"/>
      <c r="D5" s="176"/>
      <c r="E5" s="176"/>
      <c r="F5" s="176"/>
      <c r="H5" s="45" t="s">
        <v>19</v>
      </c>
      <c r="I5" s="46" t="s">
        <v>20</v>
      </c>
      <c r="J5" s="1" t="s">
        <v>22</v>
      </c>
      <c r="K5" s="1" t="s">
        <v>27</v>
      </c>
    </row>
    <row r="6" spans="1:11" x14ac:dyDescent="0.2">
      <c r="E6">
        <f>E12*EXP(6*J2)</f>
        <v>0.11250579284558808</v>
      </c>
      <c r="H6" s="1" t="s">
        <v>15</v>
      </c>
      <c r="I6" s="1">
        <v>301593345</v>
      </c>
      <c r="J6" s="1" t="s">
        <v>23</v>
      </c>
      <c r="K6" s="58">
        <v>0</v>
      </c>
    </row>
    <row r="7" spans="1:11" x14ac:dyDescent="0.2">
      <c r="D7">
        <f>D11*EXP(4*J2)</f>
        <v>3.5472880687578118E-2</v>
      </c>
      <c r="H7" s="1" t="s">
        <v>16</v>
      </c>
      <c r="I7" s="1">
        <v>301604831</v>
      </c>
      <c r="J7" s="47" t="s">
        <v>24</v>
      </c>
      <c r="K7" s="57">
        <v>7.0000000000000001E-3</v>
      </c>
    </row>
    <row r="8" spans="1:11" x14ac:dyDescent="0.2">
      <c r="C8" s="5">
        <f>C10*EXP(2*J2)</f>
        <v>8.9584033604739516E-2</v>
      </c>
      <c r="E8">
        <f>E12*EXP(4*J2)</f>
        <v>9.2111952502103744E-2</v>
      </c>
      <c r="H8" s="1" t="s">
        <v>17</v>
      </c>
      <c r="I8" s="1">
        <v>301585994</v>
      </c>
      <c r="J8" s="1" t="s">
        <v>25</v>
      </c>
      <c r="K8" s="10">
        <v>6.0000000000000001E-3</v>
      </c>
    </row>
    <row r="9" spans="1:11" x14ac:dyDescent="0.2">
      <c r="B9" s="3">
        <v>0</v>
      </c>
      <c r="D9">
        <f>D11*EXP(2*J2)</f>
        <v>2.9042738319186228E-2</v>
      </c>
      <c r="H9" s="1" t="s">
        <v>18</v>
      </c>
      <c r="I9" s="1">
        <v>301553598</v>
      </c>
      <c r="J9" s="1" t="s">
        <v>26</v>
      </c>
      <c r="K9" s="10">
        <v>8.0000000000000002E-3</v>
      </c>
    </row>
    <row r="10" spans="1:11" x14ac:dyDescent="0.2">
      <c r="C10" s="17">
        <f>6.53452032969716%+$K$9</f>
        <v>7.3345203296971612E-2</v>
      </c>
      <c r="E10">
        <f>E12*EXP(2*J2)</f>
        <v>7.54148882395307E-2</v>
      </c>
      <c r="H10" s="45" t="s">
        <v>14</v>
      </c>
      <c r="I10" s="46">
        <v>1206337768</v>
      </c>
    </row>
    <row r="11" spans="1:11" x14ac:dyDescent="0.2">
      <c r="D11" s="17">
        <f>1.57781830155141%+$K$9</f>
        <v>2.3778183015514102E-2</v>
      </c>
    </row>
    <row r="12" spans="1:11" x14ac:dyDescent="0.2">
      <c r="E12" s="17">
        <f>5.37444882416428%+$K$9</f>
        <v>6.1744488241642803E-2</v>
      </c>
    </row>
    <row r="14" spans="1:11" hidden="1" x14ac:dyDescent="0.2">
      <c r="A14" s="175" t="s">
        <v>8</v>
      </c>
      <c r="B14" s="176"/>
      <c r="C14" s="176"/>
      <c r="D14" s="176"/>
      <c r="E14" s="176"/>
      <c r="F14" s="177"/>
      <c r="G14" s="13"/>
    </row>
    <row r="15" spans="1:11" hidden="1" x14ac:dyDescent="0.2">
      <c r="A15" s="6" t="s">
        <v>6</v>
      </c>
      <c r="B15" s="12">
        <v>0</v>
      </c>
      <c r="C15" s="22">
        <v>0.5</v>
      </c>
      <c r="D15" s="11">
        <v>1</v>
      </c>
      <c r="E15" s="23"/>
      <c r="F15" s="24"/>
      <c r="G15" s="14"/>
    </row>
    <row r="16" spans="1:11" hidden="1" x14ac:dyDescent="0.2">
      <c r="A16" s="25" t="s">
        <v>7</v>
      </c>
      <c r="B16" s="19">
        <v>0</v>
      </c>
      <c r="C16" s="20">
        <f>H2</f>
        <v>100</v>
      </c>
      <c r="D16" s="18"/>
      <c r="E16" s="18"/>
      <c r="F16" s="26"/>
    </row>
    <row r="17" spans="1:9" ht="17" hidden="1" thickBot="1" x14ac:dyDescent="0.25">
      <c r="A17" s="27" t="s">
        <v>10</v>
      </c>
      <c r="B17" s="28">
        <f>C16/(1+B9)</f>
        <v>100</v>
      </c>
      <c r="C17" s="29"/>
      <c r="D17" s="29"/>
      <c r="E17" s="29"/>
      <c r="F17" s="30"/>
    </row>
    <row r="18" spans="1:9" ht="17" hidden="1" thickBot="1" x14ac:dyDescent="0.25"/>
    <row r="19" spans="1:9" hidden="1" x14ac:dyDescent="0.2">
      <c r="A19" s="175" t="s">
        <v>9</v>
      </c>
      <c r="B19" s="176"/>
      <c r="C19" s="176"/>
      <c r="D19" s="176"/>
      <c r="E19" s="176"/>
      <c r="F19" s="177"/>
      <c r="G19" s="13"/>
      <c r="H19" s="13"/>
      <c r="I19" s="13"/>
    </row>
    <row r="20" spans="1:9" hidden="1" x14ac:dyDescent="0.2">
      <c r="A20" s="6" t="s">
        <v>6</v>
      </c>
      <c r="B20" s="12">
        <v>0</v>
      </c>
      <c r="C20" s="22">
        <v>0.5</v>
      </c>
      <c r="D20" s="11">
        <v>1</v>
      </c>
      <c r="E20" s="23"/>
      <c r="F20" s="24"/>
      <c r="G20" s="14"/>
      <c r="H20" s="1"/>
    </row>
    <row r="21" spans="1:9" hidden="1" x14ac:dyDescent="0.2">
      <c r="A21" s="8" t="s">
        <v>7</v>
      </c>
      <c r="B21" s="21">
        <v>0</v>
      </c>
      <c r="C21" s="20" t="e">
        <f>D3*$H$2</f>
        <v>#VALUE!</v>
      </c>
      <c r="D21" s="20" t="e">
        <f>D3*$H$2+H2</f>
        <v>#VALUE!</v>
      </c>
      <c r="E21" s="18"/>
      <c r="F21" s="26"/>
    </row>
    <row r="22" spans="1:9" hidden="1" x14ac:dyDescent="0.2">
      <c r="A22" s="7"/>
      <c r="B22" s="9"/>
      <c r="F22" s="31"/>
    </row>
    <row r="23" spans="1:9" hidden="1" x14ac:dyDescent="0.2">
      <c r="A23" s="7"/>
      <c r="B23" s="10"/>
      <c r="C23" s="4" t="e">
        <f>D23/(1+C8)</f>
        <v>#VALUE!</v>
      </c>
      <c r="D23" s="4" t="e">
        <f>D3*$H$2+H2</f>
        <v>#VALUE!</v>
      </c>
      <c r="F23" s="31"/>
    </row>
    <row r="24" spans="1:9" hidden="1" x14ac:dyDescent="0.2">
      <c r="A24" s="32" t="s">
        <v>10</v>
      </c>
      <c r="B24" s="4" t="e">
        <f>(0.5*C23+0.5*C25+C21)/(1+B9)</f>
        <v>#VALUE!</v>
      </c>
      <c r="F24" s="31"/>
    </row>
    <row r="25" spans="1:9" ht="17" hidden="1" thickBot="1" x14ac:dyDescent="0.25">
      <c r="A25" s="27"/>
      <c r="B25" s="29"/>
      <c r="C25" s="28" t="e">
        <f>D25/(1+C10)</f>
        <v>#VALUE!</v>
      </c>
      <c r="D25" s="28" t="e">
        <f>D3*$H$2+H2</f>
        <v>#VALUE!</v>
      </c>
      <c r="E25" s="29"/>
      <c r="F25" s="30"/>
    </row>
    <row r="26" spans="1:9" ht="17" hidden="1" thickBot="1" x14ac:dyDescent="0.25">
      <c r="D26" s="4"/>
    </row>
    <row r="27" spans="1:9" hidden="1" x14ac:dyDescent="0.2">
      <c r="A27" s="175" t="s">
        <v>12</v>
      </c>
      <c r="B27" s="176"/>
      <c r="C27" s="176"/>
      <c r="D27" s="176"/>
      <c r="E27" s="176"/>
      <c r="F27" s="177"/>
      <c r="G27" s="15"/>
      <c r="H27" s="15"/>
      <c r="I27" s="15"/>
    </row>
    <row r="28" spans="1:9" hidden="1" x14ac:dyDescent="0.2">
      <c r="A28" s="6" t="s">
        <v>6</v>
      </c>
      <c r="B28" s="12">
        <v>0</v>
      </c>
      <c r="C28" s="22">
        <v>0.5</v>
      </c>
      <c r="D28" s="11">
        <v>1</v>
      </c>
      <c r="E28" s="23">
        <v>1.5</v>
      </c>
      <c r="F28" s="24"/>
      <c r="G28" s="1"/>
      <c r="H28" s="1"/>
      <c r="I28" s="16"/>
    </row>
    <row r="29" spans="1:9" hidden="1" x14ac:dyDescent="0.2">
      <c r="A29" s="25" t="s">
        <v>7</v>
      </c>
      <c r="B29" s="20">
        <v>0</v>
      </c>
      <c r="C29" s="20" t="e">
        <f>$E$3*$H$2</f>
        <v>#VALUE!</v>
      </c>
      <c r="D29" s="20" t="e">
        <f t="shared" ref="D29" si="0">$E$3*$H$2</f>
        <v>#VALUE!</v>
      </c>
      <c r="E29" s="20" t="e">
        <f>$E$3*$H$2+$H$2</f>
        <v>#VALUE!</v>
      </c>
      <c r="F29" s="26"/>
    </row>
    <row r="30" spans="1:9" hidden="1" x14ac:dyDescent="0.2">
      <c r="A30" s="32"/>
      <c r="F30" s="31"/>
    </row>
    <row r="31" spans="1:9" hidden="1" x14ac:dyDescent="0.2">
      <c r="A31" s="32"/>
      <c r="D31" s="4" t="e">
        <f>E31/(1+D7)</f>
        <v>#VALUE!</v>
      </c>
      <c r="E31" s="4" t="e">
        <f>$E$3*$H$2+$H$2</f>
        <v>#VALUE!</v>
      </c>
      <c r="F31" s="31"/>
    </row>
    <row r="32" spans="1:9" hidden="1" x14ac:dyDescent="0.2">
      <c r="A32" s="32"/>
      <c r="C32" s="4" t="e">
        <f>(0.5*D31+0.5*D33+D29)/(1+C8)</f>
        <v>#VALUE!</v>
      </c>
      <c r="F32" s="31"/>
    </row>
    <row r="33" spans="1:9" hidden="1" x14ac:dyDescent="0.2">
      <c r="A33" s="32" t="s">
        <v>10</v>
      </c>
      <c r="B33" s="4" t="e">
        <f>(0.5*C32+0.5*C34+C29)/(1+B9)</f>
        <v>#VALUE!</v>
      </c>
      <c r="D33" s="4" t="e">
        <f>E33/(1+D9)</f>
        <v>#VALUE!</v>
      </c>
      <c r="E33" s="4" t="e">
        <f>$E$3*$H$2+$H$2</f>
        <v>#VALUE!</v>
      </c>
      <c r="F33" s="31"/>
    </row>
    <row r="34" spans="1:9" hidden="1" x14ac:dyDescent="0.2">
      <c r="A34" s="32"/>
      <c r="C34" s="4" t="e">
        <f>(0.5*D33+0.5*D35+D29)/(1+C10)</f>
        <v>#VALUE!</v>
      </c>
      <c r="E34" s="4"/>
      <c r="F34" s="31"/>
    </row>
    <row r="35" spans="1:9" ht="17" hidden="1" thickBot="1" x14ac:dyDescent="0.25">
      <c r="A35" s="27"/>
      <c r="B35" s="29"/>
      <c r="C35" s="29"/>
      <c r="D35" s="28" t="e">
        <f>E35/(1+D11)</f>
        <v>#VALUE!</v>
      </c>
      <c r="E35" s="28" t="e">
        <f>$E$3*$H$2+$H$2</f>
        <v>#VALUE!</v>
      </c>
      <c r="F35" s="30"/>
    </row>
    <row r="36" spans="1:9" ht="17" thickBot="1" x14ac:dyDescent="0.25">
      <c r="E36" s="4"/>
    </row>
    <row r="37" spans="1:9" x14ac:dyDescent="0.2">
      <c r="A37" s="184" t="s">
        <v>29</v>
      </c>
      <c r="B37" s="185"/>
      <c r="C37" s="185"/>
      <c r="D37" s="185"/>
      <c r="E37" s="185"/>
      <c r="F37" s="186"/>
      <c r="G37" s="13"/>
      <c r="H37" s="13"/>
      <c r="I37" s="13"/>
    </row>
    <row r="38" spans="1:9" x14ac:dyDescent="0.2">
      <c r="A38" s="48" t="s">
        <v>6</v>
      </c>
      <c r="B38" s="12">
        <v>0</v>
      </c>
      <c r="C38" s="22">
        <v>0.5</v>
      </c>
      <c r="D38" s="11">
        <v>1</v>
      </c>
      <c r="E38" s="23">
        <v>1.5</v>
      </c>
      <c r="F38" s="49">
        <v>2</v>
      </c>
      <c r="G38" s="1"/>
      <c r="H38" s="1"/>
      <c r="I38" s="16"/>
    </row>
    <row r="39" spans="1:9" x14ac:dyDescent="0.2">
      <c r="A39" s="50" t="s">
        <v>11</v>
      </c>
      <c r="B39" s="4">
        <v>0</v>
      </c>
      <c r="C39" s="4">
        <f>$F$3*$H$2</f>
        <v>1.5</v>
      </c>
      <c r="D39" s="4">
        <f t="shared" ref="D39:E39" si="1">$F$3*$H$2</f>
        <v>1.5</v>
      </c>
      <c r="E39" s="4">
        <f t="shared" si="1"/>
        <v>1.5</v>
      </c>
      <c r="F39" s="51">
        <f>$F$3*$H$2+$H$2</f>
        <v>101.5</v>
      </c>
    </row>
    <row r="40" spans="1:9" x14ac:dyDescent="0.2">
      <c r="A40" s="50"/>
      <c r="F40" s="52"/>
    </row>
    <row r="41" spans="1:9" x14ac:dyDescent="0.2">
      <c r="A41" s="50"/>
      <c r="E41" s="4">
        <f>F41/(1+E6)</f>
        <v>91.235479988271706</v>
      </c>
      <c r="F41" s="51">
        <f>$F$3*$H$2+$H$2</f>
        <v>101.5</v>
      </c>
    </row>
    <row r="42" spans="1:9" x14ac:dyDescent="0.2">
      <c r="A42" s="50"/>
      <c r="D42" s="4">
        <f>(0.5*E41+0.5*E43+E39)/(1+D7)</f>
        <v>90.381251525687162</v>
      </c>
      <c r="E42" s="4"/>
      <c r="F42" s="51"/>
    </row>
    <row r="43" spans="1:9" ht="17" thickBot="1" x14ac:dyDescent="0.25">
      <c r="A43" s="50"/>
      <c r="C43" s="4">
        <f>(0.5*D42+0.5*D44+D39)/(1+C8)</f>
        <v>85.287689587303959</v>
      </c>
      <c r="E43" s="4">
        <f>F43/(1+E8)</f>
        <v>92.939189766631998</v>
      </c>
      <c r="F43" s="51">
        <f>$F$3*$H$2+$H$2</f>
        <v>101.5</v>
      </c>
    </row>
    <row r="44" spans="1:9" ht="17" thickBot="1" x14ac:dyDescent="0.25">
      <c r="A44" s="50" t="s">
        <v>10</v>
      </c>
      <c r="B44" s="60">
        <f>(0.5*C43+0.5*C45+C39)/(1+B9)</f>
        <v>88.333653818425944</v>
      </c>
      <c r="D44" s="4">
        <f>(0.5*E43+0.5*E45+E39)/(1+D9)</f>
        <v>92.47495814904002</v>
      </c>
      <c r="E44" s="4"/>
      <c r="F44" s="51"/>
    </row>
    <row r="45" spans="1:9" x14ac:dyDescent="0.2">
      <c r="A45" s="50"/>
      <c r="C45" s="4">
        <f>(0.5*D44+0.5*D46+D39)/(1+C10)</f>
        <v>88.379618049547943</v>
      </c>
      <c r="E45" s="4">
        <f t="shared" ref="E45:E47" si="2">F45/(1+E10)</f>
        <v>94.382178552648583</v>
      </c>
      <c r="F45" s="51">
        <f>$F$3*$H$2+$H$2</f>
        <v>101.5</v>
      </c>
    </row>
    <row r="46" spans="1:9" x14ac:dyDescent="0.2">
      <c r="A46" s="50"/>
      <c r="D46" s="4">
        <f>(0.5*E45+0.5*E47+E39)/(1+D11)</f>
        <v>94.248720056361478</v>
      </c>
      <c r="E46" s="4"/>
      <c r="F46" s="51"/>
    </row>
    <row r="47" spans="1:9" ht="17" thickBot="1" x14ac:dyDescent="0.25">
      <c r="A47" s="53"/>
      <c r="B47" s="54"/>
      <c r="C47" s="54"/>
      <c r="D47" s="54"/>
      <c r="E47" s="55">
        <f t="shared" si="2"/>
        <v>95.597388189030639</v>
      </c>
      <c r="F47" s="56">
        <f>$F$3*$H$2+$H$2</f>
        <v>101.5</v>
      </c>
    </row>
    <row r="50" spans="2:6" ht="17" thickBot="1" x14ac:dyDescent="0.25"/>
    <row r="51" spans="2:6" x14ac:dyDescent="0.2">
      <c r="B51" s="178" t="s">
        <v>28</v>
      </c>
      <c r="C51" s="179"/>
      <c r="D51" s="179"/>
      <c r="E51" s="179"/>
      <c r="F51" s="180"/>
    </row>
    <row r="52" spans="2:6" ht="17" thickBot="1" x14ac:dyDescent="0.25">
      <c r="B52" s="181"/>
      <c r="C52" s="182"/>
      <c r="D52" s="182"/>
      <c r="E52" s="182"/>
      <c r="F52" s="183"/>
    </row>
  </sheetData>
  <mergeCells count="6">
    <mergeCell ref="B51:F52"/>
    <mergeCell ref="A5:F5"/>
    <mergeCell ref="A14:F14"/>
    <mergeCell ref="A19:F19"/>
    <mergeCell ref="A27:F27"/>
    <mergeCell ref="A37:F3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13AB-C6D6-724B-840C-7ED5AFD20083}">
  <sheetPr>
    <tabColor rgb="FF00B0F0"/>
  </sheetPr>
  <dimension ref="A1:K52"/>
  <sheetViews>
    <sheetView workbookViewId="0">
      <selection activeCell="E12" sqref="E12"/>
    </sheetView>
  </sheetViews>
  <sheetFormatPr baseColWidth="10" defaultRowHeight="16" x14ac:dyDescent="0.2"/>
  <cols>
    <col min="1" max="1" width="18.5" customWidth="1"/>
    <col min="2" max="10" width="17.83203125" customWidth="1"/>
  </cols>
  <sheetData>
    <row r="1" spans="1:11" x14ac:dyDescent="0.2">
      <c r="A1" s="37" t="s">
        <v>1</v>
      </c>
      <c r="B1" s="38">
        <v>0</v>
      </c>
      <c r="C1" s="38">
        <v>0.5</v>
      </c>
      <c r="D1" s="38">
        <v>1</v>
      </c>
      <c r="E1" s="38">
        <v>1.5</v>
      </c>
      <c r="F1" s="38">
        <v>2</v>
      </c>
      <c r="H1" s="41" t="s">
        <v>4</v>
      </c>
      <c r="J1" s="41" t="s">
        <v>5</v>
      </c>
    </row>
    <row r="2" spans="1:11" x14ac:dyDescent="0.2">
      <c r="A2" s="37" t="s">
        <v>2</v>
      </c>
      <c r="B2" s="63" t="s">
        <v>21</v>
      </c>
      <c r="C2" s="63" t="s">
        <v>21</v>
      </c>
      <c r="D2" s="63" t="s">
        <v>21</v>
      </c>
      <c r="E2" s="63" t="s">
        <v>21</v>
      </c>
      <c r="F2" s="39">
        <v>0.04</v>
      </c>
      <c r="H2" s="36">
        <v>100</v>
      </c>
      <c r="J2" s="39">
        <v>0.1</v>
      </c>
    </row>
    <row r="3" spans="1:11" x14ac:dyDescent="0.2">
      <c r="A3" s="37" t="s">
        <v>3</v>
      </c>
      <c r="B3" s="63" t="s">
        <v>21</v>
      </c>
      <c r="C3" s="63" t="s">
        <v>21</v>
      </c>
      <c r="D3" s="63" t="s">
        <v>21</v>
      </c>
      <c r="E3" s="63" t="s">
        <v>21</v>
      </c>
      <c r="F3" s="40">
        <f>4%/2</f>
        <v>0.02</v>
      </c>
    </row>
    <row r="4" spans="1:11" ht="17" thickBot="1" x14ac:dyDescent="0.25"/>
    <row r="5" spans="1:11" x14ac:dyDescent="0.2">
      <c r="A5" s="175" t="s">
        <v>34</v>
      </c>
      <c r="B5" s="176"/>
      <c r="C5" s="176"/>
      <c r="D5" s="176"/>
      <c r="E5" s="176"/>
      <c r="F5" s="176"/>
      <c r="H5" s="42" t="s">
        <v>19</v>
      </c>
      <c r="I5" s="44" t="s">
        <v>20</v>
      </c>
      <c r="J5" s="1" t="s">
        <v>22</v>
      </c>
      <c r="K5" s="1" t="s">
        <v>27</v>
      </c>
    </row>
    <row r="6" spans="1:11" x14ac:dyDescent="0.2">
      <c r="E6">
        <f>E12*EXP(6*J2)</f>
        <v>0.10886155524480706</v>
      </c>
      <c r="H6" t="s">
        <v>15</v>
      </c>
      <c r="I6">
        <v>301593345</v>
      </c>
      <c r="J6" s="1" t="s">
        <v>23</v>
      </c>
      <c r="K6" s="58">
        <v>0</v>
      </c>
    </row>
    <row r="7" spans="1:11" x14ac:dyDescent="0.2">
      <c r="D7">
        <f>D11*EXP(4*J2)</f>
        <v>3.2489231292295577E-2</v>
      </c>
      <c r="H7" t="s">
        <v>16</v>
      </c>
      <c r="I7">
        <v>301604831</v>
      </c>
      <c r="J7" s="47" t="s">
        <v>24</v>
      </c>
      <c r="K7" s="57">
        <v>7.0000000000000001E-3</v>
      </c>
    </row>
    <row r="8" spans="1:11" x14ac:dyDescent="0.2">
      <c r="C8" s="5">
        <f>C10*EXP(2*J2)</f>
        <v>8.7141228088419162E-2</v>
      </c>
      <c r="E8">
        <f>E12*EXP(4*J2)</f>
        <v>8.9128303106821211E-2</v>
      </c>
      <c r="H8" t="s">
        <v>17</v>
      </c>
      <c r="I8">
        <v>301585994</v>
      </c>
      <c r="J8" s="1" t="s">
        <v>25</v>
      </c>
      <c r="K8" s="10">
        <v>6.0000000000000001E-3</v>
      </c>
    </row>
    <row r="9" spans="1:11" x14ac:dyDescent="0.2">
      <c r="B9" s="3">
        <v>0</v>
      </c>
      <c r="D9">
        <f>D11*EXP(2*J2)</f>
        <v>2.6599932802865892E-2</v>
      </c>
      <c r="H9" t="s">
        <v>18</v>
      </c>
      <c r="I9">
        <v>301553598</v>
      </c>
      <c r="J9" s="1" t="s">
        <v>26</v>
      </c>
      <c r="K9" s="10">
        <v>8.0000000000000002E-3</v>
      </c>
    </row>
    <row r="10" spans="1:11" x14ac:dyDescent="0.2">
      <c r="C10" s="17">
        <f>6.53452032969716%+$K$8</f>
        <v>7.134520329697161E-2</v>
      </c>
      <c r="E10">
        <f>E12*EXP(2*J2)</f>
        <v>7.297208272321036E-2</v>
      </c>
      <c r="H10" s="42" t="s">
        <v>14</v>
      </c>
      <c r="I10" s="43">
        <v>1206337768</v>
      </c>
    </row>
    <row r="11" spans="1:11" x14ac:dyDescent="0.2">
      <c r="D11" s="17">
        <f>1.57781830155141%+$K$8</f>
        <v>2.1778183015514103E-2</v>
      </c>
    </row>
    <row r="12" spans="1:11" x14ac:dyDescent="0.2">
      <c r="E12" s="17">
        <f>5.37444882416428%+$K$8</f>
        <v>5.9744488241642801E-2</v>
      </c>
    </row>
    <row r="14" spans="1:11" hidden="1" x14ac:dyDescent="0.2">
      <c r="A14" s="175" t="s">
        <v>8</v>
      </c>
      <c r="B14" s="176"/>
      <c r="C14" s="176"/>
      <c r="D14" s="176"/>
      <c r="E14" s="176"/>
      <c r="F14" s="177"/>
      <c r="G14" s="13"/>
    </row>
    <row r="15" spans="1:11" hidden="1" x14ac:dyDescent="0.2">
      <c r="A15" s="6" t="s">
        <v>6</v>
      </c>
      <c r="B15" s="12">
        <v>0</v>
      </c>
      <c r="C15" s="22">
        <v>0.5</v>
      </c>
      <c r="D15" s="11">
        <v>1</v>
      </c>
      <c r="E15" s="23"/>
      <c r="F15" s="24"/>
      <c r="G15" s="14"/>
    </row>
    <row r="16" spans="1:11" hidden="1" x14ac:dyDescent="0.2">
      <c r="A16" s="25" t="s">
        <v>7</v>
      </c>
      <c r="B16" s="19">
        <v>0</v>
      </c>
      <c r="C16" s="20">
        <f>H2</f>
        <v>100</v>
      </c>
      <c r="D16" s="18"/>
      <c r="E16" s="18"/>
      <c r="F16" s="26"/>
    </row>
    <row r="17" spans="1:9" ht="17" hidden="1" thickBot="1" x14ac:dyDescent="0.25">
      <c r="A17" s="27" t="s">
        <v>10</v>
      </c>
      <c r="B17" s="28">
        <f>C16/(1+B9)</f>
        <v>100</v>
      </c>
      <c r="C17" s="29"/>
      <c r="D17" s="29"/>
      <c r="E17" s="29"/>
      <c r="F17" s="30"/>
    </row>
    <row r="18" spans="1:9" ht="17" hidden="1" thickBot="1" x14ac:dyDescent="0.25"/>
    <row r="19" spans="1:9" hidden="1" x14ac:dyDescent="0.2">
      <c r="A19" s="175" t="s">
        <v>9</v>
      </c>
      <c r="B19" s="176"/>
      <c r="C19" s="176"/>
      <c r="D19" s="176"/>
      <c r="E19" s="176"/>
      <c r="F19" s="177"/>
      <c r="G19" s="13"/>
      <c r="H19" s="13"/>
      <c r="I19" s="13"/>
    </row>
    <row r="20" spans="1:9" hidden="1" x14ac:dyDescent="0.2">
      <c r="A20" s="6" t="s">
        <v>6</v>
      </c>
      <c r="B20" s="12">
        <v>0</v>
      </c>
      <c r="C20" s="22">
        <v>0.5</v>
      </c>
      <c r="D20" s="11">
        <v>1</v>
      </c>
      <c r="E20" s="23"/>
      <c r="F20" s="24"/>
      <c r="G20" s="14"/>
      <c r="H20" s="1"/>
    </row>
    <row r="21" spans="1:9" hidden="1" x14ac:dyDescent="0.2">
      <c r="A21" s="8" t="s">
        <v>7</v>
      </c>
      <c r="B21" s="21">
        <v>0</v>
      </c>
      <c r="C21" s="20" t="e">
        <f>D3*$H$2</f>
        <v>#VALUE!</v>
      </c>
      <c r="D21" s="20" t="e">
        <f>D3*$H$2+H2</f>
        <v>#VALUE!</v>
      </c>
      <c r="E21" s="18"/>
      <c r="F21" s="26"/>
    </row>
    <row r="22" spans="1:9" hidden="1" x14ac:dyDescent="0.2">
      <c r="A22" s="7"/>
      <c r="B22" s="9"/>
      <c r="F22" s="31"/>
    </row>
    <row r="23" spans="1:9" hidden="1" x14ac:dyDescent="0.2">
      <c r="A23" s="7"/>
      <c r="B23" s="10"/>
      <c r="C23" s="4" t="e">
        <f>D23/(1+C8)</f>
        <v>#VALUE!</v>
      </c>
      <c r="D23" s="4" t="e">
        <f>D3*$H$2+H2</f>
        <v>#VALUE!</v>
      </c>
      <c r="F23" s="31"/>
    </row>
    <row r="24" spans="1:9" hidden="1" x14ac:dyDescent="0.2">
      <c r="A24" s="32" t="s">
        <v>10</v>
      </c>
      <c r="B24" s="4" t="e">
        <f>(0.5*C23+0.5*C25+C21)/(1+B9)</f>
        <v>#VALUE!</v>
      </c>
      <c r="F24" s="31"/>
    </row>
    <row r="25" spans="1:9" ht="17" hidden="1" thickBot="1" x14ac:dyDescent="0.25">
      <c r="A25" s="27"/>
      <c r="B25" s="29"/>
      <c r="C25" s="28" t="e">
        <f>D25/(1+C10)</f>
        <v>#VALUE!</v>
      </c>
      <c r="D25" s="28" t="e">
        <f>D3*$H$2+H2</f>
        <v>#VALUE!</v>
      </c>
      <c r="E25" s="29"/>
      <c r="F25" s="30"/>
    </row>
    <row r="26" spans="1:9" ht="17" hidden="1" thickBot="1" x14ac:dyDescent="0.25">
      <c r="D26" s="4"/>
    </row>
    <row r="27" spans="1:9" hidden="1" x14ac:dyDescent="0.2">
      <c r="A27" s="175" t="s">
        <v>12</v>
      </c>
      <c r="B27" s="176"/>
      <c r="C27" s="176"/>
      <c r="D27" s="176"/>
      <c r="E27" s="176"/>
      <c r="F27" s="177"/>
      <c r="G27" s="15"/>
      <c r="H27" s="15"/>
      <c r="I27" s="15"/>
    </row>
    <row r="28" spans="1:9" hidden="1" x14ac:dyDescent="0.2">
      <c r="A28" s="6" t="s">
        <v>6</v>
      </c>
      <c r="B28" s="12">
        <v>0</v>
      </c>
      <c r="C28" s="22">
        <v>0.5</v>
      </c>
      <c r="D28" s="11">
        <v>1</v>
      </c>
      <c r="E28" s="23">
        <v>1.5</v>
      </c>
      <c r="F28" s="24"/>
      <c r="G28" s="1"/>
      <c r="H28" s="1"/>
      <c r="I28" s="16"/>
    </row>
    <row r="29" spans="1:9" hidden="1" x14ac:dyDescent="0.2">
      <c r="A29" s="25" t="s">
        <v>7</v>
      </c>
      <c r="B29" s="20">
        <v>0</v>
      </c>
      <c r="C29" s="20" t="e">
        <f>$E$3*$H$2</f>
        <v>#VALUE!</v>
      </c>
      <c r="D29" s="20" t="e">
        <f t="shared" ref="D29" si="0">$E$3*$H$2</f>
        <v>#VALUE!</v>
      </c>
      <c r="E29" s="20" t="e">
        <f>$E$3*$H$2+$H$2</f>
        <v>#VALUE!</v>
      </c>
      <c r="F29" s="26"/>
    </row>
    <row r="30" spans="1:9" hidden="1" x14ac:dyDescent="0.2">
      <c r="A30" s="32"/>
      <c r="F30" s="31"/>
    </row>
    <row r="31" spans="1:9" hidden="1" x14ac:dyDescent="0.2">
      <c r="A31" s="32"/>
      <c r="D31" s="4" t="e">
        <f>E31/(1+D7)</f>
        <v>#VALUE!</v>
      </c>
      <c r="E31" s="4" t="e">
        <f>$E$3*$H$2+$H$2</f>
        <v>#VALUE!</v>
      </c>
      <c r="F31" s="31"/>
    </row>
    <row r="32" spans="1:9" hidden="1" x14ac:dyDescent="0.2">
      <c r="A32" s="32"/>
      <c r="C32" s="4" t="e">
        <f>(0.5*D31+0.5*D33+D29)/(1+C8)</f>
        <v>#VALUE!</v>
      </c>
      <c r="F32" s="31"/>
    </row>
    <row r="33" spans="1:9" hidden="1" x14ac:dyDescent="0.2">
      <c r="A33" s="32" t="s">
        <v>10</v>
      </c>
      <c r="B33" s="4" t="e">
        <f>(0.5*C32+0.5*C34+C29)/(1+B9)</f>
        <v>#VALUE!</v>
      </c>
      <c r="D33" s="4" t="e">
        <f>E33/(1+D9)</f>
        <v>#VALUE!</v>
      </c>
      <c r="E33" s="4" t="e">
        <f>$E$3*$H$2+$H$2</f>
        <v>#VALUE!</v>
      </c>
      <c r="F33" s="31"/>
    </row>
    <row r="34" spans="1:9" hidden="1" x14ac:dyDescent="0.2">
      <c r="A34" s="32"/>
      <c r="C34" s="4" t="e">
        <f>(0.5*D33+0.5*D35+D29)/(1+C10)</f>
        <v>#VALUE!</v>
      </c>
      <c r="E34" s="4"/>
      <c r="F34" s="31"/>
    </row>
    <row r="35" spans="1:9" ht="17" hidden="1" thickBot="1" x14ac:dyDescent="0.25">
      <c r="A35" s="27"/>
      <c r="B35" s="29"/>
      <c r="C35" s="29"/>
      <c r="D35" s="28" t="e">
        <f>E35/(1+D11)</f>
        <v>#VALUE!</v>
      </c>
      <c r="E35" s="28" t="e">
        <f>$E$3*$H$2+$H$2</f>
        <v>#VALUE!</v>
      </c>
      <c r="F35" s="30"/>
    </row>
    <row r="36" spans="1:9" ht="17" thickBot="1" x14ac:dyDescent="0.25">
      <c r="E36" s="4"/>
    </row>
    <row r="37" spans="1:9" x14ac:dyDescent="0.2">
      <c r="A37" s="187" t="s">
        <v>35</v>
      </c>
      <c r="B37" s="188"/>
      <c r="C37" s="188"/>
      <c r="D37" s="188"/>
      <c r="E37" s="188"/>
      <c r="F37" s="189"/>
      <c r="G37" s="174"/>
      <c r="H37" s="174"/>
      <c r="I37" s="174"/>
    </row>
    <row r="38" spans="1:9" x14ac:dyDescent="0.2">
      <c r="A38" s="48" t="s">
        <v>6</v>
      </c>
      <c r="B38" s="12">
        <v>0</v>
      </c>
      <c r="C38" s="22">
        <v>0.5</v>
      </c>
      <c r="D38" s="11">
        <v>1</v>
      </c>
      <c r="E38" s="23">
        <v>1.5</v>
      </c>
      <c r="F38" s="49">
        <v>2</v>
      </c>
      <c r="G38" s="1"/>
      <c r="H38" s="1"/>
      <c r="I38" s="16"/>
    </row>
    <row r="39" spans="1:9" x14ac:dyDescent="0.2">
      <c r="A39" s="61" t="s">
        <v>11</v>
      </c>
      <c r="B39" s="20">
        <v>0</v>
      </c>
      <c r="C39" s="20">
        <f>$F$3*$H$2</f>
        <v>2</v>
      </c>
      <c r="D39" s="20">
        <f t="shared" ref="D39:E39" si="1">$F$3*$H$2</f>
        <v>2</v>
      </c>
      <c r="E39" s="20">
        <f t="shared" si="1"/>
        <v>2</v>
      </c>
      <c r="F39" s="62">
        <f>$F$3*$H$2+$H$2</f>
        <v>102</v>
      </c>
    </row>
    <row r="40" spans="1:9" x14ac:dyDescent="0.2">
      <c r="A40" s="64" t="s">
        <v>32</v>
      </c>
      <c r="B40" s="65"/>
      <c r="C40" s="66">
        <v>103</v>
      </c>
      <c r="D40" s="66">
        <v>101</v>
      </c>
      <c r="E40" s="66">
        <v>100</v>
      </c>
      <c r="F40" s="67"/>
    </row>
    <row r="41" spans="1:9" x14ac:dyDescent="0.2">
      <c r="A41" s="50"/>
      <c r="E41" s="4">
        <f>MIN(F41/(1+E6),$E$40)</f>
        <v>91.986235357831589</v>
      </c>
      <c r="F41" s="51">
        <f>$F$3*$H$2+$H$2</f>
        <v>102</v>
      </c>
    </row>
    <row r="42" spans="1:9" x14ac:dyDescent="0.2">
      <c r="A42" s="50"/>
      <c r="D42" s="4">
        <f>MIN((0.5*E41+0.5*E43+E39)/(1+D7),$D$40)</f>
        <v>91.835879504146689</v>
      </c>
      <c r="E42" s="4"/>
      <c r="F42" s="51"/>
    </row>
    <row r="43" spans="1:9" ht="17" thickBot="1" x14ac:dyDescent="0.25">
      <c r="A43" s="50"/>
      <c r="C43" s="4">
        <f>MIN((0.5*D42+0.5*D44+D39)/(1+C8),$C$40)</f>
        <v>87.245859092755737</v>
      </c>
      <c r="E43" s="4">
        <f t="shared" ref="E43:E47" si="2">MIN(F43/(1+E8),$E$40)</f>
        <v>93.652877910744991</v>
      </c>
      <c r="F43" s="51">
        <f>$F$3*$H$2+$H$2</f>
        <v>102</v>
      </c>
    </row>
    <row r="44" spans="1:9" ht="17" thickBot="1" x14ac:dyDescent="0.25">
      <c r="A44" s="50" t="s">
        <v>10</v>
      </c>
      <c r="B44" s="60">
        <f>(0.5*C43+0.5*C45+C39)/(1+B9)</f>
        <v>90.761542874676124</v>
      </c>
      <c r="D44" s="4">
        <f>MIN((0.5*E43+0.5*E45+E39)/(1+D9),$D$40)</f>
        <v>93.861261295308609</v>
      </c>
      <c r="E44" s="4"/>
      <c r="F44" s="51"/>
    </row>
    <row r="45" spans="1:9" x14ac:dyDescent="0.2">
      <c r="A45" s="50"/>
      <c r="C45" s="4">
        <f>MIN((0.5*D44+0.5*D46+D39)/(1+C10),C40)</f>
        <v>90.277226656596511</v>
      </c>
      <c r="E45" s="4">
        <f t="shared" si="2"/>
        <v>95.063051166367089</v>
      </c>
      <c r="F45" s="51">
        <f>$F$3*$H$2+$H$2</f>
        <v>102</v>
      </c>
    </row>
    <row r="46" spans="1:9" x14ac:dyDescent="0.2">
      <c r="A46" s="50"/>
      <c r="D46" s="4">
        <f>MIN((0.5*E45+0.5*E47+E39)/(1+D11),$D$40)</f>
        <v>95.574886195687739</v>
      </c>
      <c r="E46" s="4"/>
      <c r="F46" s="51"/>
    </row>
    <row r="47" spans="1:9" ht="17" thickBot="1" x14ac:dyDescent="0.25">
      <c r="A47" s="53"/>
      <c r="B47" s="54"/>
      <c r="C47" s="54"/>
      <c r="D47" s="54"/>
      <c r="E47" s="55">
        <f t="shared" si="2"/>
        <v>96.249615951521662</v>
      </c>
      <c r="F47" s="56">
        <f>$F$3*$H$2+$H$2</f>
        <v>102</v>
      </c>
    </row>
    <row r="50" spans="2:6" ht="17" thickBot="1" x14ac:dyDescent="0.25"/>
    <row r="51" spans="2:6" x14ac:dyDescent="0.2">
      <c r="B51" s="178" t="s">
        <v>33</v>
      </c>
      <c r="C51" s="179"/>
      <c r="D51" s="179"/>
      <c r="E51" s="179"/>
      <c r="F51" s="180"/>
    </row>
    <row r="52" spans="2:6" ht="17" thickBot="1" x14ac:dyDescent="0.25">
      <c r="B52" s="181"/>
      <c r="C52" s="182"/>
      <c r="D52" s="182"/>
      <c r="E52" s="182"/>
      <c r="F52" s="183"/>
    </row>
  </sheetData>
  <mergeCells count="7">
    <mergeCell ref="G37:I37"/>
    <mergeCell ref="B51:F52"/>
    <mergeCell ref="A5:F5"/>
    <mergeCell ref="A14:F14"/>
    <mergeCell ref="A19:F19"/>
    <mergeCell ref="A27:F27"/>
    <mergeCell ref="A37:F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Part 1 - Question 1,2 and 3</vt:lpstr>
      <vt:lpstr>Part 1 - Question 4</vt:lpstr>
      <vt:lpstr>Part 1 - Question 5</vt:lpstr>
      <vt:lpstr>Part 1- Question 6</vt:lpstr>
      <vt:lpstr>Part 2 - question 1</vt:lpstr>
      <vt:lpstr>Part 2-question 2</vt:lpstr>
      <vt:lpstr>Part 2-question 3</vt:lpstr>
      <vt:lpstr>Part 2-question 4</vt:lpstr>
      <vt:lpstr>Part 2-question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Malik</dc:creator>
  <cp:lastModifiedBy>Muskan Malik</cp:lastModifiedBy>
  <dcterms:created xsi:type="dcterms:W3CDTF">2024-03-16T01:34:02Z</dcterms:created>
  <dcterms:modified xsi:type="dcterms:W3CDTF">2024-03-19T05:49:45Z</dcterms:modified>
</cp:coreProperties>
</file>